
<file path=[Content_Types].xml><?xml version="1.0" encoding="utf-8"?>
<Types xmlns="http://schemas.openxmlformats.org/package/2006/content-types">
  <Default Extension="png" ContentType="image/png"/>
  <Default Extension="svg" ContentType="image/svg+xml"/>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7.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omments4.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9.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3"/>
  <workbookPr defaultThemeVersion="166925"/>
  <mc:AlternateContent xmlns:mc="http://schemas.openxmlformats.org/markup-compatibility/2006">
    <mc:Choice Requires="x15">
      <x15ac:absPath xmlns:x15ac="http://schemas.microsoft.com/office/spreadsheetml/2010/11/ac" url="C:\Users\jumaziga\Nextcloud\Klimaschutzmanagement\1. Klimaschutzkonzept\KliMax\"/>
    </mc:Choice>
  </mc:AlternateContent>
  <xr:revisionPtr revIDLastSave="0" documentId="13_ncr:1_{3234EE5D-0424-484A-87CD-32F4BFA60BBC}" xr6:coauthVersionLast="36" xr6:coauthVersionMax="47" xr10:uidLastSave="{00000000-0000-0000-0000-000000000000}"/>
  <bookViews>
    <workbookView xWindow="-110" yWindow="-110" windowWidth="9690" windowHeight="1760" tabRatio="948" xr2:uid="{50497CE0-B409-4E54-BA1E-C6BABD1E1B9E}"/>
  </bookViews>
  <sheets>
    <sheet name="Startseite" sheetId="1" r:id="rId1"/>
    <sheet name="Refsz-Verbräuche" sheetId="2" r:id="rId2"/>
    <sheet name="Klisz-Verbräuche" sheetId="5" r:id="rId3"/>
    <sheet name="Datengüte" sheetId="13" r:id="rId4"/>
    <sheet name="KliMax-Auswertung" sheetId="8" r:id="rId5"/>
    <sheet name="Umrechnen" sheetId="10" r:id="rId6"/>
    <sheet name="Strommix &amp; BHKW" sheetId="14" r:id="rId7"/>
    <sheet name="Verbundene Einheiten" sheetId="17" r:id="rId8"/>
    <sheet name="Emissionsfaktoren" sheetId="4" r:id="rId9"/>
    <sheet name="Refsz-Emissionen" sheetId="3" r:id="rId10"/>
    <sheet name="Klisz-Emissionen" sheetId="7" r:id="rId11"/>
  </sheets>
  <externalReferences>
    <externalReference r:id="rId12"/>
  </externalReferences>
  <definedNames>
    <definedName name="Energieträger">[1]Faktoren!$B$5:$B$14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8" i="2" l="1"/>
  <c r="M19" i="2"/>
  <c r="G28" i="3" l="1"/>
  <c r="H28" i="3"/>
  <c r="I28" i="3"/>
  <c r="J28" i="3"/>
  <c r="K28" i="3"/>
  <c r="L28" i="3"/>
  <c r="F28" i="3"/>
  <c r="C156" i="8" l="1"/>
  <c r="C149" i="8"/>
  <c r="D92" i="8"/>
  <c r="M183" i="3"/>
  <c r="M20" i="2" l="1"/>
  <c r="M29" i="2"/>
  <c r="N29" i="2" s="1"/>
  <c r="M30" i="2"/>
  <c r="N30" i="2" s="1"/>
  <c r="M31" i="2"/>
  <c r="N31" i="2" s="1"/>
  <c r="N20" i="2" l="1"/>
  <c r="N75" i="1"/>
  <c r="O75" i="1" s="1"/>
  <c r="P75" i="1" s="1"/>
  <c r="Q75" i="1" s="1"/>
  <c r="R75" i="1" s="1"/>
  <c r="S75" i="1" s="1"/>
  <c r="T75" i="1" s="1"/>
  <c r="U75" i="1" s="1"/>
  <c r="V75" i="1" s="1"/>
  <c r="W75" i="1" s="1"/>
  <c r="X75" i="1" s="1"/>
  <c r="Y75" i="1" s="1"/>
  <c r="Z75" i="1" s="1"/>
  <c r="N74" i="1"/>
  <c r="O74" i="1" s="1"/>
  <c r="P74" i="1" s="1"/>
  <c r="Q74" i="1" s="1"/>
  <c r="R74" i="1" s="1"/>
  <c r="S74" i="1" s="1"/>
  <c r="T74" i="1" s="1"/>
  <c r="U74" i="1" s="1"/>
  <c r="V74" i="1" s="1"/>
  <c r="W74" i="1" s="1"/>
  <c r="X74" i="1" s="1"/>
  <c r="Y74" i="1" s="1"/>
  <c r="Z74" i="1" s="1"/>
  <c r="N72" i="1"/>
  <c r="O72" i="1" s="1"/>
  <c r="P72" i="1" s="1"/>
  <c r="Q72" i="1" s="1"/>
  <c r="R72" i="1" s="1"/>
  <c r="S72" i="1" s="1"/>
  <c r="T72" i="1" s="1"/>
  <c r="U72" i="1" s="1"/>
  <c r="V72" i="1" s="1"/>
  <c r="W72" i="1" s="1"/>
  <c r="X72" i="1" s="1"/>
  <c r="Y72" i="1" s="1"/>
  <c r="Z72" i="1" s="1"/>
  <c r="B74" i="8" l="1"/>
  <c r="B75" i="8"/>
  <c r="B76" i="8"/>
  <c r="B77" i="8"/>
  <c r="B78" i="8"/>
  <c r="B79" i="8"/>
  <c r="B80" i="8"/>
  <c r="B81" i="8"/>
  <c r="B82" i="8"/>
  <c r="G73" i="1" l="1"/>
  <c r="H73" i="1"/>
  <c r="I73" i="1"/>
  <c r="J73" i="1"/>
  <c r="K73" i="1"/>
  <c r="L73" i="1"/>
  <c r="M73" i="1"/>
  <c r="H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8" i="5"/>
  <c r="D18" i="5"/>
  <c r="G20" i="5"/>
  <c r="G348" i="7" l="1"/>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52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348"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183"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8" i="7"/>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183"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8" i="3"/>
  <c r="B84" i="8" l="1"/>
  <c r="B83" i="8"/>
  <c r="B392" i="3"/>
  <c r="C392" i="3"/>
  <c r="D392" i="3"/>
  <c r="B393" i="3"/>
  <c r="C393" i="3"/>
  <c r="D393" i="3"/>
  <c r="B394" i="3"/>
  <c r="C394" i="3"/>
  <c r="B395" i="3"/>
  <c r="C395" i="3"/>
  <c r="B396" i="3"/>
  <c r="C396" i="3"/>
  <c r="B397" i="3"/>
  <c r="C397" i="3"/>
  <c r="B398" i="3"/>
  <c r="C398" i="3"/>
  <c r="B399" i="3"/>
  <c r="C399" i="3"/>
  <c r="B400" i="3"/>
  <c r="C400" i="3"/>
  <c r="D400" i="3"/>
  <c r="B401" i="3"/>
  <c r="C401" i="3"/>
  <c r="D401" i="3"/>
  <c r="B402" i="3"/>
  <c r="C402" i="3"/>
  <c r="D402" i="3"/>
  <c r="B403" i="3"/>
  <c r="F403" i="3" s="1"/>
  <c r="C403" i="3"/>
  <c r="D403" i="3"/>
  <c r="B404" i="3"/>
  <c r="G404" i="3" s="1"/>
  <c r="C404" i="3"/>
  <c r="D404" i="3"/>
  <c r="B405" i="3"/>
  <c r="E405" i="3" s="1"/>
  <c r="C405" i="3"/>
  <c r="D405" i="3"/>
  <c r="B406" i="3"/>
  <c r="E406" i="3" s="1"/>
  <c r="C406" i="3"/>
  <c r="D406" i="3"/>
  <c r="B407" i="3"/>
  <c r="F407" i="3" s="1"/>
  <c r="C407" i="3"/>
  <c r="D407" i="3"/>
  <c r="B408" i="3"/>
  <c r="F408" i="3" s="1"/>
  <c r="C408" i="3"/>
  <c r="D408" i="3"/>
  <c r="B409" i="3"/>
  <c r="E409" i="3" s="1"/>
  <c r="C409" i="3"/>
  <c r="D409" i="3"/>
  <c r="B410" i="3"/>
  <c r="E410" i="3" s="1"/>
  <c r="C410" i="3"/>
  <c r="D410" i="3"/>
  <c r="B411" i="3"/>
  <c r="F411" i="3" s="1"/>
  <c r="C411" i="3"/>
  <c r="D411" i="3"/>
  <c r="B412" i="3"/>
  <c r="G412" i="3" s="1"/>
  <c r="C412" i="3"/>
  <c r="D412" i="3"/>
  <c r="B413" i="3"/>
  <c r="E413" i="3" s="1"/>
  <c r="C413" i="3"/>
  <c r="D413" i="3"/>
  <c r="B414" i="3"/>
  <c r="E414" i="3" s="1"/>
  <c r="C414" i="3"/>
  <c r="D414" i="3"/>
  <c r="B415" i="3"/>
  <c r="F415" i="3" s="1"/>
  <c r="C415" i="3"/>
  <c r="D415" i="3"/>
  <c r="B416" i="3"/>
  <c r="E416" i="3" s="1"/>
  <c r="C416" i="3"/>
  <c r="D416" i="3"/>
  <c r="B417" i="3"/>
  <c r="E417" i="3" s="1"/>
  <c r="C417" i="3"/>
  <c r="D417" i="3"/>
  <c r="B418" i="3"/>
  <c r="E418" i="3" s="1"/>
  <c r="C418" i="3"/>
  <c r="D418" i="3"/>
  <c r="B419" i="3"/>
  <c r="G419" i="3" s="1"/>
  <c r="C419" i="3"/>
  <c r="D419" i="3"/>
  <c r="B420" i="3"/>
  <c r="E420" i="3" s="1"/>
  <c r="C420" i="3"/>
  <c r="D420" i="3"/>
  <c r="B421" i="3"/>
  <c r="G421" i="3" s="1"/>
  <c r="C421" i="3"/>
  <c r="D421" i="3"/>
  <c r="B422" i="3"/>
  <c r="C422" i="3"/>
  <c r="B423" i="3"/>
  <c r="C423" i="3"/>
  <c r="B424" i="3"/>
  <c r="E424" i="3" s="1"/>
  <c r="C424" i="3"/>
  <c r="B425" i="3"/>
  <c r="F425" i="3" s="1"/>
  <c r="C425" i="3"/>
  <c r="B426" i="3"/>
  <c r="E426" i="3" s="1"/>
  <c r="C426" i="3"/>
  <c r="B427" i="3"/>
  <c r="G427" i="3" s="1"/>
  <c r="C427" i="3"/>
  <c r="B428" i="3"/>
  <c r="E428" i="3" s="1"/>
  <c r="C428" i="3"/>
  <c r="D428" i="3"/>
  <c r="B429" i="3"/>
  <c r="G429" i="3" s="1"/>
  <c r="C429" i="3"/>
  <c r="B430" i="3"/>
  <c r="G430" i="3" s="1"/>
  <c r="C430" i="3"/>
  <c r="B431" i="3"/>
  <c r="G431" i="3" s="1"/>
  <c r="C431" i="3"/>
  <c r="B432" i="3"/>
  <c r="G432" i="3" s="1"/>
  <c r="C432" i="3"/>
  <c r="B433" i="3"/>
  <c r="G433" i="3" s="1"/>
  <c r="C433" i="3"/>
  <c r="B434" i="3"/>
  <c r="G434" i="3" s="1"/>
  <c r="C434" i="3"/>
  <c r="B435" i="3"/>
  <c r="C435" i="3"/>
  <c r="B436" i="3"/>
  <c r="C436" i="3"/>
  <c r="B437" i="3"/>
  <c r="C437" i="3"/>
  <c r="B438" i="3"/>
  <c r="C438" i="3"/>
  <c r="B439" i="3"/>
  <c r="G439" i="3" s="1"/>
  <c r="C439" i="3"/>
  <c r="B440" i="3"/>
  <c r="G440" i="3" s="1"/>
  <c r="C440" i="3"/>
  <c r="B441" i="3"/>
  <c r="G441" i="3" s="1"/>
  <c r="C441" i="3"/>
  <c r="B442" i="3"/>
  <c r="G442" i="3" s="1"/>
  <c r="C442" i="3"/>
  <c r="B443" i="3"/>
  <c r="C443" i="3"/>
  <c r="B444" i="3"/>
  <c r="G444" i="3" s="1"/>
  <c r="C444" i="3"/>
  <c r="B445" i="3"/>
  <c r="G445" i="3" s="1"/>
  <c r="C445" i="3"/>
  <c r="D445" i="3"/>
  <c r="B446" i="3"/>
  <c r="G446" i="3" s="1"/>
  <c r="C446" i="3"/>
  <c r="B447" i="3"/>
  <c r="G447" i="3" s="1"/>
  <c r="C447" i="3"/>
  <c r="B448" i="3"/>
  <c r="G448" i="3" s="1"/>
  <c r="C448" i="3"/>
  <c r="B449" i="3"/>
  <c r="G449" i="3" s="1"/>
  <c r="C449" i="3"/>
  <c r="D449" i="3"/>
  <c r="B450" i="3"/>
  <c r="G450" i="3" s="1"/>
  <c r="C450" i="3"/>
  <c r="B451" i="3"/>
  <c r="G451" i="3" s="1"/>
  <c r="C451" i="3"/>
  <c r="B452" i="3"/>
  <c r="G452" i="3" s="1"/>
  <c r="C452" i="3"/>
  <c r="B453" i="3"/>
  <c r="G453" i="3" s="1"/>
  <c r="C453" i="3"/>
  <c r="D453" i="3"/>
  <c r="B454" i="3"/>
  <c r="G454" i="3" s="1"/>
  <c r="C454" i="3"/>
  <c r="B455" i="3"/>
  <c r="G455" i="3" s="1"/>
  <c r="C455" i="3"/>
  <c r="B456" i="3"/>
  <c r="G456" i="3" s="1"/>
  <c r="C456" i="3"/>
  <c r="B457" i="3"/>
  <c r="G457" i="3" s="1"/>
  <c r="C457" i="3"/>
  <c r="B458" i="3"/>
  <c r="C458" i="3"/>
  <c r="B459" i="3"/>
  <c r="C459" i="3"/>
  <c r="B460" i="3"/>
  <c r="G460" i="3" s="1"/>
  <c r="C460" i="3"/>
  <c r="B461" i="3"/>
  <c r="G461" i="3" s="1"/>
  <c r="C461" i="3"/>
  <c r="B462" i="3"/>
  <c r="G462" i="3" s="1"/>
  <c r="C462" i="3"/>
  <c r="B463" i="3"/>
  <c r="G463" i="3" s="1"/>
  <c r="C463" i="3"/>
  <c r="B464" i="3"/>
  <c r="C464" i="3"/>
  <c r="B465" i="3"/>
  <c r="G465" i="3" s="1"/>
  <c r="C465" i="3"/>
  <c r="B466" i="3"/>
  <c r="C466" i="3"/>
  <c r="B467" i="3"/>
  <c r="G467" i="3" s="1"/>
  <c r="C467" i="3"/>
  <c r="B468" i="3"/>
  <c r="G468" i="3" s="1"/>
  <c r="C468" i="3"/>
  <c r="D468" i="3"/>
  <c r="B469" i="3"/>
  <c r="G469" i="3" s="1"/>
  <c r="C469" i="3"/>
  <c r="B470" i="3"/>
  <c r="G470" i="3" s="1"/>
  <c r="C470" i="3"/>
  <c r="B471" i="3"/>
  <c r="G471" i="3" s="1"/>
  <c r="C471" i="3"/>
  <c r="B472" i="3"/>
  <c r="G472" i="3" s="1"/>
  <c r="C472" i="3"/>
  <c r="D472" i="3"/>
  <c r="B473" i="3"/>
  <c r="G473" i="3" s="1"/>
  <c r="C473" i="3"/>
  <c r="B474" i="3"/>
  <c r="G474" i="3" s="1"/>
  <c r="C474" i="3"/>
  <c r="B475" i="3"/>
  <c r="G475" i="3" s="1"/>
  <c r="C475" i="3"/>
  <c r="B476" i="3"/>
  <c r="G476" i="3" s="1"/>
  <c r="C476" i="3"/>
  <c r="D476" i="3"/>
  <c r="B477" i="3"/>
  <c r="G477" i="3" s="1"/>
  <c r="C477" i="3"/>
  <c r="D477" i="3"/>
  <c r="B478" i="3"/>
  <c r="G478" i="3" s="1"/>
  <c r="C478" i="3"/>
  <c r="D478" i="3"/>
  <c r="B479" i="3"/>
  <c r="G479" i="3" s="1"/>
  <c r="C479" i="3"/>
  <c r="D479" i="3"/>
  <c r="B480" i="3"/>
  <c r="C480" i="3"/>
  <c r="D480" i="3"/>
  <c r="B481" i="3"/>
  <c r="C481" i="3"/>
  <c r="D481" i="3"/>
  <c r="B482" i="3"/>
  <c r="G482" i="3" s="1"/>
  <c r="C482" i="3"/>
  <c r="D482" i="3"/>
  <c r="B483" i="3"/>
  <c r="G483" i="3" s="1"/>
  <c r="C483" i="3"/>
  <c r="D483" i="3"/>
  <c r="B484" i="3"/>
  <c r="G484" i="3" s="1"/>
  <c r="C484" i="3"/>
  <c r="D484" i="3"/>
  <c r="B485" i="3"/>
  <c r="C485" i="3"/>
  <c r="D485" i="3"/>
  <c r="B486" i="3"/>
  <c r="C486" i="3"/>
  <c r="D486" i="3"/>
  <c r="B487" i="3"/>
  <c r="C487" i="3"/>
  <c r="D487" i="3"/>
  <c r="B488" i="3"/>
  <c r="C488" i="3"/>
  <c r="D488" i="3"/>
  <c r="B489" i="3"/>
  <c r="C489" i="3"/>
  <c r="D489" i="3"/>
  <c r="B490" i="3"/>
  <c r="C490" i="3"/>
  <c r="D490" i="3"/>
  <c r="B491" i="3"/>
  <c r="C491" i="3"/>
  <c r="D491" i="3"/>
  <c r="B492" i="3"/>
  <c r="C492" i="3"/>
  <c r="D492" i="3"/>
  <c r="B493" i="3"/>
  <c r="G493" i="3" s="1"/>
  <c r="C493" i="3"/>
  <c r="D493" i="3"/>
  <c r="B494" i="3"/>
  <c r="C494" i="3"/>
  <c r="D494" i="3"/>
  <c r="B495" i="3"/>
  <c r="G495" i="3" s="1"/>
  <c r="C495" i="3"/>
  <c r="D495" i="3"/>
  <c r="B496" i="3"/>
  <c r="G496" i="3" s="1"/>
  <c r="C496" i="3"/>
  <c r="D496" i="3"/>
  <c r="B497" i="3"/>
  <c r="G497" i="3" s="1"/>
  <c r="C497" i="3"/>
  <c r="D497" i="3"/>
  <c r="B498" i="3"/>
  <c r="G498" i="3" s="1"/>
  <c r="C498" i="3"/>
  <c r="D498" i="3"/>
  <c r="B499" i="3"/>
  <c r="G499" i="3" s="1"/>
  <c r="C499" i="3"/>
  <c r="D499" i="3"/>
  <c r="B500" i="3"/>
  <c r="G500" i="3" s="1"/>
  <c r="C500" i="3"/>
  <c r="D500" i="3"/>
  <c r="B501" i="3"/>
  <c r="G501" i="3" s="1"/>
  <c r="C501" i="3"/>
  <c r="D501" i="3"/>
  <c r="B502" i="3"/>
  <c r="G502" i="3" s="1"/>
  <c r="C502" i="3"/>
  <c r="D502" i="3"/>
  <c r="B503" i="3"/>
  <c r="G503" i="3" s="1"/>
  <c r="C503" i="3"/>
  <c r="D503" i="3"/>
  <c r="B504" i="3"/>
  <c r="G504" i="3" s="1"/>
  <c r="C504" i="3"/>
  <c r="D504" i="3"/>
  <c r="B505" i="3"/>
  <c r="G505" i="3" s="1"/>
  <c r="C505" i="3"/>
  <c r="D505" i="3"/>
  <c r="B506" i="3"/>
  <c r="G506" i="3" s="1"/>
  <c r="C506" i="3"/>
  <c r="D506" i="3"/>
  <c r="B507" i="3"/>
  <c r="G507" i="3" s="1"/>
  <c r="C507" i="3"/>
  <c r="D507" i="3"/>
  <c r="B508" i="3"/>
  <c r="G508" i="3" s="1"/>
  <c r="C508" i="3"/>
  <c r="D508" i="3"/>
  <c r="B509" i="3"/>
  <c r="G509" i="3" s="1"/>
  <c r="C509" i="3"/>
  <c r="D509" i="3"/>
  <c r="B510" i="3"/>
  <c r="G510" i="3" s="1"/>
  <c r="C510" i="3"/>
  <c r="D510" i="3"/>
  <c r="B511" i="3"/>
  <c r="G511" i="3" s="1"/>
  <c r="C511" i="3"/>
  <c r="D511" i="3"/>
  <c r="B512" i="3"/>
  <c r="G512" i="3" s="1"/>
  <c r="C512" i="3"/>
  <c r="D512" i="3"/>
  <c r="B513" i="3"/>
  <c r="G513" i="3" s="1"/>
  <c r="C513" i="3"/>
  <c r="D513" i="3"/>
  <c r="B514" i="3"/>
  <c r="G514" i="3" s="1"/>
  <c r="C514" i="3"/>
  <c r="D514" i="3"/>
  <c r="B515" i="3"/>
  <c r="G515" i="3" s="1"/>
  <c r="C515" i="3"/>
  <c r="D515" i="3"/>
  <c r="B516" i="3"/>
  <c r="G516" i="3" s="1"/>
  <c r="C516" i="3"/>
  <c r="D516" i="3"/>
  <c r="B517" i="3"/>
  <c r="G517" i="3" s="1"/>
  <c r="C517" i="3"/>
  <c r="D517" i="3"/>
  <c r="B518" i="3"/>
  <c r="G518" i="3" s="1"/>
  <c r="C518" i="3"/>
  <c r="D518" i="3"/>
  <c r="B519" i="3"/>
  <c r="G519" i="3" s="1"/>
  <c r="C519" i="3"/>
  <c r="D519" i="3"/>
  <c r="B520" i="3"/>
  <c r="G520" i="3" s="1"/>
  <c r="C520" i="3"/>
  <c r="D520" i="3"/>
  <c r="B521" i="3"/>
  <c r="G521" i="3" s="1"/>
  <c r="C521" i="3"/>
  <c r="D521" i="3"/>
  <c r="B522" i="3"/>
  <c r="G522" i="3" s="1"/>
  <c r="C522" i="3"/>
  <c r="D522" i="3"/>
  <c r="B523" i="3"/>
  <c r="G523" i="3" s="1"/>
  <c r="C523" i="3"/>
  <c r="D523" i="3"/>
  <c r="B524" i="3"/>
  <c r="G524" i="3" s="1"/>
  <c r="C524" i="3"/>
  <c r="D524" i="3"/>
  <c r="B525" i="3"/>
  <c r="G525" i="3" s="1"/>
  <c r="C525" i="3"/>
  <c r="D525" i="3"/>
  <c r="B526" i="3"/>
  <c r="G526" i="3" s="1"/>
  <c r="C526" i="3"/>
  <c r="D526" i="3"/>
  <c r="B527" i="3"/>
  <c r="G527" i="3" s="1"/>
  <c r="C527" i="3"/>
  <c r="D527" i="3"/>
  <c r="B528" i="3"/>
  <c r="C528" i="3"/>
  <c r="D528" i="3"/>
  <c r="B529" i="3"/>
  <c r="G529" i="3" s="1"/>
  <c r="C529" i="3"/>
  <c r="D529" i="3"/>
  <c r="B530" i="3"/>
  <c r="G530" i="3" s="1"/>
  <c r="C530" i="3"/>
  <c r="D530" i="3"/>
  <c r="B531" i="3"/>
  <c r="G531" i="3" s="1"/>
  <c r="C531" i="3"/>
  <c r="D531" i="3"/>
  <c r="B532" i="3"/>
  <c r="G532" i="3" s="1"/>
  <c r="C532" i="3"/>
  <c r="D532" i="3"/>
  <c r="B533" i="3"/>
  <c r="G533" i="3" s="1"/>
  <c r="C533" i="3"/>
  <c r="D533" i="3"/>
  <c r="B534" i="3"/>
  <c r="G534" i="3" s="1"/>
  <c r="C534" i="3"/>
  <c r="D534" i="3"/>
  <c r="B535" i="3"/>
  <c r="C535" i="3"/>
  <c r="D535" i="3"/>
  <c r="B536" i="3"/>
  <c r="G536" i="3" s="1"/>
  <c r="C536" i="3"/>
  <c r="D536" i="3"/>
  <c r="B537" i="3"/>
  <c r="C537" i="3"/>
  <c r="D537" i="3"/>
  <c r="B538" i="3"/>
  <c r="G538" i="3" s="1"/>
  <c r="C538" i="3"/>
  <c r="D538" i="3"/>
  <c r="B539" i="3"/>
  <c r="G539" i="3" s="1"/>
  <c r="C539" i="3"/>
  <c r="D539" i="3"/>
  <c r="B540" i="3"/>
  <c r="G540" i="3" s="1"/>
  <c r="C540" i="3"/>
  <c r="D540" i="3"/>
  <c r="B541" i="3"/>
  <c r="G541" i="3" s="1"/>
  <c r="C541" i="3"/>
  <c r="D541" i="3"/>
  <c r="B542" i="3"/>
  <c r="G542" i="3" s="1"/>
  <c r="C542" i="3"/>
  <c r="D542" i="3"/>
  <c r="B543" i="3"/>
  <c r="G543" i="3" s="1"/>
  <c r="C543" i="3"/>
  <c r="D543" i="3"/>
  <c r="B544" i="3"/>
  <c r="G544" i="3" s="1"/>
  <c r="C544" i="3"/>
  <c r="D544" i="3"/>
  <c r="B545" i="3"/>
  <c r="G545" i="3" s="1"/>
  <c r="C545" i="3"/>
  <c r="D545" i="3"/>
  <c r="B546" i="3"/>
  <c r="G546" i="3" s="1"/>
  <c r="C546" i="3"/>
  <c r="D546" i="3"/>
  <c r="B547" i="3"/>
  <c r="G547" i="3" s="1"/>
  <c r="C547" i="3"/>
  <c r="D547" i="3"/>
  <c r="B548" i="3"/>
  <c r="G548" i="3" s="1"/>
  <c r="C548" i="3"/>
  <c r="D548" i="3"/>
  <c r="B549" i="3"/>
  <c r="G549" i="3" s="1"/>
  <c r="C549" i="3"/>
  <c r="D549" i="3"/>
  <c r="B550" i="3"/>
  <c r="G550" i="3" s="1"/>
  <c r="C550" i="3"/>
  <c r="D550" i="3"/>
  <c r="B551" i="3"/>
  <c r="G551" i="3" s="1"/>
  <c r="C551" i="3"/>
  <c r="D551" i="3"/>
  <c r="B552" i="3"/>
  <c r="G552" i="3" s="1"/>
  <c r="C552" i="3"/>
  <c r="D552" i="3"/>
  <c r="C81" i="8" l="1"/>
  <c r="D82" i="8"/>
  <c r="E80" i="8"/>
  <c r="D79" i="8"/>
  <c r="C79" i="8"/>
  <c r="C78" i="8"/>
  <c r="D78" i="8"/>
  <c r="D81" i="8"/>
  <c r="D80" i="8"/>
  <c r="C82" i="8"/>
  <c r="C80" i="8"/>
  <c r="F419" i="3"/>
  <c r="E412" i="3"/>
  <c r="F404" i="3"/>
  <c r="E404" i="3"/>
  <c r="F412" i="3"/>
  <c r="G410" i="3"/>
  <c r="D84" i="8"/>
  <c r="G405" i="3"/>
  <c r="G413" i="3"/>
  <c r="E407" i="3"/>
  <c r="F405" i="3"/>
  <c r="D83" i="8"/>
  <c r="E415" i="3"/>
  <c r="F413" i="3"/>
  <c r="F427" i="3"/>
  <c r="E84" i="8"/>
  <c r="C84" i="8"/>
  <c r="G408" i="3"/>
  <c r="C83" i="8"/>
  <c r="G424" i="3"/>
  <c r="G420" i="3"/>
  <c r="F428" i="3"/>
  <c r="F424" i="3"/>
  <c r="F420" i="3"/>
  <c r="G414" i="3"/>
  <c r="E411" i="3"/>
  <c r="G409" i="3"/>
  <c r="E408" i="3"/>
  <c r="G406" i="3"/>
  <c r="E403" i="3"/>
  <c r="G428" i="3"/>
  <c r="F409" i="3"/>
  <c r="E427" i="3"/>
  <c r="E419" i="3"/>
  <c r="F421" i="3"/>
  <c r="F417" i="3"/>
  <c r="G417" i="3"/>
  <c r="G426" i="3"/>
  <c r="E425" i="3"/>
  <c r="E421" i="3"/>
  <c r="G418" i="3"/>
  <c r="F414" i="3"/>
  <c r="F410" i="3"/>
  <c r="F406" i="3"/>
  <c r="G425" i="3"/>
  <c r="F426" i="3"/>
  <c r="F418" i="3"/>
  <c r="G415" i="3"/>
  <c r="G411" i="3"/>
  <c r="G407" i="3"/>
  <c r="G403" i="3"/>
  <c r="F80" i="8" l="1"/>
  <c r="C75" i="8"/>
  <c r="F84" i="8"/>
  <c r="J219" i="4" l="1"/>
  <c r="H219" i="4" s="1"/>
  <c r="G416" i="3" s="1"/>
  <c r="E75" i="8" s="1"/>
  <c r="E230" i="4"/>
  <c r="E229" i="4"/>
  <c r="E228" i="4"/>
  <c r="E227" i="4"/>
  <c r="E226" i="4"/>
  <c r="E225" i="4"/>
  <c r="E212" i="4"/>
  <c r="E213" i="4"/>
  <c r="E214" i="4"/>
  <c r="E215" i="4"/>
  <c r="E216" i="4"/>
  <c r="E217" i="4"/>
  <c r="E218" i="4"/>
  <c r="E220" i="4"/>
  <c r="E221" i="4"/>
  <c r="E222" i="4"/>
  <c r="E223" i="4"/>
  <c r="E211" i="4"/>
  <c r="E210" i="4"/>
  <c r="E209" i="4"/>
  <c r="E208" i="4"/>
  <c r="E206" i="4"/>
  <c r="E205" i="4"/>
  <c r="E204" i="4"/>
  <c r="E196" i="4"/>
  <c r="E195" i="4"/>
  <c r="D25" i="2"/>
  <c r="D399" i="3" s="1"/>
  <c r="D24" i="2"/>
  <c r="D398" i="3" s="1"/>
  <c r="D23" i="2"/>
  <c r="D397" i="3" s="1"/>
  <c r="D22" i="2"/>
  <c r="D396" i="3" s="1"/>
  <c r="D21" i="2"/>
  <c r="D395" i="3" s="1"/>
  <c r="D20" i="2"/>
  <c r="D394" i="3" s="1"/>
  <c r="E219" i="4" l="1"/>
  <c r="F416" i="3"/>
  <c r="D75" i="8" s="1"/>
  <c r="F75" i="8" s="1"/>
  <c r="C759" i="7"/>
  <c r="C760" i="7"/>
  <c r="C763" i="7"/>
  <c r="C764" i="7"/>
  <c r="C765" i="7"/>
  <c r="C766" i="7"/>
  <c r="C767" i="7"/>
  <c r="C768" i="7"/>
  <c r="C758" i="7"/>
  <c r="C738" i="7"/>
  <c r="C739" i="7"/>
  <c r="C742" i="7"/>
  <c r="C743" i="7"/>
  <c r="C744" i="7"/>
  <c r="C745" i="7"/>
  <c r="C746" i="7"/>
  <c r="C747" i="7"/>
  <c r="C737" i="7"/>
  <c r="C717" i="7"/>
  <c r="C718" i="7"/>
  <c r="C721" i="7"/>
  <c r="C722" i="7"/>
  <c r="C723" i="7"/>
  <c r="C724" i="7"/>
  <c r="C725" i="7"/>
  <c r="C726" i="7"/>
  <c r="C716" i="7"/>
  <c r="C696" i="7"/>
  <c r="C697" i="7"/>
  <c r="C700" i="7"/>
  <c r="C701" i="7"/>
  <c r="C702" i="7"/>
  <c r="C703" i="7"/>
  <c r="C704" i="7"/>
  <c r="C705" i="7"/>
  <c r="C695" i="7"/>
  <c r="C372" i="3"/>
  <c r="C373" i="3"/>
  <c r="C376" i="3"/>
  <c r="C377" i="3"/>
  <c r="C378" i="3"/>
  <c r="C379" i="3"/>
  <c r="C380" i="3"/>
  <c r="C381" i="3"/>
  <c r="C371" i="3"/>
  <c r="M42" i="2" l="1"/>
  <c r="N42" i="2" s="1"/>
  <c r="C40" i="13"/>
  <c r="D40" i="13"/>
  <c r="E40" i="13"/>
  <c r="F40" i="13"/>
  <c r="G40" i="13"/>
  <c r="H40" i="13"/>
  <c r="I40" i="13"/>
  <c r="K31" i="13"/>
  <c r="M27" i="2"/>
  <c r="M28" i="2"/>
  <c r="M28" i="3" s="1"/>
  <c r="K39" i="13"/>
  <c r="K32" i="13"/>
  <c r="M24" i="2"/>
  <c r="N19" i="2" l="1"/>
  <c r="N18" i="2"/>
  <c r="N183" i="3" s="1"/>
  <c r="K16" i="13"/>
  <c r="K17" i="13"/>
  <c r="J16" i="13"/>
  <c r="J17" i="13"/>
  <c r="M21" i="2"/>
  <c r="J18" i="13"/>
  <c r="J19" i="13"/>
  <c r="J20" i="13"/>
  <c r="J21" i="13"/>
  <c r="J22" i="13"/>
  <c r="J23" i="13"/>
  <c r="M22" i="2"/>
  <c r="M39" i="2"/>
  <c r="M40" i="2"/>
  <c r="K19" i="13"/>
  <c r="L19" i="13"/>
  <c r="M19" i="13"/>
  <c r="N19" i="13"/>
  <c r="O19" i="13"/>
  <c r="P19" i="13"/>
  <c r="Q19" i="13"/>
  <c r="R19" i="13"/>
  <c r="S19" i="13"/>
  <c r="T19" i="13"/>
  <c r="U19" i="13"/>
  <c r="V19" i="13"/>
  <c r="K20" i="13"/>
  <c r="L20" i="13"/>
  <c r="M20" i="13"/>
  <c r="N20" i="13"/>
  <c r="O20" i="13"/>
  <c r="P20" i="13"/>
  <c r="Q20" i="13"/>
  <c r="R20" i="13"/>
  <c r="S20" i="13"/>
  <c r="T20" i="13"/>
  <c r="U20" i="13"/>
  <c r="V20" i="13"/>
  <c r="K21" i="13"/>
  <c r="L21" i="13"/>
  <c r="M21" i="13"/>
  <c r="N21" i="13"/>
  <c r="O21" i="13"/>
  <c r="P21" i="13"/>
  <c r="Q21" i="13"/>
  <c r="R21" i="13"/>
  <c r="S21" i="13"/>
  <c r="T21" i="13"/>
  <c r="U21" i="13"/>
  <c r="V21" i="13"/>
  <c r="K22" i="13"/>
  <c r="L22" i="13"/>
  <c r="M22" i="13"/>
  <c r="N22" i="13"/>
  <c r="O22" i="13"/>
  <c r="P22" i="13"/>
  <c r="Q22" i="13"/>
  <c r="R22" i="13"/>
  <c r="S22" i="13"/>
  <c r="T22" i="13"/>
  <c r="U22" i="13"/>
  <c r="V22" i="13"/>
  <c r="K23" i="13"/>
  <c r="L23" i="13"/>
  <c r="M23" i="13"/>
  <c r="N23" i="13"/>
  <c r="O23" i="13"/>
  <c r="P23" i="13"/>
  <c r="Q23" i="13"/>
  <c r="R23" i="13"/>
  <c r="S23" i="13"/>
  <c r="T23" i="13"/>
  <c r="U23" i="13"/>
  <c r="V23" i="13"/>
  <c r="J24" i="13"/>
  <c r="K24" i="13"/>
  <c r="L24" i="13"/>
  <c r="M24" i="13"/>
  <c r="N24" i="13"/>
  <c r="O24" i="13"/>
  <c r="P24" i="13"/>
  <c r="Q24" i="13"/>
  <c r="R24" i="13"/>
  <c r="S24" i="13"/>
  <c r="T24" i="13"/>
  <c r="U24" i="13"/>
  <c r="V24" i="13"/>
  <c r="J25" i="13"/>
  <c r="K25" i="13"/>
  <c r="L25" i="13"/>
  <c r="M25" i="13"/>
  <c r="N25" i="13"/>
  <c r="O25" i="13"/>
  <c r="P25" i="13"/>
  <c r="Q25" i="13"/>
  <c r="R25" i="13"/>
  <c r="S25" i="13"/>
  <c r="T25" i="13"/>
  <c r="U25" i="13"/>
  <c r="V25" i="13"/>
  <c r="J26" i="13"/>
  <c r="K26" i="13"/>
  <c r="L26" i="13"/>
  <c r="M26" i="13"/>
  <c r="N26" i="13"/>
  <c r="O26" i="13"/>
  <c r="P26" i="13"/>
  <c r="Q26" i="13"/>
  <c r="R26" i="13"/>
  <c r="S26" i="13"/>
  <c r="T26" i="13"/>
  <c r="U26" i="13"/>
  <c r="V26" i="13"/>
  <c r="J27" i="13"/>
  <c r="K27" i="13"/>
  <c r="L27" i="13"/>
  <c r="M27" i="13"/>
  <c r="N27" i="13"/>
  <c r="O27" i="13"/>
  <c r="P27" i="13"/>
  <c r="Q27" i="13"/>
  <c r="R27" i="13"/>
  <c r="S27" i="13"/>
  <c r="T27" i="13"/>
  <c r="U27" i="13"/>
  <c r="V27" i="13"/>
  <c r="J28" i="13"/>
  <c r="K28" i="13"/>
  <c r="L28" i="13"/>
  <c r="M28" i="13"/>
  <c r="N28" i="13"/>
  <c r="O28" i="13"/>
  <c r="P28" i="13"/>
  <c r="Q28" i="13"/>
  <c r="R28" i="13"/>
  <c r="S28" i="13"/>
  <c r="T28" i="13"/>
  <c r="U28" i="13"/>
  <c r="V28" i="13"/>
  <c r="J29" i="13"/>
  <c r="K29" i="13"/>
  <c r="L29" i="13"/>
  <c r="M29" i="13"/>
  <c r="N29" i="13"/>
  <c r="O29" i="13"/>
  <c r="P29" i="13"/>
  <c r="Q29" i="13"/>
  <c r="R29" i="13"/>
  <c r="S29" i="13"/>
  <c r="T29" i="13"/>
  <c r="U29" i="13"/>
  <c r="V29" i="13"/>
  <c r="J30" i="13"/>
  <c r="K30" i="13"/>
  <c r="L30" i="13"/>
  <c r="M30" i="13"/>
  <c r="N30" i="13"/>
  <c r="O30" i="13"/>
  <c r="P30" i="13"/>
  <c r="Q30" i="13"/>
  <c r="R30" i="13"/>
  <c r="S30" i="13"/>
  <c r="T30" i="13"/>
  <c r="U30" i="13"/>
  <c r="V30" i="13"/>
  <c r="J31" i="13"/>
  <c r="L31" i="13"/>
  <c r="M31" i="13"/>
  <c r="N31" i="13"/>
  <c r="O31" i="13"/>
  <c r="P31" i="13"/>
  <c r="Q31" i="13"/>
  <c r="R31" i="13"/>
  <c r="S31" i="13"/>
  <c r="T31" i="13"/>
  <c r="U31" i="13"/>
  <c r="V31" i="13"/>
  <c r="J32" i="13"/>
  <c r="L32" i="13"/>
  <c r="M32" i="13"/>
  <c r="N32" i="13"/>
  <c r="O32" i="13"/>
  <c r="P32" i="13"/>
  <c r="Q32" i="13"/>
  <c r="R32" i="13"/>
  <c r="S32" i="13"/>
  <c r="T32" i="13"/>
  <c r="U32" i="13"/>
  <c r="V32" i="13"/>
  <c r="J33" i="13"/>
  <c r="K33" i="13"/>
  <c r="L33" i="13"/>
  <c r="M33" i="13"/>
  <c r="N33" i="13"/>
  <c r="O33" i="13"/>
  <c r="P33" i="13"/>
  <c r="Q33" i="13"/>
  <c r="R33" i="13"/>
  <c r="S33" i="13"/>
  <c r="T33" i="13"/>
  <c r="U33" i="13"/>
  <c r="V33" i="13"/>
  <c r="J34" i="13"/>
  <c r="K34" i="13"/>
  <c r="L34" i="13"/>
  <c r="M34" i="13"/>
  <c r="N34" i="13"/>
  <c r="O34" i="13"/>
  <c r="P34" i="13"/>
  <c r="Q34" i="13"/>
  <c r="R34" i="13"/>
  <c r="S34" i="13"/>
  <c r="T34" i="13"/>
  <c r="U34" i="13"/>
  <c r="V34" i="13"/>
  <c r="J35" i="13"/>
  <c r="K35" i="13"/>
  <c r="L35" i="13"/>
  <c r="M35" i="13"/>
  <c r="N35" i="13"/>
  <c r="O35" i="13"/>
  <c r="P35" i="13"/>
  <c r="Q35" i="13"/>
  <c r="R35" i="13"/>
  <c r="S35" i="13"/>
  <c r="T35" i="13"/>
  <c r="U35" i="13"/>
  <c r="V35" i="13"/>
  <c r="J36" i="13"/>
  <c r="K36" i="13"/>
  <c r="L36" i="13"/>
  <c r="M36" i="13"/>
  <c r="N36" i="13"/>
  <c r="O36" i="13"/>
  <c r="P36" i="13"/>
  <c r="Q36" i="13"/>
  <c r="R36" i="13"/>
  <c r="S36" i="13"/>
  <c r="T36" i="13"/>
  <c r="U36" i="13"/>
  <c r="V36" i="13"/>
  <c r="J37" i="13"/>
  <c r="K37" i="13"/>
  <c r="L37" i="13"/>
  <c r="M37" i="13"/>
  <c r="N37" i="13"/>
  <c r="O37" i="13"/>
  <c r="P37" i="13"/>
  <c r="Q37" i="13"/>
  <c r="R37" i="13"/>
  <c r="S37" i="13"/>
  <c r="T37" i="13"/>
  <c r="U37" i="13"/>
  <c r="V37" i="13"/>
  <c r="J38" i="13"/>
  <c r="K38" i="13"/>
  <c r="L38" i="13"/>
  <c r="M38" i="13"/>
  <c r="N38" i="13"/>
  <c r="O38" i="13"/>
  <c r="P38" i="13"/>
  <c r="Q38" i="13"/>
  <c r="R38" i="13"/>
  <c r="S38" i="13"/>
  <c r="T38" i="13"/>
  <c r="U38" i="13"/>
  <c r="V38" i="13"/>
  <c r="J39" i="13"/>
  <c r="L39" i="13"/>
  <c r="M39" i="13"/>
  <c r="N39" i="13"/>
  <c r="O39" i="13"/>
  <c r="P39" i="13"/>
  <c r="Q39" i="13"/>
  <c r="R39" i="13"/>
  <c r="S39" i="13"/>
  <c r="T39" i="13"/>
  <c r="U39" i="13"/>
  <c r="V39" i="13"/>
  <c r="K18" i="13"/>
  <c r="L18" i="13"/>
  <c r="M18" i="13"/>
  <c r="N18" i="13"/>
  <c r="O18" i="13"/>
  <c r="P18" i="13"/>
  <c r="Q18" i="13"/>
  <c r="R18" i="13"/>
  <c r="S18" i="13"/>
  <c r="T18" i="13"/>
  <c r="U18" i="13"/>
  <c r="V18" i="13"/>
  <c r="M17" i="13"/>
  <c r="N17" i="13"/>
  <c r="O17" i="13"/>
  <c r="P17" i="13"/>
  <c r="Q17" i="13"/>
  <c r="R17" i="13"/>
  <c r="S17" i="13"/>
  <c r="T17" i="13"/>
  <c r="U17" i="13"/>
  <c r="V17" i="13"/>
  <c r="L17" i="13"/>
  <c r="L16" i="13"/>
  <c r="M16" i="13"/>
  <c r="N16" i="13"/>
  <c r="O16" i="13"/>
  <c r="P16" i="13"/>
  <c r="Q16" i="13"/>
  <c r="R16" i="13"/>
  <c r="S16" i="13"/>
  <c r="T16" i="13"/>
  <c r="U16" i="13"/>
  <c r="V16" i="13"/>
  <c r="N21" i="2" l="1"/>
  <c r="O19" i="2"/>
  <c r="J10" i="17"/>
  <c r="P19" i="2" l="1"/>
  <c r="D48" i="2"/>
  <c r="D422" i="3" s="1"/>
  <c r="D49" i="2"/>
  <c r="D423" i="3" s="1"/>
  <c r="D50" i="2"/>
  <c r="D424" i="3" s="1"/>
  <c r="D51" i="2"/>
  <c r="D425" i="3" s="1"/>
  <c r="D52" i="2"/>
  <c r="D426" i="3" s="1"/>
  <c r="D53" i="2"/>
  <c r="D427" i="3" s="1"/>
  <c r="D55" i="2"/>
  <c r="D429" i="3" s="1"/>
  <c r="D56" i="2"/>
  <c r="D430" i="3" s="1"/>
  <c r="D57" i="2"/>
  <c r="D431" i="3" s="1"/>
  <c r="D58" i="2"/>
  <c r="D432" i="3" s="1"/>
  <c r="D59" i="2"/>
  <c r="D433" i="3" s="1"/>
  <c r="D60" i="2"/>
  <c r="D434" i="3" s="1"/>
  <c r="D61" i="2"/>
  <c r="D435" i="3" s="1"/>
  <c r="D62" i="2"/>
  <c r="D436" i="3" s="1"/>
  <c r="D63" i="2"/>
  <c r="D437" i="3" s="1"/>
  <c r="D64" i="2"/>
  <c r="D438" i="3" s="1"/>
  <c r="D65" i="2"/>
  <c r="D439" i="3" s="1"/>
  <c r="D66" i="2"/>
  <c r="D440" i="3" s="1"/>
  <c r="D67" i="2"/>
  <c r="D441" i="3" s="1"/>
  <c r="D68" i="2"/>
  <c r="D442" i="3" s="1"/>
  <c r="D69" i="2"/>
  <c r="D443" i="3" s="1"/>
  <c r="D70" i="2"/>
  <c r="D444" i="3" s="1"/>
  <c r="D72" i="2"/>
  <c r="D446" i="3" s="1"/>
  <c r="D73" i="2"/>
  <c r="D447" i="3" s="1"/>
  <c r="D74" i="2"/>
  <c r="D448" i="3" s="1"/>
  <c r="D76" i="2"/>
  <c r="D450" i="3" s="1"/>
  <c r="D77" i="2"/>
  <c r="D451" i="3" s="1"/>
  <c r="D78" i="2"/>
  <c r="D452" i="3" s="1"/>
  <c r="D80" i="2"/>
  <c r="D454" i="3" s="1"/>
  <c r="D81" i="2"/>
  <c r="D455" i="3" s="1"/>
  <c r="D82" i="2"/>
  <c r="D456" i="3" s="1"/>
  <c r="D83" i="2"/>
  <c r="D457" i="3" s="1"/>
  <c r="D84" i="2"/>
  <c r="D458" i="3" s="1"/>
  <c r="D85" i="2"/>
  <c r="D459" i="3" s="1"/>
  <c r="D86" i="2"/>
  <c r="D460" i="3" s="1"/>
  <c r="D87" i="2"/>
  <c r="D461" i="3" s="1"/>
  <c r="D88" i="2"/>
  <c r="D462" i="3" s="1"/>
  <c r="D89" i="2"/>
  <c r="D463" i="3" s="1"/>
  <c r="D90" i="2"/>
  <c r="D464" i="3" s="1"/>
  <c r="D91" i="2"/>
  <c r="D465" i="3" s="1"/>
  <c r="D92" i="2"/>
  <c r="D466" i="3" s="1"/>
  <c r="D93" i="2"/>
  <c r="D467" i="3" s="1"/>
  <c r="D95" i="2"/>
  <c r="D469" i="3" s="1"/>
  <c r="D96" i="2"/>
  <c r="D470" i="3" s="1"/>
  <c r="D97" i="2"/>
  <c r="D471" i="3" s="1"/>
  <c r="D99" i="2"/>
  <c r="D473" i="3" s="1"/>
  <c r="D100" i="2"/>
  <c r="D474" i="3" s="1"/>
  <c r="D101" i="2"/>
  <c r="D475" i="3" s="1"/>
  <c r="Q19" i="2" l="1"/>
  <c r="X107" i="4"/>
  <c r="R19" i="2" l="1"/>
  <c r="M47" i="2"/>
  <c r="N47" i="2" s="1"/>
  <c r="O47" i="2" s="1"/>
  <c r="P47" i="2" s="1"/>
  <c r="Q47" i="2" s="1"/>
  <c r="R47" i="2" s="1"/>
  <c r="S47" i="2" s="1"/>
  <c r="T47" i="2" s="1"/>
  <c r="U47" i="2" s="1"/>
  <c r="V47" i="2" s="1"/>
  <c r="W47" i="2" s="1"/>
  <c r="X47" i="2" s="1"/>
  <c r="Y47" i="2" s="1"/>
  <c r="M50" i="2"/>
  <c r="N50" i="2" s="1"/>
  <c r="O50" i="2" s="1"/>
  <c r="P50" i="2" s="1"/>
  <c r="Q50" i="2" s="1"/>
  <c r="R50" i="2" s="1"/>
  <c r="S50" i="2" s="1"/>
  <c r="T50" i="2" s="1"/>
  <c r="U50" i="2" s="1"/>
  <c r="V50" i="2" s="1"/>
  <c r="W50" i="2" s="1"/>
  <c r="X50" i="2" s="1"/>
  <c r="Y50" i="2" s="1"/>
  <c r="M51" i="2"/>
  <c r="N51" i="2" s="1"/>
  <c r="O51" i="2" s="1"/>
  <c r="P51" i="2" s="1"/>
  <c r="Q51" i="2" s="1"/>
  <c r="R51" i="2" s="1"/>
  <c r="S51" i="2" s="1"/>
  <c r="T51" i="2" s="1"/>
  <c r="U51" i="2" s="1"/>
  <c r="V51" i="2" s="1"/>
  <c r="W51" i="2" s="1"/>
  <c r="X51" i="2" s="1"/>
  <c r="Y51" i="2" s="1"/>
  <c r="M52" i="2"/>
  <c r="N52" i="2" s="1"/>
  <c r="O52" i="2" s="1"/>
  <c r="P52" i="2" s="1"/>
  <c r="Q52" i="2" s="1"/>
  <c r="R52" i="2" s="1"/>
  <c r="S52" i="2" s="1"/>
  <c r="T52" i="2" s="1"/>
  <c r="U52" i="2" s="1"/>
  <c r="V52" i="2" s="1"/>
  <c r="W52" i="2" s="1"/>
  <c r="X52" i="2" s="1"/>
  <c r="Y52" i="2" s="1"/>
  <c r="M53" i="2"/>
  <c r="N53" i="2" s="1"/>
  <c r="O53" i="2" s="1"/>
  <c r="P53" i="2" s="1"/>
  <c r="Q53" i="2" s="1"/>
  <c r="R53" i="2" s="1"/>
  <c r="S53" i="2" s="1"/>
  <c r="T53" i="2" s="1"/>
  <c r="U53" i="2" s="1"/>
  <c r="V53" i="2" s="1"/>
  <c r="W53" i="2" s="1"/>
  <c r="X53" i="2" s="1"/>
  <c r="Y53" i="2" s="1"/>
  <c r="M54" i="2"/>
  <c r="N54" i="2" s="1"/>
  <c r="O54" i="2" s="1"/>
  <c r="P54" i="2" s="1"/>
  <c r="Q54" i="2" s="1"/>
  <c r="R54" i="2" s="1"/>
  <c r="S54" i="2" s="1"/>
  <c r="T54" i="2" s="1"/>
  <c r="U54" i="2" s="1"/>
  <c r="V54" i="2" s="1"/>
  <c r="W54" i="2" s="1"/>
  <c r="X54" i="2" s="1"/>
  <c r="Y54" i="2" s="1"/>
  <c r="M55" i="2"/>
  <c r="N55" i="2" s="1"/>
  <c r="O55" i="2" s="1"/>
  <c r="P55" i="2" s="1"/>
  <c r="Q55" i="2" s="1"/>
  <c r="R55" i="2" s="1"/>
  <c r="S55" i="2" s="1"/>
  <c r="T55" i="2" s="1"/>
  <c r="U55" i="2" s="1"/>
  <c r="V55" i="2" s="1"/>
  <c r="W55" i="2" s="1"/>
  <c r="X55" i="2" s="1"/>
  <c r="Y55" i="2" s="1"/>
  <c r="M56" i="2"/>
  <c r="N56" i="2" s="1"/>
  <c r="O56" i="2" s="1"/>
  <c r="P56" i="2" s="1"/>
  <c r="Q56" i="2" s="1"/>
  <c r="R56" i="2" s="1"/>
  <c r="S56" i="2" s="1"/>
  <c r="T56" i="2" s="1"/>
  <c r="U56" i="2" s="1"/>
  <c r="V56" i="2" s="1"/>
  <c r="W56" i="2" s="1"/>
  <c r="X56" i="2" s="1"/>
  <c r="Y56" i="2" s="1"/>
  <c r="M57" i="2"/>
  <c r="N57" i="2" s="1"/>
  <c r="O57" i="2" s="1"/>
  <c r="P57" i="2" s="1"/>
  <c r="Q57" i="2" s="1"/>
  <c r="R57" i="2" s="1"/>
  <c r="S57" i="2" s="1"/>
  <c r="T57" i="2" s="1"/>
  <c r="U57" i="2" s="1"/>
  <c r="V57" i="2" s="1"/>
  <c r="W57" i="2" s="1"/>
  <c r="X57" i="2" s="1"/>
  <c r="Y57" i="2" s="1"/>
  <c r="M58" i="2"/>
  <c r="N58" i="2" s="1"/>
  <c r="O58" i="2" s="1"/>
  <c r="P58" i="2" s="1"/>
  <c r="Q58" i="2" s="1"/>
  <c r="R58" i="2" s="1"/>
  <c r="S58" i="2" s="1"/>
  <c r="T58" i="2" s="1"/>
  <c r="U58" i="2" s="1"/>
  <c r="V58" i="2" s="1"/>
  <c r="W58" i="2" s="1"/>
  <c r="X58" i="2" s="1"/>
  <c r="Y58" i="2" s="1"/>
  <c r="M59" i="2"/>
  <c r="N59" i="2" s="1"/>
  <c r="O59" i="2" s="1"/>
  <c r="P59" i="2" s="1"/>
  <c r="Q59" i="2" s="1"/>
  <c r="R59" i="2" s="1"/>
  <c r="S59" i="2" s="1"/>
  <c r="T59" i="2" s="1"/>
  <c r="U59" i="2" s="1"/>
  <c r="V59" i="2" s="1"/>
  <c r="W59" i="2" s="1"/>
  <c r="X59" i="2" s="1"/>
  <c r="Y59" i="2" s="1"/>
  <c r="M60" i="2"/>
  <c r="N60" i="2" s="1"/>
  <c r="O60" i="2" s="1"/>
  <c r="P60" i="2" s="1"/>
  <c r="Q60" i="2" s="1"/>
  <c r="R60" i="2" s="1"/>
  <c r="S60" i="2" s="1"/>
  <c r="T60" i="2" s="1"/>
  <c r="U60" i="2" s="1"/>
  <c r="V60" i="2" s="1"/>
  <c r="W60" i="2" s="1"/>
  <c r="X60" i="2" s="1"/>
  <c r="Y60" i="2" s="1"/>
  <c r="M65" i="2"/>
  <c r="N65" i="2" s="1"/>
  <c r="O65" i="2" s="1"/>
  <c r="P65" i="2" s="1"/>
  <c r="Q65" i="2" s="1"/>
  <c r="R65" i="2" s="1"/>
  <c r="S65" i="2" s="1"/>
  <c r="T65" i="2" s="1"/>
  <c r="U65" i="2" s="1"/>
  <c r="V65" i="2" s="1"/>
  <c r="W65" i="2" s="1"/>
  <c r="X65" i="2" s="1"/>
  <c r="Y65" i="2" s="1"/>
  <c r="M66" i="2"/>
  <c r="N66" i="2" s="1"/>
  <c r="O66" i="2" s="1"/>
  <c r="P66" i="2" s="1"/>
  <c r="Q66" i="2" s="1"/>
  <c r="R66" i="2" s="1"/>
  <c r="S66" i="2" s="1"/>
  <c r="T66" i="2" s="1"/>
  <c r="U66" i="2" s="1"/>
  <c r="V66" i="2" s="1"/>
  <c r="W66" i="2" s="1"/>
  <c r="X66" i="2" s="1"/>
  <c r="Y66" i="2" s="1"/>
  <c r="M67" i="2"/>
  <c r="N67" i="2" s="1"/>
  <c r="O67" i="2" s="1"/>
  <c r="P67" i="2" s="1"/>
  <c r="Q67" i="2" s="1"/>
  <c r="R67" i="2" s="1"/>
  <c r="S67" i="2" s="1"/>
  <c r="T67" i="2" s="1"/>
  <c r="U67" i="2" s="1"/>
  <c r="V67" i="2" s="1"/>
  <c r="W67" i="2" s="1"/>
  <c r="X67" i="2" s="1"/>
  <c r="Y67" i="2" s="1"/>
  <c r="M68" i="2"/>
  <c r="N68" i="2" s="1"/>
  <c r="O68" i="2" s="1"/>
  <c r="P68" i="2" s="1"/>
  <c r="Q68" i="2" s="1"/>
  <c r="R68" i="2" s="1"/>
  <c r="S68" i="2" s="1"/>
  <c r="T68" i="2" s="1"/>
  <c r="U68" i="2" s="1"/>
  <c r="V68" i="2" s="1"/>
  <c r="W68" i="2" s="1"/>
  <c r="X68" i="2" s="1"/>
  <c r="Y68" i="2" s="1"/>
  <c r="M69" i="2"/>
  <c r="N69" i="2" s="1"/>
  <c r="O69" i="2" s="1"/>
  <c r="P69" i="2" s="1"/>
  <c r="Q69" i="2" s="1"/>
  <c r="R69" i="2" s="1"/>
  <c r="S69" i="2" s="1"/>
  <c r="T69" i="2" s="1"/>
  <c r="U69" i="2" s="1"/>
  <c r="V69" i="2" s="1"/>
  <c r="W69" i="2" s="1"/>
  <c r="X69" i="2" s="1"/>
  <c r="Y69" i="2" s="1"/>
  <c r="M70" i="2"/>
  <c r="N70" i="2" s="1"/>
  <c r="O70" i="2" s="1"/>
  <c r="P70" i="2" s="1"/>
  <c r="Q70" i="2" s="1"/>
  <c r="R70" i="2" s="1"/>
  <c r="S70" i="2" s="1"/>
  <c r="T70" i="2" s="1"/>
  <c r="U70" i="2" s="1"/>
  <c r="V70" i="2" s="1"/>
  <c r="W70" i="2" s="1"/>
  <c r="X70" i="2" s="1"/>
  <c r="Y70" i="2" s="1"/>
  <c r="M71" i="2"/>
  <c r="N71" i="2" s="1"/>
  <c r="O71" i="2" s="1"/>
  <c r="P71" i="2" s="1"/>
  <c r="Q71" i="2" s="1"/>
  <c r="R71" i="2" s="1"/>
  <c r="S71" i="2" s="1"/>
  <c r="T71" i="2" s="1"/>
  <c r="U71" i="2" s="1"/>
  <c r="V71" i="2" s="1"/>
  <c r="W71" i="2" s="1"/>
  <c r="X71" i="2" s="1"/>
  <c r="Y71" i="2" s="1"/>
  <c r="M72" i="2"/>
  <c r="N72" i="2" s="1"/>
  <c r="O72" i="2" s="1"/>
  <c r="P72" i="2" s="1"/>
  <c r="Q72" i="2" s="1"/>
  <c r="R72" i="2" s="1"/>
  <c r="S72" i="2" s="1"/>
  <c r="T72" i="2" s="1"/>
  <c r="U72" i="2" s="1"/>
  <c r="V72" i="2" s="1"/>
  <c r="W72" i="2" s="1"/>
  <c r="X72" i="2" s="1"/>
  <c r="Y72" i="2" s="1"/>
  <c r="M73" i="2"/>
  <c r="N73" i="2" s="1"/>
  <c r="O73" i="2" s="1"/>
  <c r="P73" i="2" s="1"/>
  <c r="Q73" i="2" s="1"/>
  <c r="R73" i="2" s="1"/>
  <c r="S73" i="2" s="1"/>
  <c r="T73" i="2" s="1"/>
  <c r="U73" i="2" s="1"/>
  <c r="V73" i="2" s="1"/>
  <c r="W73" i="2" s="1"/>
  <c r="X73" i="2" s="1"/>
  <c r="Y73" i="2" s="1"/>
  <c r="M74" i="2"/>
  <c r="N74" i="2" s="1"/>
  <c r="O74" i="2" s="1"/>
  <c r="P74" i="2" s="1"/>
  <c r="Q74" i="2" s="1"/>
  <c r="R74" i="2" s="1"/>
  <c r="S74" i="2" s="1"/>
  <c r="T74" i="2" s="1"/>
  <c r="U74" i="2" s="1"/>
  <c r="V74" i="2" s="1"/>
  <c r="W74" i="2" s="1"/>
  <c r="X74" i="2" s="1"/>
  <c r="Y74" i="2" s="1"/>
  <c r="M75" i="2"/>
  <c r="N75" i="2" s="1"/>
  <c r="O75" i="2" s="1"/>
  <c r="P75" i="2" s="1"/>
  <c r="Q75" i="2" s="1"/>
  <c r="R75" i="2" s="1"/>
  <c r="S75" i="2" s="1"/>
  <c r="T75" i="2" s="1"/>
  <c r="U75" i="2" s="1"/>
  <c r="V75" i="2" s="1"/>
  <c r="W75" i="2" s="1"/>
  <c r="X75" i="2" s="1"/>
  <c r="Y75" i="2" s="1"/>
  <c r="M76" i="2"/>
  <c r="N76" i="2" s="1"/>
  <c r="O76" i="2" s="1"/>
  <c r="P76" i="2" s="1"/>
  <c r="Q76" i="2" s="1"/>
  <c r="R76" i="2" s="1"/>
  <c r="S76" i="2" s="1"/>
  <c r="T76" i="2" s="1"/>
  <c r="U76" i="2" s="1"/>
  <c r="V76" i="2" s="1"/>
  <c r="W76" i="2" s="1"/>
  <c r="X76" i="2" s="1"/>
  <c r="Y76" i="2" s="1"/>
  <c r="M77" i="2"/>
  <c r="N77" i="2" s="1"/>
  <c r="O77" i="2" s="1"/>
  <c r="P77" i="2" s="1"/>
  <c r="Q77" i="2" s="1"/>
  <c r="R77" i="2" s="1"/>
  <c r="S77" i="2" s="1"/>
  <c r="T77" i="2" s="1"/>
  <c r="U77" i="2" s="1"/>
  <c r="V77" i="2" s="1"/>
  <c r="W77" i="2" s="1"/>
  <c r="X77" i="2" s="1"/>
  <c r="Y77" i="2" s="1"/>
  <c r="M78" i="2"/>
  <c r="N78" i="2" s="1"/>
  <c r="O78" i="2" s="1"/>
  <c r="P78" i="2" s="1"/>
  <c r="Q78" i="2" s="1"/>
  <c r="R78" i="2" s="1"/>
  <c r="S78" i="2" s="1"/>
  <c r="T78" i="2" s="1"/>
  <c r="U78" i="2" s="1"/>
  <c r="V78" i="2" s="1"/>
  <c r="W78" i="2" s="1"/>
  <c r="X78" i="2" s="1"/>
  <c r="Y78" i="2" s="1"/>
  <c r="M79" i="2"/>
  <c r="N79" i="2" s="1"/>
  <c r="O79" i="2" s="1"/>
  <c r="P79" i="2" s="1"/>
  <c r="Q79" i="2" s="1"/>
  <c r="R79" i="2" s="1"/>
  <c r="S79" i="2" s="1"/>
  <c r="T79" i="2" s="1"/>
  <c r="U79" i="2" s="1"/>
  <c r="V79" i="2" s="1"/>
  <c r="W79" i="2" s="1"/>
  <c r="X79" i="2" s="1"/>
  <c r="Y79" i="2" s="1"/>
  <c r="M80" i="2"/>
  <c r="N80" i="2" s="1"/>
  <c r="O80" i="2" s="1"/>
  <c r="P80" i="2" s="1"/>
  <c r="Q80" i="2" s="1"/>
  <c r="R80" i="2" s="1"/>
  <c r="S80" i="2" s="1"/>
  <c r="T80" i="2" s="1"/>
  <c r="U80" i="2" s="1"/>
  <c r="V80" i="2" s="1"/>
  <c r="W80" i="2" s="1"/>
  <c r="X80" i="2" s="1"/>
  <c r="Y80" i="2" s="1"/>
  <c r="M81" i="2"/>
  <c r="N81" i="2" s="1"/>
  <c r="O81" i="2" s="1"/>
  <c r="P81" i="2" s="1"/>
  <c r="Q81" i="2" s="1"/>
  <c r="R81" i="2" s="1"/>
  <c r="S81" i="2" s="1"/>
  <c r="T81" i="2" s="1"/>
  <c r="U81" i="2" s="1"/>
  <c r="V81" i="2" s="1"/>
  <c r="W81" i="2" s="1"/>
  <c r="X81" i="2" s="1"/>
  <c r="Y81" i="2" s="1"/>
  <c r="M82" i="2"/>
  <c r="N82" i="2" s="1"/>
  <c r="O82" i="2" s="1"/>
  <c r="P82" i="2" s="1"/>
  <c r="Q82" i="2" s="1"/>
  <c r="R82" i="2" s="1"/>
  <c r="S82" i="2" s="1"/>
  <c r="T82" i="2" s="1"/>
  <c r="U82" i="2" s="1"/>
  <c r="V82" i="2" s="1"/>
  <c r="W82" i="2" s="1"/>
  <c r="X82" i="2" s="1"/>
  <c r="Y82" i="2" s="1"/>
  <c r="M83" i="2"/>
  <c r="N83" i="2" s="1"/>
  <c r="O83" i="2" s="1"/>
  <c r="P83" i="2" s="1"/>
  <c r="Q83" i="2" s="1"/>
  <c r="R83" i="2" s="1"/>
  <c r="S83" i="2" s="1"/>
  <c r="T83" i="2" s="1"/>
  <c r="U83" i="2" s="1"/>
  <c r="V83" i="2" s="1"/>
  <c r="W83" i="2" s="1"/>
  <c r="X83" i="2" s="1"/>
  <c r="Y83" i="2" s="1"/>
  <c r="M86" i="2"/>
  <c r="N86" i="2" s="1"/>
  <c r="O86" i="2" s="1"/>
  <c r="P86" i="2" s="1"/>
  <c r="Q86" i="2" s="1"/>
  <c r="R86" i="2" s="1"/>
  <c r="S86" i="2" s="1"/>
  <c r="T86" i="2" s="1"/>
  <c r="U86" i="2" s="1"/>
  <c r="V86" i="2" s="1"/>
  <c r="W86" i="2" s="1"/>
  <c r="X86" i="2" s="1"/>
  <c r="Y86" i="2" s="1"/>
  <c r="M87" i="2"/>
  <c r="N87" i="2" s="1"/>
  <c r="O87" i="2" s="1"/>
  <c r="P87" i="2" s="1"/>
  <c r="Q87" i="2" s="1"/>
  <c r="R87" i="2" s="1"/>
  <c r="S87" i="2" s="1"/>
  <c r="T87" i="2" s="1"/>
  <c r="U87" i="2" s="1"/>
  <c r="V87" i="2" s="1"/>
  <c r="W87" i="2" s="1"/>
  <c r="X87" i="2" s="1"/>
  <c r="Y87" i="2" s="1"/>
  <c r="M88" i="2"/>
  <c r="N88" i="2" s="1"/>
  <c r="O88" i="2" s="1"/>
  <c r="P88" i="2" s="1"/>
  <c r="Q88" i="2" s="1"/>
  <c r="R88" i="2" s="1"/>
  <c r="S88" i="2" s="1"/>
  <c r="T88" i="2" s="1"/>
  <c r="U88" i="2" s="1"/>
  <c r="V88" i="2" s="1"/>
  <c r="W88" i="2" s="1"/>
  <c r="X88" i="2" s="1"/>
  <c r="Y88" i="2" s="1"/>
  <c r="M89" i="2"/>
  <c r="N89" i="2" s="1"/>
  <c r="O89" i="2" s="1"/>
  <c r="P89" i="2" s="1"/>
  <c r="Q89" i="2" s="1"/>
  <c r="R89" i="2" s="1"/>
  <c r="S89" i="2" s="1"/>
  <c r="T89" i="2" s="1"/>
  <c r="U89" i="2" s="1"/>
  <c r="V89" i="2" s="1"/>
  <c r="W89" i="2" s="1"/>
  <c r="X89" i="2" s="1"/>
  <c r="Y89" i="2" s="1"/>
  <c r="M90" i="2"/>
  <c r="N90" i="2" s="1"/>
  <c r="O90" i="2" s="1"/>
  <c r="P90" i="2" s="1"/>
  <c r="Q90" i="2" s="1"/>
  <c r="R90" i="2" s="1"/>
  <c r="S90" i="2" s="1"/>
  <c r="T90" i="2" s="1"/>
  <c r="U90" i="2" s="1"/>
  <c r="V90" i="2" s="1"/>
  <c r="W90" i="2" s="1"/>
  <c r="X90" i="2" s="1"/>
  <c r="Y90" i="2" s="1"/>
  <c r="M91" i="2"/>
  <c r="N91" i="2" s="1"/>
  <c r="O91" i="2" s="1"/>
  <c r="P91" i="2" s="1"/>
  <c r="Q91" i="2" s="1"/>
  <c r="R91" i="2" s="1"/>
  <c r="S91" i="2" s="1"/>
  <c r="T91" i="2" s="1"/>
  <c r="U91" i="2" s="1"/>
  <c r="V91" i="2" s="1"/>
  <c r="W91" i="2" s="1"/>
  <c r="X91" i="2" s="1"/>
  <c r="Y91" i="2" s="1"/>
  <c r="M92" i="2"/>
  <c r="N92" i="2" s="1"/>
  <c r="O92" i="2" s="1"/>
  <c r="P92" i="2" s="1"/>
  <c r="Q92" i="2" s="1"/>
  <c r="R92" i="2" s="1"/>
  <c r="S92" i="2" s="1"/>
  <c r="T92" i="2" s="1"/>
  <c r="U92" i="2" s="1"/>
  <c r="V92" i="2" s="1"/>
  <c r="W92" i="2" s="1"/>
  <c r="X92" i="2" s="1"/>
  <c r="Y92" i="2" s="1"/>
  <c r="M93" i="2"/>
  <c r="N93" i="2" s="1"/>
  <c r="O93" i="2" s="1"/>
  <c r="P93" i="2" s="1"/>
  <c r="Q93" i="2" s="1"/>
  <c r="R93" i="2" s="1"/>
  <c r="S93" i="2" s="1"/>
  <c r="T93" i="2" s="1"/>
  <c r="U93" i="2" s="1"/>
  <c r="V93" i="2" s="1"/>
  <c r="W93" i="2" s="1"/>
  <c r="X93" i="2" s="1"/>
  <c r="Y93" i="2" s="1"/>
  <c r="M94" i="2"/>
  <c r="N94" i="2" s="1"/>
  <c r="O94" i="2" s="1"/>
  <c r="P94" i="2" s="1"/>
  <c r="Q94" i="2" s="1"/>
  <c r="R94" i="2" s="1"/>
  <c r="S94" i="2" s="1"/>
  <c r="T94" i="2" s="1"/>
  <c r="U94" i="2" s="1"/>
  <c r="V94" i="2" s="1"/>
  <c r="W94" i="2" s="1"/>
  <c r="X94" i="2" s="1"/>
  <c r="Y94" i="2" s="1"/>
  <c r="M95" i="2"/>
  <c r="N95" i="2" s="1"/>
  <c r="O95" i="2" s="1"/>
  <c r="P95" i="2" s="1"/>
  <c r="Q95" i="2" s="1"/>
  <c r="R95" i="2" s="1"/>
  <c r="S95" i="2" s="1"/>
  <c r="T95" i="2" s="1"/>
  <c r="U95" i="2" s="1"/>
  <c r="V95" i="2" s="1"/>
  <c r="W95" i="2" s="1"/>
  <c r="X95" i="2" s="1"/>
  <c r="Y95" i="2" s="1"/>
  <c r="M96" i="2"/>
  <c r="N96" i="2" s="1"/>
  <c r="O96" i="2" s="1"/>
  <c r="P96" i="2" s="1"/>
  <c r="Q96" i="2" s="1"/>
  <c r="R96" i="2" s="1"/>
  <c r="S96" i="2" s="1"/>
  <c r="T96" i="2" s="1"/>
  <c r="U96" i="2" s="1"/>
  <c r="V96" i="2" s="1"/>
  <c r="W96" i="2" s="1"/>
  <c r="X96" i="2" s="1"/>
  <c r="Y96" i="2" s="1"/>
  <c r="M97" i="2"/>
  <c r="N97" i="2" s="1"/>
  <c r="O97" i="2" s="1"/>
  <c r="P97" i="2" s="1"/>
  <c r="Q97" i="2" s="1"/>
  <c r="R97" i="2" s="1"/>
  <c r="S97" i="2" s="1"/>
  <c r="T97" i="2" s="1"/>
  <c r="U97" i="2" s="1"/>
  <c r="V97" i="2" s="1"/>
  <c r="W97" i="2" s="1"/>
  <c r="X97" i="2" s="1"/>
  <c r="Y97" i="2" s="1"/>
  <c r="M98" i="2"/>
  <c r="N98" i="2" s="1"/>
  <c r="O98" i="2" s="1"/>
  <c r="P98" i="2" s="1"/>
  <c r="Q98" i="2" s="1"/>
  <c r="R98" i="2" s="1"/>
  <c r="S98" i="2" s="1"/>
  <c r="T98" i="2" s="1"/>
  <c r="U98" i="2" s="1"/>
  <c r="V98" i="2" s="1"/>
  <c r="W98" i="2" s="1"/>
  <c r="X98" i="2" s="1"/>
  <c r="Y98" i="2" s="1"/>
  <c r="M99" i="2"/>
  <c r="N99" i="2" s="1"/>
  <c r="O99" i="2" s="1"/>
  <c r="P99" i="2" s="1"/>
  <c r="Q99" i="2" s="1"/>
  <c r="R99" i="2" s="1"/>
  <c r="S99" i="2" s="1"/>
  <c r="T99" i="2" s="1"/>
  <c r="U99" i="2" s="1"/>
  <c r="V99" i="2" s="1"/>
  <c r="W99" i="2" s="1"/>
  <c r="X99" i="2" s="1"/>
  <c r="Y99" i="2" s="1"/>
  <c r="M100" i="2"/>
  <c r="N100" i="2" s="1"/>
  <c r="O100" i="2" s="1"/>
  <c r="P100" i="2" s="1"/>
  <c r="Q100" i="2" s="1"/>
  <c r="R100" i="2" s="1"/>
  <c r="S100" i="2" s="1"/>
  <c r="T100" i="2" s="1"/>
  <c r="U100" i="2" s="1"/>
  <c r="V100" i="2" s="1"/>
  <c r="W100" i="2" s="1"/>
  <c r="X100" i="2" s="1"/>
  <c r="Y100" i="2" s="1"/>
  <c r="M101" i="2"/>
  <c r="N101" i="2" s="1"/>
  <c r="O101" i="2" s="1"/>
  <c r="P101" i="2" s="1"/>
  <c r="Q101" i="2" s="1"/>
  <c r="R101" i="2" s="1"/>
  <c r="S101" i="2" s="1"/>
  <c r="T101" i="2" s="1"/>
  <c r="U101" i="2" s="1"/>
  <c r="V101" i="2" s="1"/>
  <c r="W101" i="2" s="1"/>
  <c r="X101" i="2" s="1"/>
  <c r="Y101" i="2" s="1"/>
  <c r="M102" i="2"/>
  <c r="N102" i="2" s="1"/>
  <c r="O102" i="2" s="1"/>
  <c r="P102" i="2" s="1"/>
  <c r="Q102" i="2" s="1"/>
  <c r="R102" i="2" s="1"/>
  <c r="S102" i="2" s="1"/>
  <c r="T102" i="2" s="1"/>
  <c r="U102" i="2" s="1"/>
  <c r="V102" i="2" s="1"/>
  <c r="W102" i="2" s="1"/>
  <c r="X102" i="2" s="1"/>
  <c r="Y102" i="2" s="1"/>
  <c r="M103" i="2"/>
  <c r="N103" i="2" s="1"/>
  <c r="O103" i="2" s="1"/>
  <c r="P103" i="2" s="1"/>
  <c r="Q103" i="2" s="1"/>
  <c r="R103" i="2" s="1"/>
  <c r="S103" i="2" s="1"/>
  <c r="T103" i="2" s="1"/>
  <c r="U103" i="2" s="1"/>
  <c r="V103" i="2" s="1"/>
  <c r="W103" i="2" s="1"/>
  <c r="X103" i="2" s="1"/>
  <c r="Y103" i="2" s="1"/>
  <c r="M104" i="2"/>
  <c r="N104" i="2" s="1"/>
  <c r="O104" i="2" s="1"/>
  <c r="P104" i="2" s="1"/>
  <c r="Q104" i="2" s="1"/>
  <c r="R104" i="2" s="1"/>
  <c r="S104" i="2" s="1"/>
  <c r="T104" i="2" s="1"/>
  <c r="U104" i="2" s="1"/>
  <c r="V104" i="2" s="1"/>
  <c r="W104" i="2" s="1"/>
  <c r="X104" i="2" s="1"/>
  <c r="Y104" i="2" s="1"/>
  <c r="M105" i="2"/>
  <c r="N105" i="2" s="1"/>
  <c r="O105" i="2" s="1"/>
  <c r="P105" i="2" s="1"/>
  <c r="Q105" i="2" s="1"/>
  <c r="R105" i="2" s="1"/>
  <c r="S105" i="2" s="1"/>
  <c r="T105" i="2" s="1"/>
  <c r="U105" i="2" s="1"/>
  <c r="V105" i="2" s="1"/>
  <c r="W105" i="2" s="1"/>
  <c r="X105" i="2" s="1"/>
  <c r="Y105" i="2" s="1"/>
  <c r="M108" i="2"/>
  <c r="N108" i="2" s="1"/>
  <c r="O108" i="2" s="1"/>
  <c r="P108" i="2" s="1"/>
  <c r="Q108" i="2" s="1"/>
  <c r="R108" i="2" s="1"/>
  <c r="S108" i="2" s="1"/>
  <c r="T108" i="2" s="1"/>
  <c r="U108" i="2" s="1"/>
  <c r="V108" i="2" s="1"/>
  <c r="W108" i="2" s="1"/>
  <c r="X108" i="2" s="1"/>
  <c r="Y108" i="2" s="1"/>
  <c r="M109" i="2"/>
  <c r="N109" i="2" s="1"/>
  <c r="O109" i="2" s="1"/>
  <c r="P109" i="2" s="1"/>
  <c r="Q109" i="2" s="1"/>
  <c r="R109" i="2" s="1"/>
  <c r="S109" i="2" s="1"/>
  <c r="T109" i="2" s="1"/>
  <c r="U109" i="2" s="1"/>
  <c r="V109" i="2" s="1"/>
  <c r="W109" i="2" s="1"/>
  <c r="X109" i="2" s="1"/>
  <c r="Y109" i="2" s="1"/>
  <c r="M110" i="2"/>
  <c r="N110" i="2" s="1"/>
  <c r="O110" i="2" s="1"/>
  <c r="P110" i="2" s="1"/>
  <c r="Q110" i="2" s="1"/>
  <c r="R110" i="2" s="1"/>
  <c r="S110" i="2" s="1"/>
  <c r="T110" i="2" s="1"/>
  <c r="U110" i="2" s="1"/>
  <c r="V110" i="2" s="1"/>
  <c r="W110" i="2" s="1"/>
  <c r="X110" i="2" s="1"/>
  <c r="Y110" i="2" s="1"/>
  <c r="M111" i="2"/>
  <c r="N111" i="2" s="1"/>
  <c r="O111" i="2" s="1"/>
  <c r="P111" i="2" s="1"/>
  <c r="Q111" i="2" s="1"/>
  <c r="R111" i="2" s="1"/>
  <c r="S111" i="2" s="1"/>
  <c r="T111" i="2" s="1"/>
  <c r="U111" i="2" s="1"/>
  <c r="V111" i="2" s="1"/>
  <c r="W111" i="2" s="1"/>
  <c r="X111" i="2" s="1"/>
  <c r="Y111" i="2" s="1"/>
  <c r="M112" i="2"/>
  <c r="N112" i="2" s="1"/>
  <c r="O112" i="2" s="1"/>
  <c r="P112" i="2" s="1"/>
  <c r="Q112" i="2" s="1"/>
  <c r="R112" i="2" s="1"/>
  <c r="S112" i="2" s="1"/>
  <c r="T112" i="2" s="1"/>
  <c r="U112" i="2" s="1"/>
  <c r="V112" i="2" s="1"/>
  <c r="W112" i="2" s="1"/>
  <c r="X112" i="2" s="1"/>
  <c r="Y112" i="2" s="1"/>
  <c r="M113" i="2"/>
  <c r="N113" i="2" s="1"/>
  <c r="O113" i="2" s="1"/>
  <c r="P113" i="2" s="1"/>
  <c r="Q113" i="2" s="1"/>
  <c r="R113" i="2" s="1"/>
  <c r="S113" i="2" s="1"/>
  <c r="T113" i="2" s="1"/>
  <c r="U113" i="2" s="1"/>
  <c r="V113" i="2" s="1"/>
  <c r="W113" i="2" s="1"/>
  <c r="X113" i="2" s="1"/>
  <c r="Y113" i="2" s="1"/>
  <c r="M114" i="2"/>
  <c r="N114" i="2" s="1"/>
  <c r="O114" i="2" s="1"/>
  <c r="P114" i="2" s="1"/>
  <c r="Q114" i="2" s="1"/>
  <c r="R114" i="2" s="1"/>
  <c r="S114" i="2" s="1"/>
  <c r="T114" i="2" s="1"/>
  <c r="U114" i="2" s="1"/>
  <c r="V114" i="2" s="1"/>
  <c r="W114" i="2" s="1"/>
  <c r="X114" i="2" s="1"/>
  <c r="Y114" i="2" s="1"/>
  <c r="M115" i="2"/>
  <c r="N115" i="2" s="1"/>
  <c r="O115" i="2" s="1"/>
  <c r="P115" i="2" s="1"/>
  <c r="Q115" i="2" s="1"/>
  <c r="R115" i="2" s="1"/>
  <c r="S115" i="2" s="1"/>
  <c r="T115" i="2" s="1"/>
  <c r="U115" i="2" s="1"/>
  <c r="V115" i="2" s="1"/>
  <c r="W115" i="2" s="1"/>
  <c r="X115" i="2" s="1"/>
  <c r="Y115" i="2" s="1"/>
  <c r="M116" i="2"/>
  <c r="N116" i="2" s="1"/>
  <c r="O116" i="2" s="1"/>
  <c r="P116" i="2" s="1"/>
  <c r="Q116" i="2" s="1"/>
  <c r="R116" i="2" s="1"/>
  <c r="S116" i="2" s="1"/>
  <c r="T116" i="2" s="1"/>
  <c r="U116" i="2" s="1"/>
  <c r="V116" i="2" s="1"/>
  <c r="W116" i="2" s="1"/>
  <c r="X116" i="2" s="1"/>
  <c r="Y116" i="2" s="1"/>
  <c r="M117" i="2"/>
  <c r="N117" i="2" s="1"/>
  <c r="O117" i="2" s="1"/>
  <c r="P117" i="2" s="1"/>
  <c r="Q117" i="2" s="1"/>
  <c r="R117" i="2" s="1"/>
  <c r="S117" i="2" s="1"/>
  <c r="T117" i="2" s="1"/>
  <c r="U117" i="2" s="1"/>
  <c r="V117" i="2" s="1"/>
  <c r="W117" i="2" s="1"/>
  <c r="X117" i="2" s="1"/>
  <c r="Y117" i="2" s="1"/>
  <c r="M118" i="2"/>
  <c r="N118" i="2" s="1"/>
  <c r="O118" i="2" s="1"/>
  <c r="P118" i="2" s="1"/>
  <c r="Q118" i="2" s="1"/>
  <c r="R118" i="2" s="1"/>
  <c r="S118" i="2" s="1"/>
  <c r="T118" i="2" s="1"/>
  <c r="U118" i="2" s="1"/>
  <c r="V118" i="2" s="1"/>
  <c r="W118" i="2" s="1"/>
  <c r="X118" i="2" s="1"/>
  <c r="Y118" i="2" s="1"/>
  <c r="M119" i="2"/>
  <c r="N119" i="2" s="1"/>
  <c r="O119" i="2" s="1"/>
  <c r="P119" i="2" s="1"/>
  <c r="Q119" i="2" s="1"/>
  <c r="R119" i="2" s="1"/>
  <c r="S119" i="2" s="1"/>
  <c r="T119" i="2" s="1"/>
  <c r="U119" i="2" s="1"/>
  <c r="V119" i="2" s="1"/>
  <c r="W119" i="2" s="1"/>
  <c r="X119" i="2" s="1"/>
  <c r="Y119" i="2" s="1"/>
  <c r="M120" i="2"/>
  <c r="N120" i="2" s="1"/>
  <c r="O120" i="2" s="1"/>
  <c r="P120" i="2" s="1"/>
  <c r="Q120" i="2" s="1"/>
  <c r="R120" i="2" s="1"/>
  <c r="S120" i="2" s="1"/>
  <c r="T120" i="2" s="1"/>
  <c r="U120" i="2" s="1"/>
  <c r="V120" i="2" s="1"/>
  <c r="W120" i="2" s="1"/>
  <c r="X120" i="2" s="1"/>
  <c r="Y120" i="2" s="1"/>
  <c r="M121" i="2"/>
  <c r="N121" i="2" s="1"/>
  <c r="O121" i="2" s="1"/>
  <c r="P121" i="2" s="1"/>
  <c r="Q121" i="2" s="1"/>
  <c r="R121" i="2" s="1"/>
  <c r="S121" i="2" s="1"/>
  <c r="T121" i="2" s="1"/>
  <c r="U121" i="2" s="1"/>
  <c r="V121" i="2" s="1"/>
  <c r="W121" i="2" s="1"/>
  <c r="X121" i="2" s="1"/>
  <c r="Y121" i="2" s="1"/>
  <c r="M122" i="2"/>
  <c r="N122" i="2" s="1"/>
  <c r="O122" i="2" s="1"/>
  <c r="P122" i="2" s="1"/>
  <c r="Q122" i="2" s="1"/>
  <c r="R122" i="2" s="1"/>
  <c r="S122" i="2" s="1"/>
  <c r="T122" i="2" s="1"/>
  <c r="U122" i="2" s="1"/>
  <c r="V122" i="2" s="1"/>
  <c r="W122" i="2" s="1"/>
  <c r="X122" i="2" s="1"/>
  <c r="Y122" i="2" s="1"/>
  <c r="M123" i="2"/>
  <c r="N123" i="2" s="1"/>
  <c r="O123" i="2" s="1"/>
  <c r="P123" i="2" s="1"/>
  <c r="Q123" i="2" s="1"/>
  <c r="R123" i="2" s="1"/>
  <c r="S123" i="2" s="1"/>
  <c r="T123" i="2" s="1"/>
  <c r="U123" i="2" s="1"/>
  <c r="V123" i="2" s="1"/>
  <c r="W123" i="2" s="1"/>
  <c r="X123" i="2" s="1"/>
  <c r="Y123" i="2" s="1"/>
  <c r="M124" i="2"/>
  <c r="N124" i="2" s="1"/>
  <c r="O124" i="2" s="1"/>
  <c r="P124" i="2" s="1"/>
  <c r="Q124" i="2" s="1"/>
  <c r="R124" i="2" s="1"/>
  <c r="S124" i="2" s="1"/>
  <c r="T124" i="2" s="1"/>
  <c r="U124" i="2" s="1"/>
  <c r="V124" i="2" s="1"/>
  <c r="W124" i="2" s="1"/>
  <c r="X124" i="2" s="1"/>
  <c r="Y124" i="2" s="1"/>
  <c r="M125" i="2"/>
  <c r="N125" i="2" s="1"/>
  <c r="O125" i="2" s="1"/>
  <c r="P125" i="2" s="1"/>
  <c r="Q125" i="2" s="1"/>
  <c r="R125" i="2" s="1"/>
  <c r="S125" i="2" s="1"/>
  <c r="T125" i="2" s="1"/>
  <c r="U125" i="2" s="1"/>
  <c r="V125" i="2" s="1"/>
  <c r="W125" i="2" s="1"/>
  <c r="X125" i="2" s="1"/>
  <c r="Y125" i="2" s="1"/>
  <c r="M126" i="2"/>
  <c r="N126" i="2" s="1"/>
  <c r="O126" i="2" s="1"/>
  <c r="P126" i="2" s="1"/>
  <c r="Q126" i="2" s="1"/>
  <c r="R126" i="2" s="1"/>
  <c r="S126" i="2" s="1"/>
  <c r="T126" i="2" s="1"/>
  <c r="U126" i="2" s="1"/>
  <c r="V126" i="2" s="1"/>
  <c r="W126" i="2" s="1"/>
  <c r="X126" i="2" s="1"/>
  <c r="Y126" i="2" s="1"/>
  <c r="M127" i="2"/>
  <c r="N127" i="2" s="1"/>
  <c r="O127" i="2" s="1"/>
  <c r="P127" i="2" s="1"/>
  <c r="Q127" i="2" s="1"/>
  <c r="R127" i="2" s="1"/>
  <c r="S127" i="2" s="1"/>
  <c r="T127" i="2" s="1"/>
  <c r="U127" i="2" s="1"/>
  <c r="V127" i="2" s="1"/>
  <c r="W127" i="2" s="1"/>
  <c r="X127" i="2" s="1"/>
  <c r="Y127" i="2" s="1"/>
  <c r="M128" i="2"/>
  <c r="N128" i="2" s="1"/>
  <c r="O128" i="2" s="1"/>
  <c r="P128" i="2" s="1"/>
  <c r="Q128" i="2" s="1"/>
  <c r="R128" i="2" s="1"/>
  <c r="S128" i="2" s="1"/>
  <c r="T128" i="2" s="1"/>
  <c r="U128" i="2" s="1"/>
  <c r="V128" i="2" s="1"/>
  <c r="W128" i="2" s="1"/>
  <c r="X128" i="2" s="1"/>
  <c r="Y128" i="2" s="1"/>
  <c r="M129" i="2"/>
  <c r="N129" i="2" s="1"/>
  <c r="O129" i="2" s="1"/>
  <c r="P129" i="2" s="1"/>
  <c r="Q129" i="2" s="1"/>
  <c r="R129" i="2" s="1"/>
  <c r="S129" i="2" s="1"/>
  <c r="T129" i="2" s="1"/>
  <c r="U129" i="2" s="1"/>
  <c r="V129" i="2" s="1"/>
  <c r="W129" i="2" s="1"/>
  <c r="X129" i="2" s="1"/>
  <c r="Y129" i="2" s="1"/>
  <c r="M130" i="2"/>
  <c r="N130" i="2" s="1"/>
  <c r="O130" i="2" s="1"/>
  <c r="P130" i="2" s="1"/>
  <c r="Q130" i="2" s="1"/>
  <c r="R130" i="2" s="1"/>
  <c r="S130" i="2" s="1"/>
  <c r="T130" i="2" s="1"/>
  <c r="U130" i="2" s="1"/>
  <c r="V130" i="2" s="1"/>
  <c r="W130" i="2" s="1"/>
  <c r="X130" i="2" s="1"/>
  <c r="Y130" i="2" s="1"/>
  <c r="M131" i="2"/>
  <c r="N131" i="2" s="1"/>
  <c r="O131" i="2" s="1"/>
  <c r="P131" i="2" s="1"/>
  <c r="Q131" i="2" s="1"/>
  <c r="R131" i="2" s="1"/>
  <c r="S131" i="2" s="1"/>
  <c r="T131" i="2" s="1"/>
  <c r="U131" i="2" s="1"/>
  <c r="V131" i="2" s="1"/>
  <c r="W131" i="2" s="1"/>
  <c r="X131" i="2" s="1"/>
  <c r="Y131" i="2" s="1"/>
  <c r="M132" i="2"/>
  <c r="N132" i="2" s="1"/>
  <c r="O132" i="2" s="1"/>
  <c r="P132" i="2" s="1"/>
  <c r="Q132" i="2" s="1"/>
  <c r="R132" i="2" s="1"/>
  <c r="S132" i="2" s="1"/>
  <c r="T132" i="2" s="1"/>
  <c r="U132" i="2" s="1"/>
  <c r="V132" i="2" s="1"/>
  <c r="W132" i="2" s="1"/>
  <c r="X132" i="2" s="1"/>
  <c r="Y132" i="2" s="1"/>
  <c r="M133" i="2"/>
  <c r="N133" i="2" s="1"/>
  <c r="O133" i="2" s="1"/>
  <c r="P133" i="2" s="1"/>
  <c r="Q133" i="2" s="1"/>
  <c r="R133" i="2" s="1"/>
  <c r="S133" i="2" s="1"/>
  <c r="T133" i="2" s="1"/>
  <c r="U133" i="2" s="1"/>
  <c r="V133" i="2" s="1"/>
  <c r="W133" i="2" s="1"/>
  <c r="X133" i="2" s="1"/>
  <c r="Y133" i="2" s="1"/>
  <c r="M134" i="2"/>
  <c r="N134" i="2" s="1"/>
  <c r="O134" i="2" s="1"/>
  <c r="P134" i="2" s="1"/>
  <c r="Q134" i="2" s="1"/>
  <c r="R134" i="2" s="1"/>
  <c r="S134" i="2" s="1"/>
  <c r="T134" i="2" s="1"/>
  <c r="U134" i="2" s="1"/>
  <c r="V134" i="2" s="1"/>
  <c r="W134" i="2" s="1"/>
  <c r="X134" i="2" s="1"/>
  <c r="Y134" i="2" s="1"/>
  <c r="M135" i="2"/>
  <c r="N135" i="2" s="1"/>
  <c r="O135" i="2" s="1"/>
  <c r="P135" i="2" s="1"/>
  <c r="Q135" i="2" s="1"/>
  <c r="R135" i="2" s="1"/>
  <c r="S135" i="2" s="1"/>
  <c r="T135" i="2" s="1"/>
  <c r="U135" i="2" s="1"/>
  <c r="V135" i="2" s="1"/>
  <c r="W135" i="2" s="1"/>
  <c r="X135" i="2" s="1"/>
  <c r="Y135" i="2" s="1"/>
  <c r="M136" i="2"/>
  <c r="N136" i="2" s="1"/>
  <c r="O136" i="2" s="1"/>
  <c r="P136" i="2" s="1"/>
  <c r="Q136" i="2" s="1"/>
  <c r="R136" i="2" s="1"/>
  <c r="S136" i="2" s="1"/>
  <c r="T136" i="2" s="1"/>
  <c r="U136" i="2" s="1"/>
  <c r="V136" i="2" s="1"/>
  <c r="W136" i="2" s="1"/>
  <c r="X136" i="2" s="1"/>
  <c r="Y136" i="2" s="1"/>
  <c r="M137" i="2"/>
  <c r="N137" i="2" s="1"/>
  <c r="O137" i="2" s="1"/>
  <c r="P137" i="2" s="1"/>
  <c r="Q137" i="2" s="1"/>
  <c r="R137" i="2" s="1"/>
  <c r="S137" i="2" s="1"/>
  <c r="T137" i="2" s="1"/>
  <c r="U137" i="2" s="1"/>
  <c r="V137" i="2" s="1"/>
  <c r="W137" i="2" s="1"/>
  <c r="X137" i="2" s="1"/>
  <c r="Y137" i="2" s="1"/>
  <c r="M138" i="2"/>
  <c r="N138" i="2" s="1"/>
  <c r="O138" i="2" s="1"/>
  <c r="P138" i="2" s="1"/>
  <c r="Q138" i="2" s="1"/>
  <c r="R138" i="2" s="1"/>
  <c r="S138" i="2" s="1"/>
  <c r="T138" i="2" s="1"/>
  <c r="U138" i="2" s="1"/>
  <c r="V138" i="2" s="1"/>
  <c r="W138" i="2" s="1"/>
  <c r="X138" i="2" s="1"/>
  <c r="Y138" i="2" s="1"/>
  <c r="M139" i="2"/>
  <c r="N139" i="2" s="1"/>
  <c r="O139" i="2" s="1"/>
  <c r="P139" i="2" s="1"/>
  <c r="Q139" i="2" s="1"/>
  <c r="R139" i="2" s="1"/>
  <c r="S139" i="2" s="1"/>
  <c r="T139" i="2" s="1"/>
  <c r="U139" i="2" s="1"/>
  <c r="V139" i="2" s="1"/>
  <c r="W139" i="2" s="1"/>
  <c r="X139" i="2" s="1"/>
  <c r="Y139" i="2" s="1"/>
  <c r="M140" i="2"/>
  <c r="N140" i="2" s="1"/>
  <c r="O140" i="2" s="1"/>
  <c r="P140" i="2" s="1"/>
  <c r="Q140" i="2" s="1"/>
  <c r="R140" i="2" s="1"/>
  <c r="S140" i="2" s="1"/>
  <c r="T140" i="2" s="1"/>
  <c r="U140" i="2" s="1"/>
  <c r="V140" i="2" s="1"/>
  <c r="W140" i="2" s="1"/>
  <c r="X140" i="2" s="1"/>
  <c r="Y140" i="2" s="1"/>
  <c r="M141" i="2"/>
  <c r="N141" i="2" s="1"/>
  <c r="O141" i="2" s="1"/>
  <c r="P141" i="2" s="1"/>
  <c r="Q141" i="2" s="1"/>
  <c r="R141" i="2" s="1"/>
  <c r="S141" i="2" s="1"/>
  <c r="T141" i="2" s="1"/>
  <c r="U141" i="2" s="1"/>
  <c r="V141" i="2" s="1"/>
  <c r="W141" i="2" s="1"/>
  <c r="X141" i="2" s="1"/>
  <c r="Y141" i="2" s="1"/>
  <c r="M142" i="2"/>
  <c r="N142" i="2" s="1"/>
  <c r="O142" i="2" s="1"/>
  <c r="P142" i="2" s="1"/>
  <c r="Q142" i="2" s="1"/>
  <c r="R142" i="2" s="1"/>
  <c r="S142" i="2" s="1"/>
  <c r="T142" i="2" s="1"/>
  <c r="U142" i="2" s="1"/>
  <c r="V142" i="2" s="1"/>
  <c r="W142" i="2" s="1"/>
  <c r="X142" i="2" s="1"/>
  <c r="Y142" i="2" s="1"/>
  <c r="M143" i="2"/>
  <c r="N143" i="2" s="1"/>
  <c r="O143" i="2" s="1"/>
  <c r="P143" i="2" s="1"/>
  <c r="Q143" i="2" s="1"/>
  <c r="R143" i="2" s="1"/>
  <c r="S143" i="2" s="1"/>
  <c r="T143" i="2" s="1"/>
  <c r="U143" i="2" s="1"/>
  <c r="V143" i="2" s="1"/>
  <c r="W143" i="2" s="1"/>
  <c r="X143" i="2" s="1"/>
  <c r="Y143" i="2" s="1"/>
  <c r="M144" i="2"/>
  <c r="N144" i="2" s="1"/>
  <c r="O144" i="2" s="1"/>
  <c r="P144" i="2" s="1"/>
  <c r="Q144" i="2" s="1"/>
  <c r="R144" i="2" s="1"/>
  <c r="S144" i="2" s="1"/>
  <c r="T144" i="2" s="1"/>
  <c r="U144" i="2" s="1"/>
  <c r="V144" i="2" s="1"/>
  <c r="W144" i="2" s="1"/>
  <c r="X144" i="2" s="1"/>
  <c r="Y144" i="2" s="1"/>
  <c r="M145" i="2"/>
  <c r="N145" i="2" s="1"/>
  <c r="O145" i="2" s="1"/>
  <c r="P145" i="2" s="1"/>
  <c r="Q145" i="2" s="1"/>
  <c r="R145" i="2" s="1"/>
  <c r="S145" i="2" s="1"/>
  <c r="T145" i="2" s="1"/>
  <c r="U145" i="2" s="1"/>
  <c r="V145" i="2" s="1"/>
  <c r="W145" i="2" s="1"/>
  <c r="X145" i="2" s="1"/>
  <c r="Y145" i="2" s="1"/>
  <c r="M146" i="2"/>
  <c r="N146" i="2" s="1"/>
  <c r="O146" i="2" s="1"/>
  <c r="P146" i="2" s="1"/>
  <c r="Q146" i="2" s="1"/>
  <c r="R146" i="2" s="1"/>
  <c r="S146" i="2" s="1"/>
  <c r="T146" i="2" s="1"/>
  <c r="U146" i="2" s="1"/>
  <c r="V146" i="2" s="1"/>
  <c r="W146" i="2" s="1"/>
  <c r="X146" i="2" s="1"/>
  <c r="Y146" i="2" s="1"/>
  <c r="M147" i="2"/>
  <c r="N147" i="2" s="1"/>
  <c r="O147" i="2" s="1"/>
  <c r="P147" i="2" s="1"/>
  <c r="Q147" i="2" s="1"/>
  <c r="R147" i="2" s="1"/>
  <c r="S147" i="2" s="1"/>
  <c r="T147" i="2" s="1"/>
  <c r="U147" i="2" s="1"/>
  <c r="V147" i="2" s="1"/>
  <c r="W147" i="2" s="1"/>
  <c r="X147" i="2" s="1"/>
  <c r="Y147" i="2" s="1"/>
  <c r="M148" i="2"/>
  <c r="N148" i="2" s="1"/>
  <c r="O148" i="2" s="1"/>
  <c r="P148" i="2" s="1"/>
  <c r="Q148" i="2" s="1"/>
  <c r="R148" i="2" s="1"/>
  <c r="S148" i="2" s="1"/>
  <c r="T148" i="2" s="1"/>
  <c r="U148" i="2" s="1"/>
  <c r="V148" i="2" s="1"/>
  <c r="W148" i="2" s="1"/>
  <c r="X148" i="2" s="1"/>
  <c r="Y148" i="2" s="1"/>
  <c r="M149" i="2"/>
  <c r="N149" i="2" s="1"/>
  <c r="O149" i="2" s="1"/>
  <c r="P149" i="2" s="1"/>
  <c r="Q149" i="2" s="1"/>
  <c r="R149" i="2" s="1"/>
  <c r="S149" i="2" s="1"/>
  <c r="T149" i="2" s="1"/>
  <c r="U149" i="2" s="1"/>
  <c r="V149" i="2" s="1"/>
  <c r="W149" i="2" s="1"/>
  <c r="X149" i="2" s="1"/>
  <c r="Y149" i="2" s="1"/>
  <c r="M150" i="2"/>
  <c r="N150" i="2" s="1"/>
  <c r="O150" i="2" s="1"/>
  <c r="P150" i="2" s="1"/>
  <c r="Q150" i="2" s="1"/>
  <c r="R150" i="2" s="1"/>
  <c r="S150" i="2" s="1"/>
  <c r="T150" i="2" s="1"/>
  <c r="U150" i="2" s="1"/>
  <c r="V150" i="2" s="1"/>
  <c r="W150" i="2" s="1"/>
  <c r="X150" i="2" s="1"/>
  <c r="Y150" i="2" s="1"/>
  <c r="M151" i="2"/>
  <c r="N151" i="2" s="1"/>
  <c r="O151" i="2" s="1"/>
  <c r="P151" i="2" s="1"/>
  <c r="Q151" i="2" s="1"/>
  <c r="R151" i="2" s="1"/>
  <c r="S151" i="2" s="1"/>
  <c r="T151" i="2" s="1"/>
  <c r="U151" i="2" s="1"/>
  <c r="V151" i="2" s="1"/>
  <c r="W151" i="2" s="1"/>
  <c r="X151" i="2" s="1"/>
  <c r="Y151" i="2" s="1"/>
  <c r="M152" i="2"/>
  <c r="N152" i="2" s="1"/>
  <c r="O152" i="2" s="1"/>
  <c r="P152" i="2" s="1"/>
  <c r="Q152" i="2" s="1"/>
  <c r="R152" i="2" s="1"/>
  <c r="S152" i="2" s="1"/>
  <c r="T152" i="2" s="1"/>
  <c r="U152" i="2" s="1"/>
  <c r="V152" i="2" s="1"/>
  <c r="W152" i="2" s="1"/>
  <c r="X152" i="2" s="1"/>
  <c r="Y152" i="2" s="1"/>
  <c r="M153" i="2"/>
  <c r="N153" i="2" s="1"/>
  <c r="O153" i="2" s="1"/>
  <c r="P153" i="2" s="1"/>
  <c r="Q153" i="2" s="1"/>
  <c r="R153" i="2" s="1"/>
  <c r="S153" i="2" s="1"/>
  <c r="T153" i="2" s="1"/>
  <c r="U153" i="2" s="1"/>
  <c r="V153" i="2" s="1"/>
  <c r="W153" i="2" s="1"/>
  <c r="X153" i="2" s="1"/>
  <c r="Y153" i="2" s="1"/>
  <c r="M154" i="2"/>
  <c r="N154" i="2" s="1"/>
  <c r="O154" i="2" s="1"/>
  <c r="P154" i="2" s="1"/>
  <c r="Q154" i="2" s="1"/>
  <c r="R154" i="2" s="1"/>
  <c r="S154" i="2" s="1"/>
  <c r="T154" i="2" s="1"/>
  <c r="U154" i="2" s="1"/>
  <c r="V154" i="2" s="1"/>
  <c r="W154" i="2" s="1"/>
  <c r="X154" i="2" s="1"/>
  <c r="Y154" i="2" s="1"/>
  <c r="M155" i="2"/>
  <c r="N155" i="2" s="1"/>
  <c r="O155" i="2" s="1"/>
  <c r="P155" i="2" s="1"/>
  <c r="Q155" i="2" s="1"/>
  <c r="R155" i="2" s="1"/>
  <c r="S155" i="2" s="1"/>
  <c r="T155" i="2" s="1"/>
  <c r="U155" i="2" s="1"/>
  <c r="V155" i="2" s="1"/>
  <c r="W155" i="2" s="1"/>
  <c r="X155" i="2" s="1"/>
  <c r="Y155" i="2" s="1"/>
  <c r="M156" i="2"/>
  <c r="N156" i="2" s="1"/>
  <c r="O156" i="2" s="1"/>
  <c r="P156" i="2" s="1"/>
  <c r="Q156" i="2" s="1"/>
  <c r="R156" i="2" s="1"/>
  <c r="S156" i="2" s="1"/>
  <c r="T156" i="2" s="1"/>
  <c r="U156" i="2" s="1"/>
  <c r="V156" i="2" s="1"/>
  <c r="W156" i="2" s="1"/>
  <c r="X156" i="2" s="1"/>
  <c r="Y156" i="2" s="1"/>
  <c r="M157" i="2"/>
  <c r="N157" i="2" s="1"/>
  <c r="O157" i="2" s="1"/>
  <c r="P157" i="2" s="1"/>
  <c r="Q157" i="2" s="1"/>
  <c r="R157" i="2" s="1"/>
  <c r="S157" i="2" s="1"/>
  <c r="T157" i="2" s="1"/>
  <c r="U157" i="2" s="1"/>
  <c r="V157" i="2" s="1"/>
  <c r="W157" i="2" s="1"/>
  <c r="X157" i="2" s="1"/>
  <c r="Y157" i="2" s="1"/>
  <c r="M158" i="2"/>
  <c r="N158" i="2" s="1"/>
  <c r="O158" i="2" s="1"/>
  <c r="P158" i="2" s="1"/>
  <c r="Q158" i="2" s="1"/>
  <c r="R158" i="2" s="1"/>
  <c r="S158" i="2" s="1"/>
  <c r="T158" i="2" s="1"/>
  <c r="U158" i="2" s="1"/>
  <c r="V158" i="2" s="1"/>
  <c r="W158" i="2" s="1"/>
  <c r="X158" i="2" s="1"/>
  <c r="Y158" i="2" s="1"/>
  <c r="M159" i="2"/>
  <c r="N159" i="2" s="1"/>
  <c r="O159" i="2" s="1"/>
  <c r="P159" i="2" s="1"/>
  <c r="Q159" i="2" s="1"/>
  <c r="R159" i="2" s="1"/>
  <c r="S159" i="2" s="1"/>
  <c r="T159" i="2" s="1"/>
  <c r="U159" i="2" s="1"/>
  <c r="V159" i="2" s="1"/>
  <c r="W159" i="2" s="1"/>
  <c r="X159" i="2" s="1"/>
  <c r="Y159" i="2" s="1"/>
  <c r="M160" i="2"/>
  <c r="N160" i="2" s="1"/>
  <c r="O160" i="2" s="1"/>
  <c r="P160" i="2" s="1"/>
  <c r="Q160" i="2" s="1"/>
  <c r="R160" i="2" s="1"/>
  <c r="S160" i="2" s="1"/>
  <c r="T160" i="2" s="1"/>
  <c r="U160" i="2" s="1"/>
  <c r="V160" i="2" s="1"/>
  <c r="W160" i="2" s="1"/>
  <c r="X160" i="2" s="1"/>
  <c r="Y160" i="2" s="1"/>
  <c r="M161" i="2"/>
  <c r="N161" i="2" s="1"/>
  <c r="O161" i="2" s="1"/>
  <c r="P161" i="2" s="1"/>
  <c r="Q161" i="2" s="1"/>
  <c r="R161" i="2" s="1"/>
  <c r="S161" i="2" s="1"/>
  <c r="T161" i="2" s="1"/>
  <c r="U161" i="2" s="1"/>
  <c r="V161" i="2" s="1"/>
  <c r="W161" i="2" s="1"/>
  <c r="X161" i="2" s="1"/>
  <c r="Y161" i="2" s="1"/>
  <c r="M162" i="2"/>
  <c r="N162" i="2" s="1"/>
  <c r="O162" i="2" s="1"/>
  <c r="P162" i="2" s="1"/>
  <c r="Q162" i="2" s="1"/>
  <c r="R162" i="2" s="1"/>
  <c r="S162" i="2" s="1"/>
  <c r="T162" i="2" s="1"/>
  <c r="U162" i="2" s="1"/>
  <c r="V162" i="2" s="1"/>
  <c r="W162" i="2" s="1"/>
  <c r="X162" i="2" s="1"/>
  <c r="Y162" i="2" s="1"/>
  <c r="M163" i="2"/>
  <c r="N163" i="2" s="1"/>
  <c r="O163" i="2" s="1"/>
  <c r="P163" i="2" s="1"/>
  <c r="Q163" i="2" s="1"/>
  <c r="R163" i="2" s="1"/>
  <c r="S163" i="2" s="1"/>
  <c r="T163" i="2" s="1"/>
  <c r="U163" i="2" s="1"/>
  <c r="V163" i="2" s="1"/>
  <c r="W163" i="2" s="1"/>
  <c r="X163" i="2" s="1"/>
  <c r="Y163" i="2" s="1"/>
  <c r="M164" i="2"/>
  <c r="N164" i="2" s="1"/>
  <c r="O164" i="2" s="1"/>
  <c r="P164" i="2" s="1"/>
  <c r="Q164" i="2" s="1"/>
  <c r="R164" i="2" s="1"/>
  <c r="S164" i="2" s="1"/>
  <c r="T164" i="2" s="1"/>
  <c r="U164" i="2" s="1"/>
  <c r="V164" i="2" s="1"/>
  <c r="W164" i="2" s="1"/>
  <c r="X164" i="2" s="1"/>
  <c r="Y164" i="2" s="1"/>
  <c r="M165" i="2"/>
  <c r="N165" i="2" s="1"/>
  <c r="O165" i="2" s="1"/>
  <c r="P165" i="2" s="1"/>
  <c r="Q165" i="2" s="1"/>
  <c r="R165" i="2" s="1"/>
  <c r="S165" i="2" s="1"/>
  <c r="T165" i="2" s="1"/>
  <c r="U165" i="2" s="1"/>
  <c r="V165" i="2" s="1"/>
  <c r="W165" i="2" s="1"/>
  <c r="X165" i="2" s="1"/>
  <c r="Y165" i="2" s="1"/>
  <c r="M166" i="2"/>
  <c r="N166" i="2" s="1"/>
  <c r="O166" i="2" s="1"/>
  <c r="P166" i="2" s="1"/>
  <c r="Q166" i="2" s="1"/>
  <c r="R166" i="2" s="1"/>
  <c r="S166" i="2" s="1"/>
  <c r="T166" i="2" s="1"/>
  <c r="U166" i="2" s="1"/>
  <c r="V166" i="2" s="1"/>
  <c r="W166" i="2" s="1"/>
  <c r="X166" i="2" s="1"/>
  <c r="Y166" i="2" s="1"/>
  <c r="M167" i="2"/>
  <c r="N167" i="2" s="1"/>
  <c r="O167" i="2" s="1"/>
  <c r="P167" i="2" s="1"/>
  <c r="Q167" i="2" s="1"/>
  <c r="R167" i="2" s="1"/>
  <c r="S167" i="2" s="1"/>
  <c r="T167" i="2" s="1"/>
  <c r="U167" i="2" s="1"/>
  <c r="V167" i="2" s="1"/>
  <c r="W167" i="2" s="1"/>
  <c r="X167" i="2" s="1"/>
  <c r="Y167" i="2" s="1"/>
  <c r="M168" i="2"/>
  <c r="N168" i="2" s="1"/>
  <c r="O168" i="2" s="1"/>
  <c r="P168" i="2" s="1"/>
  <c r="Q168" i="2" s="1"/>
  <c r="R168" i="2" s="1"/>
  <c r="S168" i="2" s="1"/>
  <c r="T168" i="2" s="1"/>
  <c r="U168" i="2" s="1"/>
  <c r="V168" i="2" s="1"/>
  <c r="W168" i="2" s="1"/>
  <c r="X168" i="2" s="1"/>
  <c r="Y168" i="2" s="1"/>
  <c r="M169" i="2"/>
  <c r="N169" i="2" s="1"/>
  <c r="O169" i="2" s="1"/>
  <c r="P169" i="2" s="1"/>
  <c r="Q169" i="2" s="1"/>
  <c r="R169" i="2" s="1"/>
  <c r="S169" i="2" s="1"/>
  <c r="T169" i="2" s="1"/>
  <c r="U169" i="2" s="1"/>
  <c r="V169" i="2" s="1"/>
  <c r="W169" i="2" s="1"/>
  <c r="X169" i="2" s="1"/>
  <c r="Y169" i="2" s="1"/>
  <c r="M170" i="2"/>
  <c r="N170" i="2" s="1"/>
  <c r="O170" i="2" s="1"/>
  <c r="P170" i="2" s="1"/>
  <c r="Q170" i="2" s="1"/>
  <c r="R170" i="2" s="1"/>
  <c r="S170" i="2" s="1"/>
  <c r="T170" i="2" s="1"/>
  <c r="U170" i="2" s="1"/>
  <c r="V170" i="2" s="1"/>
  <c r="W170" i="2" s="1"/>
  <c r="X170" i="2" s="1"/>
  <c r="Y170" i="2" s="1"/>
  <c r="M171" i="2"/>
  <c r="N171" i="2" s="1"/>
  <c r="O171" i="2" s="1"/>
  <c r="P171" i="2" s="1"/>
  <c r="Q171" i="2" s="1"/>
  <c r="R171" i="2" s="1"/>
  <c r="S171" i="2" s="1"/>
  <c r="T171" i="2" s="1"/>
  <c r="U171" i="2" s="1"/>
  <c r="V171" i="2" s="1"/>
  <c r="W171" i="2" s="1"/>
  <c r="X171" i="2" s="1"/>
  <c r="Y171" i="2" s="1"/>
  <c r="M172" i="2"/>
  <c r="N172" i="2" s="1"/>
  <c r="O172" i="2" s="1"/>
  <c r="P172" i="2" s="1"/>
  <c r="Q172" i="2" s="1"/>
  <c r="R172" i="2" s="1"/>
  <c r="S172" i="2" s="1"/>
  <c r="T172" i="2" s="1"/>
  <c r="U172" i="2" s="1"/>
  <c r="V172" i="2" s="1"/>
  <c r="W172" i="2" s="1"/>
  <c r="X172" i="2" s="1"/>
  <c r="Y172" i="2" s="1"/>
  <c r="M173" i="2"/>
  <c r="N173" i="2" s="1"/>
  <c r="O173" i="2" s="1"/>
  <c r="P173" i="2" s="1"/>
  <c r="Q173" i="2" s="1"/>
  <c r="R173" i="2" s="1"/>
  <c r="S173" i="2" s="1"/>
  <c r="T173" i="2" s="1"/>
  <c r="U173" i="2" s="1"/>
  <c r="V173" i="2" s="1"/>
  <c r="W173" i="2" s="1"/>
  <c r="X173" i="2" s="1"/>
  <c r="Y173" i="2" s="1"/>
  <c r="M174" i="2"/>
  <c r="N174" i="2" s="1"/>
  <c r="O174" i="2" s="1"/>
  <c r="P174" i="2" s="1"/>
  <c r="Q174" i="2" s="1"/>
  <c r="R174" i="2" s="1"/>
  <c r="S174" i="2" s="1"/>
  <c r="T174" i="2" s="1"/>
  <c r="U174" i="2" s="1"/>
  <c r="V174" i="2" s="1"/>
  <c r="W174" i="2" s="1"/>
  <c r="X174" i="2" s="1"/>
  <c r="Y174" i="2" s="1"/>
  <c r="M175" i="2"/>
  <c r="N175" i="2" s="1"/>
  <c r="O175" i="2" s="1"/>
  <c r="P175" i="2" s="1"/>
  <c r="Q175" i="2" s="1"/>
  <c r="R175" i="2" s="1"/>
  <c r="S175" i="2" s="1"/>
  <c r="T175" i="2" s="1"/>
  <c r="U175" i="2" s="1"/>
  <c r="V175" i="2" s="1"/>
  <c r="W175" i="2" s="1"/>
  <c r="X175" i="2" s="1"/>
  <c r="Y175" i="2" s="1"/>
  <c r="M176" i="2"/>
  <c r="N176" i="2" s="1"/>
  <c r="O176" i="2" s="1"/>
  <c r="P176" i="2" s="1"/>
  <c r="Q176" i="2" s="1"/>
  <c r="R176" i="2" s="1"/>
  <c r="S176" i="2" s="1"/>
  <c r="T176" i="2" s="1"/>
  <c r="U176" i="2" s="1"/>
  <c r="V176" i="2" s="1"/>
  <c r="W176" i="2" s="1"/>
  <c r="X176" i="2" s="1"/>
  <c r="Y176" i="2" s="1"/>
  <c r="M177" i="2"/>
  <c r="N177" i="2" s="1"/>
  <c r="O177" i="2" s="1"/>
  <c r="P177" i="2" s="1"/>
  <c r="Q177" i="2" s="1"/>
  <c r="R177" i="2" s="1"/>
  <c r="S177" i="2" s="1"/>
  <c r="T177" i="2" s="1"/>
  <c r="U177" i="2" s="1"/>
  <c r="V177" i="2" s="1"/>
  <c r="W177" i="2" s="1"/>
  <c r="X177" i="2" s="1"/>
  <c r="Y177" i="2" s="1"/>
  <c r="M178" i="2"/>
  <c r="N178" i="2" s="1"/>
  <c r="O178" i="2" s="1"/>
  <c r="P178" i="2" s="1"/>
  <c r="Q178" i="2" s="1"/>
  <c r="R178" i="2" s="1"/>
  <c r="S178" i="2" s="1"/>
  <c r="T178" i="2" s="1"/>
  <c r="U178" i="2" s="1"/>
  <c r="V178" i="2" s="1"/>
  <c r="W178" i="2" s="1"/>
  <c r="X178" i="2" s="1"/>
  <c r="Y178" i="2" s="1"/>
  <c r="S19" i="2" l="1"/>
  <c r="W107" i="4"/>
  <c r="V107" i="4"/>
  <c r="U107" i="4"/>
  <c r="T107" i="4"/>
  <c r="S107" i="4"/>
  <c r="R107" i="4"/>
  <c r="Q107" i="4"/>
  <c r="P107" i="4"/>
  <c r="O107" i="4"/>
  <c r="N107" i="4"/>
  <c r="M107" i="4"/>
  <c r="L107" i="4"/>
  <c r="K107" i="4"/>
  <c r="J107" i="4"/>
  <c r="I107" i="4"/>
  <c r="H107" i="4"/>
  <c r="G107" i="4"/>
  <c r="F107" i="4"/>
  <c r="E107" i="4"/>
  <c r="T19" i="2" l="1"/>
  <c r="K27" i="10"/>
  <c r="L27" i="10"/>
  <c r="M27" i="10"/>
  <c r="N27" i="10"/>
  <c r="O27" i="10"/>
  <c r="P27" i="10"/>
  <c r="Q27" i="10"/>
  <c r="R27" i="10"/>
  <c r="S27" i="10"/>
  <c r="T27" i="10"/>
  <c r="U27" i="10"/>
  <c r="V27" i="10"/>
  <c r="W27" i="10"/>
  <c r="L54" i="10"/>
  <c r="M54" i="10"/>
  <c r="N54" i="10"/>
  <c r="O54" i="10"/>
  <c r="P54" i="10"/>
  <c r="Q54" i="10"/>
  <c r="R54" i="10"/>
  <c r="S54" i="10"/>
  <c r="T54" i="10"/>
  <c r="U54" i="10"/>
  <c r="V54" i="10"/>
  <c r="W54" i="10"/>
  <c r="L55" i="10"/>
  <c r="M55" i="10"/>
  <c r="N55" i="10"/>
  <c r="O55" i="10"/>
  <c r="P55" i="10"/>
  <c r="Q55" i="10"/>
  <c r="R55" i="10"/>
  <c r="S55" i="10"/>
  <c r="T55" i="10"/>
  <c r="U55" i="10"/>
  <c r="V55" i="10"/>
  <c r="W55" i="10"/>
  <c r="L33" i="10"/>
  <c r="M33" i="10"/>
  <c r="N33" i="10"/>
  <c r="O33" i="10"/>
  <c r="P33" i="10"/>
  <c r="Q33" i="10"/>
  <c r="R33" i="10"/>
  <c r="S33" i="10"/>
  <c r="T33" i="10"/>
  <c r="U33" i="10"/>
  <c r="V33" i="10"/>
  <c r="W33" i="10"/>
  <c r="L34" i="10"/>
  <c r="M34" i="10"/>
  <c r="N34" i="10"/>
  <c r="O34" i="10"/>
  <c r="P34" i="10"/>
  <c r="Q34" i="10"/>
  <c r="R34" i="10"/>
  <c r="S34" i="10"/>
  <c r="T34" i="10"/>
  <c r="U34" i="10"/>
  <c r="V34" i="10"/>
  <c r="W34" i="10"/>
  <c r="L35" i="10"/>
  <c r="M35" i="10"/>
  <c r="N35" i="10"/>
  <c r="O35" i="10"/>
  <c r="P35" i="10"/>
  <c r="Q35" i="10"/>
  <c r="R35" i="10"/>
  <c r="S35" i="10"/>
  <c r="T35" i="10"/>
  <c r="U35" i="10"/>
  <c r="V35" i="10"/>
  <c r="W35" i="10"/>
  <c r="L36" i="10"/>
  <c r="M36" i="10"/>
  <c r="N36" i="10"/>
  <c r="O36" i="10"/>
  <c r="P36" i="10"/>
  <c r="Q36" i="10"/>
  <c r="R36" i="10"/>
  <c r="S36" i="10"/>
  <c r="T36" i="10"/>
  <c r="U36" i="10"/>
  <c r="V36" i="10"/>
  <c r="W36" i="10"/>
  <c r="L28" i="10"/>
  <c r="M28" i="10"/>
  <c r="N28" i="10"/>
  <c r="O28" i="10"/>
  <c r="P28" i="10"/>
  <c r="Q28" i="10"/>
  <c r="R28" i="10"/>
  <c r="S28" i="10"/>
  <c r="T28" i="10"/>
  <c r="U28" i="10"/>
  <c r="V28" i="10"/>
  <c r="W28" i="10"/>
  <c r="L29" i="10"/>
  <c r="M29" i="10"/>
  <c r="N29" i="10"/>
  <c r="O29" i="10"/>
  <c r="P29" i="10"/>
  <c r="Q29" i="10"/>
  <c r="R29" i="10"/>
  <c r="S29" i="10"/>
  <c r="T29" i="10"/>
  <c r="U29" i="10"/>
  <c r="V29" i="10"/>
  <c r="W29" i="10"/>
  <c r="L30" i="10"/>
  <c r="M30" i="10"/>
  <c r="N30" i="10"/>
  <c r="O30" i="10"/>
  <c r="P30" i="10"/>
  <c r="Q30" i="10"/>
  <c r="R30" i="10"/>
  <c r="S30" i="10"/>
  <c r="T30" i="10"/>
  <c r="U30" i="10"/>
  <c r="V30" i="10"/>
  <c r="W30" i="10"/>
  <c r="U19" i="2" l="1"/>
  <c r="X31" i="4"/>
  <c r="W31" i="4"/>
  <c r="V31" i="4"/>
  <c r="U31" i="4"/>
  <c r="T31" i="4"/>
  <c r="S31" i="4"/>
  <c r="R31" i="4"/>
  <c r="Q31" i="4"/>
  <c r="P31" i="4"/>
  <c r="O31" i="4"/>
  <c r="N31" i="4"/>
  <c r="M31" i="4"/>
  <c r="L31" i="4"/>
  <c r="K31" i="4"/>
  <c r="J31" i="4"/>
  <c r="I31" i="4"/>
  <c r="H31" i="4"/>
  <c r="G31" i="4"/>
  <c r="F31" i="4"/>
  <c r="E31" i="4"/>
  <c r="C207" i="8"/>
  <c r="C208" i="8"/>
  <c r="C206" i="8"/>
  <c r="C204" i="8"/>
  <c r="C205" i="8"/>
  <c r="C203" i="8"/>
  <c r="C193" i="8"/>
  <c r="C194" i="8"/>
  <c r="C195" i="8"/>
  <c r="C196" i="8"/>
  <c r="C197" i="8"/>
  <c r="C198" i="8"/>
  <c r="C199" i="8"/>
  <c r="C200" i="8"/>
  <c r="C201" i="8"/>
  <c r="C202" i="8"/>
  <c r="C192" i="8"/>
  <c r="C190" i="8"/>
  <c r="C191" i="8"/>
  <c r="C189" i="8"/>
  <c r="C187" i="8"/>
  <c r="C188" i="8"/>
  <c r="C186" i="8"/>
  <c r="C173" i="8"/>
  <c r="C174" i="8"/>
  <c r="C175" i="8"/>
  <c r="C176" i="8"/>
  <c r="C177" i="8"/>
  <c r="C178" i="8"/>
  <c r="C179" i="8"/>
  <c r="C180" i="8"/>
  <c r="C181" i="8"/>
  <c r="C182" i="8"/>
  <c r="C183" i="8"/>
  <c r="C184" i="8"/>
  <c r="C185" i="8"/>
  <c r="C172" i="8"/>
  <c r="C171" i="8"/>
  <c r="C170" i="8"/>
  <c r="C168" i="8"/>
  <c r="C169" i="8"/>
  <c r="C167" i="8"/>
  <c r="B14" i="5"/>
  <c r="V19" i="2" l="1"/>
  <c r="N73" i="1"/>
  <c r="J16" i="17"/>
  <c r="I16" i="17"/>
  <c r="H16" i="17"/>
  <c r="G16" i="17"/>
  <c r="J15" i="17"/>
  <c r="I15" i="17"/>
  <c r="H15" i="17"/>
  <c r="G15" i="17"/>
  <c r="J14" i="17"/>
  <c r="I14" i="17"/>
  <c r="H14" i="17"/>
  <c r="G14" i="17"/>
  <c r="J13" i="17"/>
  <c r="I13" i="17"/>
  <c r="H13" i="17"/>
  <c r="G13" i="17"/>
  <c r="J12" i="17"/>
  <c r="I12" i="17"/>
  <c r="H12" i="17"/>
  <c r="G12" i="17"/>
  <c r="J11" i="17"/>
  <c r="I11" i="17"/>
  <c r="H11" i="17"/>
  <c r="G11" i="17"/>
  <c r="W19" i="2" l="1"/>
  <c r="I17" i="17"/>
  <c r="G17" i="17"/>
  <c r="H17" i="17"/>
  <c r="J17" i="17"/>
  <c r="X19" i="2" l="1"/>
  <c r="O73" i="1"/>
  <c r="P73" i="1"/>
  <c r="Q73" i="1"/>
  <c r="G18" i="17"/>
  <c r="C18" i="17" s="1"/>
  <c r="G254" i="3"/>
  <c r="H254" i="3"/>
  <c r="I254" i="3"/>
  <c r="J254" i="3"/>
  <c r="K254" i="3"/>
  <c r="L254" i="3"/>
  <c r="F254" i="3"/>
  <c r="G233" i="3"/>
  <c r="H233" i="3"/>
  <c r="I233" i="3"/>
  <c r="J233" i="3"/>
  <c r="K233" i="3"/>
  <c r="L233" i="3"/>
  <c r="F233" i="3"/>
  <c r="G218" i="3"/>
  <c r="H218" i="3"/>
  <c r="I218" i="3"/>
  <c r="J218" i="3"/>
  <c r="K218" i="3"/>
  <c r="L218" i="3"/>
  <c r="F218" i="3"/>
  <c r="G89" i="3"/>
  <c r="H89" i="3"/>
  <c r="I89" i="3"/>
  <c r="J89" i="3"/>
  <c r="K89" i="3"/>
  <c r="L89" i="3"/>
  <c r="F89" i="3"/>
  <c r="G53" i="3"/>
  <c r="H53" i="3"/>
  <c r="I53" i="3"/>
  <c r="J53" i="3"/>
  <c r="K53" i="3"/>
  <c r="L53" i="3"/>
  <c r="F53" i="3"/>
  <c r="E89" i="5"/>
  <c r="G89" i="5"/>
  <c r="H89" i="5"/>
  <c r="G599" i="7" s="1"/>
  <c r="I89" i="5"/>
  <c r="H599" i="7" s="1"/>
  <c r="J89" i="5"/>
  <c r="I599" i="7" s="1"/>
  <c r="K89" i="5"/>
  <c r="J599" i="7" s="1"/>
  <c r="L89" i="5"/>
  <c r="K599" i="7" s="1"/>
  <c r="M89" i="5"/>
  <c r="L599" i="7" s="1"/>
  <c r="E68" i="5"/>
  <c r="E53" i="5"/>
  <c r="G53" i="5"/>
  <c r="H53" i="5"/>
  <c r="G563" i="7" s="1"/>
  <c r="I53" i="5"/>
  <c r="H563" i="7" s="1"/>
  <c r="J53" i="5"/>
  <c r="I218" i="7" s="1"/>
  <c r="K53" i="5"/>
  <c r="J563" i="7" s="1"/>
  <c r="L53" i="5"/>
  <c r="M53" i="5"/>
  <c r="Y254" i="3"/>
  <c r="C65" i="4"/>
  <c r="C53" i="4"/>
  <c r="C230" i="4" s="1"/>
  <c r="Y19" i="2" l="1"/>
  <c r="F563" i="7"/>
  <c r="N53" i="5"/>
  <c r="F599" i="7"/>
  <c r="N89" i="5"/>
  <c r="L563" i="7"/>
  <c r="K563" i="7"/>
  <c r="L218" i="7"/>
  <c r="K218" i="7"/>
  <c r="L383" i="7"/>
  <c r="K383" i="7"/>
  <c r="D578" i="7"/>
  <c r="D53" i="3"/>
  <c r="F254" i="7"/>
  <c r="F419" i="7"/>
  <c r="L254" i="7"/>
  <c r="L419" i="7"/>
  <c r="I254" i="7"/>
  <c r="I419" i="7"/>
  <c r="D53" i="5"/>
  <c r="V218" i="3"/>
  <c r="N218" i="3"/>
  <c r="S233" i="3"/>
  <c r="X254" i="3"/>
  <c r="P254" i="3"/>
  <c r="H218" i="7"/>
  <c r="H254" i="7"/>
  <c r="H383" i="7"/>
  <c r="H419" i="7"/>
  <c r="U218" i="3"/>
  <c r="M218" i="3"/>
  <c r="D233" i="3"/>
  <c r="R233" i="3"/>
  <c r="W254" i="3"/>
  <c r="O254" i="3"/>
  <c r="G218" i="7"/>
  <c r="G254" i="7"/>
  <c r="G383" i="7"/>
  <c r="G419" i="7"/>
  <c r="W233" i="3"/>
  <c r="T254" i="3"/>
  <c r="W218" i="3"/>
  <c r="Q254" i="3"/>
  <c r="I383" i="7"/>
  <c r="I563" i="7"/>
  <c r="T218" i="3"/>
  <c r="Y233" i="3"/>
  <c r="Q233" i="3"/>
  <c r="V254" i="3"/>
  <c r="N254" i="3"/>
  <c r="D53" i="7"/>
  <c r="D218" i="7"/>
  <c r="D233" i="7"/>
  <c r="D254" i="7"/>
  <c r="D383" i="7"/>
  <c r="D398" i="7"/>
  <c r="D419" i="7"/>
  <c r="D563" i="7"/>
  <c r="D599" i="7"/>
  <c r="R218" i="3"/>
  <c r="O233" i="3"/>
  <c r="O218" i="3"/>
  <c r="T233" i="3"/>
  <c r="D218" i="3"/>
  <c r="S218" i="3"/>
  <c r="X233" i="3"/>
  <c r="P233" i="3"/>
  <c r="U254" i="3"/>
  <c r="M254" i="3"/>
  <c r="F218" i="7"/>
  <c r="F383" i="7"/>
  <c r="Y218" i="3"/>
  <c r="Q218" i="3"/>
  <c r="V233" i="3"/>
  <c r="N233" i="3"/>
  <c r="D254" i="3"/>
  <c r="S254" i="3"/>
  <c r="K254" i="7"/>
  <c r="K419" i="7"/>
  <c r="X218" i="3"/>
  <c r="P218" i="3"/>
  <c r="U233" i="3"/>
  <c r="M233" i="3"/>
  <c r="R254" i="3"/>
  <c r="J218" i="7"/>
  <c r="J254" i="7"/>
  <c r="J383" i="7"/>
  <c r="J419" i="7"/>
  <c r="K213" i="14"/>
  <c r="L213" i="14" s="1"/>
  <c r="M213" i="14" s="1"/>
  <c r="N213" i="14" s="1"/>
  <c r="O213" i="14" s="1"/>
  <c r="P213" i="14" s="1"/>
  <c r="Q213" i="14" s="1"/>
  <c r="R213" i="14" s="1"/>
  <c r="S213" i="14" s="1"/>
  <c r="T213" i="14" s="1"/>
  <c r="U213" i="14" s="1"/>
  <c r="V213" i="14" s="1"/>
  <c r="W213" i="14" s="1"/>
  <c r="K207" i="14"/>
  <c r="L207" i="14" s="1"/>
  <c r="M207" i="14" s="1"/>
  <c r="N207" i="14" s="1"/>
  <c r="O207" i="14" s="1"/>
  <c r="P207" i="14" s="1"/>
  <c r="Q207" i="14" s="1"/>
  <c r="R207" i="14" s="1"/>
  <c r="S207" i="14" s="1"/>
  <c r="T207" i="14" s="1"/>
  <c r="U207" i="14" s="1"/>
  <c r="V207" i="14" s="1"/>
  <c r="W207" i="14" s="1"/>
  <c r="K154" i="14"/>
  <c r="K150" i="14"/>
  <c r="L150" i="14" s="1"/>
  <c r="M150" i="14" s="1"/>
  <c r="N150" i="14" s="1"/>
  <c r="O150" i="14" s="1"/>
  <c r="P150" i="14" s="1"/>
  <c r="Q150" i="14" s="1"/>
  <c r="R150" i="14" s="1"/>
  <c r="S150" i="14" s="1"/>
  <c r="T150" i="14" s="1"/>
  <c r="U150" i="14" s="1"/>
  <c r="V150" i="14" s="1"/>
  <c r="W150" i="14" s="1"/>
  <c r="K151" i="14"/>
  <c r="L151" i="14" s="1"/>
  <c r="M151" i="14" s="1"/>
  <c r="N151" i="14" s="1"/>
  <c r="O151" i="14" s="1"/>
  <c r="P151" i="14" s="1"/>
  <c r="Q151" i="14" s="1"/>
  <c r="R151" i="14" s="1"/>
  <c r="S151" i="14" s="1"/>
  <c r="T151" i="14" s="1"/>
  <c r="U151" i="14" s="1"/>
  <c r="V151" i="14" s="1"/>
  <c r="W151" i="14" s="1"/>
  <c r="K201" i="14"/>
  <c r="L201" i="14" s="1"/>
  <c r="M201" i="14" s="1"/>
  <c r="N201" i="14" s="1"/>
  <c r="O201" i="14" s="1"/>
  <c r="P201" i="14" s="1"/>
  <c r="Q201" i="14" s="1"/>
  <c r="R201" i="14" s="1"/>
  <c r="S201" i="14" s="1"/>
  <c r="T201" i="14" s="1"/>
  <c r="U201" i="14" s="1"/>
  <c r="V201" i="14" s="1"/>
  <c r="W201" i="14" s="1"/>
  <c r="K147" i="14"/>
  <c r="L147" i="14" s="1"/>
  <c r="M147" i="14" s="1"/>
  <c r="N147" i="14" s="1"/>
  <c r="O147" i="14" s="1"/>
  <c r="P147" i="14" s="1"/>
  <c r="Q147" i="14" s="1"/>
  <c r="R147" i="14" s="1"/>
  <c r="S147" i="14" s="1"/>
  <c r="T147" i="14" s="1"/>
  <c r="U147" i="14" s="1"/>
  <c r="V147" i="14" s="1"/>
  <c r="W147" i="14" s="1"/>
  <c r="K148" i="14"/>
  <c r="L148" i="14" s="1"/>
  <c r="M148" i="14" s="1"/>
  <c r="N148" i="14" s="1"/>
  <c r="O148" i="14" s="1"/>
  <c r="P148" i="14" s="1"/>
  <c r="Q148" i="14" s="1"/>
  <c r="R148" i="14" s="1"/>
  <c r="S148" i="14" s="1"/>
  <c r="T148" i="14" s="1"/>
  <c r="U148" i="14" s="1"/>
  <c r="V148" i="14" s="1"/>
  <c r="W148" i="14" s="1"/>
  <c r="K146" i="14"/>
  <c r="L146" i="14" s="1"/>
  <c r="M146" i="14" s="1"/>
  <c r="N146" i="14" s="1"/>
  <c r="O146" i="14" s="1"/>
  <c r="P146" i="14" s="1"/>
  <c r="Q146" i="14" s="1"/>
  <c r="R146" i="14" s="1"/>
  <c r="S146" i="14" s="1"/>
  <c r="T146" i="14" s="1"/>
  <c r="U146" i="14" s="1"/>
  <c r="V146" i="14" s="1"/>
  <c r="W146" i="14" s="1"/>
  <c r="D348" i="7"/>
  <c r="N22" i="2"/>
  <c r="M23" i="2"/>
  <c r="N24" i="2"/>
  <c r="M25" i="2"/>
  <c r="N25" i="2" s="1"/>
  <c r="O25" i="2" s="1"/>
  <c r="M26" i="2"/>
  <c r="N26" i="2" s="1"/>
  <c r="N27" i="2"/>
  <c r="O27" i="2" s="1"/>
  <c r="P27" i="2" s="1"/>
  <c r="Q27" i="2" s="1"/>
  <c r="R27" i="2" s="1"/>
  <c r="S27" i="2" s="1"/>
  <c r="T27" i="2" s="1"/>
  <c r="U27" i="2" s="1"/>
  <c r="V27" i="2" s="1"/>
  <c r="W27" i="2" s="1"/>
  <c r="X27" i="2" s="1"/>
  <c r="Y27" i="2" s="1"/>
  <c r="N28" i="2"/>
  <c r="O30" i="2"/>
  <c r="P30" i="2" s="1"/>
  <c r="Q30" i="2" s="1"/>
  <c r="R30" i="2" s="1"/>
  <c r="S30" i="2" s="1"/>
  <c r="T30" i="2" s="1"/>
  <c r="U30" i="2" s="1"/>
  <c r="V30" i="2" s="1"/>
  <c r="W30" i="2" s="1"/>
  <c r="X30" i="2" s="1"/>
  <c r="Y30" i="2" s="1"/>
  <c r="O31" i="2"/>
  <c r="P31" i="2" s="1"/>
  <c r="Q31" i="2" s="1"/>
  <c r="R31" i="2" s="1"/>
  <c r="S31" i="2" s="1"/>
  <c r="T31" i="2" s="1"/>
  <c r="U31" i="2" s="1"/>
  <c r="V31" i="2" s="1"/>
  <c r="W31" i="2" s="1"/>
  <c r="X31" i="2" s="1"/>
  <c r="Y31" i="2" s="1"/>
  <c r="M32" i="2"/>
  <c r="M33" i="2"/>
  <c r="M34" i="2"/>
  <c r="M35" i="2"/>
  <c r="N35" i="2" s="1"/>
  <c r="O35" i="2" s="1"/>
  <c r="P35" i="2" s="1"/>
  <c r="Q35" i="2" s="1"/>
  <c r="R35" i="2" s="1"/>
  <c r="S35" i="2" s="1"/>
  <c r="T35" i="2" s="1"/>
  <c r="U35" i="2" s="1"/>
  <c r="V35" i="2" s="1"/>
  <c r="W35" i="2" s="1"/>
  <c r="X35" i="2" s="1"/>
  <c r="Y35" i="2" s="1"/>
  <c r="M36" i="2"/>
  <c r="N36" i="2" s="1"/>
  <c r="O36" i="2" s="1"/>
  <c r="P36" i="2" s="1"/>
  <c r="Q36" i="2" s="1"/>
  <c r="R36" i="2" s="1"/>
  <c r="S36" i="2" s="1"/>
  <c r="T36" i="2" s="1"/>
  <c r="U36" i="2" s="1"/>
  <c r="V36" i="2" s="1"/>
  <c r="W36" i="2" s="1"/>
  <c r="X36" i="2" s="1"/>
  <c r="Y36" i="2" s="1"/>
  <c r="M37" i="2"/>
  <c r="M38" i="2"/>
  <c r="N38" i="2" s="1"/>
  <c r="O38" i="2" s="1"/>
  <c r="P38" i="2" s="1"/>
  <c r="Q38" i="2" s="1"/>
  <c r="R38" i="2" s="1"/>
  <c r="S38" i="2" s="1"/>
  <c r="T38" i="2" s="1"/>
  <c r="U38" i="2" s="1"/>
  <c r="V38" i="2" s="1"/>
  <c r="W38" i="2" s="1"/>
  <c r="X38" i="2" s="1"/>
  <c r="Y38" i="2" s="1"/>
  <c r="N39" i="2"/>
  <c r="O39" i="2" s="1"/>
  <c r="P39" i="2" s="1"/>
  <c r="Q39" i="2" s="1"/>
  <c r="R39" i="2" s="1"/>
  <c r="S39" i="2" s="1"/>
  <c r="T39" i="2" s="1"/>
  <c r="U39" i="2" s="1"/>
  <c r="V39" i="2" s="1"/>
  <c r="W39" i="2" s="1"/>
  <c r="X39" i="2" s="1"/>
  <c r="Y39" i="2" s="1"/>
  <c r="N40" i="2"/>
  <c r="O40" i="2" s="1"/>
  <c r="P40" i="2" s="1"/>
  <c r="Q40" i="2" s="1"/>
  <c r="M41" i="2"/>
  <c r="N41" i="2" s="1"/>
  <c r="O41" i="2" s="1"/>
  <c r="P41" i="2" s="1"/>
  <c r="Q41" i="2" s="1"/>
  <c r="R41" i="2" s="1"/>
  <c r="S41" i="2" s="1"/>
  <c r="T41" i="2" s="1"/>
  <c r="U41" i="2" s="1"/>
  <c r="V41" i="2" s="1"/>
  <c r="W41" i="2" s="1"/>
  <c r="X41" i="2" s="1"/>
  <c r="Y41" i="2" s="1"/>
  <c r="O42" i="2"/>
  <c r="P42" i="2" s="1"/>
  <c r="Q42" i="2" s="1"/>
  <c r="R42" i="2" s="1"/>
  <c r="S42" i="2" s="1"/>
  <c r="T42" i="2" s="1"/>
  <c r="U42" i="2" s="1"/>
  <c r="V42" i="2" s="1"/>
  <c r="W42" i="2" s="1"/>
  <c r="X42" i="2" s="1"/>
  <c r="Y42" i="2" s="1"/>
  <c r="M43" i="2"/>
  <c r="N43" i="2" s="1"/>
  <c r="O43" i="2" s="1"/>
  <c r="P43" i="2" s="1"/>
  <c r="Q43" i="2" s="1"/>
  <c r="R43" i="2" s="1"/>
  <c r="S43" i="2" s="1"/>
  <c r="T43" i="2" s="1"/>
  <c r="U43" i="2" s="1"/>
  <c r="V43" i="2" s="1"/>
  <c r="W43" i="2" s="1"/>
  <c r="X43" i="2" s="1"/>
  <c r="Y43" i="2" s="1"/>
  <c r="M44" i="2"/>
  <c r="N44" i="2" s="1"/>
  <c r="O44" i="2" s="1"/>
  <c r="P44" i="2" s="1"/>
  <c r="Q44" i="2" s="1"/>
  <c r="R44" i="2" s="1"/>
  <c r="S44" i="2" s="1"/>
  <c r="T44" i="2" s="1"/>
  <c r="U44" i="2" s="1"/>
  <c r="V44" i="2" s="1"/>
  <c r="W44" i="2" s="1"/>
  <c r="X44" i="2" s="1"/>
  <c r="Y44" i="2" s="1"/>
  <c r="M45" i="2"/>
  <c r="N45" i="2" s="1"/>
  <c r="O45" i="2" s="1"/>
  <c r="P45" i="2" s="1"/>
  <c r="Q45" i="2" s="1"/>
  <c r="R45" i="2" s="1"/>
  <c r="S45" i="2" s="1"/>
  <c r="T45" i="2" s="1"/>
  <c r="U45" i="2" s="1"/>
  <c r="V45" i="2" s="1"/>
  <c r="W45" i="2" s="1"/>
  <c r="X45" i="2" s="1"/>
  <c r="Y45" i="2" s="1"/>
  <c r="M46" i="2"/>
  <c r="N46" i="2" s="1"/>
  <c r="O46" i="2" s="1"/>
  <c r="P46" i="2" s="1"/>
  <c r="Q46" i="2" s="1"/>
  <c r="R46" i="2" s="1"/>
  <c r="S46" i="2" s="1"/>
  <c r="T46" i="2" s="1"/>
  <c r="U46" i="2" s="1"/>
  <c r="V46" i="2" s="1"/>
  <c r="W46" i="2" s="1"/>
  <c r="X46" i="2" s="1"/>
  <c r="Y46" i="2" s="1"/>
  <c r="Y53" i="3"/>
  <c r="Y89" i="3"/>
  <c r="O28" i="2" l="1"/>
  <c r="N28" i="3"/>
  <c r="R73" i="1"/>
  <c r="S73" i="1"/>
  <c r="N34" i="2"/>
  <c r="O34" i="2" s="1"/>
  <c r="P34" i="2" s="1"/>
  <c r="Q34" i="2" s="1"/>
  <c r="R34" i="2" s="1"/>
  <c r="S34" i="2" s="1"/>
  <c r="T34" i="2" s="1"/>
  <c r="U34" i="2" s="1"/>
  <c r="V34" i="2" s="1"/>
  <c r="W34" i="2" s="1"/>
  <c r="X34" i="2" s="1"/>
  <c r="Y34" i="2" s="1"/>
  <c r="N33" i="2"/>
  <c r="O33" i="2" s="1"/>
  <c r="P33" i="2" s="1"/>
  <c r="Q33" i="2" s="1"/>
  <c r="R33" i="2" s="1"/>
  <c r="S33" i="2" s="1"/>
  <c r="T33" i="2" s="1"/>
  <c r="U33" i="2" s="1"/>
  <c r="V33" i="2" s="1"/>
  <c r="W33" i="2" s="1"/>
  <c r="X33" i="2" s="1"/>
  <c r="Y33" i="2" s="1"/>
  <c r="N32" i="2"/>
  <c r="O32" i="2" s="1"/>
  <c r="P32" i="2" s="1"/>
  <c r="Q32" i="2" s="1"/>
  <c r="R32" i="2" s="1"/>
  <c r="S32" i="2" s="1"/>
  <c r="T32" i="2" s="1"/>
  <c r="U32" i="2" s="1"/>
  <c r="V32" i="2" s="1"/>
  <c r="W32" i="2" s="1"/>
  <c r="X32" i="2" s="1"/>
  <c r="Y32" i="2" s="1"/>
  <c r="N37" i="2"/>
  <c r="O37" i="2" s="1"/>
  <c r="P37" i="2" s="1"/>
  <c r="Q37" i="2" s="1"/>
  <c r="R37" i="2" s="1"/>
  <c r="S37" i="2" s="1"/>
  <c r="T37" i="2" s="1"/>
  <c r="U37" i="2" s="1"/>
  <c r="V37" i="2" s="1"/>
  <c r="W37" i="2" s="1"/>
  <c r="X37" i="2" s="1"/>
  <c r="Y37" i="2" s="1"/>
  <c r="R40" i="2"/>
  <c r="S40" i="2" s="1"/>
  <c r="T40" i="2" s="1"/>
  <c r="U40" i="2" s="1"/>
  <c r="V40" i="2" s="1"/>
  <c r="W40" i="2" s="1"/>
  <c r="X40" i="2" s="1"/>
  <c r="Y40" i="2" s="1"/>
  <c r="N23" i="2"/>
  <c r="O23" i="2" s="1"/>
  <c r="P23" i="2" s="1"/>
  <c r="J40" i="13"/>
  <c r="O22" i="2"/>
  <c r="P22" i="2" s="1"/>
  <c r="Q22" i="2" s="1"/>
  <c r="R22" i="2" s="1"/>
  <c r="S22" i="2" s="1"/>
  <c r="T22" i="2" s="1"/>
  <c r="U22" i="2" s="1"/>
  <c r="V22" i="2" s="1"/>
  <c r="W22" i="2" s="1"/>
  <c r="X22" i="2" s="1"/>
  <c r="Y22" i="2" s="1"/>
  <c r="P25" i="2"/>
  <c r="O24" i="2"/>
  <c r="P24" i="2" s="1"/>
  <c r="Q24" i="2" s="1"/>
  <c r="R24" i="2" s="1"/>
  <c r="S24" i="2" s="1"/>
  <c r="T24" i="2" s="1"/>
  <c r="U24" i="2" s="1"/>
  <c r="V24" i="2" s="1"/>
  <c r="W24" i="2" s="1"/>
  <c r="X24" i="2" s="1"/>
  <c r="Y24" i="2" s="1"/>
  <c r="O29" i="2"/>
  <c r="O89" i="5"/>
  <c r="P89" i="5" s="1"/>
  <c r="O53" i="5"/>
  <c r="R89" i="3"/>
  <c r="U89" i="3"/>
  <c r="T53" i="3"/>
  <c r="N53" i="3"/>
  <c r="S89" i="3"/>
  <c r="R53" i="3"/>
  <c r="O89" i="3"/>
  <c r="X53" i="3"/>
  <c r="V53" i="3"/>
  <c r="Q89" i="3"/>
  <c r="M89" i="3"/>
  <c r="W89" i="3"/>
  <c r="Q53" i="3"/>
  <c r="P53" i="3"/>
  <c r="M53" i="3"/>
  <c r="S53" i="3"/>
  <c r="P89" i="3"/>
  <c r="O53" i="3"/>
  <c r="N89" i="3"/>
  <c r="U53" i="3"/>
  <c r="X89" i="3"/>
  <c r="W53" i="3"/>
  <c r="T89" i="3"/>
  <c r="V89" i="3"/>
  <c r="M152" i="14"/>
  <c r="L152" i="14"/>
  <c r="K152" i="14"/>
  <c r="O21" i="2"/>
  <c r="O20" i="2"/>
  <c r="O26" i="2"/>
  <c r="P26" i="2" s="1"/>
  <c r="Q26" i="2" s="1"/>
  <c r="R26" i="2" s="1"/>
  <c r="S26" i="2" s="1"/>
  <c r="T26" i="2" s="1"/>
  <c r="U26" i="2" s="1"/>
  <c r="V26" i="2" s="1"/>
  <c r="W26" i="2" s="1"/>
  <c r="X26" i="2" s="1"/>
  <c r="Y26" i="2" s="1"/>
  <c r="D756" i="7"/>
  <c r="P20" i="2" l="1"/>
  <c r="P28" i="2"/>
  <c r="O28" i="3"/>
  <c r="T73" i="1"/>
  <c r="C762" i="7"/>
  <c r="C699" i="7"/>
  <c r="C720" i="7"/>
  <c r="C741" i="7"/>
  <c r="C375" i="3"/>
  <c r="C761" i="7"/>
  <c r="C719" i="7"/>
  <c r="C698" i="7"/>
  <c r="C740" i="7"/>
  <c r="C374" i="3"/>
  <c r="K40" i="13"/>
  <c r="Q25" i="2"/>
  <c r="Q23" i="2"/>
  <c r="P29" i="2"/>
  <c r="P53" i="5"/>
  <c r="Q89" i="5"/>
  <c r="O18" i="2"/>
  <c r="O183" i="3" s="1"/>
  <c r="P21" i="2"/>
  <c r="Q20" i="2" l="1"/>
  <c r="Q28" i="2"/>
  <c r="P28" i="3"/>
  <c r="L40" i="13"/>
  <c r="L41" i="13" s="1"/>
  <c r="U73" i="1"/>
  <c r="R25" i="2"/>
  <c r="R23" i="2"/>
  <c r="Q29" i="2"/>
  <c r="Q53" i="5"/>
  <c r="R53" i="5" s="1"/>
  <c r="S53" i="5" s="1"/>
  <c r="R89" i="5"/>
  <c r="S89" i="5" s="1"/>
  <c r="T89" i="5" s="1"/>
  <c r="P18" i="2"/>
  <c r="P183" i="3" s="1"/>
  <c r="N152" i="14"/>
  <c r="O152" i="14"/>
  <c r="Q21" i="2"/>
  <c r="G287" i="3"/>
  <c r="H287" i="3"/>
  <c r="G377" i="3" s="1"/>
  <c r="I287" i="3"/>
  <c r="H377" i="3" s="1"/>
  <c r="J287" i="3"/>
  <c r="K287" i="3"/>
  <c r="L287" i="3"/>
  <c r="G288" i="3"/>
  <c r="H288" i="3"/>
  <c r="I288" i="3"/>
  <c r="J288" i="3"/>
  <c r="K288" i="3"/>
  <c r="L288" i="3"/>
  <c r="G289" i="3"/>
  <c r="H289" i="3"/>
  <c r="I289" i="3"/>
  <c r="J289" i="3"/>
  <c r="K289" i="3"/>
  <c r="L289" i="3"/>
  <c r="G290" i="3"/>
  <c r="H290" i="3"/>
  <c r="I290" i="3"/>
  <c r="J290" i="3"/>
  <c r="K290" i="3"/>
  <c r="L290" i="3"/>
  <c r="G291" i="3"/>
  <c r="H291" i="3"/>
  <c r="I291" i="3"/>
  <c r="J291" i="3"/>
  <c r="K291" i="3"/>
  <c r="L291" i="3"/>
  <c r="G292" i="3"/>
  <c r="H292" i="3"/>
  <c r="I292" i="3"/>
  <c r="J292" i="3"/>
  <c r="K292" i="3"/>
  <c r="L292" i="3"/>
  <c r="G293" i="3"/>
  <c r="H293" i="3"/>
  <c r="I293" i="3"/>
  <c r="J293" i="3"/>
  <c r="K293" i="3"/>
  <c r="L293" i="3"/>
  <c r="G294" i="3"/>
  <c r="H294" i="3"/>
  <c r="I294" i="3"/>
  <c r="J294" i="3"/>
  <c r="K294" i="3"/>
  <c r="L294" i="3"/>
  <c r="G295" i="3"/>
  <c r="H295" i="3"/>
  <c r="I295" i="3"/>
  <c r="J295" i="3"/>
  <c r="K295" i="3"/>
  <c r="L295" i="3"/>
  <c r="G296" i="3"/>
  <c r="H296" i="3"/>
  <c r="I296" i="3"/>
  <c r="J296" i="3"/>
  <c r="K296" i="3"/>
  <c r="L296" i="3"/>
  <c r="G297" i="3"/>
  <c r="H297" i="3"/>
  <c r="I297" i="3"/>
  <c r="J297" i="3"/>
  <c r="K297" i="3"/>
  <c r="L297" i="3"/>
  <c r="R20" i="2" l="1"/>
  <c r="R28" i="2"/>
  <c r="Q28" i="3"/>
  <c r="M40" i="13"/>
  <c r="M41" i="13" s="1"/>
  <c r="V73" i="1"/>
  <c r="F377" i="3"/>
  <c r="J377" i="3"/>
  <c r="K377" i="3"/>
  <c r="I377" i="3"/>
  <c r="S25" i="2"/>
  <c r="S23" i="2"/>
  <c r="R29" i="2"/>
  <c r="U89" i="5"/>
  <c r="V89" i="5" s="1"/>
  <c r="W89" i="5" s="1"/>
  <c r="X89" i="5" s="1"/>
  <c r="Y89" i="5" s="1"/>
  <c r="Z89" i="5" s="1"/>
  <c r="T53" i="5"/>
  <c r="U53" i="5" s="1"/>
  <c r="V53" i="5" s="1"/>
  <c r="W53" i="5" s="1"/>
  <c r="Q18" i="2"/>
  <c r="Q183" i="3" s="1"/>
  <c r="P152" i="14"/>
  <c r="R21" i="2"/>
  <c r="G86" i="3"/>
  <c r="H86" i="3"/>
  <c r="I86" i="3"/>
  <c r="J86" i="3"/>
  <c r="K86" i="3"/>
  <c r="L86" i="3"/>
  <c r="G87" i="3"/>
  <c r="H87" i="3"/>
  <c r="I87" i="3"/>
  <c r="J87" i="3"/>
  <c r="K87" i="3"/>
  <c r="L87" i="3"/>
  <c r="G88" i="3"/>
  <c r="H88" i="3"/>
  <c r="I88" i="3"/>
  <c r="J88" i="3"/>
  <c r="K88" i="3"/>
  <c r="L88" i="3"/>
  <c r="G90" i="3"/>
  <c r="H90" i="3"/>
  <c r="I90" i="3"/>
  <c r="J90" i="3"/>
  <c r="K90" i="3"/>
  <c r="L90" i="3"/>
  <c r="G91" i="3"/>
  <c r="H91" i="3"/>
  <c r="I91" i="3"/>
  <c r="J91" i="3"/>
  <c r="K91" i="3"/>
  <c r="L91" i="3"/>
  <c r="G92" i="3"/>
  <c r="H92" i="3"/>
  <c r="I92" i="3"/>
  <c r="J92" i="3"/>
  <c r="K92" i="3"/>
  <c r="L92" i="3"/>
  <c r="G93" i="3"/>
  <c r="H93" i="3"/>
  <c r="I93" i="3"/>
  <c r="J93" i="3"/>
  <c r="K93" i="3"/>
  <c r="L93" i="3"/>
  <c r="G94" i="3"/>
  <c r="H94" i="3"/>
  <c r="I94" i="3"/>
  <c r="J94" i="3"/>
  <c r="K94" i="3"/>
  <c r="L94" i="3"/>
  <c r="F87" i="3"/>
  <c r="F88" i="3"/>
  <c r="F90" i="3"/>
  <c r="F91" i="3"/>
  <c r="F92" i="3"/>
  <c r="F93" i="3"/>
  <c r="F94" i="3"/>
  <c r="G203" i="3"/>
  <c r="H203" i="3"/>
  <c r="I203" i="3"/>
  <c r="J203" i="3"/>
  <c r="K203" i="3"/>
  <c r="L203" i="3"/>
  <c r="G204" i="3"/>
  <c r="H204" i="3"/>
  <c r="I204" i="3"/>
  <c r="J204" i="3"/>
  <c r="K204" i="3"/>
  <c r="L204" i="3"/>
  <c r="G205" i="3"/>
  <c r="H205" i="3"/>
  <c r="I205" i="3"/>
  <c r="J205" i="3"/>
  <c r="K205" i="3"/>
  <c r="L205" i="3"/>
  <c r="G206" i="3"/>
  <c r="H206" i="3"/>
  <c r="I206" i="3"/>
  <c r="J206" i="3"/>
  <c r="K206" i="3"/>
  <c r="L206" i="3"/>
  <c r="G207" i="3"/>
  <c r="H207" i="3"/>
  <c r="I207" i="3"/>
  <c r="J207" i="3"/>
  <c r="K207" i="3"/>
  <c r="L207" i="3"/>
  <c r="F204" i="3"/>
  <c r="F205" i="3"/>
  <c r="F206" i="3"/>
  <c r="F207" i="3"/>
  <c r="G231" i="3"/>
  <c r="H231" i="3"/>
  <c r="I231" i="3"/>
  <c r="J231" i="3"/>
  <c r="K231" i="3"/>
  <c r="L231" i="3"/>
  <c r="G232" i="3"/>
  <c r="H232" i="3"/>
  <c r="I232" i="3"/>
  <c r="J232" i="3"/>
  <c r="K232" i="3"/>
  <c r="L232" i="3"/>
  <c r="G234" i="3"/>
  <c r="H234" i="3"/>
  <c r="I234" i="3"/>
  <c r="J234" i="3"/>
  <c r="K234" i="3"/>
  <c r="L234" i="3"/>
  <c r="G235" i="3"/>
  <c r="H235" i="3"/>
  <c r="I235" i="3"/>
  <c r="J235" i="3"/>
  <c r="K235" i="3"/>
  <c r="L235" i="3"/>
  <c r="G236" i="3"/>
  <c r="H236" i="3"/>
  <c r="I236" i="3"/>
  <c r="J236" i="3"/>
  <c r="K236" i="3"/>
  <c r="L236" i="3"/>
  <c r="F232" i="3"/>
  <c r="F234" i="3"/>
  <c r="F235" i="3"/>
  <c r="F236" i="3"/>
  <c r="G325" i="3"/>
  <c r="H325" i="3"/>
  <c r="I325" i="3"/>
  <c r="J325" i="3"/>
  <c r="K325" i="3"/>
  <c r="L325" i="3"/>
  <c r="G326" i="3"/>
  <c r="H326" i="3"/>
  <c r="I326" i="3"/>
  <c r="J326" i="3"/>
  <c r="K326" i="3"/>
  <c r="L326" i="3"/>
  <c r="G327" i="3"/>
  <c r="H327" i="3"/>
  <c r="I327" i="3"/>
  <c r="J327" i="3"/>
  <c r="K327" i="3"/>
  <c r="L327" i="3"/>
  <c r="G328" i="3"/>
  <c r="F380" i="3" s="1"/>
  <c r="H328" i="3"/>
  <c r="G380" i="3" s="1"/>
  <c r="I328" i="3"/>
  <c r="H380" i="3" s="1"/>
  <c r="J328" i="3"/>
  <c r="I380" i="3" s="1"/>
  <c r="K328" i="3"/>
  <c r="J380" i="3" s="1"/>
  <c r="L328" i="3"/>
  <c r="K380" i="3" s="1"/>
  <c r="G329" i="3"/>
  <c r="H329" i="3"/>
  <c r="I329" i="3"/>
  <c r="J329" i="3"/>
  <c r="K329" i="3"/>
  <c r="L329" i="3"/>
  <c r="G330" i="3"/>
  <c r="F381" i="3" s="1"/>
  <c r="H330" i="3"/>
  <c r="G381" i="3" s="1"/>
  <c r="I330" i="3"/>
  <c r="H381" i="3" s="1"/>
  <c r="J330" i="3"/>
  <c r="I381" i="3" s="1"/>
  <c r="K330" i="3"/>
  <c r="J381" i="3" s="1"/>
  <c r="L330" i="3"/>
  <c r="K381" i="3" s="1"/>
  <c r="G331" i="3"/>
  <c r="H331" i="3"/>
  <c r="I331" i="3"/>
  <c r="J331" i="3"/>
  <c r="K331" i="3"/>
  <c r="L331" i="3"/>
  <c r="G332" i="3"/>
  <c r="H332" i="3"/>
  <c r="I332" i="3"/>
  <c r="J332" i="3"/>
  <c r="K332" i="3"/>
  <c r="L332" i="3"/>
  <c r="F326" i="3"/>
  <c r="F327" i="3"/>
  <c r="F328" i="3"/>
  <c r="E380" i="3" s="1"/>
  <c r="F329" i="3"/>
  <c r="F330" i="3"/>
  <c r="E381" i="3" s="1"/>
  <c r="F331" i="3"/>
  <c r="F332" i="3"/>
  <c r="G253" i="3"/>
  <c r="H253" i="3"/>
  <c r="I253" i="3"/>
  <c r="J253" i="3"/>
  <c r="K253" i="3"/>
  <c r="L253" i="3"/>
  <c r="G255" i="3"/>
  <c r="H255" i="3"/>
  <c r="I255" i="3"/>
  <c r="J255" i="3"/>
  <c r="K255" i="3"/>
  <c r="L255" i="3"/>
  <c r="G256" i="3"/>
  <c r="H256" i="3"/>
  <c r="I256" i="3"/>
  <c r="J256" i="3"/>
  <c r="K256" i="3"/>
  <c r="L256" i="3"/>
  <c r="G257" i="3"/>
  <c r="H257" i="3"/>
  <c r="I257" i="3"/>
  <c r="J257" i="3"/>
  <c r="K257" i="3"/>
  <c r="L257" i="3"/>
  <c r="G258" i="3"/>
  <c r="H258" i="3"/>
  <c r="I258" i="3"/>
  <c r="J258" i="3"/>
  <c r="K258" i="3"/>
  <c r="L258" i="3"/>
  <c r="F255" i="3"/>
  <c r="F256" i="3"/>
  <c r="F257" i="3"/>
  <c r="F258" i="3"/>
  <c r="X92" i="4"/>
  <c r="W92" i="4"/>
  <c r="V92" i="4"/>
  <c r="U92" i="4"/>
  <c r="T92" i="4"/>
  <c r="S92" i="4"/>
  <c r="R92" i="4"/>
  <c r="Q92" i="4"/>
  <c r="P92" i="4"/>
  <c r="O92" i="4"/>
  <c r="N92" i="4"/>
  <c r="M92" i="4"/>
  <c r="L92" i="4"/>
  <c r="K92" i="4"/>
  <c r="G466" i="3" s="1"/>
  <c r="J92" i="4"/>
  <c r="I92" i="4"/>
  <c r="H92" i="4"/>
  <c r="G92" i="4"/>
  <c r="F92" i="4"/>
  <c r="E92" i="4"/>
  <c r="E92" i="5"/>
  <c r="G92" i="5"/>
  <c r="H92" i="5"/>
  <c r="I92" i="5"/>
  <c r="H257" i="7" s="1"/>
  <c r="J92" i="5"/>
  <c r="I602" i="7" s="1"/>
  <c r="K92" i="5"/>
  <c r="J602" i="7" s="1"/>
  <c r="L92" i="5"/>
  <c r="K602" i="7" s="1"/>
  <c r="M92" i="5"/>
  <c r="L602" i="7" s="1"/>
  <c r="D602" i="7"/>
  <c r="B38" i="13"/>
  <c r="B36" i="13"/>
  <c r="B34" i="13"/>
  <c r="G19" i="5"/>
  <c r="G42" i="3"/>
  <c r="H42" i="3"/>
  <c r="I42" i="3"/>
  <c r="J42" i="3"/>
  <c r="K42" i="3"/>
  <c r="L42" i="3"/>
  <c r="F42" i="3"/>
  <c r="F37" i="3"/>
  <c r="G37" i="3"/>
  <c r="H37" i="3"/>
  <c r="I37" i="3"/>
  <c r="J37" i="3"/>
  <c r="K37" i="3"/>
  <c r="L37" i="3"/>
  <c r="D367" i="7"/>
  <c r="D371" i="7"/>
  <c r="D369" i="7"/>
  <c r="D204" i="7"/>
  <c r="D206" i="7"/>
  <c r="D202" i="7"/>
  <c r="D41" i="7"/>
  <c r="D39" i="7"/>
  <c r="D37" i="7"/>
  <c r="D39" i="3"/>
  <c r="E90" i="5"/>
  <c r="G90" i="5"/>
  <c r="H90" i="5"/>
  <c r="I90" i="5"/>
  <c r="J90" i="5"/>
  <c r="K90" i="5"/>
  <c r="L90" i="5"/>
  <c r="M90" i="5"/>
  <c r="E70" i="5"/>
  <c r="E69" i="5"/>
  <c r="D547" i="7"/>
  <c r="D551" i="7"/>
  <c r="D202" i="3"/>
  <c r="F202" i="3"/>
  <c r="E39" i="5"/>
  <c r="D39" i="5"/>
  <c r="D549" i="7"/>
  <c r="D206" i="3"/>
  <c r="D204" i="3"/>
  <c r="D207" i="3"/>
  <c r="D42" i="3"/>
  <c r="D37" i="3"/>
  <c r="E42" i="5"/>
  <c r="E41" i="5"/>
  <c r="D42" i="5"/>
  <c r="G42" i="5"/>
  <c r="H42" i="5"/>
  <c r="I42" i="5"/>
  <c r="H372" i="7" s="1"/>
  <c r="J42" i="5"/>
  <c r="I372" i="7" s="1"/>
  <c r="K42" i="5"/>
  <c r="J372" i="7" s="1"/>
  <c r="L42" i="5"/>
  <c r="K372" i="7" s="1"/>
  <c r="M42" i="5"/>
  <c r="L372" i="7" s="1"/>
  <c r="D41" i="5"/>
  <c r="G41" i="5"/>
  <c r="H41" i="5"/>
  <c r="I41" i="5"/>
  <c r="J41" i="5"/>
  <c r="K41" i="5"/>
  <c r="L41" i="5"/>
  <c r="K206" i="7" s="1"/>
  <c r="M41" i="5"/>
  <c r="L206" i="7" s="1"/>
  <c r="X90" i="4"/>
  <c r="W90" i="4"/>
  <c r="V90" i="4"/>
  <c r="U90" i="4"/>
  <c r="T90" i="4"/>
  <c r="S90" i="4"/>
  <c r="R90" i="4"/>
  <c r="Q90" i="4"/>
  <c r="P90" i="4"/>
  <c r="O90" i="4"/>
  <c r="N90" i="4"/>
  <c r="M90" i="4"/>
  <c r="L90" i="4"/>
  <c r="K90" i="4"/>
  <c r="G464" i="3" s="1"/>
  <c r="J90" i="4"/>
  <c r="I90" i="4"/>
  <c r="H90" i="4"/>
  <c r="G90" i="4"/>
  <c r="F90" i="4"/>
  <c r="E90" i="4"/>
  <c r="G69" i="4"/>
  <c r="H69" i="4"/>
  <c r="I69" i="4"/>
  <c r="J69" i="4"/>
  <c r="K69" i="4"/>
  <c r="G443" i="3" s="1"/>
  <c r="L69" i="4"/>
  <c r="M69" i="4"/>
  <c r="N69" i="4"/>
  <c r="O69" i="4"/>
  <c r="P69" i="4"/>
  <c r="Q69" i="4"/>
  <c r="R69" i="4"/>
  <c r="S69" i="4"/>
  <c r="T69" i="4"/>
  <c r="U69" i="4"/>
  <c r="V69" i="4"/>
  <c r="W69" i="4"/>
  <c r="X69" i="4"/>
  <c r="F69" i="4"/>
  <c r="E69" i="4"/>
  <c r="F41" i="4"/>
  <c r="G41" i="4"/>
  <c r="H41" i="4"/>
  <c r="I41" i="4"/>
  <c r="J41" i="4"/>
  <c r="K41" i="4"/>
  <c r="L41" i="4"/>
  <c r="M41" i="4"/>
  <c r="N41" i="4"/>
  <c r="O41" i="4"/>
  <c r="P41" i="4"/>
  <c r="Q41" i="4"/>
  <c r="R41" i="4"/>
  <c r="S41" i="4"/>
  <c r="T41" i="4"/>
  <c r="U41" i="4"/>
  <c r="V41" i="4"/>
  <c r="W41" i="4"/>
  <c r="X41" i="4"/>
  <c r="E41" i="4"/>
  <c r="C41" i="4"/>
  <c r="C218" i="4" s="1"/>
  <c r="C37" i="4"/>
  <c r="C214" i="4" s="1"/>
  <c r="Y37" i="3"/>
  <c r="X39" i="4"/>
  <c r="W39" i="4"/>
  <c r="V39" i="4"/>
  <c r="U39" i="4"/>
  <c r="T39" i="4"/>
  <c r="S39" i="4"/>
  <c r="R39" i="4"/>
  <c r="Q39" i="4"/>
  <c r="P39" i="4"/>
  <c r="O39" i="4"/>
  <c r="N39" i="4"/>
  <c r="M39" i="4"/>
  <c r="L39" i="4"/>
  <c r="K39" i="4"/>
  <c r="J39" i="4"/>
  <c r="I39" i="4"/>
  <c r="H39" i="4"/>
  <c r="G39" i="4"/>
  <c r="F39" i="4"/>
  <c r="E39" i="4"/>
  <c r="S20" i="2" l="1"/>
  <c r="S28" i="2"/>
  <c r="R28" i="3"/>
  <c r="N40" i="13"/>
  <c r="N41" i="13" s="1"/>
  <c r="W73" i="1"/>
  <c r="T25" i="2"/>
  <c r="T23" i="2"/>
  <c r="S29" i="2"/>
  <c r="N90" i="5"/>
  <c r="X53" i="5"/>
  <c r="Y53" i="5" s="1"/>
  <c r="Z53" i="5" s="1"/>
  <c r="N41" i="5"/>
  <c r="O41" i="5" s="1"/>
  <c r="F372" i="7"/>
  <c r="N42" i="5"/>
  <c r="O42" i="5" s="1"/>
  <c r="P42" i="5" s="1"/>
  <c r="F602" i="7"/>
  <c r="N92" i="5"/>
  <c r="O92" i="5" s="1"/>
  <c r="R18" i="2"/>
  <c r="R183" i="3" s="1"/>
  <c r="J600" i="7"/>
  <c r="D89" i="5"/>
  <c r="C89" i="4"/>
  <c r="D89" i="3"/>
  <c r="D89" i="7"/>
  <c r="D68" i="3"/>
  <c r="D68" i="5"/>
  <c r="D68" i="7"/>
  <c r="C68" i="4"/>
  <c r="Q152" i="14"/>
  <c r="S21" i="2"/>
  <c r="F422" i="7"/>
  <c r="L422" i="7"/>
  <c r="K422" i="7"/>
  <c r="D257" i="7"/>
  <c r="J422" i="7"/>
  <c r="M206" i="3"/>
  <c r="M234" i="3"/>
  <c r="M92" i="3"/>
  <c r="G422" i="7"/>
  <c r="D257" i="3"/>
  <c r="D422" i="7"/>
  <c r="M257" i="3"/>
  <c r="D399" i="7"/>
  <c r="I422" i="7"/>
  <c r="H422" i="7"/>
  <c r="H602" i="7"/>
  <c r="G602" i="7"/>
  <c r="K420" i="7"/>
  <c r="G257" i="7"/>
  <c r="J420" i="7"/>
  <c r="I420" i="7"/>
  <c r="H420" i="7"/>
  <c r="L257" i="7"/>
  <c r="G420" i="7"/>
  <c r="K257" i="7"/>
  <c r="F257" i="7"/>
  <c r="J257" i="7"/>
  <c r="I257" i="7"/>
  <c r="L420" i="7"/>
  <c r="D600" i="7"/>
  <c r="D420" i="7"/>
  <c r="D234" i="7"/>
  <c r="F255" i="7"/>
  <c r="D255" i="3"/>
  <c r="D255" i="7"/>
  <c r="D579" i="7"/>
  <c r="D234" i="3"/>
  <c r="F420" i="7"/>
  <c r="P37" i="3"/>
  <c r="J255" i="7"/>
  <c r="H551" i="7"/>
  <c r="H206" i="7"/>
  <c r="H371" i="7"/>
  <c r="I600" i="7"/>
  <c r="I255" i="7"/>
  <c r="W37" i="3"/>
  <c r="O37" i="3"/>
  <c r="F600" i="7"/>
  <c r="X37" i="3"/>
  <c r="F206" i="7"/>
  <c r="F551" i="7"/>
  <c r="G600" i="7"/>
  <c r="G255" i="7"/>
  <c r="U37" i="3"/>
  <c r="F552" i="7"/>
  <c r="N37" i="3"/>
  <c r="T37" i="3"/>
  <c r="G372" i="7"/>
  <c r="I551" i="7"/>
  <c r="I206" i="7"/>
  <c r="G551" i="7"/>
  <c r="G371" i="7"/>
  <c r="H600" i="7"/>
  <c r="H255" i="7"/>
  <c r="V37" i="3"/>
  <c r="L371" i="7"/>
  <c r="L551" i="7"/>
  <c r="S37" i="3"/>
  <c r="K371" i="7"/>
  <c r="K551" i="7"/>
  <c r="L600" i="7"/>
  <c r="L255" i="7"/>
  <c r="R37" i="3"/>
  <c r="G206" i="7"/>
  <c r="K600" i="7"/>
  <c r="J371" i="7"/>
  <c r="J551" i="7"/>
  <c r="J206" i="7"/>
  <c r="M37" i="3"/>
  <c r="Q37" i="3"/>
  <c r="K255" i="7"/>
  <c r="F371" i="7"/>
  <c r="I371" i="7"/>
  <c r="T20" i="2" l="1"/>
  <c r="T28" i="2"/>
  <c r="S28" i="3"/>
  <c r="O40" i="13"/>
  <c r="O41" i="13" s="1"/>
  <c r="X73" i="1"/>
  <c r="U25" i="2"/>
  <c r="U23" i="2"/>
  <c r="T29" i="2"/>
  <c r="P41" i="5"/>
  <c r="Q41" i="5" s="1"/>
  <c r="R41" i="5" s="1"/>
  <c r="P92" i="5"/>
  <c r="Q42" i="5"/>
  <c r="R42" i="5" s="1"/>
  <c r="O90" i="5"/>
  <c r="P90" i="5" s="1"/>
  <c r="S18" i="2"/>
  <c r="S183" i="3" s="1"/>
  <c r="R152" i="14"/>
  <c r="T21" i="2"/>
  <c r="N206" i="3"/>
  <c r="N257" i="3"/>
  <c r="N92" i="3"/>
  <c r="N234" i="3"/>
  <c r="M204" i="3"/>
  <c r="C39" i="4"/>
  <c r="C216" i="4" s="1"/>
  <c r="U20" i="2" l="1"/>
  <c r="U28" i="2"/>
  <c r="T28" i="3"/>
  <c r="Y73" i="1"/>
  <c r="Z73" i="1"/>
  <c r="P40" i="13"/>
  <c r="P41" i="13" s="1"/>
  <c r="V25" i="2"/>
  <c r="V23" i="2"/>
  <c r="U29" i="2"/>
  <c r="S41" i="5"/>
  <c r="T41" i="5" s="1"/>
  <c r="U41" i="5" s="1"/>
  <c r="V41" i="5" s="1"/>
  <c r="W41" i="5" s="1"/>
  <c r="X41" i="5" s="1"/>
  <c r="Y41" i="5" s="1"/>
  <c r="Q92" i="5"/>
  <c r="R92" i="5" s="1"/>
  <c r="S92" i="5" s="1"/>
  <c r="Q90" i="5"/>
  <c r="S42" i="5"/>
  <c r="T18" i="2"/>
  <c r="T183" i="3" s="1"/>
  <c r="S152" i="14"/>
  <c r="U21" i="2"/>
  <c r="O234" i="3"/>
  <c r="M255" i="3"/>
  <c r="M90" i="3"/>
  <c r="O257" i="3"/>
  <c r="O92" i="3"/>
  <c r="O206" i="3"/>
  <c r="N204" i="3"/>
  <c r="E184" i="4"/>
  <c r="V20" i="2" l="1"/>
  <c r="V28" i="2"/>
  <c r="U28" i="3"/>
  <c r="Q40" i="13"/>
  <c r="Q41" i="13" s="1"/>
  <c r="W25" i="2"/>
  <c r="W23" i="2"/>
  <c r="V29" i="2"/>
  <c r="R90" i="5"/>
  <c r="S90" i="5" s="1"/>
  <c r="T42" i="5"/>
  <c r="U42" i="5" s="1"/>
  <c r="V42" i="5" s="1"/>
  <c r="T92" i="5"/>
  <c r="U92" i="5" s="1"/>
  <c r="V92" i="5" s="1"/>
  <c r="Z41" i="5"/>
  <c r="U18" i="2"/>
  <c r="U183" i="3" s="1"/>
  <c r="T152" i="14"/>
  <c r="V21" i="2"/>
  <c r="P257" i="3"/>
  <c r="P92" i="3"/>
  <c r="N90" i="3"/>
  <c r="N255" i="3"/>
  <c r="P206" i="3"/>
  <c r="P234" i="3"/>
  <c r="O204" i="3"/>
  <c r="W20" i="2" l="1"/>
  <c r="W28" i="2"/>
  <c r="V28" i="3"/>
  <c r="R40" i="13"/>
  <c r="R41" i="13" s="1"/>
  <c r="X25" i="2"/>
  <c r="X23" i="2"/>
  <c r="W29" i="2"/>
  <c r="W92" i="5"/>
  <c r="X92" i="5" s="1"/>
  <c r="T90" i="5"/>
  <c r="U90" i="5" s="1"/>
  <c r="V90" i="5" s="1"/>
  <c r="W90" i="5" s="1"/>
  <c r="X90" i="5" s="1"/>
  <c r="Y90" i="5" s="1"/>
  <c r="Z90" i="5" s="1"/>
  <c r="W42" i="5"/>
  <c r="X42" i="5" s="1"/>
  <c r="Y42" i="5" s="1"/>
  <c r="Z42" i="5" s="1"/>
  <c r="V18" i="2"/>
  <c r="V183" i="3" s="1"/>
  <c r="U152" i="14"/>
  <c r="W21" i="2"/>
  <c r="Q234" i="3"/>
  <c r="Q92" i="3"/>
  <c r="Q257" i="3"/>
  <c r="Q206" i="3"/>
  <c r="O90" i="3"/>
  <c r="O255" i="3"/>
  <c r="P204" i="3"/>
  <c r="X97" i="14"/>
  <c r="W97" i="14"/>
  <c r="D97" i="14"/>
  <c r="E97" i="14"/>
  <c r="F97" i="14"/>
  <c r="G97" i="14"/>
  <c r="H97" i="14"/>
  <c r="I97" i="14"/>
  <c r="J97" i="14"/>
  <c r="K97" i="14"/>
  <c r="L97" i="14"/>
  <c r="M97" i="14"/>
  <c r="N97" i="14"/>
  <c r="O97" i="14"/>
  <c r="P97" i="14"/>
  <c r="Q97" i="14"/>
  <c r="R97" i="14"/>
  <c r="S97" i="14"/>
  <c r="T97" i="14"/>
  <c r="U97" i="14"/>
  <c r="V97" i="14"/>
  <c r="C97" i="14"/>
  <c r="H152" i="14"/>
  <c r="D158" i="14"/>
  <c r="E174" i="14"/>
  <c r="F174" i="14"/>
  <c r="G174" i="14"/>
  <c r="H174" i="14"/>
  <c r="I174" i="14"/>
  <c r="J174" i="14"/>
  <c r="L174" i="14"/>
  <c r="M174" i="14"/>
  <c r="N174" i="14"/>
  <c r="O174" i="14"/>
  <c r="P174" i="14"/>
  <c r="Q174" i="14"/>
  <c r="R174" i="14"/>
  <c r="S174" i="14"/>
  <c r="T174" i="14"/>
  <c r="U174" i="14"/>
  <c r="V174" i="14"/>
  <c r="W174" i="14"/>
  <c r="E175" i="14"/>
  <c r="F175" i="14"/>
  <c r="G175" i="14"/>
  <c r="H175" i="14"/>
  <c r="I175" i="14"/>
  <c r="J175" i="14"/>
  <c r="L175" i="14"/>
  <c r="M175" i="14"/>
  <c r="N175" i="14"/>
  <c r="O175" i="14"/>
  <c r="P175" i="14"/>
  <c r="Q175" i="14"/>
  <c r="R175" i="14"/>
  <c r="S175" i="14"/>
  <c r="T175" i="14"/>
  <c r="U175" i="14"/>
  <c r="V175" i="14"/>
  <c r="W175" i="14"/>
  <c r="X20" i="2" l="1"/>
  <c r="X28" i="2"/>
  <c r="W28" i="3"/>
  <c r="S40" i="13"/>
  <c r="S41" i="13" s="1"/>
  <c r="Y25" i="2"/>
  <c r="Y23" i="2"/>
  <c r="X29" i="2"/>
  <c r="Y92" i="5"/>
  <c r="Z92" i="5" s="1"/>
  <c r="W18" i="2"/>
  <c r="W183" i="3" s="1"/>
  <c r="W152" i="14"/>
  <c r="V152" i="14"/>
  <c r="X21" i="2"/>
  <c r="R92" i="3"/>
  <c r="R257" i="3"/>
  <c r="R206" i="3"/>
  <c r="P90" i="3"/>
  <c r="P255" i="3"/>
  <c r="R234" i="3"/>
  <c r="Q204" i="3"/>
  <c r="E170" i="14"/>
  <c r="F170" i="14"/>
  <c r="G170" i="14"/>
  <c r="H170" i="14"/>
  <c r="I170" i="14"/>
  <c r="J170" i="14"/>
  <c r="K170" i="14"/>
  <c r="L170" i="14"/>
  <c r="M170" i="14"/>
  <c r="N170" i="14"/>
  <c r="O170" i="14"/>
  <c r="P170" i="14"/>
  <c r="Q170" i="14"/>
  <c r="R170" i="14"/>
  <c r="S170" i="14"/>
  <c r="T170" i="14"/>
  <c r="U170" i="14"/>
  <c r="V170" i="14"/>
  <c r="W170" i="14"/>
  <c r="D170" i="14"/>
  <c r="Y20" i="2" l="1"/>
  <c r="Y28" i="2"/>
  <c r="Y28" i="3" s="1"/>
  <c r="X28" i="3"/>
  <c r="T40" i="13"/>
  <c r="T41" i="13" s="1"/>
  <c r="Y29" i="2"/>
  <c r="X18" i="2"/>
  <c r="X183" i="3" s="1"/>
  <c r="Y21" i="2"/>
  <c r="Q255" i="3"/>
  <c r="Q90" i="3"/>
  <c r="S234" i="3"/>
  <c r="S206" i="3"/>
  <c r="S257" i="3"/>
  <c r="S92" i="3"/>
  <c r="R204" i="3"/>
  <c r="E159" i="14"/>
  <c r="F159" i="14"/>
  <c r="G159" i="14"/>
  <c r="H159" i="14"/>
  <c r="I159" i="14"/>
  <c r="J159" i="14"/>
  <c r="K159" i="14"/>
  <c r="L159" i="14"/>
  <c r="M159" i="14"/>
  <c r="N159" i="14"/>
  <c r="O159" i="14"/>
  <c r="P159" i="14"/>
  <c r="Q159" i="14"/>
  <c r="R159" i="14"/>
  <c r="S159" i="14"/>
  <c r="T159" i="14"/>
  <c r="U159" i="14"/>
  <c r="V159" i="14"/>
  <c r="W159" i="14"/>
  <c r="E160" i="14"/>
  <c r="F160" i="14"/>
  <c r="G160" i="14"/>
  <c r="H160" i="14"/>
  <c r="I160" i="14"/>
  <c r="J160" i="14"/>
  <c r="K160" i="14"/>
  <c r="L160" i="14"/>
  <c r="M160" i="14"/>
  <c r="N160" i="14"/>
  <c r="O160" i="14"/>
  <c r="P160" i="14"/>
  <c r="Q160" i="14"/>
  <c r="R160" i="14"/>
  <c r="S160" i="14"/>
  <c r="T160" i="14"/>
  <c r="U160" i="14"/>
  <c r="V160" i="14"/>
  <c r="W160" i="14"/>
  <c r="D160" i="14"/>
  <c r="D159" i="14"/>
  <c r="E158" i="14"/>
  <c r="F158" i="14"/>
  <c r="G158" i="14"/>
  <c r="H158" i="14"/>
  <c r="I158" i="14"/>
  <c r="J158" i="14"/>
  <c r="K158" i="14"/>
  <c r="L158" i="14"/>
  <c r="M158" i="14"/>
  <c r="N158" i="14"/>
  <c r="O158" i="14"/>
  <c r="P158" i="14"/>
  <c r="Q158" i="14"/>
  <c r="R158" i="14"/>
  <c r="S158" i="14"/>
  <c r="T158" i="14"/>
  <c r="U158" i="14"/>
  <c r="V158" i="14"/>
  <c r="W158" i="14"/>
  <c r="E214" i="14"/>
  <c r="E216" i="14" s="1"/>
  <c r="F214" i="14"/>
  <c r="F216" i="14" s="1"/>
  <c r="G214" i="14"/>
  <c r="G216" i="14" s="1"/>
  <c r="H214" i="14"/>
  <c r="H215" i="14" s="1"/>
  <c r="I214" i="14"/>
  <c r="I215" i="14" s="1"/>
  <c r="J214" i="14"/>
  <c r="J215" i="14" s="1"/>
  <c r="K214" i="14"/>
  <c r="K215" i="14" s="1"/>
  <c r="L214" i="14"/>
  <c r="L216" i="14" s="1"/>
  <c r="M214" i="14"/>
  <c r="M216" i="14" s="1"/>
  <c r="N214" i="14"/>
  <c r="N216" i="14" s="1"/>
  <c r="O214" i="14"/>
  <c r="O216" i="14" s="1"/>
  <c r="P214" i="14"/>
  <c r="P215" i="14" s="1"/>
  <c r="Q214" i="14"/>
  <c r="Q215" i="14" s="1"/>
  <c r="R214" i="14"/>
  <c r="R215" i="14" s="1"/>
  <c r="S214" i="14"/>
  <c r="S215" i="14" s="1"/>
  <c r="T214" i="14"/>
  <c r="T216" i="14" s="1"/>
  <c r="U214" i="14"/>
  <c r="U216" i="14" s="1"/>
  <c r="V214" i="14"/>
  <c r="V216" i="14" s="1"/>
  <c r="W214" i="14"/>
  <c r="W216" i="14" s="1"/>
  <c r="D214" i="14"/>
  <c r="D216" i="14" s="1"/>
  <c r="E208" i="14"/>
  <c r="E209" i="14" s="1"/>
  <c r="F208" i="14"/>
  <c r="F209" i="14" s="1"/>
  <c r="G208" i="14"/>
  <c r="G209" i="14" s="1"/>
  <c r="H208" i="14"/>
  <c r="H210" i="14" s="1"/>
  <c r="I208" i="14"/>
  <c r="I210" i="14" s="1"/>
  <c r="J208" i="14"/>
  <c r="J210" i="14" s="1"/>
  <c r="K208" i="14"/>
  <c r="K210" i="14" s="1"/>
  <c r="L208" i="14"/>
  <c r="L209" i="14" s="1"/>
  <c r="M208" i="14"/>
  <c r="M209" i="14" s="1"/>
  <c r="N208" i="14"/>
  <c r="N209" i="14" s="1"/>
  <c r="O208" i="14"/>
  <c r="O209" i="14" s="1"/>
  <c r="P208" i="14"/>
  <c r="P210" i="14" s="1"/>
  <c r="Q208" i="14"/>
  <c r="Q210" i="14" s="1"/>
  <c r="R208" i="14"/>
  <c r="R210" i="14" s="1"/>
  <c r="S208" i="14"/>
  <c r="S210" i="14" s="1"/>
  <c r="T208" i="14"/>
  <c r="T209" i="14" s="1"/>
  <c r="U208" i="14"/>
  <c r="U209" i="14" s="1"/>
  <c r="V208" i="14"/>
  <c r="V209" i="14" s="1"/>
  <c r="W208" i="14"/>
  <c r="W209" i="14" s="1"/>
  <c r="D208" i="14"/>
  <c r="D209" i="14" s="1"/>
  <c r="E202" i="14"/>
  <c r="E204" i="14" s="1"/>
  <c r="F202" i="14"/>
  <c r="F204" i="14" s="1"/>
  <c r="G202" i="14"/>
  <c r="G204" i="14" s="1"/>
  <c r="H202" i="14"/>
  <c r="H203" i="14" s="1"/>
  <c r="I202" i="14"/>
  <c r="I203" i="14" s="1"/>
  <c r="J202" i="14"/>
  <c r="J203" i="14" s="1"/>
  <c r="K202" i="14"/>
  <c r="K203" i="14" s="1"/>
  <c r="L202" i="14"/>
  <c r="L204" i="14" s="1"/>
  <c r="M202" i="14"/>
  <c r="M204" i="14" s="1"/>
  <c r="N202" i="14"/>
  <c r="N204" i="14" s="1"/>
  <c r="O202" i="14"/>
  <c r="O204" i="14" s="1"/>
  <c r="P202" i="14"/>
  <c r="P203" i="14" s="1"/>
  <c r="Q202" i="14"/>
  <c r="Q203" i="14" s="1"/>
  <c r="R202" i="14"/>
  <c r="R203" i="14" s="1"/>
  <c r="S202" i="14"/>
  <c r="S203" i="14" s="1"/>
  <c r="T202" i="14"/>
  <c r="T204" i="14" s="1"/>
  <c r="U202" i="14"/>
  <c r="U204" i="14" s="1"/>
  <c r="V202" i="14"/>
  <c r="V204" i="14" s="1"/>
  <c r="W202" i="14"/>
  <c r="W204" i="14" s="1"/>
  <c r="D202" i="14"/>
  <c r="D204" i="14" s="1"/>
  <c r="W173" i="14"/>
  <c r="V173" i="14"/>
  <c r="U173" i="14"/>
  <c r="T173" i="14"/>
  <c r="S173" i="14"/>
  <c r="R173" i="14"/>
  <c r="Q173" i="14"/>
  <c r="P173" i="14"/>
  <c r="O173" i="14"/>
  <c r="N173" i="14"/>
  <c r="M173" i="14"/>
  <c r="L173" i="14"/>
  <c r="K173" i="14"/>
  <c r="J173" i="14"/>
  <c r="I173" i="14"/>
  <c r="H173" i="14"/>
  <c r="G173" i="14"/>
  <c r="F173" i="14"/>
  <c r="E173" i="14"/>
  <c r="D173" i="14"/>
  <c r="J179" i="14"/>
  <c r="J187" i="14" s="1"/>
  <c r="I179" i="14"/>
  <c r="I187" i="14" s="1"/>
  <c r="F179" i="14"/>
  <c r="F187" i="14" s="1"/>
  <c r="E179" i="14"/>
  <c r="E187" i="14" s="1"/>
  <c r="I180" i="14"/>
  <c r="I184" i="14" s="1"/>
  <c r="I186" i="14" s="1"/>
  <c r="K156" i="14"/>
  <c r="J156" i="14"/>
  <c r="I156" i="14"/>
  <c r="H156" i="14"/>
  <c r="G156" i="14"/>
  <c r="F156" i="14"/>
  <c r="E156" i="14"/>
  <c r="D156" i="14"/>
  <c r="J155" i="14"/>
  <c r="I155" i="14"/>
  <c r="H155" i="14"/>
  <c r="G155" i="14"/>
  <c r="F155" i="14"/>
  <c r="E155" i="14"/>
  <c r="D155" i="14"/>
  <c r="J152" i="14"/>
  <c r="I152" i="14"/>
  <c r="G152" i="14"/>
  <c r="F152" i="14"/>
  <c r="E152" i="14"/>
  <c r="D152" i="14"/>
  <c r="C150" i="14"/>
  <c r="C151" i="14" s="1"/>
  <c r="C152" i="14" s="1"/>
  <c r="C153" i="14" s="1"/>
  <c r="C154" i="14" s="1"/>
  <c r="C155" i="14" s="1"/>
  <c r="C156" i="14" s="1"/>
  <c r="U40" i="13" l="1"/>
  <c r="U41" i="13" s="1"/>
  <c r="Y18" i="2"/>
  <c r="Y183" i="3" s="1"/>
  <c r="K171" i="14"/>
  <c r="K153" i="14"/>
  <c r="L154" i="14" s="1"/>
  <c r="L156" i="14" s="1"/>
  <c r="K174" i="14"/>
  <c r="K179" i="14" s="1"/>
  <c r="K187" i="14" s="1"/>
  <c r="K175" i="14"/>
  <c r="T206" i="3"/>
  <c r="T234" i="3"/>
  <c r="T257" i="3"/>
  <c r="T92" i="3"/>
  <c r="R255" i="3"/>
  <c r="R90" i="3"/>
  <c r="S204" i="3"/>
  <c r="D175" i="14"/>
  <c r="D174" i="14"/>
  <c r="J180" i="14"/>
  <c r="J184" i="14" s="1"/>
  <c r="J186" i="14" s="1"/>
  <c r="M171" i="14"/>
  <c r="M179" i="14" s="1"/>
  <c r="M187" i="14" s="1"/>
  <c r="V171" i="14"/>
  <c r="V179" i="14" s="1"/>
  <c r="V187" i="14" s="1"/>
  <c r="X18" i="3" s="1"/>
  <c r="N171" i="14"/>
  <c r="N179" i="14" s="1"/>
  <c r="N187" i="14" s="1"/>
  <c r="F171" i="14"/>
  <c r="U171" i="14"/>
  <c r="U179" i="14" s="1"/>
  <c r="U187" i="14" s="1"/>
  <c r="E171" i="14"/>
  <c r="G171" i="14"/>
  <c r="G179" i="14" s="1"/>
  <c r="G187" i="14" s="1"/>
  <c r="O171" i="14"/>
  <c r="O179" i="14" s="1"/>
  <c r="O187" i="14" s="1"/>
  <c r="Q18" i="3" s="1"/>
  <c r="W171" i="14"/>
  <c r="W179" i="14" s="1"/>
  <c r="W187" i="14" s="1"/>
  <c r="T203" i="14"/>
  <c r="H171" i="14"/>
  <c r="H179" i="14" s="1"/>
  <c r="H187" i="14" s="1"/>
  <c r="J18" i="3" s="1"/>
  <c r="P171" i="14"/>
  <c r="P179" i="14" s="1"/>
  <c r="P187" i="14" s="1"/>
  <c r="I171" i="14"/>
  <c r="Q171" i="14"/>
  <c r="E180" i="14"/>
  <c r="E184" i="14" s="1"/>
  <c r="E186" i="14" s="1"/>
  <c r="P209" i="14"/>
  <c r="J171" i="14"/>
  <c r="R171" i="14"/>
  <c r="R179" i="14" s="1"/>
  <c r="R187" i="14" s="1"/>
  <c r="T18" i="3" s="1"/>
  <c r="F180" i="14"/>
  <c r="F184" i="14" s="1"/>
  <c r="F186" i="14" s="1"/>
  <c r="S171" i="14"/>
  <c r="W203" i="14"/>
  <c r="D171" i="14"/>
  <c r="L171" i="14"/>
  <c r="L179" i="14" s="1"/>
  <c r="L187" i="14" s="1"/>
  <c r="T171" i="14"/>
  <c r="T179" i="14" s="1"/>
  <c r="T187" i="14" s="1"/>
  <c r="H180" i="14"/>
  <c r="H184" i="14" s="1"/>
  <c r="H186" i="14" s="1"/>
  <c r="D203" i="14"/>
  <c r="G203" i="14"/>
  <c r="D215" i="14"/>
  <c r="L203" i="14"/>
  <c r="H209" i="14"/>
  <c r="L215" i="14"/>
  <c r="O203" i="14"/>
  <c r="K209" i="14"/>
  <c r="T215" i="14"/>
  <c r="H204" i="14"/>
  <c r="P204" i="14"/>
  <c r="D210" i="14"/>
  <c r="L210" i="14"/>
  <c r="T210" i="14"/>
  <c r="H216" i="14"/>
  <c r="P216" i="14"/>
  <c r="E203" i="14"/>
  <c r="G18" i="3" s="1"/>
  <c r="M203" i="14"/>
  <c r="U203" i="14"/>
  <c r="I204" i="14"/>
  <c r="Q204" i="14"/>
  <c r="I209" i="14"/>
  <c r="K191" i="3" s="1"/>
  <c r="Q209" i="14"/>
  <c r="E210" i="14"/>
  <c r="M210" i="14"/>
  <c r="U210" i="14"/>
  <c r="E215" i="14"/>
  <c r="M215" i="14"/>
  <c r="U215" i="14"/>
  <c r="I216" i="14"/>
  <c r="Q216" i="14"/>
  <c r="F203" i="14"/>
  <c r="H18" i="3" s="1"/>
  <c r="N203" i="14"/>
  <c r="V203" i="14"/>
  <c r="J204" i="14"/>
  <c r="R204" i="14"/>
  <c r="J209" i="14"/>
  <c r="F392" i="3" s="1"/>
  <c r="D74" i="8" s="1"/>
  <c r="R209" i="14"/>
  <c r="F210" i="14"/>
  <c r="N210" i="14"/>
  <c r="V210" i="14"/>
  <c r="F215" i="14"/>
  <c r="N215" i="14"/>
  <c r="V215" i="14"/>
  <c r="J216" i="14"/>
  <c r="R216" i="14"/>
  <c r="K204" i="14"/>
  <c r="S204" i="14"/>
  <c r="S209" i="14"/>
  <c r="G210" i="14"/>
  <c r="O210" i="14"/>
  <c r="W210" i="14"/>
  <c r="G215" i="14"/>
  <c r="O215" i="14"/>
  <c r="W215" i="14"/>
  <c r="K216" i="14"/>
  <c r="S216" i="14"/>
  <c r="D136" i="14"/>
  <c r="E136" i="14" s="1"/>
  <c r="F136" i="14" s="1"/>
  <c r="G136" i="14" s="1"/>
  <c r="H136" i="14" s="1"/>
  <c r="I136" i="14" s="1"/>
  <c r="J136" i="14" s="1"/>
  <c r="K136" i="14" s="1"/>
  <c r="L136" i="14" s="1"/>
  <c r="M136" i="14" s="1"/>
  <c r="D135" i="14"/>
  <c r="E135" i="14" s="1"/>
  <c r="F135" i="14" s="1"/>
  <c r="G135" i="14" s="1"/>
  <c r="H135" i="14" s="1"/>
  <c r="I135" i="14" s="1"/>
  <c r="J135" i="14" s="1"/>
  <c r="K135" i="14" s="1"/>
  <c r="L135" i="14" s="1"/>
  <c r="M135" i="14" s="1"/>
  <c r="D134" i="14"/>
  <c r="E134" i="14" s="1"/>
  <c r="F134" i="14" s="1"/>
  <c r="G134" i="14" s="1"/>
  <c r="H134" i="14" s="1"/>
  <c r="I134" i="14" s="1"/>
  <c r="J134" i="14" s="1"/>
  <c r="K134" i="14" s="1"/>
  <c r="L134" i="14" s="1"/>
  <c r="M134" i="14" s="1"/>
  <c r="D133" i="14"/>
  <c r="E133" i="14" s="1"/>
  <c r="F133" i="14" s="1"/>
  <c r="G133" i="14" s="1"/>
  <c r="H133" i="14" s="1"/>
  <c r="I133" i="14" s="1"/>
  <c r="J133" i="14" s="1"/>
  <c r="K133" i="14" s="1"/>
  <c r="L133" i="14" s="1"/>
  <c r="M133" i="14" s="1"/>
  <c r="D132" i="14"/>
  <c r="E132" i="14" s="1"/>
  <c r="D131" i="14"/>
  <c r="E131" i="14" s="1"/>
  <c r="F131" i="14" s="1"/>
  <c r="G131" i="14" s="1"/>
  <c r="H131" i="14" s="1"/>
  <c r="I131" i="14" s="1"/>
  <c r="J131" i="14" s="1"/>
  <c r="K131" i="14" s="1"/>
  <c r="L131" i="14" s="1"/>
  <c r="M131" i="14" s="1"/>
  <c r="D130" i="14"/>
  <c r="E130" i="14" s="1"/>
  <c r="F130" i="14" s="1"/>
  <c r="G130" i="14" s="1"/>
  <c r="H130" i="14" s="1"/>
  <c r="I130" i="14" s="1"/>
  <c r="J130" i="14" s="1"/>
  <c r="K130" i="14" s="1"/>
  <c r="L130" i="14" s="1"/>
  <c r="M130" i="14" s="1"/>
  <c r="D129" i="14"/>
  <c r="E129" i="14" s="1"/>
  <c r="D128" i="14"/>
  <c r="E128" i="14" s="1"/>
  <c r="F128" i="14" s="1"/>
  <c r="G128" i="14" s="1"/>
  <c r="H128" i="14" s="1"/>
  <c r="I128" i="14" s="1"/>
  <c r="J128" i="14" s="1"/>
  <c r="K128" i="14" s="1"/>
  <c r="L128" i="14" s="1"/>
  <c r="M128" i="14" s="1"/>
  <c r="D127" i="14"/>
  <c r="E127" i="14" s="1"/>
  <c r="F127" i="14" s="1"/>
  <c r="G127" i="14" s="1"/>
  <c r="H127" i="14" s="1"/>
  <c r="I127" i="14" s="1"/>
  <c r="J127" i="14" s="1"/>
  <c r="K127" i="14" s="1"/>
  <c r="L127" i="14" s="1"/>
  <c r="M127" i="14" s="1"/>
  <c r="D126" i="14"/>
  <c r="E126" i="14" s="1"/>
  <c r="F126" i="14" s="1"/>
  <c r="G126" i="14" s="1"/>
  <c r="H126" i="14" s="1"/>
  <c r="I126" i="14" s="1"/>
  <c r="J126" i="14" s="1"/>
  <c r="K126" i="14" s="1"/>
  <c r="L126" i="14" s="1"/>
  <c r="M126" i="14" s="1"/>
  <c r="D125" i="14"/>
  <c r="E125" i="14" s="1"/>
  <c r="F125" i="14" s="1"/>
  <c r="G125" i="14" s="1"/>
  <c r="H125" i="14" s="1"/>
  <c r="I125" i="14" s="1"/>
  <c r="J125" i="14" s="1"/>
  <c r="K125" i="14" s="1"/>
  <c r="L125" i="14" s="1"/>
  <c r="M125" i="14" s="1"/>
  <c r="D124" i="14"/>
  <c r="E124" i="14" s="1"/>
  <c r="F124" i="14" s="1"/>
  <c r="G124" i="14" s="1"/>
  <c r="H124" i="14" s="1"/>
  <c r="I124" i="14" s="1"/>
  <c r="J124" i="14" s="1"/>
  <c r="K124" i="14" s="1"/>
  <c r="L124" i="14" s="1"/>
  <c r="M124" i="14" s="1"/>
  <c r="D123" i="14"/>
  <c r="E123" i="14" s="1"/>
  <c r="F123" i="14" s="1"/>
  <c r="G123" i="14" s="1"/>
  <c r="H123" i="14" s="1"/>
  <c r="I123" i="14" s="1"/>
  <c r="J123" i="14" s="1"/>
  <c r="K123" i="14" s="1"/>
  <c r="L123" i="14" s="1"/>
  <c r="M123" i="14" s="1"/>
  <c r="D122" i="14"/>
  <c r="E122" i="14" s="1"/>
  <c r="F122" i="14" s="1"/>
  <c r="G122" i="14" s="1"/>
  <c r="H122" i="14" s="1"/>
  <c r="I122" i="14" s="1"/>
  <c r="J122" i="14" s="1"/>
  <c r="K122" i="14" s="1"/>
  <c r="L122" i="14" s="1"/>
  <c r="M122" i="14" s="1"/>
  <c r="D121" i="14"/>
  <c r="S116" i="14"/>
  <c r="T116" i="14" s="1"/>
  <c r="U116" i="14" s="1"/>
  <c r="V116" i="14" s="1"/>
  <c r="J116" i="14"/>
  <c r="K116" i="14" s="1"/>
  <c r="L116" i="14" s="1"/>
  <c r="M116" i="14" s="1"/>
  <c r="S115" i="14"/>
  <c r="T115" i="14" s="1"/>
  <c r="U115" i="14" s="1"/>
  <c r="V115" i="14" s="1"/>
  <c r="J115" i="14"/>
  <c r="K115" i="14" s="1"/>
  <c r="L115" i="14" s="1"/>
  <c r="M115" i="14" s="1"/>
  <c r="S113" i="14"/>
  <c r="T113" i="14" s="1"/>
  <c r="U113" i="14" s="1"/>
  <c r="V113" i="14" s="1"/>
  <c r="J113" i="14"/>
  <c r="K113" i="14" s="1"/>
  <c r="L113" i="14" s="1"/>
  <c r="M113" i="14" s="1"/>
  <c r="S112" i="14"/>
  <c r="J112" i="14"/>
  <c r="S111" i="14"/>
  <c r="T111" i="14" s="1"/>
  <c r="U111" i="14" s="1"/>
  <c r="V111" i="14" s="1"/>
  <c r="J111" i="14"/>
  <c r="K111" i="14" s="1"/>
  <c r="L111" i="14" s="1"/>
  <c r="M111" i="14" s="1"/>
  <c r="N111" i="14" s="1"/>
  <c r="S110" i="14"/>
  <c r="T110" i="14" s="1"/>
  <c r="U110" i="14" s="1"/>
  <c r="V110" i="14" s="1"/>
  <c r="J110" i="14"/>
  <c r="K110" i="14" s="1"/>
  <c r="L110" i="14" s="1"/>
  <c r="M110" i="14" s="1"/>
  <c r="J109" i="14"/>
  <c r="K109" i="14" s="1"/>
  <c r="S108" i="14"/>
  <c r="T108" i="14" s="1"/>
  <c r="U108" i="14" s="1"/>
  <c r="V108" i="14" s="1"/>
  <c r="J108" i="14"/>
  <c r="K108" i="14" s="1"/>
  <c r="L108" i="14" s="1"/>
  <c r="M108" i="14" s="1"/>
  <c r="J107" i="14"/>
  <c r="K107" i="14" s="1"/>
  <c r="L107" i="14" s="1"/>
  <c r="M107" i="14" s="1"/>
  <c r="P107" i="14" s="1"/>
  <c r="J106" i="14"/>
  <c r="K106" i="14" s="1"/>
  <c r="L106" i="14" s="1"/>
  <c r="M106" i="14" s="1"/>
  <c r="P106" i="14" s="1"/>
  <c r="J105" i="14"/>
  <c r="K105" i="14" s="1"/>
  <c r="L105" i="14" s="1"/>
  <c r="M105" i="14" s="1"/>
  <c r="J104" i="14"/>
  <c r="K104" i="14" s="1"/>
  <c r="L104" i="14" s="1"/>
  <c r="M104" i="14" s="1"/>
  <c r="J103" i="14"/>
  <c r="K103" i="14" s="1"/>
  <c r="L103" i="14" s="1"/>
  <c r="M103" i="14" s="1"/>
  <c r="J102" i="14"/>
  <c r="K102" i="14" s="1"/>
  <c r="L102" i="14" s="1"/>
  <c r="M102" i="14" s="1"/>
  <c r="O102" i="14" s="1"/>
  <c r="C96" i="14"/>
  <c r="C95" i="14"/>
  <c r="C94" i="14"/>
  <c r="V88" i="14"/>
  <c r="U88" i="14"/>
  <c r="T88" i="14"/>
  <c r="S88" i="14"/>
  <c r="R88" i="14"/>
  <c r="Q88" i="14"/>
  <c r="P88" i="14"/>
  <c r="O88" i="14"/>
  <c r="N88" i="14"/>
  <c r="M88" i="14"/>
  <c r="L88" i="14"/>
  <c r="K88" i="14"/>
  <c r="J88" i="14"/>
  <c r="I88" i="14"/>
  <c r="H88" i="14"/>
  <c r="G88" i="14"/>
  <c r="F88" i="14"/>
  <c r="E88" i="14"/>
  <c r="D88" i="14"/>
  <c r="C88" i="14"/>
  <c r="B80" i="14"/>
  <c r="V78" i="14"/>
  <c r="U78" i="14"/>
  <c r="T78" i="14"/>
  <c r="S78" i="14"/>
  <c r="R78" i="14"/>
  <c r="Q78" i="14"/>
  <c r="P78" i="14"/>
  <c r="O78" i="14"/>
  <c r="N78" i="14"/>
  <c r="M78" i="14"/>
  <c r="L78" i="14"/>
  <c r="K78" i="14"/>
  <c r="J78" i="14"/>
  <c r="I78" i="14"/>
  <c r="H78" i="14"/>
  <c r="G78" i="14"/>
  <c r="F78" i="14"/>
  <c r="E78" i="14"/>
  <c r="D78" i="14"/>
  <c r="C78" i="14"/>
  <c r="B70" i="14"/>
  <c r="V68" i="14"/>
  <c r="U68" i="14"/>
  <c r="T68" i="14"/>
  <c r="S68" i="14"/>
  <c r="R68" i="14"/>
  <c r="Q68" i="14"/>
  <c r="P68" i="14"/>
  <c r="O68" i="14"/>
  <c r="N68" i="14"/>
  <c r="M68" i="14"/>
  <c r="L68" i="14"/>
  <c r="K68" i="14"/>
  <c r="J68" i="14"/>
  <c r="I68" i="14"/>
  <c r="H68" i="14"/>
  <c r="G68" i="14"/>
  <c r="F68" i="14"/>
  <c r="E68" i="14"/>
  <c r="D68" i="14"/>
  <c r="C68" i="14"/>
  <c r="B60" i="14"/>
  <c r="V58" i="14"/>
  <c r="U58" i="14"/>
  <c r="T58" i="14"/>
  <c r="S58" i="14"/>
  <c r="R58" i="14"/>
  <c r="Q58" i="14"/>
  <c r="P58" i="14"/>
  <c r="O58" i="14"/>
  <c r="N58" i="14"/>
  <c r="M58" i="14"/>
  <c r="L58" i="14"/>
  <c r="K58" i="14"/>
  <c r="J58" i="14"/>
  <c r="I58" i="14"/>
  <c r="H58" i="14"/>
  <c r="G58" i="14"/>
  <c r="F58" i="14"/>
  <c r="E58" i="14"/>
  <c r="D58" i="14"/>
  <c r="C58" i="14"/>
  <c r="B50" i="14"/>
  <c r="V48" i="14"/>
  <c r="U48" i="14"/>
  <c r="T48" i="14"/>
  <c r="S48" i="14"/>
  <c r="R48" i="14"/>
  <c r="Q48" i="14"/>
  <c r="P48" i="14"/>
  <c r="O48" i="14"/>
  <c r="N48" i="14"/>
  <c r="M48" i="14"/>
  <c r="L48" i="14"/>
  <c r="K48" i="14"/>
  <c r="J48" i="14"/>
  <c r="I48" i="14"/>
  <c r="H48" i="14"/>
  <c r="G48" i="14"/>
  <c r="F48" i="14"/>
  <c r="E48" i="14"/>
  <c r="D48" i="14"/>
  <c r="C48" i="14"/>
  <c r="B40" i="14"/>
  <c r="V38" i="14"/>
  <c r="U38" i="14"/>
  <c r="T38" i="14"/>
  <c r="S38" i="14"/>
  <c r="R38" i="14"/>
  <c r="Q38" i="14"/>
  <c r="P38" i="14"/>
  <c r="O38" i="14"/>
  <c r="N38" i="14"/>
  <c r="M38" i="14"/>
  <c r="L38" i="14"/>
  <c r="K38" i="14"/>
  <c r="J38" i="14"/>
  <c r="I38" i="14"/>
  <c r="H38" i="14"/>
  <c r="G38" i="14"/>
  <c r="F38" i="14"/>
  <c r="E38" i="14"/>
  <c r="D38" i="14"/>
  <c r="C38" i="14"/>
  <c r="B30" i="14"/>
  <c r="O18" i="3" l="1"/>
  <c r="Y18" i="3"/>
  <c r="N18" i="3"/>
  <c r="I18" i="3"/>
  <c r="W18" i="3"/>
  <c r="M18" i="3"/>
  <c r="R18" i="3"/>
  <c r="L18" i="3"/>
  <c r="V18" i="3"/>
  <c r="P18" i="3"/>
  <c r="K18" i="3"/>
  <c r="C37" i="14"/>
  <c r="V40" i="13"/>
  <c r="V41" i="13" s="1"/>
  <c r="G392" i="3"/>
  <c r="E74" i="8" s="1"/>
  <c r="E392" i="3"/>
  <c r="C74" i="8" s="1"/>
  <c r="L153" i="14"/>
  <c r="M153" i="14" s="1"/>
  <c r="N153" i="14" s="1"/>
  <c r="O153" i="14" s="1"/>
  <c r="P153" i="14" s="1"/>
  <c r="Q153" i="14" s="1"/>
  <c r="R153" i="14" s="1"/>
  <c r="S153" i="14" s="1"/>
  <c r="T153" i="14" s="1"/>
  <c r="U153" i="14" s="1"/>
  <c r="V153" i="14" s="1"/>
  <c r="W153" i="14" s="1"/>
  <c r="W155" i="14" s="1"/>
  <c r="R180" i="14"/>
  <c r="R184" i="14" s="1"/>
  <c r="R186" i="14" s="1"/>
  <c r="T195" i="3" s="1"/>
  <c r="G180" i="14"/>
  <c r="G184" i="14" s="1"/>
  <c r="G186" i="14" s="1"/>
  <c r="I195" i="3" s="1"/>
  <c r="M180" i="14"/>
  <c r="M184" i="14" s="1"/>
  <c r="M186" i="14" s="1"/>
  <c r="O540" i="7" s="1"/>
  <c r="T536" i="7"/>
  <c r="K155" i="14"/>
  <c r="P180" i="14"/>
  <c r="P184" i="14" s="1"/>
  <c r="P186" i="14" s="1"/>
  <c r="R540" i="7" s="1"/>
  <c r="R191" i="3"/>
  <c r="W180" i="14"/>
  <c r="W184" i="14" s="1"/>
  <c r="W186" i="14" s="1"/>
  <c r="Y360" i="7" s="1"/>
  <c r="O180" i="14"/>
  <c r="O184" i="14" s="1"/>
  <c r="O186" i="14" s="1"/>
  <c r="Q30" i="3" s="1"/>
  <c r="U180" i="14"/>
  <c r="U184" i="14" s="1"/>
  <c r="U186" i="14" s="1"/>
  <c r="W195" i="3" s="1"/>
  <c r="N180" i="14"/>
  <c r="N184" i="14" s="1"/>
  <c r="N186" i="14" s="1"/>
  <c r="P195" i="3" s="1"/>
  <c r="L180" i="14"/>
  <c r="L184" i="14" s="1"/>
  <c r="L186" i="14" s="1"/>
  <c r="N195" i="7" s="1"/>
  <c r="S179" i="14"/>
  <c r="S187" i="14" s="1"/>
  <c r="S180" i="14"/>
  <c r="S184" i="14" s="1"/>
  <c r="S186" i="14" s="1"/>
  <c r="U195" i="7" s="1"/>
  <c r="V180" i="14"/>
  <c r="V184" i="14" s="1"/>
  <c r="V186" i="14" s="1"/>
  <c r="X195" i="3" s="1"/>
  <c r="Q180" i="14"/>
  <c r="Q184" i="14" s="1"/>
  <c r="Q186" i="14" s="1"/>
  <c r="S360" i="7" s="1"/>
  <c r="Q179" i="14"/>
  <c r="Q187" i="14" s="1"/>
  <c r="T180" i="14"/>
  <c r="T184" i="14" s="1"/>
  <c r="T186" i="14" s="1"/>
  <c r="V30" i="3" s="1"/>
  <c r="M191" i="3"/>
  <c r="K180" i="14"/>
  <c r="K184" i="14" s="1"/>
  <c r="K186" i="14" s="1"/>
  <c r="M360" i="7" s="1"/>
  <c r="U92" i="3"/>
  <c r="U257" i="3"/>
  <c r="U234" i="3"/>
  <c r="S90" i="3"/>
  <c r="S255" i="3"/>
  <c r="U206" i="3"/>
  <c r="T204" i="3"/>
  <c r="V191" i="3"/>
  <c r="J191" i="3"/>
  <c r="X356" i="7"/>
  <c r="O536" i="7"/>
  <c r="T191" i="3"/>
  <c r="I356" i="7"/>
  <c r="P536" i="7"/>
  <c r="G356" i="7"/>
  <c r="K356" i="7"/>
  <c r="H191" i="3"/>
  <c r="X536" i="7"/>
  <c r="Q191" i="3"/>
  <c r="M536" i="7"/>
  <c r="H536" i="7"/>
  <c r="P356" i="7"/>
  <c r="H356" i="7"/>
  <c r="W356" i="7"/>
  <c r="L356" i="7"/>
  <c r="O356" i="7"/>
  <c r="K360" i="7"/>
  <c r="K540" i="7"/>
  <c r="J356" i="7"/>
  <c r="J536" i="7"/>
  <c r="M356" i="7"/>
  <c r="L536" i="7"/>
  <c r="G536" i="7"/>
  <c r="L191" i="3"/>
  <c r="G540" i="7"/>
  <c r="G360" i="7"/>
  <c r="G195" i="7"/>
  <c r="G30" i="7"/>
  <c r="G195" i="3"/>
  <c r="G30" i="3"/>
  <c r="N191" i="3"/>
  <c r="K30" i="3"/>
  <c r="K536" i="7"/>
  <c r="N356" i="7"/>
  <c r="W191" i="3"/>
  <c r="Y191" i="3"/>
  <c r="H540" i="7"/>
  <c r="H360" i="7"/>
  <c r="H195" i="7"/>
  <c r="H30" i="7"/>
  <c r="H195" i="3"/>
  <c r="H30" i="3"/>
  <c r="L360" i="7"/>
  <c r="L195" i="7"/>
  <c r="L30" i="7"/>
  <c r="L195" i="3"/>
  <c r="L30" i="3"/>
  <c r="L540" i="7"/>
  <c r="K195" i="3"/>
  <c r="Y536" i="7"/>
  <c r="N536" i="7"/>
  <c r="X191" i="3"/>
  <c r="O191" i="3"/>
  <c r="I191" i="3"/>
  <c r="T356" i="7"/>
  <c r="K30" i="7"/>
  <c r="V356" i="7"/>
  <c r="R536" i="7"/>
  <c r="Y356" i="7"/>
  <c r="J540" i="7"/>
  <c r="J360" i="7"/>
  <c r="J195" i="7"/>
  <c r="J30" i="7"/>
  <c r="J195" i="3"/>
  <c r="J30" i="3"/>
  <c r="P191" i="3"/>
  <c r="G191" i="3"/>
  <c r="K195" i="7"/>
  <c r="V536" i="7"/>
  <c r="R356" i="7"/>
  <c r="Q536" i="7"/>
  <c r="I536" i="7"/>
  <c r="Q356" i="7"/>
  <c r="W536" i="7"/>
  <c r="D179" i="14"/>
  <c r="D187" i="14" s="1"/>
  <c r="F18" i="3" s="1"/>
  <c r="D180" i="14"/>
  <c r="D184" i="14" s="1"/>
  <c r="D186" i="14" s="1"/>
  <c r="C77" i="14"/>
  <c r="C67" i="14"/>
  <c r="D95" i="14"/>
  <c r="C87" i="14"/>
  <c r="C57" i="14"/>
  <c r="D96" i="14"/>
  <c r="C47" i="14"/>
  <c r="D94" i="14"/>
  <c r="Q104" i="14"/>
  <c r="P104" i="14"/>
  <c r="O104" i="14"/>
  <c r="N104" i="14"/>
  <c r="Q105" i="14"/>
  <c r="P105" i="14"/>
  <c r="O105" i="14"/>
  <c r="N105" i="14"/>
  <c r="R105" i="14" s="1"/>
  <c r="S105" i="14" s="1"/>
  <c r="T105" i="14" s="1"/>
  <c r="U105" i="14" s="1"/>
  <c r="V105" i="14" s="1"/>
  <c r="P130" i="14"/>
  <c r="O130" i="14"/>
  <c r="N130" i="14"/>
  <c r="R130" i="14" s="1"/>
  <c r="S130" i="14" s="1"/>
  <c r="T130" i="14" s="1"/>
  <c r="U130" i="14" s="1"/>
  <c r="V130" i="14" s="1"/>
  <c r="Q130" i="14"/>
  <c r="O125" i="14"/>
  <c r="N125" i="14"/>
  <c r="R125" i="14" s="1"/>
  <c r="S125" i="14" s="1"/>
  <c r="T125" i="14" s="1"/>
  <c r="U125" i="14" s="1"/>
  <c r="V125" i="14" s="1"/>
  <c r="P125" i="14"/>
  <c r="Q125" i="14"/>
  <c r="N131" i="14"/>
  <c r="R131" i="14" s="1"/>
  <c r="S131" i="14" s="1"/>
  <c r="T131" i="14" s="1"/>
  <c r="U131" i="14" s="1"/>
  <c r="V131" i="14" s="1"/>
  <c r="Q131" i="14"/>
  <c r="P131" i="14"/>
  <c r="O131" i="14"/>
  <c r="Q108" i="14"/>
  <c r="P108" i="14"/>
  <c r="O108" i="14"/>
  <c r="N108" i="14"/>
  <c r="Q111" i="14"/>
  <c r="P111" i="14"/>
  <c r="O111" i="14"/>
  <c r="N102" i="14"/>
  <c r="R102" i="14" s="1"/>
  <c r="S102" i="14" s="1"/>
  <c r="T102" i="14" s="1"/>
  <c r="U102" i="14" s="1"/>
  <c r="V102" i="14" s="1"/>
  <c r="Q102" i="14"/>
  <c r="P102" i="14"/>
  <c r="N116" i="14"/>
  <c r="Q116" i="14"/>
  <c r="P116" i="14"/>
  <c r="O116" i="14"/>
  <c r="E96" i="14"/>
  <c r="F132" i="14"/>
  <c r="O106" i="14"/>
  <c r="N106" i="14"/>
  <c r="Q106" i="14"/>
  <c r="L109" i="14"/>
  <c r="K112" i="14"/>
  <c r="Q126" i="14"/>
  <c r="P126" i="14"/>
  <c r="O126" i="14"/>
  <c r="N126" i="14"/>
  <c r="R126" i="14" s="1"/>
  <c r="S126" i="14" s="1"/>
  <c r="T126" i="14" s="1"/>
  <c r="U126" i="14" s="1"/>
  <c r="V126" i="14" s="1"/>
  <c r="O133" i="14"/>
  <c r="N133" i="14"/>
  <c r="R133" i="14" s="1"/>
  <c r="S133" i="14" s="1"/>
  <c r="T133" i="14" s="1"/>
  <c r="U133" i="14" s="1"/>
  <c r="V133" i="14" s="1"/>
  <c r="P133" i="14"/>
  <c r="Q133" i="14"/>
  <c r="Q103" i="14"/>
  <c r="P103" i="14"/>
  <c r="O103" i="14"/>
  <c r="N103" i="14"/>
  <c r="R103" i="14" s="1"/>
  <c r="S103" i="14" s="1"/>
  <c r="T103" i="14" s="1"/>
  <c r="U103" i="14" s="1"/>
  <c r="V103" i="14" s="1"/>
  <c r="O107" i="14"/>
  <c r="N107" i="14"/>
  <c r="R107" i="14" s="1"/>
  <c r="S107" i="14" s="1"/>
  <c r="T107" i="14" s="1"/>
  <c r="U107" i="14" s="1"/>
  <c r="V107" i="14" s="1"/>
  <c r="Q107" i="14"/>
  <c r="Q110" i="14"/>
  <c r="P110" i="14"/>
  <c r="O110" i="14"/>
  <c r="N110" i="14"/>
  <c r="N113" i="14"/>
  <c r="Q113" i="14"/>
  <c r="P113" i="14"/>
  <c r="O113" i="14"/>
  <c r="P122" i="14"/>
  <c r="Q122" i="14"/>
  <c r="O122" i="14"/>
  <c r="N122" i="14"/>
  <c r="R122" i="14" s="1"/>
  <c r="S122" i="14" s="1"/>
  <c r="T122" i="14" s="1"/>
  <c r="U122" i="14" s="1"/>
  <c r="V122" i="14" s="1"/>
  <c r="Q127" i="14"/>
  <c r="P127" i="14"/>
  <c r="O127" i="14"/>
  <c r="N127" i="14"/>
  <c r="R127" i="14" s="1"/>
  <c r="S127" i="14" s="1"/>
  <c r="T127" i="14" s="1"/>
  <c r="U127" i="14" s="1"/>
  <c r="V127" i="14" s="1"/>
  <c r="Q134" i="14"/>
  <c r="P134" i="14"/>
  <c r="O134" i="14"/>
  <c r="N134" i="14"/>
  <c r="R134" i="14" s="1"/>
  <c r="S134" i="14" s="1"/>
  <c r="T134" i="14" s="1"/>
  <c r="U134" i="14" s="1"/>
  <c r="V134" i="14" s="1"/>
  <c r="N123" i="14"/>
  <c r="R123" i="14" s="1"/>
  <c r="S123" i="14" s="1"/>
  <c r="T123" i="14" s="1"/>
  <c r="U123" i="14" s="1"/>
  <c r="V123" i="14" s="1"/>
  <c r="Q123" i="14"/>
  <c r="P123" i="14"/>
  <c r="O123" i="14"/>
  <c r="N128" i="14"/>
  <c r="R128" i="14" s="1"/>
  <c r="S128" i="14" s="1"/>
  <c r="T128" i="14" s="1"/>
  <c r="U128" i="14" s="1"/>
  <c r="V128" i="14" s="1"/>
  <c r="O128" i="14"/>
  <c r="Q128" i="14"/>
  <c r="P128" i="14"/>
  <c r="Q135" i="14"/>
  <c r="P135" i="14"/>
  <c r="O135" i="14"/>
  <c r="N135" i="14"/>
  <c r="R135" i="14" s="1"/>
  <c r="S135" i="14" s="1"/>
  <c r="T135" i="14" s="1"/>
  <c r="U135" i="14" s="1"/>
  <c r="V135" i="14" s="1"/>
  <c r="Q115" i="14"/>
  <c r="P115" i="14"/>
  <c r="O115" i="14"/>
  <c r="N115" i="14"/>
  <c r="Q124" i="14"/>
  <c r="P124" i="14"/>
  <c r="O124" i="14"/>
  <c r="N124" i="14"/>
  <c r="R124" i="14" s="1"/>
  <c r="S124" i="14" s="1"/>
  <c r="T124" i="14" s="1"/>
  <c r="U124" i="14" s="1"/>
  <c r="V124" i="14" s="1"/>
  <c r="F129" i="14"/>
  <c r="E95" i="14"/>
  <c r="N136" i="14"/>
  <c r="R136" i="14" s="1"/>
  <c r="S136" i="14" s="1"/>
  <c r="T136" i="14" s="1"/>
  <c r="U136" i="14" s="1"/>
  <c r="V136" i="14" s="1"/>
  <c r="O136" i="14"/>
  <c r="Q136" i="14"/>
  <c r="P136" i="14"/>
  <c r="T112" i="14"/>
  <c r="E121" i="14"/>
  <c r="H19" i="5"/>
  <c r="I19" i="5"/>
  <c r="J19" i="5"/>
  <c r="K19" i="5"/>
  <c r="L19" i="5"/>
  <c r="M19" i="5"/>
  <c r="H20" i="5"/>
  <c r="I20" i="5"/>
  <c r="J20" i="5"/>
  <c r="K20" i="5"/>
  <c r="L20" i="5"/>
  <c r="M20" i="5"/>
  <c r="N27" i="5" s="1"/>
  <c r="H21" i="5"/>
  <c r="I21" i="5"/>
  <c r="J21" i="5"/>
  <c r="K21" i="5"/>
  <c r="L21" i="5"/>
  <c r="M21" i="5"/>
  <c r="H22" i="5"/>
  <c r="I22" i="5"/>
  <c r="J22" i="5"/>
  <c r="K22" i="5"/>
  <c r="L22" i="5"/>
  <c r="M22" i="5"/>
  <c r="H29" i="5"/>
  <c r="I29" i="5"/>
  <c r="J29" i="5"/>
  <c r="K29" i="5"/>
  <c r="L29" i="5"/>
  <c r="M29" i="5"/>
  <c r="H30" i="5"/>
  <c r="I30" i="5"/>
  <c r="J30" i="5"/>
  <c r="K30" i="5"/>
  <c r="L30" i="5"/>
  <c r="M30" i="5"/>
  <c r="H31" i="5"/>
  <c r="I31" i="5"/>
  <c r="J31" i="5"/>
  <c r="K31" i="5"/>
  <c r="L31" i="5"/>
  <c r="M31" i="5"/>
  <c r="H32" i="5"/>
  <c r="I32" i="5"/>
  <c r="J32" i="5"/>
  <c r="K32" i="5"/>
  <c r="L32" i="5"/>
  <c r="M32" i="5"/>
  <c r="H33" i="5"/>
  <c r="I33" i="5"/>
  <c r="J33" i="5"/>
  <c r="K33" i="5"/>
  <c r="L33" i="5"/>
  <c r="M33" i="5"/>
  <c r="H34" i="5"/>
  <c r="I34" i="5"/>
  <c r="J34" i="5"/>
  <c r="K34" i="5"/>
  <c r="L34" i="5"/>
  <c r="M34" i="5"/>
  <c r="H35" i="5"/>
  <c r="I35" i="5"/>
  <c r="J35" i="5"/>
  <c r="K35" i="5"/>
  <c r="L35" i="5"/>
  <c r="M35" i="5"/>
  <c r="H36" i="5"/>
  <c r="I36" i="5"/>
  <c r="J36" i="5"/>
  <c r="K36" i="5"/>
  <c r="L36" i="5"/>
  <c r="M36" i="5"/>
  <c r="H37" i="5"/>
  <c r="I37" i="5"/>
  <c r="J37" i="5"/>
  <c r="K37" i="5"/>
  <c r="L37" i="5"/>
  <c r="M37" i="5"/>
  <c r="H40" i="5"/>
  <c r="I40" i="5"/>
  <c r="J40" i="5"/>
  <c r="K40" i="5"/>
  <c r="L40" i="5"/>
  <c r="M40" i="5"/>
  <c r="H43" i="5"/>
  <c r="I43" i="5"/>
  <c r="J43" i="5"/>
  <c r="K43" i="5"/>
  <c r="L43" i="5"/>
  <c r="M43" i="5"/>
  <c r="H44" i="5"/>
  <c r="I44" i="5"/>
  <c r="J44" i="5"/>
  <c r="K44" i="5"/>
  <c r="L44" i="5"/>
  <c r="M44" i="5"/>
  <c r="H45" i="5"/>
  <c r="I45" i="5"/>
  <c r="J45" i="5"/>
  <c r="K45" i="5"/>
  <c r="L45" i="5"/>
  <c r="M45" i="5"/>
  <c r="G21" i="5"/>
  <c r="G22" i="5"/>
  <c r="G29" i="5"/>
  <c r="G30" i="5"/>
  <c r="G31" i="5"/>
  <c r="G32" i="5"/>
  <c r="G33" i="5"/>
  <c r="G34" i="5"/>
  <c r="G35" i="5"/>
  <c r="G36" i="5"/>
  <c r="G37" i="5"/>
  <c r="G40" i="5"/>
  <c r="G43" i="5"/>
  <c r="G44" i="5"/>
  <c r="G45" i="5"/>
  <c r="E22" i="4" l="1"/>
  <c r="E25" i="4"/>
  <c r="E23" i="4"/>
  <c r="E24" i="4"/>
  <c r="E21" i="4"/>
  <c r="U356" i="7"/>
  <c r="U18" i="3"/>
  <c r="E20" i="4"/>
  <c r="F185" i="3" s="1"/>
  <c r="S356" i="7"/>
  <c r="S18" i="3"/>
  <c r="N31" i="5"/>
  <c r="F74" i="8"/>
  <c r="N32" i="5"/>
  <c r="N30" i="5"/>
  <c r="O30" i="5" s="1"/>
  <c r="N22" i="5"/>
  <c r="O22" i="5" s="1"/>
  <c r="N36" i="5"/>
  <c r="O36" i="5" s="1"/>
  <c r="P36" i="5" s="1"/>
  <c r="N43" i="5"/>
  <c r="O43" i="5" s="1"/>
  <c r="P43" i="5" s="1"/>
  <c r="N37" i="5"/>
  <c r="O37" i="5" s="1"/>
  <c r="P37" i="5" s="1"/>
  <c r="N29" i="5"/>
  <c r="N21" i="5"/>
  <c r="N35" i="5"/>
  <c r="N45" i="5"/>
  <c r="N34" i="5"/>
  <c r="O34" i="5" s="1"/>
  <c r="P34" i="5" s="1"/>
  <c r="N44" i="5"/>
  <c r="N33" i="5"/>
  <c r="N40" i="5"/>
  <c r="M155" i="14"/>
  <c r="L155" i="14"/>
  <c r="R155" i="14"/>
  <c r="V155" i="14"/>
  <c r="S155" i="14"/>
  <c r="O155" i="14"/>
  <c r="P155" i="14"/>
  <c r="U155" i="14"/>
  <c r="Q155" i="14"/>
  <c r="N155" i="14"/>
  <c r="T155" i="14"/>
  <c r="M154" i="14"/>
  <c r="T360" i="7"/>
  <c r="J373" i="7"/>
  <c r="I373" i="7"/>
  <c r="H373" i="7"/>
  <c r="G373" i="7"/>
  <c r="L373" i="7"/>
  <c r="F553" i="7"/>
  <c r="K373" i="7"/>
  <c r="T30" i="7"/>
  <c r="T540" i="7"/>
  <c r="T195" i="7"/>
  <c r="T30" i="3"/>
  <c r="I30" i="7"/>
  <c r="O30" i="3"/>
  <c r="O360" i="7"/>
  <c r="Q195" i="7"/>
  <c r="O195" i="3"/>
  <c r="Q540" i="7"/>
  <c r="O30" i="7"/>
  <c r="O195" i="7"/>
  <c r="I195" i="7"/>
  <c r="I360" i="7"/>
  <c r="I540" i="7"/>
  <c r="I30" i="3"/>
  <c r="X30" i="7"/>
  <c r="Q360" i="7"/>
  <c r="S536" i="7"/>
  <c r="S195" i="3"/>
  <c r="Y30" i="3"/>
  <c r="Y195" i="3"/>
  <c r="S195" i="7"/>
  <c r="S30" i="7"/>
  <c r="Y30" i="7"/>
  <c r="Y195" i="7"/>
  <c r="S30" i="3"/>
  <c r="Q195" i="3"/>
  <c r="Y540" i="7"/>
  <c r="P30" i="3"/>
  <c r="R360" i="7"/>
  <c r="Q30" i="7"/>
  <c r="N30" i="3"/>
  <c r="P195" i="7"/>
  <c r="N360" i="7"/>
  <c r="P360" i="7"/>
  <c r="P30" i="7"/>
  <c r="S191" i="3"/>
  <c r="P540" i="7"/>
  <c r="U536" i="7"/>
  <c r="U191" i="3"/>
  <c r="U540" i="7"/>
  <c r="V195" i="3"/>
  <c r="R30" i="3"/>
  <c r="U30" i="7"/>
  <c r="R195" i="3"/>
  <c r="W30" i="3"/>
  <c r="R30" i="7"/>
  <c r="W30" i="7"/>
  <c r="R195" i="7"/>
  <c r="W540" i="7"/>
  <c r="S540" i="7"/>
  <c r="U360" i="7"/>
  <c r="U195" i="3"/>
  <c r="U30" i="3"/>
  <c r="X195" i="7"/>
  <c r="W195" i="7"/>
  <c r="X360" i="7"/>
  <c r="W360" i="7"/>
  <c r="X540" i="7"/>
  <c r="X30" i="3"/>
  <c r="V30" i="7"/>
  <c r="V195" i="7"/>
  <c r="N540" i="7"/>
  <c r="V360" i="7"/>
  <c r="N195" i="3"/>
  <c r="N30" i="7"/>
  <c r="V540" i="7"/>
  <c r="M30" i="7"/>
  <c r="M195" i="3"/>
  <c r="M30" i="3"/>
  <c r="M195" i="7"/>
  <c r="M540" i="7"/>
  <c r="T255" i="3"/>
  <c r="T90" i="3"/>
  <c r="V234" i="3"/>
  <c r="V206" i="3"/>
  <c r="V257" i="3"/>
  <c r="V92" i="3"/>
  <c r="L201" i="7"/>
  <c r="L546" i="7"/>
  <c r="G367" i="7"/>
  <c r="G547" i="7"/>
  <c r="G202" i="7"/>
  <c r="I205" i="7"/>
  <c r="I370" i="7"/>
  <c r="I550" i="7"/>
  <c r="K546" i="7"/>
  <c r="K201" i="7"/>
  <c r="J550" i="7"/>
  <c r="J370" i="7"/>
  <c r="J205" i="7"/>
  <c r="F205" i="7"/>
  <c r="F370" i="7"/>
  <c r="F550" i="7"/>
  <c r="H205" i="7"/>
  <c r="H370" i="7"/>
  <c r="H550" i="7"/>
  <c r="L547" i="7"/>
  <c r="L202" i="7"/>
  <c r="L367" i="7"/>
  <c r="J546" i="7"/>
  <c r="J201" i="7"/>
  <c r="G370" i="7"/>
  <c r="G550" i="7"/>
  <c r="G205" i="7"/>
  <c r="K547" i="7"/>
  <c r="K367" i="7"/>
  <c r="K202" i="7"/>
  <c r="I546" i="7"/>
  <c r="I201" i="7"/>
  <c r="F547" i="7"/>
  <c r="F202" i="7"/>
  <c r="F367" i="7"/>
  <c r="J202" i="7"/>
  <c r="J367" i="7"/>
  <c r="J547" i="7"/>
  <c r="H546" i="7"/>
  <c r="H201" i="7"/>
  <c r="K550" i="7"/>
  <c r="K205" i="7"/>
  <c r="K370" i="7"/>
  <c r="I202" i="7"/>
  <c r="I367" i="7"/>
  <c r="I547" i="7"/>
  <c r="G546" i="7"/>
  <c r="G201" i="7"/>
  <c r="L550" i="7"/>
  <c r="L205" i="7"/>
  <c r="L370" i="7"/>
  <c r="H367" i="7"/>
  <c r="H547" i="7"/>
  <c r="H202" i="7"/>
  <c r="U204" i="3"/>
  <c r="F356" i="7"/>
  <c r="F536" i="7"/>
  <c r="F191" i="3"/>
  <c r="F540" i="7"/>
  <c r="F360" i="7"/>
  <c r="F195" i="7"/>
  <c r="F30" i="7"/>
  <c r="F195" i="3"/>
  <c r="F30" i="3"/>
  <c r="D37" i="14"/>
  <c r="D67" i="14"/>
  <c r="F23" i="4" s="1"/>
  <c r="D47" i="14"/>
  <c r="F21" i="4" s="1"/>
  <c r="D87" i="14"/>
  <c r="F25" i="4" s="1"/>
  <c r="D77" i="14"/>
  <c r="F24" i="4" s="1"/>
  <c r="D57" i="14"/>
  <c r="F22" i="4" s="1"/>
  <c r="U112" i="14"/>
  <c r="E94" i="14"/>
  <c r="F121" i="14"/>
  <c r="F96" i="14"/>
  <c r="G132" i="14"/>
  <c r="L112" i="14"/>
  <c r="G129" i="14"/>
  <c r="F95" i="14"/>
  <c r="M109" i="14"/>
  <c r="M184" i="3"/>
  <c r="M207" i="3"/>
  <c r="F20" i="4" l="1"/>
  <c r="P22" i="5"/>
  <c r="Q22" i="5" s="1"/>
  <c r="Q43" i="5"/>
  <c r="R43" i="5" s="1"/>
  <c r="S43" i="5" s="1"/>
  <c r="P30" i="5"/>
  <c r="Q30" i="5" s="1"/>
  <c r="O31" i="5"/>
  <c r="O21" i="5"/>
  <c r="O40" i="5"/>
  <c r="O33" i="5"/>
  <c r="O44" i="5"/>
  <c r="P44" i="5" s="1"/>
  <c r="Q37" i="5"/>
  <c r="R37" i="5" s="1"/>
  <c r="Q36" i="5"/>
  <c r="O32" i="5"/>
  <c r="P32" i="5" s="1"/>
  <c r="Q32" i="5" s="1"/>
  <c r="R32" i="5" s="1"/>
  <c r="O45" i="5"/>
  <c r="O35" i="5"/>
  <c r="P35" i="5" s="1"/>
  <c r="Q34" i="5"/>
  <c r="R34" i="5" s="1"/>
  <c r="O29" i="5"/>
  <c r="N154" i="14"/>
  <c r="M156" i="14"/>
  <c r="M296" i="3"/>
  <c r="M292" i="3"/>
  <c r="M288" i="3"/>
  <c r="M291" i="3"/>
  <c r="M290" i="3"/>
  <c r="M297" i="3"/>
  <c r="M289" i="3"/>
  <c r="M295" i="3"/>
  <c r="M294" i="3"/>
  <c r="M293" i="3"/>
  <c r="M330" i="3"/>
  <c r="L381" i="3" s="1"/>
  <c r="M205" i="3"/>
  <c r="M329" i="3"/>
  <c r="M87" i="3"/>
  <c r="M236" i="3"/>
  <c r="M203" i="3"/>
  <c r="W206" i="3"/>
  <c r="M232" i="3"/>
  <c r="M326" i="3"/>
  <c r="M231" i="3"/>
  <c r="W234" i="3"/>
  <c r="M253" i="3"/>
  <c r="M88" i="3"/>
  <c r="M328" i="3"/>
  <c r="L380" i="3" s="1"/>
  <c r="M235" i="3"/>
  <c r="M86" i="3"/>
  <c r="M327" i="3"/>
  <c r="M325" i="3"/>
  <c r="M94" i="3"/>
  <c r="M332" i="3"/>
  <c r="M93" i="3"/>
  <c r="M258" i="3"/>
  <c r="M331" i="3"/>
  <c r="M91" i="3"/>
  <c r="M256" i="3"/>
  <c r="W257" i="3"/>
  <c r="W92" i="3"/>
  <c r="U255" i="3"/>
  <c r="U90" i="3"/>
  <c r="M422" i="7"/>
  <c r="N207" i="3"/>
  <c r="M42" i="3"/>
  <c r="V204" i="3"/>
  <c r="M112" i="14"/>
  <c r="G96" i="14"/>
  <c r="H132" i="14"/>
  <c r="H129" i="14"/>
  <c r="G95" i="14"/>
  <c r="F94" i="14"/>
  <c r="F37" i="14" s="1"/>
  <c r="G121" i="14"/>
  <c r="N109" i="14"/>
  <c r="Q109" i="14"/>
  <c r="P109" i="14"/>
  <c r="O109" i="14"/>
  <c r="E87" i="14"/>
  <c r="G25" i="4" s="1"/>
  <c r="E77" i="14"/>
  <c r="G24" i="4" s="1"/>
  <c r="E57" i="14"/>
  <c r="G22" i="4" s="1"/>
  <c r="E67" i="14"/>
  <c r="E47" i="14"/>
  <c r="G21" i="4" s="1"/>
  <c r="E37" i="14"/>
  <c r="V112" i="14"/>
  <c r="M373" i="7"/>
  <c r="F40" i="4"/>
  <c r="G40" i="4"/>
  <c r="H40" i="4"/>
  <c r="I40" i="4"/>
  <c r="J40" i="4"/>
  <c r="K40" i="4"/>
  <c r="L40" i="4"/>
  <c r="M40" i="4"/>
  <c r="N40" i="4"/>
  <c r="O40" i="4"/>
  <c r="P40" i="4"/>
  <c r="Q40" i="4"/>
  <c r="R40" i="4"/>
  <c r="S40" i="4"/>
  <c r="T40" i="4"/>
  <c r="U40" i="4"/>
  <c r="V40" i="4"/>
  <c r="W40" i="4"/>
  <c r="X40" i="4"/>
  <c r="E40" i="4"/>
  <c r="E26" i="5"/>
  <c r="C29" i="4"/>
  <c r="C206" i="4" s="1"/>
  <c r="C30" i="4"/>
  <c r="C207" i="4" s="1"/>
  <c r="G23" i="4" l="1"/>
  <c r="G20" i="4"/>
  <c r="P21" i="5"/>
  <c r="R22" i="5"/>
  <c r="S22" i="5" s="1"/>
  <c r="T22" i="5" s="1"/>
  <c r="U22" i="5" s="1"/>
  <c r="V22" i="5" s="1"/>
  <c r="W22" i="5" s="1"/>
  <c r="X22" i="5" s="1"/>
  <c r="Y22" i="5" s="1"/>
  <c r="Z22" i="5" s="1"/>
  <c r="S37" i="5"/>
  <c r="T37" i="5" s="1"/>
  <c r="U37" i="5" s="1"/>
  <c r="V37" i="5" s="1"/>
  <c r="W37" i="5" s="1"/>
  <c r="X37" i="5" s="1"/>
  <c r="Y37" i="5" s="1"/>
  <c r="Z37" i="5" s="1"/>
  <c r="R30" i="5"/>
  <c r="P33" i="5"/>
  <c r="Q44" i="5"/>
  <c r="T43" i="5"/>
  <c r="P29" i="5"/>
  <c r="P45" i="5"/>
  <c r="Q45" i="5" s="1"/>
  <c r="P40" i="5"/>
  <c r="Q35" i="5"/>
  <c r="R35" i="5" s="1"/>
  <c r="R36" i="5"/>
  <c r="S32" i="5"/>
  <c r="P31" i="5"/>
  <c r="S34" i="5"/>
  <c r="O154" i="14"/>
  <c r="N156" i="14"/>
  <c r="M218" i="7"/>
  <c r="M383" i="7"/>
  <c r="M563" i="7"/>
  <c r="M254" i="7"/>
  <c r="M419" i="7"/>
  <c r="M599" i="7"/>
  <c r="N295" i="3"/>
  <c r="N291" i="3"/>
  <c r="N293" i="3"/>
  <c r="N289" i="3"/>
  <c r="N288" i="3"/>
  <c r="N294" i="3"/>
  <c r="N297" i="3"/>
  <c r="N292" i="3"/>
  <c r="N290" i="3"/>
  <c r="N296" i="3"/>
  <c r="N327" i="3"/>
  <c r="X234" i="3"/>
  <c r="N329" i="3"/>
  <c r="N94" i="3"/>
  <c r="N235" i="3"/>
  <c r="N93" i="3"/>
  <c r="N258" i="3"/>
  <c r="N256" i="3"/>
  <c r="N91" i="3"/>
  <c r="Y206" i="3"/>
  <c r="X206" i="3"/>
  <c r="V90" i="3"/>
  <c r="V255" i="3"/>
  <c r="N331" i="3"/>
  <c r="N231" i="3"/>
  <c r="N203" i="3"/>
  <c r="N205" i="3"/>
  <c r="X92" i="3"/>
  <c r="X257" i="3"/>
  <c r="N232" i="3"/>
  <c r="N86" i="3"/>
  <c r="N325" i="3"/>
  <c r="N328" i="3"/>
  <c r="M380" i="3" s="1"/>
  <c r="N87" i="3"/>
  <c r="N88" i="3"/>
  <c r="N253" i="3"/>
  <c r="N332" i="3"/>
  <c r="N326" i="3"/>
  <c r="N236" i="3"/>
  <c r="N330" i="3"/>
  <c r="M381" i="3" s="1"/>
  <c r="M420" i="7"/>
  <c r="M602" i="7"/>
  <c r="M257" i="7"/>
  <c r="N422" i="7"/>
  <c r="M600" i="7"/>
  <c r="M255" i="7"/>
  <c r="M370" i="7"/>
  <c r="M550" i="7"/>
  <c r="M205" i="7"/>
  <c r="M206" i="7"/>
  <c r="M371" i="7"/>
  <c r="M551" i="7"/>
  <c r="W204" i="3"/>
  <c r="M547" i="7"/>
  <c r="M202" i="7"/>
  <c r="M367" i="7"/>
  <c r="M201" i="7"/>
  <c r="M546" i="7"/>
  <c r="M372" i="7"/>
  <c r="O207" i="3"/>
  <c r="N42" i="3"/>
  <c r="F87" i="14"/>
  <c r="H25" i="4" s="1"/>
  <c r="F77" i="14"/>
  <c r="H24" i="4" s="1"/>
  <c r="F47" i="14"/>
  <c r="H21" i="4" s="1"/>
  <c r="F67" i="14"/>
  <c r="H23" i="4" s="1"/>
  <c r="F57" i="14"/>
  <c r="H22" i="4" s="1"/>
  <c r="H20" i="4"/>
  <c r="I129" i="14"/>
  <c r="H95" i="14"/>
  <c r="G94" i="14"/>
  <c r="H121" i="14"/>
  <c r="I132" i="14"/>
  <c r="H96" i="14"/>
  <c r="R109" i="14"/>
  <c r="Q112" i="14"/>
  <c r="P112" i="14"/>
  <c r="O112" i="14"/>
  <c r="N112" i="14"/>
  <c r="X189" i="4"/>
  <c r="W189" i="4"/>
  <c r="V189" i="4"/>
  <c r="U189" i="4"/>
  <c r="T189" i="4"/>
  <c r="S189" i="4"/>
  <c r="R189" i="4"/>
  <c r="Q189" i="4"/>
  <c r="P189" i="4"/>
  <c r="O189" i="4"/>
  <c r="N189" i="4"/>
  <c r="M189" i="4"/>
  <c r="L189" i="4"/>
  <c r="K189" i="4"/>
  <c r="J189" i="4"/>
  <c r="I189" i="4"/>
  <c r="H189" i="4"/>
  <c r="G189" i="4"/>
  <c r="F189" i="4"/>
  <c r="E189" i="4"/>
  <c r="X188" i="4"/>
  <c r="W188" i="4"/>
  <c r="V188" i="4"/>
  <c r="U188" i="4"/>
  <c r="T188" i="4"/>
  <c r="S188" i="4"/>
  <c r="R188" i="4"/>
  <c r="Q188" i="4"/>
  <c r="P188" i="4"/>
  <c r="O188" i="4"/>
  <c r="N188" i="4"/>
  <c r="M188" i="4"/>
  <c r="L188" i="4"/>
  <c r="K188" i="4"/>
  <c r="J188" i="4"/>
  <c r="I188" i="4"/>
  <c r="H188" i="4"/>
  <c r="G188" i="4"/>
  <c r="F188" i="4"/>
  <c r="E188" i="4"/>
  <c r="X187" i="4"/>
  <c r="W187" i="4"/>
  <c r="V187" i="4"/>
  <c r="U187" i="4"/>
  <c r="T187" i="4"/>
  <c r="S187" i="4"/>
  <c r="R187" i="4"/>
  <c r="Q187" i="4"/>
  <c r="P187" i="4"/>
  <c r="O187" i="4"/>
  <c r="N187" i="4"/>
  <c r="M187" i="4"/>
  <c r="L187" i="4"/>
  <c r="K187" i="4"/>
  <c r="J187" i="4"/>
  <c r="I187" i="4"/>
  <c r="H187" i="4"/>
  <c r="G187" i="4"/>
  <c r="F187" i="4"/>
  <c r="E187" i="4"/>
  <c r="X186" i="4"/>
  <c r="W186" i="4"/>
  <c r="V186" i="4"/>
  <c r="U186" i="4"/>
  <c r="T186" i="4"/>
  <c r="S186" i="4"/>
  <c r="R186" i="4"/>
  <c r="Q186" i="4"/>
  <c r="P186" i="4"/>
  <c r="O186" i="4"/>
  <c r="N186" i="4"/>
  <c r="M186" i="4"/>
  <c r="L186" i="4"/>
  <c r="K186" i="4"/>
  <c r="J186" i="4"/>
  <c r="I186" i="4"/>
  <c r="H186" i="4"/>
  <c r="G186" i="4"/>
  <c r="F186" i="4"/>
  <c r="E186" i="4"/>
  <c r="X185" i="4"/>
  <c r="W185" i="4"/>
  <c r="V185" i="4"/>
  <c r="U185" i="4"/>
  <c r="T185" i="4"/>
  <c r="S185" i="4"/>
  <c r="R185" i="4"/>
  <c r="Q185" i="4"/>
  <c r="P185" i="4"/>
  <c r="O185" i="4"/>
  <c r="N185" i="4"/>
  <c r="M185" i="4"/>
  <c r="L185" i="4"/>
  <c r="K185" i="4"/>
  <c r="J185" i="4"/>
  <c r="I185" i="4"/>
  <c r="H185" i="4"/>
  <c r="G185" i="4"/>
  <c r="F185" i="4"/>
  <c r="E185" i="4"/>
  <c r="X184" i="4"/>
  <c r="W184" i="4"/>
  <c r="V184" i="4"/>
  <c r="U184" i="4"/>
  <c r="T184" i="4"/>
  <c r="S184" i="4"/>
  <c r="R184" i="4"/>
  <c r="Q184" i="4"/>
  <c r="P184" i="4"/>
  <c r="O184" i="4"/>
  <c r="N184" i="4"/>
  <c r="M184" i="4"/>
  <c r="L184" i="4"/>
  <c r="K184" i="4"/>
  <c r="J184" i="4"/>
  <c r="I184" i="4"/>
  <c r="H184" i="4"/>
  <c r="G184" i="4"/>
  <c r="F184" i="4"/>
  <c r="X183" i="4"/>
  <c r="W183" i="4"/>
  <c r="V183" i="4"/>
  <c r="U183" i="4"/>
  <c r="T183" i="4"/>
  <c r="S183" i="4"/>
  <c r="R183" i="4"/>
  <c r="Q183" i="4"/>
  <c r="P183" i="4"/>
  <c r="O183" i="4"/>
  <c r="N183" i="4"/>
  <c r="M183" i="4"/>
  <c r="L183" i="4"/>
  <c r="K183" i="4"/>
  <c r="J183" i="4"/>
  <c r="I183" i="4"/>
  <c r="H183" i="4"/>
  <c r="G183" i="4"/>
  <c r="F183" i="4"/>
  <c r="E183" i="4"/>
  <c r="Q21" i="5" l="1"/>
  <c r="S30" i="5"/>
  <c r="T30" i="5" s="1"/>
  <c r="U30" i="5" s="1"/>
  <c r="Q40" i="5"/>
  <c r="R40" i="5" s="1"/>
  <c r="S40" i="5" s="1"/>
  <c r="Q33" i="5"/>
  <c r="R33" i="5" s="1"/>
  <c r="S33" i="5" s="1"/>
  <c r="T33" i="5" s="1"/>
  <c r="Q31" i="5"/>
  <c r="U43" i="5"/>
  <c r="S36" i="5"/>
  <c r="T36" i="5" s="1"/>
  <c r="T32" i="5"/>
  <c r="U32" i="5" s="1"/>
  <c r="V32" i="5" s="1"/>
  <c r="W32" i="5" s="1"/>
  <c r="R45" i="5"/>
  <c r="S45" i="5" s="1"/>
  <c r="T45" i="5" s="1"/>
  <c r="U45" i="5" s="1"/>
  <c r="Q29" i="5"/>
  <c r="R29" i="5" s="1"/>
  <c r="S29" i="5" s="1"/>
  <c r="R44" i="5"/>
  <c r="T34" i="5"/>
  <c r="S35" i="5"/>
  <c r="T35" i="5" s="1"/>
  <c r="P154" i="14"/>
  <c r="O156" i="14"/>
  <c r="O254" i="7"/>
  <c r="O419" i="7"/>
  <c r="O599" i="7"/>
  <c r="N254" i="7"/>
  <c r="N419" i="7"/>
  <c r="N599" i="7"/>
  <c r="O563" i="7"/>
  <c r="O218" i="7"/>
  <c r="O383" i="7"/>
  <c r="N218" i="7"/>
  <c r="N383" i="7"/>
  <c r="N563" i="7"/>
  <c r="O292" i="3"/>
  <c r="O289" i="3"/>
  <c r="O296" i="3"/>
  <c r="O297" i="3"/>
  <c r="O293" i="3"/>
  <c r="O290" i="3"/>
  <c r="O294" i="3"/>
  <c r="O291" i="3"/>
  <c r="O288" i="3"/>
  <c r="O295" i="3"/>
  <c r="O331" i="3"/>
  <c r="O332" i="3"/>
  <c r="W90" i="3"/>
  <c r="W255" i="3"/>
  <c r="O203" i="3"/>
  <c r="Y234" i="3"/>
  <c r="O236" i="3"/>
  <c r="O87" i="3"/>
  <c r="O232" i="3"/>
  <c r="O235" i="3"/>
  <c r="O256" i="3"/>
  <c r="O91" i="3"/>
  <c r="O329" i="3"/>
  <c r="O330" i="3"/>
  <c r="N381" i="3" s="1"/>
  <c r="O93" i="3"/>
  <c r="O258" i="3"/>
  <c r="O231" i="3"/>
  <c r="Y92" i="3"/>
  <c r="Y257" i="3"/>
  <c r="O325" i="3"/>
  <c r="O205" i="3"/>
  <c r="O253" i="3"/>
  <c r="O88" i="3"/>
  <c r="O86" i="3"/>
  <c r="O326" i="3"/>
  <c r="O328" i="3"/>
  <c r="N380" i="3" s="1"/>
  <c r="O94" i="3"/>
  <c r="O327" i="3"/>
  <c r="N257" i="7"/>
  <c r="N602" i="7"/>
  <c r="N420" i="7"/>
  <c r="N367" i="7"/>
  <c r="N547" i="7"/>
  <c r="N202" i="7"/>
  <c r="P207" i="3"/>
  <c r="O42" i="3"/>
  <c r="X204" i="3"/>
  <c r="N206" i="7"/>
  <c r="N371" i="7"/>
  <c r="N551" i="7"/>
  <c r="N546" i="7"/>
  <c r="N201" i="7"/>
  <c r="N373" i="7"/>
  <c r="N372" i="7"/>
  <c r="N370" i="7"/>
  <c r="N550" i="7"/>
  <c r="N205" i="7"/>
  <c r="N255" i="7"/>
  <c r="N600" i="7"/>
  <c r="S109" i="14"/>
  <c r="J132" i="14"/>
  <c r="I96" i="14"/>
  <c r="I121" i="14"/>
  <c r="H94" i="14"/>
  <c r="J129" i="14"/>
  <c r="I95" i="14"/>
  <c r="G87" i="14"/>
  <c r="I25" i="4" s="1"/>
  <c r="G77" i="14"/>
  <c r="I24" i="4" s="1"/>
  <c r="G67" i="14"/>
  <c r="I23" i="4" s="1"/>
  <c r="G57" i="14"/>
  <c r="I22" i="4" s="1"/>
  <c r="G47" i="14"/>
  <c r="I21" i="4" s="1"/>
  <c r="G37" i="14"/>
  <c r="I20" i="4" l="1"/>
  <c r="R21" i="5"/>
  <c r="T20" i="5"/>
  <c r="U20" i="5" s="1"/>
  <c r="V20" i="5" s="1"/>
  <c r="W20" i="5" s="1"/>
  <c r="X20" i="5" s="1"/>
  <c r="Y20" i="5" s="1"/>
  <c r="Z20" i="5" s="1"/>
  <c r="U36" i="5"/>
  <c r="V36" i="5" s="1"/>
  <c r="W36" i="5" s="1"/>
  <c r="X36" i="5" s="1"/>
  <c r="U33" i="5"/>
  <c r="V33" i="5" s="1"/>
  <c r="W33" i="5" s="1"/>
  <c r="X33" i="5" s="1"/>
  <c r="Y33" i="5" s="1"/>
  <c r="Z33" i="5" s="1"/>
  <c r="V30" i="5"/>
  <c r="W30" i="5" s="1"/>
  <c r="X30" i="5" s="1"/>
  <c r="T19" i="5"/>
  <c r="X32" i="5"/>
  <c r="Y32" i="5" s="1"/>
  <c r="Z32" i="5" s="1"/>
  <c r="U34" i="5"/>
  <c r="V34" i="5" s="1"/>
  <c r="W34" i="5" s="1"/>
  <c r="X34" i="5" s="1"/>
  <c r="Y34" i="5" s="1"/>
  <c r="Z34" i="5" s="1"/>
  <c r="T29" i="5"/>
  <c r="U29" i="5" s="1"/>
  <c r="V29" i="5" s="1"/>
  <c r="W29" i="5" s="1"/>
  <c r="X29" i="5" s="1"/>
  <c r="Y29" i="5" s="1"/>
  <c r="Z29" i="5" s="1"/>
  <c r="R31" i="5"/>
  <c r="V45" i="5"/>
  <c r="W45" i="5" s="1"/>
  <c r="X45" i="5" s="1"/>
  <c r="Y45" i="5" s="1"/>
  <c r="Z45" i="5" s="1"/>
  <c r="S44" i="5"/>
  <c r="T44" i="5" s="1"/>
  <c r="U44" i="5" s="1"/>
  <c r="V44" i="5" s="1"/>
  <c r="W44" i="5" s="1"/>
  <c r="X44" i="5" s="1"/>
  <c r="Y44" i="5" s="1"/>
  <c r="Z44" i="5" s="1"/>
  <c r="T40" i="5"/>
  <c r="U40" i="5" s="1"/>
  <c r="V40" i="5" s="1"/>
  <c r="U35" i="5"/>
  <c r="V35" i="5" s="1"/>
  <c r="W35" i="5" s="1"/>
  <c r="X35" i="5" s="1"/>
  <c r="Y35" i="5" s="1"/>
  <c r="Z35" i="5" s="1"/>
  <c r="V43" i="5"/>
  <c r="W43" i="5" s="1"/>
  <c r="X43" i="5" s="1"/>
  <c r="Y43" i="5" s="1"/>
  <c r="Z43" i="5" s="1"/>
  <c r="Q154" i="14"/>
  <c r="P156" i="14"/>
  <c r="P383" i="7"/>
  <c r="P563" i="7"/>
  <c r="P218" i="7"/>
  <c r="P254" i="7"/>
  <c r="P599" i="7"/>
  <c r="P419" i="7"/>
  <c r="P291" i="3"/>
  <c r="P297" i="3"/>
  <c r="P295" i="3"/>
  <c r="P294" i="3"/>
  <c r="P296" i="3"/>
  <c r="P288" i="3"/>
  <c r="P290" i="3"/>
  <c r="P289" i="3"/>
  <c r="P293" i="3"/>
  <c r="P292" i="3"/>
  <c r="P328" i="3"/>
  <c r="O380" i="3" s="1"/>
  <c r="P205" i="3"/>
  <c r="P91" i="3"/>
  <c r="P256" i="3"/>
  <c r="P236" i="3"/>
  <c r="P232" i="3"/>
  <c r="P94" i="3"/>
  <c r="X90" i="3"/>
  <c r="X255" i="3"/>
  <c r="P258" i="3"/>
  <c r="P93" i="3"/>
  <c r="P332" i="3"/>
  <c r="P327" i="3"/>
  <c r="P422" i="7"/>
  <c r="O422" i="7"/>
  <c r="P253" i="3"/>
  <c r="P88" i="3"/>
  <c r="P326" i="3"/>
  <c r="P325" i="3"/>
  <c r="P235" i="3"/>
  <c r="P86" i="3"/>
  <c r="P203" i="3"/>
  <c r="P329" i="3"/>
  <c r="P231" i="3"/>
  <c r="P87" i="3"/>
  <c r="P330" i="3"/>
  <c r="O381" i="3" s="1"/>
  <c r="P331" i="3"/>
  <c r="O257" i="7"/>
  <c r="O602" i="7"/>
  <c r="P600" i="7"/>
  <c r="O420" i="7"/>
  <c r="O600" i="7"/>
  <c r="O255" i="7"/>
  <c r="O546" i="7"/>
  <c r="O201" i="7"/>
  <c r="Q207" i="3"/>
  <c r="P42" i="3"/>
  <c r="O367" i="7"/>
  <c r="O547" i="7"/>
  <c r="O202" i="7"/>
  <c r="O551" i="7"/>
  <c r="O371" i="7"/>
  <c r="O206" i="7"/>
  <c r="O372" i="7"/>
  <c r="O373" i="7"/>
  <c r="O370" i="7"/>
  <c r="O550" i="7"/>
  <c r="O205" i="7"/>
  <c r="J121" i="14"/>
  <c r="I94" i="14"/>
  <c r="K132" i="14"/>
  <c r="J96" i="14"/>
  <c r="K129" i="14"/>
  <c r="J95" i="14"/>
  <c r="H77" i="14"/>
  <c r="J24" i="4" s="1"/>
  <c r="H67" i="14"/>
  <c r="J23" i="4" s="1"/>
  <c r="H57" i="14"/>
  <c r="J22" i="4" s="1"/>
  <c r="H47" i="14"/>
  <c r="J21" i="4" s="1"/>
  <c r="H37" i="14"/>
  <c r="J20" i="4" s="1"/>
  <c r="H87" i="14"/>
  <c r="J25" i="4" s="1"/>
  <c r="T109" i="14"/>
  <c r="S21" i="5" l="1"/>
  <c r="U19" i="5"/>
  <c r="Y36" i="5"/>
  <c r="Z36" i="5" s="1"/>
  <c r="Y30" i="5"/>
  <c r="Z30" i="5" s="1"/>
  <c r="S31" i="5"/>
  <c r="W40" i="5"/>
  <c r="X40" i="5" s="1"/>
  <c r="Y40" i="5" s="1"/>
  <c r="Z40" i="5" s="1"/>
  <c r="R154" i="14"/>
  <c r="Q156" i="14"/>
  <c r="R419" i="7"/>
  <c r="R599" i="7"/>
  <c r="R254" i="7"/>
  <c r="Q599" i="7"/>
  <c r="Q254" i="7"/>
  <c r="Q419" i="7"/>
  <c r="R218" i="7"/>
  <c r="R383" i="7"/>
  <c r="R563" i="7"/>
  <c r="S383" i="7"/>
  <c r="S218" i="7"/>
  <c r="S563" i="7"/>
  <c r="Q218" i="7"/>
  <c r="Q383" i="7"/>
  <c r="Q563" i="7"/>
  <c r="Q289" i="3"/>
  <c r="Q294" i="3"/>
  <c r="Q292" i="3"/>
  <c r="Q290" i="3"/>
  <c r="Q295" i="3"/>
  <c r="Q293" i="3"/>
  <c r="Q288" i="3"/>
  <c r="Q297" i="3"/>
  <c r="Q296" i="3"/>
  <c r="Q291" i="3"/>
  <c r="P255" i="7"/>
  <c r="Q235" i="3"/>
  <c r="Q256" i="3"/>
  <c r="Q91" i="3"/>
  <c r="Q236" i="3"/>
  <c r="Q330" i="3"/>
  <c r="P381" i="3" s="1"/>
  <c r="Q203" i="3"/>
  <c r="Q326" i="3"/>
  <c r="Q332" i="3"/>
  <c r="Q94" i="3"/>
  <c r="P257" i="7"/>
  <c r="Q331" i="3"/>
  <c r="Q327" i="3"/>
  <c r="Q88" i="3"/>
  <c r="Q253" i="3"/>
  <c r="Q205" i="3"/>
  <c r="Q422" i="7"/>
  <c r="Q329" i="3"/>
  <c r="Y255" i="3"/>
  <c r="Y90" i="3"/>
  <c r="Q86" i="3"/>
  <c r="Q231" i="3"/>
  <c r="Q325" i="3"/>
  <c r="Y204" i="3"/>
  <c r="Q87" i="3"/>
  <c r="Q232" i="3"/>
  <c r="P602" i="7"/>
  <c r="Q258" i="3"/>
  <c r="Q93" i="3"/>
  <c r="Q328" i="3"/>
  <c r="P380" i="3" s="1"/>
  <c r="P420" i="7"/>
  <c r="Q600" i="7"/>
  <c r="P372" i="7"/>
  <c r="Q551" i="7"/>
  <c r="Q206" i="7"/>
  <c r="Q371" i="7"/>
  <c r="P546" i="7"/>
  <c r="P201" i="7"/>
  <c r="P205" i="7"/>
  <c r="P370" i="7"/>
  <c r="P550" i="7"/>
  <c r="P373" i="7"/>
  <c r="Q202" i="7"/>
  <c r="Q367" i="7"/>
  <c r="Q547" i="7"/>
  <c r="P367" i="7"/>
  <c r="P547" i="7"/>
  <c r="P202" i="7"/>
  <c r="P551" i="7"/>
  <c r="P206" i="7"/>
  <c r="P371" i="7"/>
  <c r="R207" i="3"/>
  <c r="Q42" i="3"/>
  <c r="U109" i="14"/>
  <c r="L129" i="14"/>
  <c r="K95" i="14"/>
  <c r="L132" i="14"/>
  <c r="K96" i="14"/>
  <c r="K121" i="14"/>
  <c r="J94" i="14"/>
  <c r="I67" i="14"/>
  <c r="K23" i="4" s="1"/>
  <c r="I57" i="14"/>
  <c r="I47" i="14"/>
  <c r="I37" i="14"/>
  <c r="J37" i="14" s="1"/>
  <c r="K37" i="14" s="1"/>
  <c r="L37" i="14" s="1"/>
  <c r="M37" i="14" s="1"/>
  <c r="N37" i="14" s="1"/>
  <c r="O37" i="14" s="1"/>
  <c r="P37" i="14" s="1"/>
  <c r="Q37" i="14" s="1"/>
  <c r="R37" i="14" s="1"/>
  <c r="S37" i="14" s="1"/>
  <c r="T37" i="14" s="1"/>
  <c r="U37" i="14" s="1"/>
  <c r="V37" i="14" s="1"/>
  <c r="I87" i="14"/>
  <c r="I77" i="14"/>
  <c r="F154" i="4"/>
  <c r="G154" i="4"/>
  <c r="H154" i="4"/>
  <c r="I154" i="4"/>
  <c r="J154" i="4"/>
  <c r="K154" i="4"/>
  <c r="G528" i="3" s="1"/>
  <c r="L154" i="4"/>
  <c r="M154" i="4"/>
  <c r="N154" i="4"/>
  <c r="O154" i="4"/>
  <c r="P154" i="4"/>
  <c r="Q154" i="4"/>
  <c r="R154" i="4"/>
  <c r="S154" i="4"/>
  <c r="T154" i="4"/>
  <c r="U154" i="4"/>
  <c r="V154" i="4"/>
  <c r="W154" i="4"/>
  <c r="X154" i="4"/>
  <c r="E154" i="4"/>
  <c r="C164" i="4"/>
  <c r="F163" i="4"/>
  <c r="G163" i="4"/>
  <c r="H163" i="4"/>
  <c r="I163" i="4"/>
  <c r="J163" i="4"/>
  <c r="K163" i="4"/>
  <c r="G537" i="3" s="1"/>
  <c r="E83" i="8" s="1"/>
  <c r="F83" i="8" s="1"/>
  <c r="L163" i="4"/>
  <c r="M163" i="4"/>
  <c r="N163" i="4"/>
  <c r="O163" i="4"/>
  <c r="P163" i="4"/>
  <c r="Q163" i="4"/>
  <c r="R163" i="4"/>
  <c r="S163" i="4"/>
  <c r="T163" i="4"/>
  <c r="U163" i="4"/>
  <c r="V163" i="4"/>
  <c r="W163" i="4"/>
  <c r="X163" i="4"/>
  <c r="E163" i="4"/>
  <c r="C163" i="4"/>
  <c r="D674" i="7"/>
  <c r="D675" i="7"/>
  <c r="D676" i="7"/>
  <c r="D677" i="7"/>
  <c r="D678" i="7"/>
  <c r="D679" i="7"/>
  <c r="D680" i="7"/>
  <c r="D681" i="7"/>
  <c r="D682" i="7"/>
  <c r="D683" i="7"/>
  <c r="D684" i="7"/>
  <c r="D685" i="7"/>
  <c r="D686" i="7"/>
  <c r="D687" i="7"/>
  <c r="D688" i="7"/>
  <c r="D494" i="7"/>
  <c r="D495" i="7"/>
  <c r="D496" i="7"/>
  <c r="D497" i="7"/>
  <c r="D498" i="7"/>
  <c r="D499" i="7"/>
  <c r="D500" i="7"/>
  <c r="D501" i="7"/>
  <c r="D502" i="7"/>
  <c r="D503" i="7"/>
  <c r="D504" i="7"/>
  <c r="D505" i="7"/>
  <c r="D506" i="7"/>
  <c r="D507" i="7"/>
  <c r="D508" i="7"/>
  <c r="D329" i="7"/>
  <c r="D330" i="7"/>
  <c r="D331" i="7"/>
  <c r="D332" i="7"/>
  <c r="D333" i="7"/>
  <c r="D334" i="7"/>
  <c r="D335" i="7"/>
  <c r="D336" i="7"/>
  <c r="D337" i="7"/>
  <c r="D338" i="7"/>
  <c r="D339" i="7"/>
  <c r="D340" i="7"/>
  <c r="D341" i="7"/>
  <c r="D342" i="7"/>
  <c r="D343" i="7"/>
  <c r="D329" i="3"/>
  <c r="D330" i="3"/>
  <c r="D331" i="3"/>
  <c r="D332" i="3"/>
  <c r="D333" i="3"/>
  <c r="D334" i="3"/>
  <c r="D335" i="3"/>
  <c r="D336" i="3"/>
  <c r="D337" i="3"/>
  <c r="D338" i="3"/>
  <c r="D339" i="3"/>
  <c r="D340" i="3"/>
  <c r="D341" i="3"/>
  <c r="D342" i="3"/>
  <c r="D343" i="3"/>
  <c r="G164" i="5"/>
  <c r="F674" i="7" s="1"/>
  <c r="G165" i="5"/>
  <c r="F675" i="7" s="1"/>
  <c r="G166" i="5"/>
  <c r="F676" i="7" s="1"/>
  <c r="G167" i="5"/>
  <c r="F677" i="7" s="1"/>
  <c r="G168" i="5"/>
  <c r="F678" i="7" s="1"/>
  <c r="G169" i="5"/>
  <c r="F679" i="7" s="1"/>
  <c r="G170" i="5"/>
  <c r="F680" i="7" s="1"/>
  <c r="G171" i="5"/>
  <c r="F681" i="7" s="1"/>
  <c r="G172" i="5"/>
  <c r="F682" i="7" s="1"/>
  <c r="G173" i="5"/>
  <c r="F683" i="7" s="1"/>
  <c r="G174" i="5"/>
  <c r="F684" i="7" s="1"/>
  <c r="G175" i="5"/>
  <c r="F685" i="7" s="1"/>
  <c r="G176" i="5"/>
  <c r="F686" i="7" s="1"/>
  <c r="G177" i="5"/>
  <c r="F687" i="7" s="1"/>
  <c r="G178" i="5"/>
  <c r="F688" i="7" s="1"/>
  <c r="D164" i="5"/>
  <c r="D165" i="5"/>
  <c r="D166" i="5"/>
  <c r="D167" i="5"/>
  <c r="D168" i="5"/>
  <c r="D169" i="5"/>
  <c r="D170" i="5"/>
  <c r="D171" i="5"/>
  <c r="D172" i="5"/>
  <c r="D173" i="5"/>
  <c r="D174" i="5"/>
  <c r="D175" i="5"/>
  <c r="D176" i="5"/>
  <c r="D177" i="5"/>
  <c r="D178" i="5"/>
  <c r="D163" i="5"/>
  <c r="K22" i="4" l="1"/>
  <c r="J57" i="14"/>
  <c r="K57" i="14" s="1"/>
  <c r="L57" i="14" s="1"/>
  <c r="M57" i="14" s="1"/>
  <c r="N57" i="14" s="1"/>
  <c r="O57" i="14" s="1"/>
  <c r="P57" i="14" s="1"/>
  <c r="Q57" i="14" s="1"/>
  <c r="R57" i="14" s="1"/>
  <c r="S57" i="14" s="1"/>
  <c r="T57" i="14" s="1"/>
  <c r="U57" i="14" s="1"/>
  <c r="V57" i="14" s="1"/>
  <c r="K24" i="4"/>
  <c r="J77" i="14"/>
  <c r="K77" i="14" s="1"/>
  <c r="L77" i="14" s="1"/>
  <c r="M77" i="14" s="1"/>
  <c r="N77" i="14" s="1"/>
  <c r="O77" i="14" s="1"/>
  <c r="P77" i="14" s="1"/>
  <c r="Q77" i="14" s="1"/>
  <c r="R77" i="14" s="1"/>
  <c r="S77" i="14" s="1"/>
  <c r="T77" i="14" s="1"/>
  <c r="U77" i="14" s="1"/>
  <c r="V77" i="14" s="1"/>
  <c r="K25" i="4"/>
  <c r="J87" i="14"/>
  <c r="K87" i="14" s="1"/>
  <c r="L87" i="14" s="1"/>
  <c r="M87" i="14" s="1"/>
  <c r="N87" i="14" s="1"/>
  <c r="O87" i="14" s="1"/>
  <c r="P87" i="14" s="1"/>
  <c r="Q87" i="14" s="1"/>
  <c r="R87" i="14" s="1"/>
  <c r="S87" i="14" s="1"/>
  <c r="T87" i="14" s="1"/>
  <c r="U87" i="14" s="1"/>
  <c r="V87" i="14" s="1"/>
  <c r="K21" i="4"/>
  <c r="J47" i="14"/>
  <c r="K47" i="14" s="1"/>
  <c r="L47" i="14" s="1"/>
  <c r="M47" i="14" s="1"/>
  <c r="N47" i="14" s="1"/>
  <c r="O47" i="14" s="1"/>
  <c r="P47" i="14" s="1"/>
  <c r="Q47" i="14" s="1"/>
  <c r="R47" i="14" s="1"/>
  <c r="S47" i="14" s="1"/>
  <c r="T47" i="14" s="1"/>
  <c r="U47" i="14" s="1"/>
  <c r="V47" i="14" s="1"/>
  <c r="J67" i="14"/>
  <c r="K67" i="14" s="1"/>
  <c r="L67" i="14" s="1"/>
  <c r="M67" i="14" s="1"/>
  <c r="N67" i="14" s="1"/>
  <c r="O67" i="14" s="1"/>
  <c r="P67" i="14" s="1"/>
  <c r="Q67" i="14" s="1"/>
  <c r="R67" i="14" s="1"/>
  <c r="S67" i="14" s="1"/>
  <c r="T67" i="14" s="1"/>
  <c r="U67" i="14" s="1"/>
  <c r="V67" i="14" s="1"/>
  <c r="T21" i="5"/>
  <c r="U21" i="5" s="1"/>
  <c r="V21" i="5" s="1"/>
  <c r="W21" i="5" s="1"/>
  <c r="X21" i="5" s="1"/>
  <c r="Y21" i="5" s="1"/>
  <c r="V19" i="5"/>
  <c r="F341" i="7"/>
  <c r="F330" i="7"/>
  <c r="F337" i="7"/>
  <c r="F336" i="7"/>
  <c r="F343" i="7"/>
  <c r="F335" i="7"/>
  <c r="F333" i="7"/>
  <c r="F340" i="7"/>
  <c r="F332" i="7"/>
  <c r="F342" i="7"/>
  <c r="F339" i="7"/>
  <c r="F331" i="7"/>
  <c r="F334" i="7"/>
  <c r="F338" i="7"/>
  <c r="K20" i="4"/>
  <c r="G197" i="4"/>
  <c r="E197" i="4" s="1"/>
  <c r="G200" i="4"/>
  <c r="E200" i="4" s="1"/>
  <c r="G198" i="4"/>
  <c r="E198" i="4" s="1"/>
  <c r="G201" i="4"/>
  <c r="E201" i="4" s="1"/>
  <c r="G202" i="4"/>
  <c r="E202" i="4" s="1"/>
  <c r="G199" i="4"/>
  <c r="E199" i="4" s="1"/>
  <c r="T31" i="5"/>
  <c r="U31" i="5" s="1"/>
  <c r="V31" i="5" s="1"/>
  <c r="W31" i="5" s="1"/>
  <c r="X31" i="5" s="1"/>
  <c r="Y31" i="5" s="1"/>
  <c r="F495" i="7"/>
  <c r="E747" i="7" s="1"/>
  <c r="F494" i="7"/>
  <c r="S154" i="14"/>
  <c r="R156" i="14"/>
  <c r="U218" i="7"/>
  <c r="U383" i="7"/>
  <c r="U563" i="7"/>
  <c r="T218" i="7"/>
  <c r="T383" i="7"/>
  <c r="T563" i="7"/>
  <c r="T254" i="7"/>
  <c r="T419" i="7"/>
  <c r="T599" i="7"/>
  <c r="S254" i="7"/>
  <c r="S419" i="7"/>
  <c r="S599" i="7"/>
  <c r="R297" i="3"/>
  <c r="R290" i="3"/>
  <c r="R291" i="3"/>
  <c r="R288" i="3"/>
  <c r="R292" i="3"/>
  <c r="R296" i="3"/>
  <c r="R293" i="3"/>
  <c r="R294" i="3"/>
  <c r="Q257" i="7"/>
  <c r="R295" i="3"/>
  <c r="R289" i="3"/>
  <c r="R93" i="3"/>
  <c r="R258" i="3"/>
  <c r="R325" i="3"/>
  <c r="R327" i="3"/>
  <c r="R88" i="3"/>
  <c r="R253" i="3"/>
  <c r="Q602" i="7"/>
  <c r="R232" i="3"/>
  <c r="R231" i="3"/>
  <c r="R326" i="3"/>
  <c r="R330" i="3"/>
  <c r="Q381" i="3" s="1"/>
  <c r="R332" i="3"/>
  <c r="R331" i="3"/>
  <c r="R256" i="3"/>
  <c r="R91" i="3"/>
  <c r="R236" i="3"/>
  <c r="R328" i="3"/>
  <c r="Q380" i="3" s="1"/>
  <c r="R87" i="3"/>
  <c r="R86" i="3"/>
  <c r="R205" i="3"/>
  <c r="R203" i="3"/>
  <c r="R94" i="3"/>
  <c r="R329" i="3"/>
  <c r="R422" i="7"/>
  <c r="R235" i="3"/>
  <c r="Q255" i="7"/>
  <c r="Q420" i="7"/>
  <c r="Q205" i="7"/>
  <c r="Q370" i="7"/>
  <c r="Q550" i="7"/>
  <c r="R202" i="7"/>
  <c r="R367" i="7"/>
  <c r="R547" i="7"/>
  <c r="Q546" i="7"/>
  <c r="Q201" i="7"/>
  <c r="Q373" i="7"/>
  <c r="Q372" i="7"/>
  <c r="S207" i="3"/>
  <c r="R42" i="3"/>
  <c r="R371" i="7"/>
  <c r="R551" i="7"/>
  <c r="R206" i="7"/>
  <c r="S371" i="7"/>
  <c r="S551" i="7"/>
  <c r="S206" i="7"/>
  <c r="L22" i="4"/>
  <c r="L20" i="4"/>
  <c r="L25" i="4"/>
  <c r="L24" i="4"/>
  <c r="L23" i="4"/>
  <c r="L121" i="14"/>
  <c r="K94" i="14"/>
  <c r="M132" i="14"/>
  <c r="L96" i="14"/>
  <c r="M129" i="14"/>
  <c r="L95" i="14"/>
  <c r="V109" i="14"/>
  <c r="E162" i="5"/>
  <c r="E163" i="5"/>
  <c r="E164" i="5"/>
  <c r="E165" i="5"/>
  <c r="E166" i="5"/>
  <c r="E167" i="5"/>
  <c r="E168" i="5"/>
  <c r="E169" i="5"/>
  <c r="E170" i="5"/>
  <c r="E171" i="5"/>
  <c r="E172" i="5"/>
  <c r="E173" i="5"/>
  <c r="E174" i="5"/>
  <c r="E175" i="5"/>
  <c r="E176" i="5"/>
  <c r="E177" i="5"/>
  <c r="E178"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33" i="5"/>
  <c r="E122" i="5"/>
  <c r="E123" i="5"/>
  <c r="E124" i="5"/>
  <c r="E125" i="5"/>
  <c r="E126" i="5"/>
  <c r="E127" i="5"/>
  <c r="E128" i="5"/>
  <c r="E129" i="5"/>
  <c r="E130" i="5"/>
  <c r="E131" i="5"/>
  <c r="E132" i="5"/>
  <c r="E121" i="5"/>
  <c r="E111" i="5"/>
  <c r="E112" i="5"/>
  <c r="E113" i="5"/>
  <c r="E114" i="5"/>
  <c r="E115" i="5"/>
  <c r="E116" i="5"/>
  <c r="E117" i="5"/>
  <c r="E118" i="5"/>
  <c r="E119" i="5"/>
  <c r="E120" i="5"/>
  <c r="E110" i="5"/>
  <c r="E106" i="5"/>
  <c r="E107" i="5"/>
  <c r="E108" i="5"/>
  <c r="E109" i="5"/>
  <c r="E105" i="5"/>
  <c r="E103" i="5"/>
  <c r="E104" i="5"/>
  <c r="E102" i="5"/>
  <c r="E99" i="5"/>
  <c r="E100" i="5"/>
  <c r="E101" i="5"/>
  <c r="E98" i="5"/>
  <c r="E95" i="5"/>
  <c r="E96" i="5"/>
  <c r="E97" i="5"/>
  <c r="E94" i="5"/>
  <c r="E80" i="5"/>
  <c r="E81" i="5"/>
  <c r="E82" i="5"/>
  <c r="E83" i="5"/>
  <c r="E84" i="5"/>
  <c r="E85" i="5"/>
  <c r="E86" i="5"/>
  <c r="E87" i="5"/>
  <c r="E88" i="5"/>
  <c r="E91" i="5"/>
  <c r="E93" i="5"/>
  <c r="E79" i="5"/>
  <c r="E76" i="5"/>
  <c r="E77" i="5"/>
  <c r="E78" i="5"/>
  <c r="E75" i="5"/>
  <c r="E72" i="5"/>
  <c r="E73" i="5"/>
  <c r="E74" i="5"/>
  <c r="E71" i="5"/>
  <c r="E55" i="5"/>
  <c r="E56" i="5"/>
  <c r="E57" i="5"/>
  <c r="E58" i="5"/>
  <c r="E59" i="5"/>
  <c r="E60" i="5"/>
  <c r="E61" i="5"/>
  <c r="E62" i="5"/>
  <c r="E63" i="5"/>
  <c r="E64" i="5"/>
  <c r="E65" i="5"/>
  <c r="E66" i="5"/>
  <c r="E67" i="5"/>
  <c r="E54" i="5"/>
  <c r="E48" i="5"/>
  <c r="E49" i="5"/>
  <c r="E50" i="5"/>
  <c r="E51" i="5"/>
  <c r="E52" i="5"/>
  <c r="E47" i="5"/>
  <c r="E20" i="5"/>
  <c r="E21" i="5"/>
  <c r="E22" i="5"/>
  <c r="E23" i="5"/>
  <c r="E24" i="5"/>
  <c r="E25" i="5"/>
  <c r="E27" i="5"/>
  <c r="E28" i="5"/>
  <c r="E29" i="5"/>
  <c r="E30" i="5"/>
  <c r="E31" i="5"/>
  <c r="E32" i="5"/>
  <c r="E33" i="5"/>
  <c r="E34" i="5"/>
  <c r="E35" i="5"/>
  <c r="E36" i="5"/>
  <c r="E37" i="5"/>
  <c r="E38" i="5"/>
  <c r="E40" i="5"/>
  <c r="E43" i="5"/>
  <c r="E44" i="5"/>
  <c r="E45" i="5"/>
  <c r="E46" i="5"/>
  <c r="E19" i="5"/>
  <c r="E18" i="5"/>
  <c r="D162"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33" i="5"/>
  <c r="D115" i="5"/>
  <c r="D116" i="5"/>
  <c r="D117" i="5"/>
  <c r="D118" i="5"/>
  <c r="D119" i="5"/>
  <c r="D120" i="5"/>
  <c r="D121" i="5"/>
  <c r="D122" i="5"/>
  <c r="D123" i="5"/>
  <c r="D124" i="5"/>
  <c r="D125" i="5"/>
  <c r="D126" i="5"/>
  <c r="D127" i="5"/>
  <c r="D128" i="5"/>
  <c r="D129" i="5"/>
  <c r="D130" i="5"/>
  <c r="D131" i="5"/>
  <c r="D132" i="5"/>
  <c r="D111" i="5"/>
  <c r="D112" i="5"/>
  <c r="D113" i="5"/>
  <c r="D114" i="5"/>
  <c r="D110" i="5"/>
  <c r="D108" i="5"/>
  <c r="D109" i="5"/>
  <c r="D40" i="5"/>
  <c r="D43" i="5"/>
  <c r="D44" i="5"/>
  <c r="D45" i="5"/>
  <c r="L21" i="4" l="1"/>
  <c r="Z21" i="5"/>
  <c r="W19" i="5"/>
  <c r="Z31" i="5"/>
  <c r="T154" i="14"/>
  <c r="S156" i="14"/>
  <c r="R420" i="7"/>
  <c r="U254" i="7"/>
  <c r="U419" i="7"/>
  <c r="U599" i="7"/>
  <c r="V218" i="7"/>
  <c r="V563" i="7"/>
  <c r="V383" i="7"/>
  <c r="R255" i="7"/>
  <c r="R257" i="7"/>
  <c r="S294" i="3"/>
  <c r="S288" i="3"/>
  <c r="S289" i="3"/>
  <c r="S293" i="3"/>
  <c r="S291" i="3"/>
  <c r="S295" i="3"/>
  <c r="S296" i="3"/>
  <c r="S290" i="3"/>
  <c r="S292" i="3"/>
  <c r="S297" i="3"/>
  <c r="R602" i="7"/>
  <c r="S422" i="7"/>
  <c r="S203" i="3"/>
  <c r="S328" i="3"/>
  <c r="R380" i="3" s="1"/>
  <c r="S325" i="3"/>
  <c r="S329" i="3"/>
  <c r="S326" i="3"/>
  <c r="S94" i="3"/>
  <c r="S87" i="3"/>
  <c r="S327" i="3"/>
  <c r="S331" i="3"/>
  <c r="S231" i="3"/>
  <c r="S88" i="3"/>
  <c r="S253" i="3"/>
  <c r="S235" i="3"/>
  <c r="S332" i="3"/>
  <c r="S232" i="3"/>
  <c r="S86" i="3"/>
  <c r="S91" i="3"/>
  <c r="S256" i="3"/>
  <c r="R600" i="7"/>
  <c r="S205" i="3"/>
  <c r="S236" i="3"/>
  <c r="S330" i="3"/>
  <c r="R381" i="3" s="1"/>
  <c r="S258" i="3"/>
  <c r="S93" i="3"/>
  <c r="R546" i="7"/>
  <c r="R201" i="7"/>
  <c r="R373" i="7"/>
  <c r="T207" i="3"/>
  <c r="S42" i="3"/>
  <c r="R550" i="7"/>
  <c r="R370" i="7"/>
  <c r="R205" i="7"/>
  <c r="T371" i="7"/>
  <c r="T551" i="7"/>
  <c r="T206" i="7"/>
  <c r="R372" i="7"/>
  <c r="S547" i="7"/>
  <c r="S367" i="7"/>
  <c r="S202" i="7"/>
  <c r="M21" i="4"/>
  <c r="M20" i="4"/>
  <c r="M25" i="4"/>
  <c r="M24" i="4"/>
  <c r="M23" i="4"/>
  <c r="M22" i="4"/>
  <c r="L94" i="14"/>
  <c r="M121" i="14"/>
  <c r="Q129" i="14"/>
  <c r="Q95" i="14" s="1"/>
  <c r="P129" i="14"/>
  <c r="P95" i="14" s="1"/>
  <c r="O129" i="14"/>
  <c r="O95" i="14" s="1"/>
  <c r="N129" i="14"/>
  <c r="M95" i="14"/>
  <c r="Q132" i="14"/>
  <c r="Q96" i="14" s="1"/>
  <c r="P132" i="14"/>
  <c r="P96" i="14" s="1"/>
  <c r="O132" i="14"/>
  <c r="O96" i="14" s="1"/>
  <c r="N132" i="14"/>
  <c r="M96" i="14"/>
  <c r="X19" i="5" l="1"/>
  <c r="U154" i="14"/>
  <c r="T156" i="14"/>
  <c r="W563" i="7"/>
  <c r="W383" i="7"/>
  <c r="W218" i="7"/>
  <c r="V254" i="7"/>
  <c r="V419" i="7"/>
  <c r="V599" i="7"/>
  <c r="S600" i="7"/>
  <c r="S255" i="7"/>
  <c r="S420" i="7"/>
  <c r="T290" i="3"/>
  <c r="T293" i="3"/>
  <c r="T297" i="3"/>
  <c r="T296" i="3"/>
  <c r="T289" i="3"/>
  <c r="T292" i="3"/>
  <c r="T295" i="3"/>
  <c r="T288" i="3"/>
  <c r="T291" i="3"/>
  <c r="T294" i="3"/>
  <c r="S257" i="7"/>
  <c r="S602" i="7"/>
  <c r="T329" i="3"/>
  <c r="T205" i="3"/>
  <c r="T232" i="3"/>
  <c r="T236" i="3"/>
  <c r="T86" i="3"/>
  <c r="T87" i="3"/>
  <c r="T325" i="3"/>
  <c r="T258" i="3"/>
  <c r="T93" i="3"/>
  <c r="T231" i="3"/>
  <c r="T94" i="3"/>
  <c r="T328" i="3"/>
  <c r="S380" i="3" s="1"/>
  <c r="T332" i="3"/>
  <c r="T327" i="3"/>
  <c r="T253" i="3"/>
  <c r="T88" i="3"/>
  <c r="T326" i="3"/>
  <c r="T203" i="3"/>
  <c r="T330" i="3"/>
  <c r="S381" i="3" s="1"/>
  <c r="T331" i="3"/>
  <c r="T91" i="3"/>
  <c r="T256" i="3"/>
  <c r="T235" i="3"/>
  <c r="T547" i="7"/>
  <c r="T202" i="7"/>
  <c r="T367" i="7"/>
  <c r="U206" i="7"/>
  <c r="U371" i="7"/>
  <c r="U551" i="7"/>
  <c r="S546" i="7"/>
  <c r="S201" i="7"/>
  <c r="U207" i="3"/>
  <c r="T42" i="3"/>
  <c r="S373" i="7"/>
  <c r="S550" i="7"/>
  <c r="S205" i="7"/>
  <c r="S370" i="7"/>
  <c r="S372" i="7"/>
  <c r="N20" i="4"/>
  <c r="N25" i="4"/>
  <c r="N24" i="4"/>
  <c r="N23" i="4"/>
  <c r="N22" i="4"/>
  <c r="N21" i="4"/>
  <c r="Q121" i="14"/>
  <c r="Q94" i="14" s="1"/>
  <c r="M94" i="14"/>
  <c r="P121" i="14"/>
  <c r="P94" i="14" s="1"/>
  <c r="O121" i="14"/>
  <c r="O94" i="14" s="1"/>
  <c r="N121" i="14"/>
  <c r="R129" i="14"/>
  <c r="N95" i="14"/>
  <c r="R132" i="14"/>
  <c r="N96" i="14"/>
  <c r="K119" i="5"/>
  <c r="K120" i="5"/>
  <c r="K121" i="5"/>
  <c r="K122" i="5"/>
  <c r="K123" i="5"/>
  <c r="K124" i="5"/>
  <c r="K125" i="5"/>
  <c r="K126" i="5"/>
  <c r="K127" i="5"/>
  <c r="K128" i="5"/>
  <c r="K129" i="5"/>
  <c r="K130" i="5"/>
  <c r="K131" i="5"/>
  <c r="K132" i="5"/>
  <c r="K133" i="5"/>
  <c r="Y19" i="5" l="1"/>
  <c r="V154" i="14"/>
  <c r="U156" i="14"/>
  <c r="T372" i="7"/>
  <c r="U600" i="7"/>
  <c r="W254" i="7"/>
  <c r="W419" i="7"/>
  <c r="W599" i="7"/>
  <c r="X383" i="7"/>
  <c r="X563" i="7"/>
  <c r="X218" i="7"/>
  <c r="T600" i="7"/>
  <c r="T255" i="7"/>
  <c r="T420" i="7"/>
  <c r="T602" i="7"/>
  <c r="U422" i="7"/>
  <c r="V422" i="7"/>
  <c r="T257" i="7"/>
  <c r="T422" i="7"/>
  <c r="J640" i="7"/>
  <c r="J460" i="7"/>
  <c r="J632" i="7"/>
  <c r="J452" i="7"/>
  <c r="U288" i="3"/>
  <c r="U296" i="3"/>
  <c r="J641" i="7"/>
  <c r="J461" i="7"/>
  <c r="J633" i="7"/>
  <c r="J453" i="7"/>
  <c r="U294" i="3"/>
  <c r="U295" i="3"/>
  <c r="U297" i="3"/>
  <c r="J636" i="7"/>
  <c r="J456" i="7"/>
  <c r="J459" i="7"/>
  <c r="J639" i="7"/>
  <c r="J638" i="7"/>
  <c r="J458" i="7"/>
  <c r="J637" i="7"/>
  <c r="J457" i="7"/>
  <c r="U602" i="7"/>
  <c r="U291" i="3"/>
  <c r="U292" i="3"/>
  <c r="U293" i="3"/>
  <c r="J455" i="7"/>
  <c r="J635" i="7"/>
  <c r="J642" i="7"/>
  <c r="J462" i="7"/>
  <c r="J634" i="7"/>
  <c r="J454" i="7"/>
  <c r="U289" i="3"/>
  <c r="U290" i="3"/>
  <c r="U257" i="7"/>
  <c r="U325" i="3"/>
  <c r="U232" i="3"/>
  <c r="U331" i="3"/>
  <c r="U326" i="3"/>
  <c r="U328" i="3"/>
  <c r="T380" i="3" s="1"/>
  <c r="U330" i="3"/>
  <c r="T381" i="3" s="1"/>
  <c r="U94" i="3"/>
  <c r="U258" i="3"/>
  <c r="U93" i="3"/>
  <c r="U327" i="3"/>
  <c r="U231" i="3"/>
  <c r="U236" i="3"/>
  <c r="U235" i="3"/>
  <c r="U87" i="3"/>
  <c r="U205" i="3"/>
  <c r="U253" i="3"/>
  <c r="U88" i="3"/>
  <c r="U86" i="3"/>
  <c r="U91" i="3"/>
  <c r="U256" i="3"/>
  <c r="U203" i="3"/>
  <c r="U332" i="3"/>
  <c r="U329" i="3"/>
  <c r="T373" i="7"/>
  <c r="U547" i="7"/>
  <c r="U202" i="7"/>
  <c r="U367" i="7"/>
  <c r="T550" i="7"/>
  <c r="T205" i="7"/>
  <c r="T370" i="7"/>
  <c r="V207" i="3"/>
  <c r="U42" i="3"/>
  <c r="V206" i="7"/>
  <c r="V371" i="7"/>
  <c r="V551" i="7"/>
  <c r="T201" i="7"/>
  <c r="T546" i="7"/>
  <c r="S21" i="4"/>
  <c r="S20" i="4"/>
  <c r="S129" i="14"/>
  <c r="R95" i="14"/>
  <c r="O25" i="4"/>
  <c r="O24" i="4"/>
  <c r="O23" i="4"/>
  <c r="O22" i="4"/>
  <c r="O21" i="4"/>
  <c r="O20" i="4"/>
  <c r="R96" i="14"/>
  <c r="S132" i="14"/>
  <c r="R121" i="14"/>
  <c r="N94" i="14"/>
  <c r="Q20" i="4"/>
  <c r="Q21" i="4"/>
  <c r="R21" i="4"/>
  <c r="R20" i="4"/>
  <c r="E29" i="10"/>
  <c r="G63" i="2" s="1"/>
  <c r="F29" i="10"/>
  <c r="H63" i="2" s="1"/>
  <c r="G29" i="10"/>
  <c r="I63" i="2" s="1"/>
  <c r="H29" i="10"/>
  <c r="J63" i="2" s="1"/>
  <c r="I29" i="10"/>
  <c r="K63" i="2" s="1"/>
  <c r="E30" i="10"/>
  <c r="G84" i="2" s="1"/>
  <c r="F30" i="10"/>
  <c r="H84" i="2" s="1"/>
  <c r="G30" i="10"/>
  <c r="I84" i="2" s="1"/>
  <c r="H30" i="10"/>
  <c r="J84" i="2" s="1"/>
  <c r="I30" i="10"/>
  <c r="K84" i="2" s="1"/>
  <c r="E28" i="10"/>
  <c r="G61" i="2" s="1"/>
  <c r="F28" i="10"/>
  <c r="H61" i="2" s="1"/>
  <c r="G28" i="10"/>
  <c r="I61" i="2" s="1"/>
  <c r="H28" i="10"/>
  <c r="J61" i="2" s="1"/>
  <c r="I28" i="10"/>
  <c r="K61" i="2" s="1"/>
  <c r="Z19" i="5" l="1"/>
  <c r="H46" i="5"/>
  <c r="H38" i="5"/>
  <c r="L46" i="5"/>
  <c r="L38" i="5"/>
  <c r="K46" i="5"/>
  <c r="K38" i="5"/>
  <c r="J46" i="5"/>
  <c r="J38" i="5"/>
  <c r="I46" i="5"/>
  <c r="I38" i="5"/>
  <c r="I743" i="7"/>
  <c r="I764" i="7"/>
  <c r="W154" i="14"/>
  <c r="W156" i="14" s="1"/>
  <c r="V156" i="14"/>
  <c r="U255" i="7"/>
  <c r="U420" i="7"/>
  <c r="U372" i="7"/>
  <c r="Y218" i="7"/>
  <c r="Y383" i="7"/>
  <c r="Y563" i="7"/>
  <c r="X254" i="7"/>
  <c r="X419" i="7"/>
  <c r="X599" i="7"/>
  <c r="W422" i="7"/>
  <c r="V602" i="7"/>
  <c r="V257" i="7"/>
  <c r="V292" i="3"/>
  <c r="V296" i="3"/>
  <c r="V294" i="3"/>
  <c r="V290" i="3"/>
  <c r="V291" i="3"/>
  <c r="V288" i="3"/>
  <c r="V289" i="3"/>
  <c r="V295" i="3"/>
  <c r="V297" i="3"/>
  <c r="V293" i="3"/>
  <c r="V326" i="3"/>
  <c r="V205" i="3"/>
  <c r="V231" i="3"/>
  <c r="V332" i="3"/>
  <c r="V93" i="3"/>
  <c r="V258" i="3"/>
  <c r="V203" i="3"/>
  <c r="V236" i="3"/>
  <c r="V88" i="3"/>
  <c r="V253" i="3"/>
  <c r="V94" i="3"/>
  <c r="V331" i="3"/>
  <c r="V256" i="3"/>
  <c r="V91" i="3"/>
  <c r="V330" i="3"/>
  <c r="U381" i="3" s="1"/>
  <c r="V232" i="3"/>
  <c r="V235" i="3"/>
  <c r="V329" i="3"/>
  <c r="V87" i="3"/>
  <c r="V327" i="3"/>
  <c r="V86" i="3"/>
  <c r="V328" i="3"/>
  <c r="U380" i="3" s="1"/>
  <c r="V325" i="3"/>
  <c r="W551" i="7"/>
  <c r="W371" i="7"/>
  <c r="W206" i="7"/>
  <c r="W207" i="3"/>
  <c r="V42" i="3"/>
  <c r="V367" i="7"/>
  <c r="V547" i="7"/>
  <c r="V202" i="7"/>
  <c r="U201" i="7"/>
  <c r="U546" i="7"/>
  <c r="U373" i="7"/>
  <c r="U370" i="7"/>
  <c r="U550" i="7"/>
  <c r="U205" i="7"/>
  <c r="P25" i="4"/>
  <c r="P24" i="4"/>
  <c r="P23" i="4"/>
  <c r="P21" i="4"/>
  <c r="P22" i="4"/>
  <c r="P20" i="4"/>
  <c r="S121" i="14"/>
  <c r="R94" i="14"/>
  <c r="T132" i="14"/>
  <c r="S96" i="14"/>
  <c r="T129" i="14"/>
  <c r="S95" i="14"/>
  <c r="B23" i="13"/>
  <c r="B24" i="13"/>
  <c r="B25" i="13"/>
  <c r="B26" i="13"/>
  <c r="B27" i="13"/>
  <c r="B28" i="13"/>
  <c r="B29" i="13"/>
  <c r="B30" i="13"/>
  <c r="B31" i="13"/>
  <c r="B32" i="13"/>
  <c r="B33" i="13"/>
  <c r="B35" i="13"/>
  <c r="B37" i="13"/>
  <c r="B39" i="13"/>
  <c r="B16" i="13"/>
  <c r="E169" i="8"/>
  <c r="F169" i="8"/>
  <c r="G169" i="8"/>
  <c r="H169" i="8"/>
  <c r="I169" i="8"/>
  <c r="J169" i="8"/>
  <c r="E170" i="8"/>
  <c r="F170" i="8"/>
  <c r="G170" i="8"/>
  <c r="H170" i="8"/>
  <c r="I170" i="8"/>
  <c r="J170" i="8"/>
  <c r="E171" i="8"/>
  <c r="F171" i="8"/>
  <c r="G171" i="8"/>
  <c r="H171" i="8"/>
  <c r="I171" i="8"/>
  <c r="J171" i="8"/>
  <c r="E172" i="8"/>
  <c r="F172" i="8"/>
  <c r="G172" i="8"/>
  <c r="H172" i="8"/>
  <c r="I172" i="8"/>
  <c r="J172" i="8"/>
  <c r="E173" i="8"/>
  <c r="F173" i="8"/>
  <c r="G173" i="8"/>
  <c r="H173" i="8"/>
  <c r="I173" i="8"/>
  <c r="J173" i="8"/>
  <c r="E174" i="8"/>
  <c r="F174" i="8"/>
  <c r="G174" i="8"/>
  <c r="H174" i="8"/>
  <c r="I174" i="8"/>
  <c r="J174" i="8"/>
  <c r="E175" i="8"/>
  <c r="F175" i="8"/>
  <c r="G175" i="8"/>
  <c r="H175" i="8"/>
  <c r="I175" i="8"/>
  <c r="J175" i="8"/>
  <c r="E176" i="8"/>
  <c r="F176" i="8"/>
  <c r="G176" i="8"/>
  <c r="H176" i="8"/>
  <c r="I176" i="8"/>
  <c r="J176" i="8"/>
  <c r="E177" i="8"/>
  <c r="F177" i="8"/>
  <c r="G177" i="8"/>
  <c r="H177" i="8"/>
  <c r="I177" i="8"/>
  <c r="J177" i="8"/>
  <c r="E182" i="8"/>
  <c r="F182" i="8"/>
  <c r="G182" i="8"/>
  <c r="H182" i="8"/>
  <c r="I182" i="8"/>
  <c r="J182" i="8"/>
  <c r="E183" i="8"/>
  <c r="F183" i="8"/>
  <c r="G183" i="8"/>
  <c r="H183" i="8"/>
  <c r="I183" i="8"/>
  <c r="J183" i="8"/>
  <c r="E184" i="8"/>
  <c r="F184" i="8"/>
  <c r="G184" i="8"/>
  <c r="H184" i="8"/>
  <c r="I184" i="8"/>
  <c r="J184" i="8"/>
  <c r="E185" i="8"/>
  <c r="F185" i="8"/>
  <c r="G185" i="8"/>
  <c r="H185" i="8"/>
  <c r="I185" i="8"/>
  <c r="J185" i="8"/>
  <c r="E186" i="8"/>
  <c r="F186" i="8"/>
  <c r="G186" i="8"/>
  <c r="H186" i="8"/>
  <c r="I186" i="8"/>
  <c r="J186" i="8"/>
  <c r="E187" i="8"/>
  <c r="F187" i="8"/>
  <c r="G187" i="8"/>
  <c r="H187" i="8"/>
  <c r="I187" i="8"/>
  <c r="J187" i="8"/>
  <c r="E188" i="8"/>
  <c r="F188" i="8"/>
  <c r="G188" i="8"/>
  <c r="H188" i="8"/>
  <c r="I188" i="8"/>
  <c r="J188" i="8"/>
  <c r="E189" i="8"/>
  <c r="F189" i="8"/>
  <c r="G189" i="8"/>
  <c r="H189" i="8"/>
  <c r="I189" i="8"/>
  <c r="J189" i="8"/>
  <c r="E190" i="8"/>
  <c r="F190" i="8"/>
  <c r="G190" i="8"/>
  <c r="H190" i="8"/>
  <c r="I190" i="8"/>
  <c r="J190" i="8"/>
  <c r="E191" i="8"/>
  <c r="F191" i="8"/>
  <c r="G191" i="8"/>
  <c r="H191" i="8"/>
  <c r="I191" i="8"/>
  <c r="J191" i="8"/>
  <c r="E192" i="8"/>
  <c r="F192" i="8"/>
  <c r="G192" i="8"/>
  <c r="H192" i="8"/>
  <c r="I192" i="8"/>
  <c r="J192" i="8"/>
  <c r="E193" i="8"/>
  <c r="F193" i="8"/>
  <c r="G193" i="8"/>
  <c r="H193" i="8"/>
  <c r="I193" i="8"/>
  <c r="J193" i="8"/>
  <c r="E194" i="8"/>
  <c r="F194" i="8"/>
  <c r="G194" i="8"/>
  <c r="H194" i="8"/>
  <c r="I194" i="8"/>
  <c r="J194" i="8"/>
  <c r="E195" i="8"/>
  <c r="F195" i="8"/>
  <c r="G195" i="8"/>
  <c r="H195" i="8"/>
  <c r="I195" i="8"/>
  <c r="J195" i="8"/>
  <c r="E198" i="8"/>
  <c r="F198" i="8"/>
  <c r="G198" i="8"/>
  <c r="H198" i="8"/>
  <c r="I198" i="8"/>
  <c r="J198" i="8"/>
  <c r="E199" i="8"/>
  <c r="F199" i="8"/>
  <c r="G199" i="8"/>
  <c r="H199" i="8"/>
  <c r="I199" i="8"/>
  <c r="J199" i="8"/>
  <c r="E200" i="8"/>
  <c r="F200" i="8"/>
  <c r="G200" i="8"/>
  <c r="H200" i="8"/>
  <c r="I200" i="8"/>
  <c r="J200" i="8"/>
  <c r="E201" i="8"/>
  <c r="F201" i="8"/>
  <c r="G201" i="8"/>
  <c r="H201" i="8"/>
  <c r="I201" i="8"/>
  <c r="J201" i="8"/>
  <c r="E202" i="8"/>
  <c r="F202" i="8"/>
  <c r="G202" i="8"/>
  <c r="H202" i="8"/>
  <c r="I202" i="8"/>
  <c r="J202" i="8"/>
  <c r="E203" i="8"/>
  <c r="F203" i="8"/>
  <c r="G203" i="8"/>
  <c r="H203" i="8"/>
  <c r="I203" i="8"/>
  <c r="J203" i="8"/>
  <c r="E204" i="8"/>
  <c r="F204" i="8"/>
  <c r="G204" i="8"/>
  <c r="H204" i="8"/>
  <c r="I204" i="8"/>
  <c r="J204" i="8"/>
  <c r="E205" i="8"/>
  <c r="F205" i="8"/>
  <c r="G205" i="8"/>
  <c r="H205" i="8"/>
  <c r="I205" i="8"/>
  <c r="J205" i="8"/>
  <c r="E206" i="8"/>
  <c r="F206" i="8"/>
  <c r="G206" i="8"/>
  <c r="H206" i="8"/>
  <c r="I206" i="8"/>
  <c r="J206" i="8"/>
  <c r="E207" i="8"/>
  <c r="F207" i="8"/>
  <c r="G207" i="8"/>
  <c r="H207" i="8"/>
  <c r="I207" i="8"/>
  <c r="J207" i="8"/>
  <c r="E208" i="8"/>
  <c r="F208" i="8"/>
  <c r="G208" i="8"/>
  <c r="H208" i="8"/>
  <c r="I208" i="8"/>
  <c r="J208" i="8"/>
  <c r="D207" i="8"/>
  <c r="D208" i="8"/>
  <c r="D206" i="8"/>
  <c r="D204" i="8"/>
  <c r="D205" i="8"/>
  <c r="D203" i="8"/>
  <c r="D193" i="8"/>
  <c r="D194" i="8"/>
  <c r="D195" i="8"/>
  <c r="D198" i="8"/>
  <c r="D199" i="8"/>
  <c r="D200" i="8"/>
  <c r="D201" i="8"/>
  <c r="D202" i="8"/>
  <c r="D192" i="8"/>
  <c r="D190" i="8"/>
  <c r="D191" i="8"/>
  <c r="D189" i="8"/>
  <c r="D187" i="8"/>
  <c r="D188" i="8"/>
  <c r="D186" i="8"/>
  <c r="D173" i="8"/>
  <c r="D174" i="8"/>
  <c r="D175" i="8"/>
  <c r="D176" i="8"/>
  <c r="D177" i="8"/>
  <c r="D182" i="8"/>
  <c r="D183" i="8"/>
  <c r="D184" i="8"/>
  <c r="D185" i="8"/>
  <c r="D172" i="8"/>
  <c r="D169" i="8"/>
  <c r="D170" i="8"/>
  <c r="D171" i="8"/>
  <c r="L343" i="3"/>
  <c r="K343" i="3"/>
  <c r="J343" i="3"/>
  <c r="I343" i="3"/>
  <c r="H343" i="3"/>
  <c r="G343" i="3"/>
  <c r="L342" i="3"/>
  <c r="K342" i="3"/>
  <c r="J342" i="3"/>
  <c r="I342" i="3"/>
  <c r="H342" i="3"/>
  <c r="G342" i="3"/>
  <c r="L341" i="3"/>
  <c r="K341" i="3"/>
  <c r="J341" i="3"/>
  <c r="I341" i="3"/>
  <c r="H341" i="3"/>
  <c r="G341" i="3"/>
  <c r="L340" i="3"/>
  <c r="K340" i="3"/>
  <c r="J340" i="3"/>
  <c r="I340" i="3"/>
  <c r="H340" i="3"/>
  <c r="G340" i="3"/>
  <c r="L339" i="3"/>
  <c r="K339" i="3"/>
  <c r="J339" i="3"/>
  <c r="I339" i="3"/>
  <c r="H339" i="3"/>
  <c r="G339" i="3"/>
  <c r="L338" i="3"/>
  <c r="K338" i="3"/>
  <c r="J338" i="3"/>
  <c r="I338" i="3"/>
  <c r="H338" i="3"/>
  <c r="G338" i="3"/>
  <c r="L337" i="3"/>
  <c r="K337" i="3"/>
  <c r="J337" i="3"/>
  <c r="I337" i="3"/>
  <c r="H337" i="3"/>
  <c r="G337" i="3"/>
  <c r="L336" i="3"/>
  <c r="K336" i="3"/>
  <c r="J336" i="3"/>
  <c r="I336" i="3"/>
  <c r="H336" i="3"/>
  <c r="G336" i="3"/>
  <c r="L335" i="3"/>
  <c r="K335" i="3"/>
  <c r="J335" i="3"/>
  <c r="I335" i="3"/>
  <c r="H335" i="3"/>
  <c r="G335" i="3"/>
  <c r="L334" i="3"/>
  <c r="K334" i="3"/>
  <c r="J334" i="3"/>
  <c r="I334" i="3"/>
  <c r="H334" i="3"/>
  <c r="G334" i="3"/>
  <c r="L333" i="3"/>
  <c r="K333" i="3"/>
  <c r="J333" i="3"/>
  <c r="I333" i="3"/>
  <c r="H333" i="3"/>
  <c r="G333" i="3"/>
  <c r="L324" i="3"/>
  <c r="K324" i="3"/>
  <c r="J324" i="3"/>
  <c r="I324" i="3"/>
  <c r="H324" i="3"/>
  <c r="G324" i="3"/>
  <c r="L323" i="3"/>
  <c r="K323" i="3"/>
  <c r="J323" i="3"/>
  <c r="I323" i="3"/>
  <c r="H323" i="3"/>
  <c r="G323" i="3"/>
  <c r="L322" i="3"/>
  <c r="K322" i="3"/>
  <c r="J322" i="3"/>
  <c r="I322" i="3"/>
  <c r="H322" i="3"/>
  <c r="G322" i="3"/>
  <c r="L321" i="3"/>
  <c r="K321" i="3"/>
  <c r="J321" i="3"/>
  <c r="I321" i="3"/>
  <c r="H321" i="3"/>
  <c r="G321" i="3"/>
  <c r="L320" i="3"/>
  <c r="K320" i="3"/>
  <c r="J320" i="3"/>
  <c r="I320" i="3"/>
  <c r="H320" i="3"/>
  <c r="G320" i="3"/>
  <c r="L319" i="3"/>
  <c r="K319" i="3"/>
  <c r="J319" i="3"/>
  <c r="I319" i="3"/>
  <c r="H319" i="3"/>
  <c r="G319" i="3"/>
  <c r="L318" i="3"/>
  <c r="K318" i="3"/>
  <c r="J318" i="3"/>
  <c r="I318" i="3"/>
  <c r="H318" i="3"/>
  <c r="G318" i="3"/>
  <c r="L317" i="3"/>
  <c r="K317" i="3"/>
  <c r="J317" i="3"/>
  <c r="I317" i="3"/>
  <c r="H317" i="3"/>
  <c r="G317" i="3"/>
  <c r="L316" i="3"/>
  <c r="K316" i="3"/>
  <c r="J316" i="3"/>
  <c r="I316" i="3"/>
  <c r="H316" i="3"/>
  <c r="G316" i="3"/>
  <c r="L315" i="3"/>
  <c r="K315" i="3"/>
  <c r="J315" i="3"/>
  <c r="I315" i="3"/>
  <c r="H315" i="3"/>
  <c r="G315" i="3"/>
  <c r="L314" i="3"/>
  <c r="K314" i="3"/>
  <c r="J314" i="3"/>
  <c r="I314" i="3"/>
  <c r="H314" i="3"/>
  <c r="G314" i="3"/>
  <c r="L313" i="3"/>
  <c r="K313" i="3"/>
  <c r="J313" i="3"/>
  <c r="I313" i="3"/>
  <c r="H313" i="3"/>
  <c r="G313" i="3"/>
  <c r="L312" i="3"/>
  <c r="K312" i="3"/>
  <c r="J312" i="3"/>
  <c r="I312" i="3"/>
  <c r="H312" i="3"/>
  <c r="G312" i="3"/>
  <c r="L311" i="3"/>
  <c r="K311" i="3"/>
  <c r="J311" i="3"/>
  <c r="I311" i="3"/>
  <c r="H311" i="3"/>
  <c r="G311" i="3"/>
  <c r="L310" i="3"/>
  <c r="K310" i="3"/>
  <c r="J310" i="3"/>
  <c r="I310" i="3"/>
  <c r="H310" i="3"/>
  <c r="G310" i="3"/>
  <c r="L309" i="3"/>
  <c r="K309" i="3"/>
  <c r="J309" i="3"/>
  <c r="I309" i="3"/>
  <c r="H309" i="3"/>
  <c r="G309" i="3"/>
  <c r="L308" i="3"/>
  <c r="K308" i="3"/>
  <c r="J308" i="3"/>
  <c r="I308" i="3"/>
  <c r="H308" i="3"/>
  <c r="G308" i="3"/>
  <c r="L307" i="3"/>
  <c r="K307" i="3"/>
  <c r="J307" i="3"/>
  <c r="I307" i="3"/>
  <c r="H307" i="3"/>
  <c r="G307" i="3"/>
  <c r="L306" i="3"/>
  <c r="K306" i="3"/>
  <c r="J306" i="3"/>
  <c r="I306" i="3"/>
  <c r="H306" i="3"/>
  <c r="G306" i="3"/>
  <c r="L305" i="3"/>
  <c r="K305" i="3"/>
  <c r="J305" i="3"/>
  <c r="I305" i="3"/>
  <c r="H305" i="3"/>
  <c r="G305" i="3"/>
  <c r="L304" i="3"/>
  <c r="K304" i="3"/>
  <c r="J304" i="3"/>
  <c r="I304" i="3"/>
  <c r="H304" i="3"/>
  <c r="G304" i="3"/>
  <c r="L303" i="3"/>
  <c r="K303" i="3"/>
  <c r="J303" i="3"/>
  <c r="I303" i="3"/>
  <c r="H303" i="3"/>
  <c r="G303" i="3"/>
  <c r="L302" i="3"/>
  <c r="K302" i="3"/>
  <c r="J302" i="3"/>
  <c r="I302" i="3"/>
  <c r="H302" i="3"/>
  <c r="G302" i="3"/>
  <c r="L301" i="3"/>
  <c r="K301" i="3"/>
  <c r="J301" i="3"/>
  <c r="I301" i="3"/>
  <c r="H301" i="3"/>
  <c r="G301" i="3"/>
  <c r="L300" i="3"/>
  <c r="K300" i="3"/>
  <c r="J300" i="3"/>
  <c r="I300" i="3"/>
  <c r="H300" i="3"/>
  <c r="G300" i="3"/>
  <c r="L299" i="3"/>
  <c r="K299" i="3"/>
  <c r="J299" i="3"/>
  <c r="I299" i="3"/>
  <c r="H299" i="3"/>
  <c r="G299" i="3"/>
  <c r="L298" i="3"/>
  <c r="K298" i="3"/>
  <c r="J298" i="3"/>
  <c r="I298" i="3"/>
  <c r="H298" i="3"/>
  <c r="G298" i="3"/>
  <c r="L286" i="3"/>
  <c r="K286" i="3"/>
  <c r="J286" i="3"/>
  <c r="I286" i="3"/>
  <c r="H286" i="3"/>
  <c r="G286" i="3"/>
  <c r="L285" i="3"/>
  <c r="K285" i="3"/>
  <c r="J285" i="3"/>
  <c r="I285" i="3"/>
  <c r="H285" i="3"/>
  <c r="G285" i="3"/>
  <c r="L284" i="3"/>
  <c r="K284" i="3"/>
  <c r="J284" i="3"/>
  <c r="I284" i="3"/>
  <c r="H284" i="3"/>
  <c r="G284" i="3"/>
  <c r="L283" i="3"/>
  <c r="K283" i="3"/>
  <c r="J283" i="3"/>
  <c r="I283" i="3"/>
  <c r="H283" i="3"/>
  <c r="G283" i="3"/>
  <c r="L282" i="3"/>
  <c r="K282" i="3"/>
  <c r="J282" i="3"/>
  <c r="I282" i="3"/>
  <c r="H282" i="3"/>
  <c r="G282" i="3"/>
  <c r="L281" i="3"/>
  <c r="K281" i="3"/>
  <c r="J281" i="3"/>
  <c r="I281" i="3"/>
  <c r="H281" i="3"/>
  <c r="G281" i="3"/>
  <c r="L280" i="3"/>
  <c r="K280" i="3"/>
  <c r="J280" i="3"/>
  <c r="I280" i="3"/>
  <c r="H280" i="3"/>
  <c r="G280" i="3"/>
  <c r="L279" i="3"/>
  <c r="K279" i="3"/>
  <c r="J279" i="3"/>
  <c r="I279" i="3"/>
  <c r="H279" i="3"/>
  <c r="G279" i="3"/>
  <c r="L278" i="3"/>
  <c r="K278" i="3"/>
  <c r="J278" i="3"/>
  <c r="I278" i="3"/>
  <c r="H278" i="3"/>
  <c r="G278" i="3"/>
  <c r="L277" i="3"/>
  <c r="K277" i="3"/>
  <c r="J277" i="3"/>
  <c r="I277" i="3"/>
  <c r="H277" i="3"/>
  <c r="G277" i="3"/>
  <c r="L276" i="3"/>
  <c r="K276" i="3"/>
  <c r="J276" i="3"/>
  <c r="I276" i="3"/>
  <c r="H276" i="3"/>
  <c r="G276" i="3"/>
  <c r="L275" i="3"/>
  <c r="K275" i="3"/>
  <c r="J275" i="3"/>
  <c r="I275" i="3"/>
  <c r="H275" i="3"/>
  <c r="G275" i="3"/>
  <c r="L274" i="3"/>
  <c r="K274" i="3"/>
  <c r="J274" i="3"/>
  <c r="I274" i="3"/>
  <c r="H274" i="3"/>
  <c r="G274" i="3"/>
  <c r="L273" i="3"/>
  <c r="K273" i="3"/>
  <c r="J273" i="3"/>
  <c r="I273" i="3"/>
  <c r="H273" i="3"/>
  <c r="G273" i="3"/>
  <c r="L270" i="3"/>
  <c r="K270" i="3"/>
  <c r="J270" i="3"/>
  <c r="I270" i="3"/>
  <c r="H270" i="3"/>
  <c r="G270" i="3"/>
  <c r="L269" i="3"/>
  <c r="K269" i="3"/>
  <c r="J269" i="3"/>
  <c r="I269" i="3"/>
  <c r="H269" i="3"/>
  <c r="G269" i="3"/>
  <c r="L268" i="3"/>
  <c r="K268" i="3"/>
  <c r="J268" i="3"/>
  <c r="I268" i="3"/>
  <c r="H268" i="3"/>
  <c r="G268" i="3"/>
  <c r="L267" i="3"/>
  <c r="K267" i="3"/>
  <c r="J267" i="3"/>
  <c r="I267" i="3"/>
  <c r="H267" i="3"/>
  <c r="G267" i="3"/>
  <c r="L266" i="3"/>
  <c r="K266" i="3"/>
  <c r="J266" i="3"/>
  <c r="I266" i="3"/>
  <c r="H266" i="3"/>
  <c r="G266" i="3"/>
  <c r="L265" i="3"/>
  <c r="K265" i="3"/>
  <c r="J265" i="3"/>
  <c r="I265" i="3"/>
  <c r="H265" i="3"/>
  <c r="G265" i="3"/>
  <c r="L264" i="3"/>
  <c r="K264" i="3"/>
  <c r="J264" i="3"/>
  <c r="I264" i="3"/>
  <c r="H264" i="3"/>
  <c r="G264" i="3"/>
  <c r="L263" i="3"/>
  <c r="K263" i="3"/>
  <c r="J263" i="3"/>
  <c r="I263" i="3"/>
  <c r="H263" i="3"/>
  <c r="G263" i="3"/>
  <c r="L262" i="3"/>
  <c r="K262" i="3"/>
  <c r="J262" i="3"/>
  <c r="I262" i="3"/>
  <c r="H262" i="3"/>
  <c r="G262" i="3"/>
  <c r="L261" i="3"/>
  <c r="K261" i="3"/>
  <c r="J261" i="3"/>
  <c r="I261" i="3"/>
  <c r="H261" i="3"/>
  <c r="G261" i="3"/>
  <c r="L260" i="3"/>
  <c r="K260" i="3"/>
  <c r="J260" i="3"/>
  <c r="I260" i="3"/>
  <c r="H260" i="3"/>
  <c r="G260" i="3"/>
  <c r="L259" i="3"/>
  <c r="K259" i="3"/>
  <c r="J259" i="3"/>
  <c r="I259" i="3"/>
  <c r="H259" i="3"/>
  <c r="G259" i="3"/>
  <c r="L252" i="3"/>
  <c r="K252" i="3"/>
  <c r="J252" i="3"/>
  <c r="I252" i="3"/>
  <c r="H252" i="3"/>
  <c r="G252" i="3"/>
  <c r="L251" i="3"/>
  <c r="K251" i="3"/>
  <c r="J251" i="3"/>
  <c r="I251" i="3"/>
  <c r="H251" i="3"/>
  <c r="G251" i="3"/>
  <c r="L248" i="3"/>
  <c r="K248" i="3"/>
  <c r="J248" i="3"/>
  <c r="I248" i="3"/>
  <c r="H248" i="3"/>
  <c r="G248" i="3"/>
  <c r="L247" i="3"/>
  <c r="K247" i="3"/>
  <c r="J247" i="3"/>
  <c r="I247" i="3"/>
  <c r="H247" i="3"/>
  <c r="G247" i="3"/>
  <c r="L246" i="3"/>
  <c r="K246" i="3"/>
  <c r="J246" i="3"/>
  <c r="I246" i="3"/>
  <c r="H246" i="3"/>
  <c r="G246" i="3"/>
  <c r="L245" i="3"/>
  <c r="K245" i="3"/>
  <c r="J245" i="3"/>
  <c r="I245" i="3"/>
  <c r="H245" i="3"/>
  <c r="G245" i="3"/>
  <c r="L244" i="3"/>
  <c r="K244" i="3"/>
  <c r="J244" i="3"/>
  <c r="I244" i="3"/>
  <c r="H244" i="3"/>
  <c r="G244" i="3"/>
  <c r="L243" i="3"/>
  <c r="K243" i="3"/>
  <c r="J243" i="3"/>
  <c r="I243" i="3"/>
  <c r="H243" i="3"/>
  <c r="G243" i="3"/>
  <c r="L242" i="3"/>
  <c r="K242" i="3"/>
  <c r="J242" i="3"/>
  <c r="I242" i="3"/>
  <c r="H242" i="3"/>
  <c r="G242" i="3"/>
  <c r="L241" i="3"/>
  <c r="K241" i="3"/>
  <c r="J241" i="3"/>
  <c r="I241" i="3"/>
  <c r="H241" i="3"/>
  <c r="G241" i="3"/>
  <c r="L240" i="3"/>
  <c r="K240" i="3"/>
  <c r="J240" i="3"/>
  <c r="I240" i="3"/>
  <c r="H240" i="3"/>
  <c r="G240" i="3"/>
  <c r="L239" i="3"/>
  <c r="K239" i="3"/>
  <c r="J239" i="3"/>
  <c r="I239" i="3"/>
  <c r="H239" i="3"/>
  <c r="G239" i="3"/>
  <c r="L238" i="3"/>
  <c r="K238" i="3"/>
  <c r="J238" i="3"/>
  <c r="I238" i="3"/>
  <c r="H238" i="3"/>
  <c r="G238" i="3"/>
  <c r="L237" i="3"/>
  <c r="K237" i="3"/>
  <c r="J237" i="3"/>
  <c r="I237" i="3"/>
  <c r="H237" i="3"/>
  <c r="G237" i="3"/>
  <c r="L230" i="3"/>
  <c r="K230" i="3"/>
  <c r="J230" i="3"/>
  <c r="I230" i="3"/>
  <c r="H230" i="3"/>
  <c r="G230" i="3"/>
  <c r="L225" i="3"/>
  <c r="K225" i="3"/>
  <c r="J225" i="3"/>
  <c r="I225" i="3"/>
  <c r="H225" i="3"/>
  <c r="G225" i="3"/>
  <c r="L224" i="3"/>
  <c r="K224" i="3"/>
  <c r="J224" i="3"/>
  <c r="I224" i="3"/>
  <c r="H224" i="3"/>
  <c r="G224" i="3"/>
  <c r="L223" i="3"/>
  <c r="K223" i="3"/>
  <c r="J223" i="3"/>
  <c r="I223" i="3"/>
  <c r="H223" i="3"/>
  <c r="G223" i="3"/>
  <c r="L222" i="3"/>
  <c r="K222" i="3"/>
  <c r="J222" i="3"/>
  <c r="I222" i="3"/>
  <c r="H222" i="3"/>
  <c r="G222" i="3"/>
  <c r="L221" i="3"/>
  <c r="K221" i="3"/>
  <c r="J221" i="3"/>
  <c r="I221" i="3"/>
  <c r="H221" i="3"/>
  <c r="G221" i="3"/>
  <c r="L220" i="3"/>
  <c r="K220" i="3"/>
  <c r="J220" i="3"/>
  <c r="I220" i="3"/>
  <c r="H220" i="3"/>
  <c r="G220" i="3"/>
  <c r="L219" i="3"/>
  <c r="K219" i="3"/>
  <c r="J219" i="3"/>
  <c r="I219" i="3"/>
  <c r="H219" i="3"/>
  <c r="G219" i="3"/>
  <c r="L217" i="3"/>
  <c r="K217" i="3"/>
  <c r="J217" i="3"/>
  <c r="I217" i="3"/>
  <c r="H217" i="3"/>
  <c r="G217" i="3"/>
  <c r="L216" i="3"/>
  <c r="K216" i="3"/>
  <c r="J216" i="3"/>
  <c r="I216" i="3"/>
  <c r="H216" i="3"/>
  <c r="G216" i="3"/>
  <c r="L215" i="3"/>
  <c r="K215" i="3"/>
  <c r="J215" i="3"/>
  <c r="I215" i="3"/>
  <c r="H215" i="3"/>
  <c r="G215" i="3"/>
  <c r="L212" i="3"/>
  <c r="K212" i="3"/>
  <c r="J212" i="3"/>
  <c r="I212" i="3"/>
  <c r="H212" i="3"/>
  <c r="G212" i="3"/>
  <c r="L211" i="3"/>
  <c r="K211" i="3"/>
  <c r="J211" i="3"/>
  <c r="I211" i="3"/>
  <c r="H211" i="3"/>
  <c r="G211" i="3"/>
  <c r="L210" i="3"/>
  <c r="K210" i="3"/>
  <c r="J210" i="3"/>
  <c r="I210" i="3"/>
  <c r="H210" i="3"/>
  <c r="G210" i="3"/>
  <c r="L209" i="3"/>
  <c r="K209" i="3"/>
  <c r="J209" i="3"/>
  <c r="I209" i="3"/>
  <c r="H209" i="3"/>
  <c r="G209" i="3"/>
  <c r="L208" i="3"/>
  <c r="K208" i="3"/>
  <c r="J208" i="3"/>
  <c r="I208" i="3"/>
  <c r="H208" i="3"/>
  <c r="G208" i="3"/>
  <c r="L201" i="3"/>
  <c r="K201" i="3"/>
  <c r="J201" i="3"/>
  <c r="I201" i="3"/>
  <c r="H201" i="3"/>
  <c r="G201" i="3"/>
  <c r="L200" i="3"/>
  <c r="K200" i="3"/>
  <c r="J200" i="3"/>
  <c r="I200" i="3"/>
  <c r="H200" i="3"/>
  <c r="G200" i="3"/>
  <c r="L199" i="3"/>
  <c r="K199" i="3"/>
  <c r="J199" i="3"/>
  <c r="I199" i="3"/>
  <c r="H199" i="3"/>
  <c r="G199" i="3"/>
  <c r="L198" i="3"/>
  <c r="K198" i="3"/>
  <c r="J198" i="3"/>
  <c r="I198" i="3"/>
  <c r="H198" i="3"/>
  <c r="G198" i="3"/>
  <c r="L197" i="3"/>
  <c r="K197" i="3"/>
  <c r="J197" i="3"/>
  <c r="I197" i="3"/>
  <c r="H197" i="3"/>
  <c r="G197" i="3"/>
  <c r="L196" i="3"/>
  <c r="K196" i="3"/>
  <c r="J196" i="3"/>
  <c r="I196" i="3"/>
  <c r="H196" i="3"/>
  <c r="G196" i="3"/>
  <c r="L194" i="3"/>
  <c r="K194" i="3"/>
  <c r="J194" i="3"/>
  <c r="I194" i="3"/>
  <c r="H194" i="3"/>
  <c r="G194" i="3"/>
  <c r="L193" i="3"/>
  <c r="K193" i="3"/>
  <c r="J193" i="3"/>
  <c r="I193" i="3"/>
  <c r="H193" i="3"/>
  <c r="G193" i="3"/>
  <c r="L192" i="3"/>
  <c r="K192" i="3"/>
  <c r="J192" i="3"/>
  <c r="I192" i="3"/>
  <c r="H192" i="3"/>
  <c r="G192" i="3"/>
  <c r="L190" i="3"/>
  <c r="K190" i="3"/>
  <c r="J190" i="3"/>
  <c r="I190" i="3"/>
  <c r="H190" i="3"/>
  <c r="G190" i="3"/>
  <c r="L189" i="3"/>
  <c r="K189" i="3"/>
  <c r="J189" i="3"/>
  <c r="I189" i="3"/>
  <c r="H189" i="3"/>
  <c r="G189" i="3"/>
  <c r="L188" i="3"/>
  <c r="K188" i="3"/>
  <c r="J188" i="3"/>
  <c r="I188" i="3"/>
  <c r="H188" i="3"/>
  <c r="G188" i="3"/>
  <c r="L187" i="3"/>
  <c r="K187" i="3"/>
  <c r="J187" i="3"/>
  <c r="I187" i="3"/>
  <c r="H187" i="3"/>
  <c r="G187" i="3"/>
  <c r="L186" i="3"/>
  <c r="K186" i="3"/>
  <c r="J186" i="3"/>
  <c r="I186" i="3"/>
  <c r="H186" i="3"/>
  <c r="G186" i="3"/>
  <c r="L184" i="3"/>
  <c r="K184" i="3"/>
  <c r="J184" i="3"/>
  <c r="I184" i="3"/>
  <c r="H184" i="3"/>
  <c r="G184" i="3"/>
  <c r="L183" i="3"/>
  <c r="K183" i="3"/>
  <c r="J183" i="3"/>
  <c r="I183" i="3"/>
  <c r="H183" i="3"/>
  <c r="G183" i="3"/>
  <c r="F184" i="3"/>
  <c r="F186" i="3"/>
  <c r="F187" i="3"/>
  <c r="F188" i="3"/>
  <c r="F189" i="3"/>
  <c r="F190" i="3"/>
  <c r="F192" i="3"/>
  <c r="F193" i="3"/>
  <c r="F194" i="3"/>
  <c r="F196" i="3"/>
  <c r="F197" i="3"/>
  <c r="F198" i="3"/>
  <c r="F199" i="3"/>
  <c r="F200" i="3"/>
  <c r="F201" i="3"/>
  <c r="F203" i="3"/>
  <c r="F208" i="3"/>
  <c r="F209" i="3"/>
  <c r="F210" i="3"/>
  <c r="F211" i="3"/>
  <c r="F212" i="3"/>
  <c r="F215" i="3"/>
  <c r="F216" i="3"/>
  <c r="F217" i="3"/>
  <c r="F219" i="3"/>
  <c r="F220" i="3"/>
  <c r="F221" i="3"/>
  <c r="F222" i="3"/>
  <c r="F223" i="3"/>
  <c r="F224" i="3"/>
  <c r="F225" i="3"/>
  <c r="F230" i="3"/>
  <c r="F231" i="3"/>
  <c r="F237" i="3"/>
  <c r="F238" i="3"/>
  <c r="F239" i="3"/>
  <c r="F240" i="3"/>
  <c r="F241" i="3"/>
  <c r="F242" i="3"/>
  <c r="F243" i="3"/>
  <c r="F244" i="3"/>
  <c r="F245" i="3"/>
  <c r="F246" i="3"/>
  <c r="F247" i="3"/>
  <c r="F248" i="3"/>
  <c r="F251" i="3"/>
  <c r="F252" i="3"/>
  <c r="F253" i="3"/>
  <c r="F259" i="3"/>
  <c r="F260" i="3"/>
  <c r="F261" i="3"/>
  <c r="F262" i="3"/>
  <c r="F263" i="3"/>
  <c r="F264" i="3"/>
  <c r="F265" i="3"/>
  <c r="F266" i="3"/>
  <c r="F267" i="3"/>
  <c r="F268" i="3"/>
  <c r="F269" i="3"/>
  <c r="F270"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33" i="3"/>
  <c r="F334" i="3"/>
  <c r="F335" i="3"/>
  <c r="F336" i="3"/>
  <c r="F337" i="3"/>
  <c r="F338" i="3"/>
  <c r="F339" i="3"/>
  <c r="F340" i="3"/>
  <c r="F341" i="3"/>
  <c r="F342" i="3"/>
  <c r="F343" i="3"/>
  <c r="F183" i="3"/>
  <c r="G31" i="3"/>
  <c r="H31" i="3"/>
  <c r="I31" i="3"/>
  <c r="J31" i="3"/>
  <c r="K31" i="3"/>
  <c r="L31" i="3"/>
  <c r="G32" i="3"/>
  <c r="H32" i="3"/>
  <c r="I32" i="3"/>
  <c r="J32" i="3"/>
  <c r="K32" i="3"/>
  <c r="L32" i="3"/>
  <c r="G33" i="3"/>
  <c r="H33" i="3"/>
  <c r="I33" i="3"/>
  <c r="J33" i="3"/>
  <c r="K33" i="3"/>
  <c r="L33" i="3"/>
  <c r="G34" i="3"/>
  <c r="H34" i="3"/>
  <c r="I34" i="3"/>
  <c r="J34" i="3"/>
  <c r="K34" i="3"/>
  <c r="L34" i="3"/>
  <c r="G35" i="3"/>
  <c r="H35" i="3"/>
  <c r="I35" i="3"/>
  <c r="J35" i="3"/>
  <c r="K35" i="3"/>
  <c r="L35" i="3"/>
  <c r="G38" i="3"/>
  <c r="H38" i="3"/>
  <c r="I38" i="3"/>
  <c r="J38" i="3"/>
  <c r="K38" i="3"/>
  <c r="G40" i="3"/>
  <c r="H40" i="3"/>
  <c r="I40" i="3"/>
  <c r="J40" i="3"/>
  <c r="K40" i="3"/>
  <c r="L40" i="3"/>
  <c r="G43" i="3"/>
  <c r="H43" i="3"/>
  <c r="I43" i="3"/>
  <c r="J43" i="3"/>
  <c r="K43" i="3"/>
  <c r="L43" i="3"/>
  <c r="G44" i="3"/>
  <c r="H44" i="3"/>
  <c r="I44" i="3"/>
  <c r="J44" i="3"/>
  <c r="K44" i="3"/>
  <c r="L44" i="3"/>
  <c r="G45" i="3"/>
  <c r="H45" i="3"/>
  <c r="I45" i="3"/>
  <c r="J45" i="3"/>
  <c r="K45" i="3"/>
  <c r="L45" i="3"/>
  <c r="G54" i="3"/>
  <c r="H54" i="3"/>
  <c r="I54" i="3"/>
  <c r="J54" i="3"/>
  <c r="K54" i="3"/>
  <c r="L54" i="3"/>
  <c r="G55" i="3"/>
  <c r="H55" i="3"/>
  <c r="I55" i="3"/>
  <c r="J55" i="3"/>
  <c r="K55" i="3"/>
  <c r="L55" i="3"/>
  <c r="G56" i="3"/>
  <c r="E233" i="8" s="1"/>
  <c r="H56" i="3"/>
  <c r="F233" i="8" s="1"/>
  <c r="I56" i="3"/>
  <c r="G233" i="8" s="1"/>
  <c r="J56" i="3"/>
  <c r="H233" i="8" s="1"/>
  <c r="K56" i="3"/>
  <c r="I233" i="8" s="1"/>
  <c r="L56" i="3"/>
  <c r="J233" i="8" s="1"/>
  <c r="G57" i="3"/>
  <c r="E234" i="8" s="1"/>
  <c r="H57" i="3"/>
  <c r="F234" i="8" s="1"/>
  <c r="I57" i="3"/>
  <c r="G234" i="8" s="1"/>
  <c r="J57" i="3"/>
  <c r="H234" i="8" s="1"/>
  <c r="K57" i="3"/>
  <c r="I234" i="8" s="1"/>
  <c r="L57" i="3"/>
  <c r="J234" i="8" s="1"/>
  <c r="G58" i="3"/>
  <c r="E235" i="8" s="1"/>
  <c r="H58" i="3"/>
  <c r="F235" i="8" s="1"/>
  <c r="I58" i="3"/>
  <c r="G235" i="8" s="1"/>
  <c r="J58" i="3"/>
  <c r="H235" i="8" s="1"/>
  <c r="K58" i="3"/>
  <c r="I235" i="8" s="1"/>
  <c r="L58" i="3"/>
  <c r="J235" i="8" s="1"/>
  <c r="G66" i="3"/>
  <c r="E243" i="8" s="1"/>
  <c r="H66" i="3"/>
  <c r="F243" i="8" s="1"/>
  <c r="I66" i="3"/>
  <c r="G243" i="8" s="1"/>
  <c r="J66" i="3"/>
  <c r="H243" i="8" s="1"/>
  <c r="K66" i="3"/>
  <c r="I243" i="8" s="1"/>
  <c r="L66" i="3"/>
  <c r="J243" i="8" s="1"/>
  <c r="G67" i="3"/>
  <c r="E244" i="8" s="1"/>
  <c r="H67" i="3"/>
  <c r="F244" i="8" s="1"/>
  <c r="I67" i="3"/>
  <c r="G244" i="8" s="1"/>
  <c r="J67" i="3"/>
  <c r="H244" i="8" s="1"/>
  <c r="K67" i="3"/>
  <c r="I244" i="8" s="1"/>
  <c r="L67" i="3"/>
  <c r="J244" i="8" s="1"/>
  <c r="G72" i="3"/>
  <c r="E246" i="8" s="1"/>
  <c r="H72" i="3"/>
  <c r="F246" i="8" s="1"/>
  <c r="I72" i="3"/>
  <c r="G246" i="8" s="1"/>
  <c r="J72" i="3"/>
  <c r="H246" i="8" s="1"/>
  <c r="K72" i="3"/>
  <c r="I246" i="8" s="1"/>
  <c r="L72" i="3"/>
  <c r="J246" i="8" s="1"/>
  <c r="G73" i="3"/>
  <c r="E247" i="8" s="1"/>
  <c r="H73" i="3"/>
  <c r="F247" i="8" s="1"/>
  <c r="I73" i="3"/>
  <c r="G247" i="8" s="1"/>
  <c r="J73" i="3"/>
  <c r="H247" i="8" s="1"/>
  <c r="K73" i="3"/>
  <c r="I247" i="8" s="1"/>
  <c r="L73" i="3"/>
  <c r="J247" i="8" s="1"/>
  <c r="G74" i="3"/>
  <c r="E248" i="8" s="1"/>
  <c r="H74" i="3"/>
  <c r="F248" i="8" s="1"/>
  <c r="I74" i="3"/>
  <c r="G248" i="8" s="1"/>
  <c r="J74" i="3"/>
  <c r="H248" i="8" s="1"/>
  <c r="K74" i="3"/>
  <c r="I248" i="8" s="1"/>
  <c r="L74" i="3"/>
  <c r="J248" i="8" s="1"/>
  <c r="G75" i="3"/>
  <c r="H75" i="3"/>
  <c r="I75" i="3"/>
  <c r="J75" i="3"/>
  <c r="K75" i="3"/>
  <c r="L75" i="3"/>
  <c r="G76" i="3"/>
  <c r="E249" i="8" s="1"/>
  <c r="H76" i="3"/>
  <c r="F249" i="8" s="1"/>
  <c r="I76" i="3"/>
  <c r="G249" i="8" s="1"/>
  <c r="J76" i="3"/>
  <c r="H249" i="8" s="1"/>
  <c r="K76" i="3"/>
  <c r="I249" i="8" s="1"/>
  <c r="L76" i="3"/>
  <c r="J249" i="8" s="1"/>
  <c r="G77" i="3"/>
  <c r="E250" i="8" s="1"/>
  <c r="H77" i="3"/>
  <c r="F250" i="8" s="1"/>
  <c r="I77" i="3"/>
  <c r="G250" i="8" s="1"/>
  <c r="J77" i="3"/>
  <c r="H250" i="8" s="1"/>
  <c r="K77" i="3"/>
  <c r="I250" i="8" s="1"/>
  <c r="L77" i="3"/>
  <c r="J250" i="8" s="1"/>
  <c r="G78" i="3"/>
  <c r="E251" i="8" s="1"/>
  <c r="H78" i="3"/>
  <c r="F251" i="8" s="1"/>
  <c r="I78" i="3"/>
  <c r="G251" i="8" s="1"/>
  <c r="J78" i="3"/>
  <c r="H251" i="8" s="1"/>
  <c r="K78" i="3"/>
  <c r="I251" i="8" s="1"/>
  <c r="L78" i="3"/>
  <c r="J251" i="8" s="1"/>
  <c r="G79" i="3"/>
  <c r="H79" i="3"/>
  <c r="I79" i="3"/>
  <c r="J79" i="3"/>
  <c r="K79" i="3"/>
  <c r="L79" i="3"/>
  <c r="G80" i="3"/>
  <c r="H80" i="3"/>
  <c r="I80" i="3"/>
  <c r="J80" i="3"/>
  <c r="K80" i="3"/>
  <c r="L80" i="3"/>
  <c r="G83" i="3"/>
  <c r="E255" i="8" s="1"/>
  <c r="H83" i="3"/>
  <c r="F255" i="8" s="1"/>
  <c r="I83" i="3"/>
  <c r="G255" i="8" s="1"/>
  <c r="J83" i="3"/>
  <c r="H255" i="8" s="1"/>
  <c r="K83" i="3"/>
  <c r="I255" i="8" s="1"/>
  <c r="L83" i="3"/>
  <c r="J255" i="8" s="1"/>
  <c r="E258" i="8"/>
  <c r="F258" i="8"/>
  <c r="G258" i="8"/>
  <c r="H258" i="8"/>
  <c r="I258" i="8"/>
  <c r="J258" i="8"/>
  <c r="E259" i="8"/>
  <c r="F259" i="8"/>
  <c r="G259" i="8"/>
  <c r="H259" i="8"/>
  <c r="I259" i="8"/>
  <c r="J259" i="8"/>
  <c r="E260" i="8"/>
  <c r="F260" i="8"/>
  <c r="G260" i="8"/>
  <c r="H260" i="8"/>
  <c r="I260" i="8"/>
  <c r="J260" i="8"/>
  <c r="E262" i="8"/>
  <c r="F262" i="8"/>
  <c r="G262" i="8"/>
  <c r="H262" i="8"/>
  <c r="I262" i="8"/>
  <c r="J262" i="8"/>
  <c r="G95" i="3"/>
  <c r="E263" i="8" s="1"/>
  <c r="H95" i="3"/>
  <c r="F263" i="8" s="1"/>
  <c r="I95" i="3"/>
  <c r="G263" i="8" s="1"/>
  <c r="J95" i="3"/>
  <c r="H263" i="8" s="1"/>
  <c r="K95" i="3"/>
  <c r="I263" i="8" s="1"/>
  <c r="L95" i="3"/>
  <c r="J263" i="8" s="1"/>
  <c r="G98" i="3"/>
  <c r="H98" i="3"/>
  <c r="I98" i="3"/>
  <c r="J98" i="3"/>
  <c r="K98" i="3"/>
  <c r="G99" i="3"/>
  <c r="E266" i="8" s="1"/>
  <c r="H99" i="3"/>
  <c r="F266" i="8" s="1"/>
  <c r="I99" i="3"/>
  <c r="G266" i="8" s="1"/>
  <c r="J99" i="3"/>
  <c r="H266" i="8" s="1"/>
  <c r="K99" i="3"/>
  <c r="I266" i="8" s="1"/>
  <c r="G100" i="3"/>
  <c r="E267" i="8" s="1"/>
  <c r="H100" i="3"/>
  <c r="F267" i="8" s="1"/>
  <c r="I100" i="3"/>
  <c r="G267" i="8" s="1"/>
  <c r="J100" i="3"/>
  <c r="H267" i="8" s="1"/>
  <c r="K100" i="3"/>
  <c r="I267" i="8" s="1"/>
  <c r="L100" i="3"/>
  <c r="J267" i="8" s="1"/>
  <c r="G101" i="3"/>
  <c r="E268" i="8" s="1"/>
  <c r="H101" i="3"/>
  <c r="F268" i="8" s="1"/>
  <c r="I101" i="3"/>
  <c r="G268" i="8" s="1"/>
  <c r="J101" i="3"/>
  <c r="H268" i="8" s="1"/>
  <c r="K101" i="3"/>
  <c r="I268" i="8" s="1"/>
  <c r="L101" i="3"/>
  <c r="J268" i="8" s="1"/>
  <c r="G102" i="3"/>
  <c r="H102" i="3"/>
  <c r="I102" i="3"/>
  <c r="J102" i="3"/>
  <c r="K102" i="3"/>
  <c r="L102" i="3"/>
  <c r="G103" i="3"/>
  <c r="H103" i="3"/>
  <c r="I103" i="3"/>
  <c r="J103" i="3"/>
  <c r="K103" i="3"/>
  <c r="L103" i="3"/>
  <c r="G114" i="3"/>
  <c r="H114" i="3"/>
  <c r="I114" i="3"/>
  <c r="J114" i="3"/>
  <c r="K114" i="3"/>
  <c r="L114" i="3"/>
  <c r="G115" i="3"/>
  <c r="H115" i="3"/>
  <c r="I115" i="3"/>
  <c r="J115" i="3"/>
  <c r="K115" i="3"/>
  <c r="L115" i="3"/>
  <c r="G116" i="3"/>
  <c r="H116" i="3"/>
  <c r="I116" i="3"/>
  <c r="J116" i="3"/>
  <c r="K116" i="3"/>
  <c r="L116" i="3"/>
  <c r="G119" i="3"/>
  <c r="H119" i="3"/>
  <c r="I119" i="3"/>
  <c r="J119" i="3"/>
  <c r="K119" i="3"/>
  <c r="L119" i="3"/>
  <c r="G120" i="3"/>
  <c r="H120" i="3"/>
  <c r="I120" i="3"/>
  <c r="J120" i="3"/>
  <c r="K120" i="3"/>
  <c r="L120" i="3"/>
  <c r="G123" i="3"/>
  <c r="H123" i="3"/>
  <c r="I123" i="3"/>
  <c r="J123" i="3"/>
  <c r="K123" i="3"/>
  <c r="L123" i="3"/>
  <c r="G124" i="3"/>
  <c r="H124" i="3"/>
  <c r="I124" i="3"/>
  <c r="J124" i="3"/>
  <c r="K124" i="3"/>
  <c r="L124" i="3"/>
  <c r="G126" i="3"/>
  <c r="H126" i="3"/>
  <c r="I126" i="3"/>
  <c r="J126" i="3"/>
  <c r="K126" i="3"/>
  <c r="L126" i="3"/>
  <c r="G127" i="3"/>
  <c r="H127" i="3"/>
  <c r="I127" i="3"/>
  <c r="J127" i="3"/>
  <c r="K127" i="3"/>
  <c r="L127" i="3"/>
  <c r="G128" i="3"/>
  <c r="H128" i="3"/>
  <c r="I128" i="3"/>
  <c r="J128" i="3"/>
  <c r="K128" i="3"/>
  <c r="L128" i="3"/>
  <c r="G129" i="3"/>
  <c r="H129" i="3"/>
  <c r="I129" i="3"/>
  <c r="J129" i="3"/>
  <c r="K129" i="3"/>
  <c r="L129" i="3"/>
  <c r="G130" i="3"/>
  <c r="H130" i="3"/>
  <c r="I130" i="3"/>
  <c r="J130" i="3"/>
  <c r="K130" i="3"/>
  <c r="L130" i="3"/>
  <c r="G131" i="3"/>
  <c r="H131" i="3"/>
  <c r="I131" i="3"/>
  <c r="J131" i="3"/>
  <c r="K131" i="3"/>
  <c r="L131" i="3"/>
  <c r="G132" i="3"/>
  <c r="H132" i="3"/>
  <c r="I132" i="3"/>
  <c r="J132" i="3"/>
  <c r="K132" i="3"/>
  <c r="L132" i="3"/>
  <c r="G133" i="3"/>
  <c r="H133" i="3"/>
  <c r="I133" i="3"/>
  <c r="J133" i="3"/>
  <c r="K133" i="3"/>
  <c r="L133" i="3"/>
  <c r="G136" i="3"/>
  <c r="H136" i="3"/>
  <c r="I136" i="3"/>
  <c r="J136" i="3"/>
  <c r="K136" i="3"/>
  <c r="L136" i="3"/>
  <c r="G137" i="3"/>
  <c r="H137" i="3"/>
  <c r="I137" i="3"/>
  <c r="J137" i="3"/>
  <c r="K137" i="3"/>
  <c r="L137" i="3"/>
  <c r="G138" i="3"/>
  <c r="H138" i="3"/>
  <c r="I138" i="3"/>
  <c r="J138" i="3"/>
  <c r="K138" i="3"/>
  <c r="L138" i="3"/>
  <c r="G139" i="3"/>
  <c r="H139" i="3"/>
  <c r="I139" i="3"/>
  <c r="J139" i="3"/>
  <c r="K139" i="3"/>
  <c r="L139" i="3"/>
  <c r="G140" i="3"/>
  <c r="H140" i="3"/>
  <c r="I140" i="3"/>
  <c r="J140" i="3"/>
  <c r="K140" i="3"/>
  <c r="L140" i="3"/>
  <c r="G141" i="3"/>
  <c r="H141" i="3"/>
  <c r="I141" i="3"/>
  <c r="J141" i="3"/>
  <c r="K141" i="3"/>
  <c r="L141" i="3"/>
  <c r="G142" i="3"/>
  <c r="H142" i="3"/>
  <c r="I142" i="3"/>
  <c r="J142" i="3"/>
  <c r="K142" i="3"/>
  <c r="L142" i="3"/>
  <c r="G143" i="3"/>
  <c r="H143" i="3"/>
  <c r="I143" i="3"/>
  <c r="J143" i="3"/>
  <c r="K143" i="3"/>
  <c r="L143" i="3"/>
  <c r="G144" i="3"/>
  <c r="H144" i="3"/>
  <c r="I144" i="3"/>
  <c r="J144" i="3"/>
  <c r="K144" i="3"/>
  <c r="L144" i="3"/>
  <c r="G145" i="3"/>
  <c r="H145" i="3"/>
  <c r="I145" i="3"/>
  <c r="J145" i="3"/>
  <c r="K145" i="3"/>
  <c r="L145" i="3"/>
  <c r="G146" i="3"/>
  <c r="H146" i="3"/>
  <c r="I146" i="3"/>
  <c r="J146" i="3"/>
  <c r="K146" i="3"/>
  <c r="L146" i="3"/>
  <c r="G147" i="3"/>
  <c r="H147" i="3"/>
  <c r="I147" i="3"/>
  <c r="J147" i="3"/>
  <c r="K147" i="3"/>
  <c r="L147" i="3"/>
  <c r="G148" i="3"/>
  <c r="H148" i="3"/>
  <c r="I148" i="3"/>
  <c r="J148" i="3"/>
  <c r="K148" i="3"/>
  <c r="L148" i="3"/>
  <c r="G149" i="3"/>
  <c r="H149" i="3"/>
  <c r="I149" i="3"/>
  <c r="J149" i="3"/>
  <c r="K149" i="3"/>
  <c r="L149" i="3"/>
  <c r="G150" i="3"/>
  <c r="H150" i="3"/>
  <c r="I150" i="3"/>
  <c r="J150" i="3"/>
  <c r="K150" i="3"/>
  <c r="L150" i="3"/>
  <c r="G151" i="3"/>
  <c r="H151" i="3"/>
  <c r="I151" i="3"/>
  <c r="J151" i="3"/>
  <c r="K151" i="3"/>
  <c r="L151" i="3"/>
  <c r="G152" i="3"/>
  <c r="H152" i="3"/>
  <c r="I152" i="3"/>
  <c r="J152" i="3"/>
  <c r="K152" i="3"/>
  <c r="L152" i="3"/>
  <c r="G153" i="3"/>
  <c r="H153" i="3"/>
  <c r="I153" i="3"/>
  <c r="J153" i="3"/>
  <c r="K153" i="3"/>
  <c r="L153" i="3"/>
  <c r="G154" i="3"/>
  <c r="H154" i="3"/>
  <c r="I154" i="3"/>
  <c r="J154" i="3"/>
  <c r="K154" i="3"/>
  <c r="L154" i="3"/>
  <c r="G155" i="3"/>
  <c r="H155" i="3"/>
  <c r="I155" i="3"/>
  <c r="J155" i="3"/>
  <c r="K155" i="3"/>
  <c r="L155" i="3"/>
  <c r="G156" i="3"/>
  <c r="H156" i="3"/>
  <c r="I156" i="3"/>
  <c r="J156" i="3"/>
  <c r="K156" i="3"/>
  <c r="L156" i="3"/>
  <c r="G157" i="3"/>
  <c r="H157" i="3"/>
  <c r="I157" i="3"/>
  <c r="J157" i="3"/>
  <c r="K157" i="3"/>
  <c r="L157" i="3"/>
  <c r="G158" i="3"/>
  <c r="H158" i="3"/>
  <c r="I158" i="3"/>
  <c r="J158" i="3"/>
  <c r="K158" i="3"/>
  <c r="L158" i="3"/>
  <c r="G159" i="3"/>
  <c r="H159" i="3"/>
  <c r="I159" i="3"/>
  <c r="J159" i="3"/>
  <c r="K159" i="3"/>
  <c r="L159" i="3"/>
  <c r="G160" i="3"/>
  <c r="H160" i="3"/>
  <c r="I160" i="3"/>
  <c r="J160" i="3"/>
  <c r="K160" i="3"/>
  <c r="L160" i="3"/>
  <c r="G161" i="3"/>
  <c r="H161" i="3"/>
  <c r="I161" i="3"/>
  <c r="J161" i="3"/>
  <c r="K161" i="3"/>
  <c r="L161" i="3"/>
  <c r="G162" i="3"/>
  <c r="H162" i="3"/>
  <c r="I162" i="3"/>
  <c r="J162" i="3"/>
  <c r="K162" i="3"/>
  <c r="L162" i="3"/>
  <c r="G163" i="3"/>
  <c r="H163" i="3"/>
  <c r="I163" i="3"/>
  <c r="J163" i="3"/>
  <c r="K163" i="3"/>
  <c r="L163" i="3"/>
  <c r="G164" i="3"/>
  <c r="H164" i="3"/>
  <c r="I164" i="3"/>
  <c r="J164" i="3"/>
  <c r="K164" i="3"/>
  <c r="L164" i="3"/>
  <c r="G165" i="3"/>
  <c r="H165" i="3"/>
  <c r="I165" i="3"/>
  <c r="J165" i="3"/>
  <c r="K165" i="3"/>
  <c r="L165" i="3"/>
  <c r="G166" i="3"/>
  <c r="H166" i="3"/>
  <c r="I166" i="3"/>
  <c r="J166" i="3"/>
  <c r="K166" i="3"/>
  <c r="L166" i="3"/>
  <c r="G167" i="3"/>
  <c r="H167" i="3"/>
  <c r="I167" i="3"/>
  <c r="J167" i="3"/>
  <c r="K167" i="3"/>
  <c r="L167" i="3"/>
  <c r="G168" i="3"/>
  <c r="H168" i="3"/>
  <c r="I168" i="3"/>
  <c r="J168" i="3"/>
  <c r="K168" i="3"/>
  <c r="L168" i="3"/>
  <c r="G169" i="3"/>
  <c r="H169" i="3"/>
  <c r="I169" i="3"/>
  <c r="J169" i="3"/>
  <c r="K169" i="3"/>
  <c r="L169" i="3"/>
  <c r="G170" i="3"/>
  <c r="H170" i="3"/>
  <c r="I170" i="3"/>
  <c r="J170" i="3"/>
  <c r="K170" i="3"/>
  <c r="L170" i="3"/>
  <c r="G171" i="3"/>
  <c r="H171" i="3"/>
  <c r="I171" i="3"/>
  <c r="J171" i="3"/>
  <c r="K171" i="3"/>
  <c r="L171" i="3"/>
  <c r="G172" i="3"/>
  <c r="H172" i="3"/>
  <c r="I172" i="3"/>
  <c r="J172" i="3"/>
  <c r="K172" i="3"/>
  <c r="L172" i="3"/>
  <c r="G173" i="3"/>
  <c r="H173" i="3"/>
  <c r="I173" i="3"/>
  <c r="J173" i="3"/>
  <c r="K173" i="3"/>
  <c r="L173" i="3"/>
  <c r="G174" i="3"/>
  <c r="H174" i="3"/>
  <c r="I174" i="3"/>
  <c r="J174" i="3"/>
  <c r="K174" i="3"/>
  <c r="L174" i="3"/>
  <c r="G175" i="3"/>
  <c r="H175" i="3"/>
  <c r="I175" i="3"/>
  <c r="J175" i="3"/>
  <c r="K175" i="3"/>
  <c r="L175" i="3"/>
  <c r="G176" i="3"/>
  <c r="H176" i="3"/>
  <c r="I176" i="3"/>
  <c r="J176" i="3"/>
  <c r="K176" i="3"/>
  <c r="L176" i="3"/>
  <c r="G177" i="3"/>
  <c r="H177" i="3"/>
  <c r="I177" i="3"/>
  <c r="J177" i="3"/>
  <c r="K177" i="3"/>
  <c r="L177" i="3"/>
  <c r="G178" i="3"/>
  <c r="H178" i="3"/>
  <c r="I178" i="3"/>
  <c r="J178" i="3"/>
  <c r="K178" i="3"/>
  <c r="L178" i="3"/>
  <c r="F44" i="3"/>
  <c r="F45" i="3"/>
  <c r="F54" i="3"/>
  <c r="F55" i="3"/>
  <c r="F56" i="3"/>
  <c r="D233" i="8" s="1"/>
  <c r="F57" i="3"/>
  <c r="D234" i="8" s="1"/>
  <c r="F58" i="3"/>
  <c r="D235" i="8" s="1"/>
  <c r="F66" i="3"/>
  <c r="D243" i="8" s="1"/>
  <c r="F67" i="3"/>
  <c r="D244" i="8" s="1"/>
  <c r="F72" i="3"/>
  <c r="D246" i="8" s="1"/>
  <c r="F73" i="3"/>
  <c r="D247" i="8" s="1"/>
  <c r="F74" i="3"/>
  <c r="D248" i="8" s="1"/>
  <c r="F75" i="3"/>
  <c r="F76" i="3"/>
  <c r="D249" i="8" s="1"/>
  <c r="F77" i="3"/>
  <c r="D250" i="8" s="1"/>
  <c r="F78" i="3"/>
  <c r="D251" i="8" s="1"/>
  <c r="F79" i="3"/>
  <c r="F80" i="3"/>
  <c r="F83" i="3"/>
  <c r="D255" i="8" s="1"/>
  <c r="F86" i="3"/>
  <c r="D258" i="8" s="1"/>
  <c r="D259" i="8"/>
  <c r="D260" i="8"/>
  <c r="D262" i="8"/>
  <c r="F95" i="3"/>
  <c r="D263" i="8" s="1"/>
  <c r="F100" i="3"/>
  <c r="D267" i="8" s="1"/>
  <c r="F101" i="3"/>
  <c r="D268" i="8" s="1"/>
  <c r="F102" i="3"/>
  <c r="F103" i="3"/>
  <c r="F114" i="3"/>
  <c r="F115" i="3"/>
  <c r="F116" i="3"/>
  <c r="F119" i="3"/>
  <c r="F120" i="3"/>
  <c r="F121" i="3"/>
  <c r="F122" i="3"/>
  <c r="F123" i="3"/>
  <c r="F124" i="3"/>
  <c r="F125" i="3"/>
  <c r="F126" i="3"/>
  <c r="F127" i="3"/>
  <c r="F128" i="3"/>
  <c r="F129" i="3"/>
  <c r="F130" i="3"/>
  <c r="F131" i="3"/>
  <c r="F132" i="3"/>
  <c r="F133"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43" i="3"/>
  <c r="F32" i="3"/>
  <c r="F33" i="3"/>
  <c r="F34" i="3"/>
  <c r="F35" i="3"/>
  <c r="F40" i="3"/>
  <c r="F31" i="3"/>
  <c r="G29" i="3"/>
  <c r="H29" i="3"/>
  <c r="I29" i="3"/>
  <c r="J29" i="3"/>
  <c r="K29" i="3"/>
  <c r="L29" i="3"/>
  <c r="F29" i="3"/>
  <c r="M343" i="3"/>
  <c r="M342" i="3"/>
  <c r="M341" i="3"/>
  <c r="M340" i="3"/>
  <c r="M339" i="3"/>
  <c r="M337" i="3"/>
  <c r="M336" i="3"/>
  <c r="M335" i="3"/>
  <c r="M334" i="3"/>
  <c r="M333" i="3"/>
  <c r="M324" i="3"/>
  <c r="M323" i="3"/>
  <c r="M322" i="3"/>
  <c r="M321" i="3"/>
  <c r="M320" i="3"/>
  <c r="M319" i="3"/>
  <c r="M318" i="3"/>
  <c r="M317" i="3"/>
  <c r="M313" i="3"/>
  <c r="M312" i="3"/>
  <c r="M311" i="3"/>
  <c r="M310" i="3"/>
  <c r="M309" i="3"/>
  <c r="M302" i="3"/>
  <c r="M194" i="3"/>
  <c r="M193" i="3"/>
  <c r="M192" i="3"/>
  <c r="M189" i="3"/>
  <c r="M188" i="3"/>
  <c r="M187" i="3"/>
  <c r="M186" i="3"/>
  <c r="G351" i="7"/>
  <c r="H351" i="7"/>
  <c r="I351" i="7"/>
  <c r="J351" i="7"/>
  <c r="K351" i="7"/>
  <c r="L351" i="7"/>
  <c r="G352" i="7"/>
  <c r="H352" i="7"/>
  <c r="I352" i="7"/>
  <c r="J352" i="7"/>
  <c r="K352" i="7"/>
  <c r="L352" i="7"/>
  <c r="H54" i="5"/>
  <c r="I54" i="5"/>
  <c r="J54" i="5"/>
  <c r="K54" i="5"/>
  <c r="L54" i="5"/>
  <c r="M54" i="5"/>
  <c r="H55" i="5"/>
  <c r="I55" i="5"/>
  <c r="J55" i="5"/>
  <c r="K55" i="5"/>
  <c r="J37" i="7" s="1"/>
  <c r="L55" i="5"/>
  <c r="M55" i="5"/>
  <c r="H56" i="5"/>
  <c r="I56" i="5"/>
  <c r="J56" i="5"/>
  <c r="K56" i="5"/>
  <c r="L56" i="5"/>
  <c r="M56" i="5"/>
  <c r="H57" i="5"/>
  <c r="I57" i="5"/>
  <c r="J57" i="5"/>
  <c r="K57" i="5"/>
  <c r="L57" i="5"/>
  <c r="M57" i="5"/>
  <c r="H58" i="5"/>
  <c r="I58" i="5"/>
  <c r="H40" i="7" s="1"/>
  <c r="J58" i="5"/>
  <c r="K58" i="5"/>
  <c r="L58" i="5"/>
  <c r="M58" i="5"/>
  <c r="L40" i="7" s="1"/>
  <c r="H66" i="5"/>
  <c r="I66" i="5"/>
  <c r="J66" i="5"/>
  <c r="K66" i="5"/>
  <c r="L66" i="5"/>
  <c r="M66" i="5"/>
  <c r="H67" i="5"/>
  <c r="I67" i="5"/>
  <c r="J67" i="5"/>
  <c r="K67" i="5"/>
  <c r="L67" i="5"/>
  <c r="M67" i="5"/>
  <c r="H72" i="5"/>
  <c r="I72" i="5"/>
  <c r="J72" i="5"/>
  <c r="K72" i="5"/>
  <c r="L72" i="5"/>
  <c r="M72" i="5"/>
  <c r="H73" i="5"/>
  <c r="I73" i="5"/>
  <c r="J73" i="5"/>
  <c r="K73" i="5"/>
  <c r="L73" i="5"/>
  <c r="M73" i="5"/>
  <c r="H74" i="5"/>
  <c r="I74" i="5"/>
  <c r="J74" i="5"/>
  <c r="K74" i="5"/>
  <c r="L74" i="5"/>
  <c r="M74" i="5"/>
  <c r="H75" i="5"/>
  <c r="I75" i="5"/>
  <c r="J75" i="5"/>
  <c r="K75" i="5"/>
  <c r="L75" i="5"/>
  <c r="M75" i="5"/>
  <c r="H76" i="5"/>
  <c r="I76" i="5"/>
  <c r="J76" i="5"/>
  <c r="K76" i="5"/>
  <c r="L76" i="5"/>
  <c r="M76" i="5"/>
  <c r="H77" i="5"/>
  <c r="I77" i="5"/>
  <c r="J77" i="5"/>
  <c r="K77" i="5"/>
  <c r="L77" i="5"/>
  <c r="M77" i="5"/>
  <c r="H78" i="5"/>
  <c r="I78" i="5"/>
  <c r="J78" i="5"/>
  <c r="K78" i="5"/>
  <c r="L78" i="5"/>
  <c r="M78" i="5"/>
  <c r="H79" i="5"/>
  <c r="I79" i="5"/>
  <c r="J79" i="5"/>
  <c r="K79" i="5"/>
  <c r="L79" i="5"/>
  <c r="M79" i="5"/>
  <c r="H80" i="5"/>
  <c r="I80" i="5"/>
  <c r="J80" i="5"/>
  <c r="K80" i="5"/>
  <c r="L80" i="5"/>
  <c r="M80" i="5"/>
  <c r="H83" i="5"/>
  <c r="I83" i="5"/>
  <c r="J83" i="5"/>
  <c r="K83" i="5"/>
  <c r="L83" i="5"/>
  <c r="M83" i="5"/>
  <c r="H86" i="5"/>
  <c r="I86" i="5"/>
  <c r="J86" i="5"/>
  <c r="K86" i="5"/>
  <c r="L86" i="5"/>
  <c r="M86" i="5"/>
  <c r="H87" i="5"/>
  <c r="I87" i="5"/>
  <c r="J87" i="5"/>
  <c r="K87" i="5"/>
  <c r="L87" i="5"/>
  <c r="M87" i="5"/>
  <c r="H88" i="5"/>
  <c r="I88" i="5"/>
  <c r="J88" i="5"/>
  <c r="K88" i="5"/>
  <c r="L88" i="5"/>
  <c r="M88" i="5"/>
  <c r="H91" i="5"/>
  <c r="I91" i="5"/>
  <c r="J91" i="5"/>
  <c r="K91" i="5"/>
  <c r="L91" i="5"/>
  <c r="M91" i="5"/>
  <c r="H93" i="5"/>
  <c r="I93" i="5"/>
  <c r="J93" i="5"/>
  <c r="K93" i="5"/>
  <c r="L93" i="5"/>
  <c r="M93" i="5"/>
  <c r="H94" i="5"/>
  <c r="I94" i="5"/>
  <c r="J94" i="5"/>
  <c r="K94" i="5"/>
  <c r="L94" i="5"/>
  <c r="M94" i="5"/>
  <c r="H95" i="5"/>
  <c r="I95" i="5"/>
  <c r="J95" i="5"/>
  <c r="K95" i="5"/>
  <c r="L95" i="5"/>
  <c r="M95" i="5"/>
  <c r="H98" i="5"/>
  <c r="I98" i="5"/>
  <c r="J98" i="5"/>
  <c r="K98" i="5"/>
  <c r="L98" i="5"/>
  <c r="H99" i="5"/>
  <c r="I99" i="5"/>
  <c r="J99" i="5"/>
  <c r="K99" i="5"/>
  <c r="L99" i="5"/>
  <c r="H100" i="5"/>
  <c r="I100" i="5"/>
  <c r="J100" i="5"/>
  <c r="K100" i="5"/>
  <c r="L100" i="5"/>
  <c r="M100" i="5"/>
  <c r="H101" i="5"/>
  <c r="I101" i="5"/>
  <c r="J101" i="5"/>
  <c r="K101" i="5"/>
  <c r="L101" i="5"/>
  <c r="M101" i="5"/>
  <c r="H102" i="5"/>
  <c r="I102" i="5"/>
  <c r="J102" i="5"/>
  <c r="K102" i="5"/>
  <c r="L102" i="5"/>
  <c r="M102" i="5"/>
  <c r="H103" i="5"/>
  <c r="I103" i="5"/>
  <c r="J103" i="5"/>
  <c r="K103" i="5"/>
  <c r="L103" i="5"/>
  <c r="M103" i="5"/>
  <c r="H114" i="5"/>
  <c r="I114" i="5"/>
  <c r="J114" i="5"/>
  <c r="K114" i="5"/>
  <c r="L114" i="5"/>
  <c r="M114" i="5"/>
  <c r="H115" i="5"/>
  <c r="I115" i="5"/>
  <c r="J115" i="5"/>
  <c r="K115" i="5"/>
  <c r="L115" i="5"/>
  <c r="M115" i="5"/>
  <c r="H116" i="5"/>
  <c r="I116" i="5"/>
  <c r="J116" i="5"/>
  <c r="K116" i="5"/>
  <c r="L116" i="5"/>
  <c r="M116" i="5"/>
  <c r="H119" i="5"/>
  <c r="I119" i="5"/>
  <c r="J119" i="5"/>
  <c r="L119" i="5"/>
  <c r="M119" i="5"/>
  <c r="H120" i="5"/>
  <c r="I120" i="5"/>
  <c r="J120" i="5"/>
  <c r="L120" i="5"/>
  <c r="M120" i="5"/>
  <c r="H121" i="5"/>
  <c r="I121" i="5"/>
  <c r="J121" i="5"/>
  <c r="L121" i="5"/>
  <c r="M121" i="5"/>
  <c r="H122" i="5"/>
  <c r="I122" i="5"/>
  <c r="J122" i="5"/>
  <c r="L122" i="5"/>
  <c r="M122" i="5"/>
  <c r="H123" i="5"/>
  <c r="I123" i="5"/>
  <c r="J123" i="5"/>
  <c r="L123" i="5"/>
  <c r="M123" i="5"/>
  <c r="H124" i="5"/>
  <c r="I124" i="5"/>
  <c r="J124" i="5"/>
  <c r="L124" i="5"/>
  <c r="M124" i="5"/>
  <c r="H125" i="5"/>
  <c r="I125" i="5"/>
  <c r="J125" i="5"/>
  <c r="L125" i="5"/>
  <c r="M125" i="5"/>
  <c r="H126" i="5"/>
  <c r="I126" i="5"/>
  <c r="J126" i="5"/>
  <c r="L126" i="5"/>
  <c r="M126" i="5"/>
  <c r="H127" i="5"/>
  <c r="I127" i="5"/>
  <c r="J127" i="5"/>
  <c r="L127" i="5"/>
  <c r="M127" i="5"/>
  <c r="H128" i="5"/>
  <c r="I128" i="5"/>
  <c r="J128" i="5"/>
  <c r="L128" i="5"/>
  <c r="M128" i="5"/>
  <c r="H129" i="5"/>
  <c r="I129" i="5"/>
  <c r="J129" i="5"/>
  <c r="L129" i="5"/>
  <c r="M129" i="5"/>
  <c r="H130" i="5"/>
  <c r="I130" i="5"/>
  <c r="J130" i="5"/>
  <c r="L130" i="5"/>
  <c r="M130" i="5"/>
  <c r="H131" i="5"/>
  <c r="I131" i="5"/>
  <c r="J131" i="5"/>
  <c r="L131" i="5"/>
  <c r="M131" i="5"/>
  <c r="H132" i="5"/>
  <c r="I132" i="5"/>
  <c r="J132" i="5"/>
  <c r="L132" i="5"/>
  <c r="M132" i="5"/>
  <c r="H133" i="5"/>
  <c r="I133" i="5"/>
  <c r="J133" i="5"/>
  <c r="L133" i="5"/>
  <c r="M133" i="5"/>
  <c r="H136" i="5"/>
  <c r="I136" i="5"/>
  <c r="J136" i="5"/>
  <c r="K136" i="5"/>
  <c r="L136" i="5"/>
  <c r="M136" i="5"/>
  <c r="H137" i="5"/>
  <c r="I137" i="5"/>
  <c r="J137" i="5"/>
  <c r="K137" i="5"/>
  <c r="L137" i="5"/>
  <c r="M137" i="5"/>
  <c r="H138" i="5"/>
  <c r="I138" i="5"/>
  <c r="J138" i="5"/>
  <c r="K138" i="5"/>
  <c r="L138" i="5"/>
  <c r="M138" i="5"/>
  <c r="H139" i="5"/>
  <c r="I139" i="5"/>
  <c r="J139" i="5"/>
  <c r="K139" i="5"/>
  <c r="L139" i="5"/>
  <c r="M139" i="5"/>
  <c r="H140" i="5"/>
  <c r="I140" i="5"/>
  <c r="J140" i="5"/>
  <c r="K140" i="5"/>
  <c r="L140" i="5"/>
  <c r="M140" i="5"/>
  <c r="H141" i="5"/>
  <c r="I141" i="5"/>
  <c r="J141" i="5"/>
  <c r="K141" i="5"/>
  <c r="L141" i="5"/>
  <c r="M141" i="5"/>
  <c r="H142" i="5"/>
  <c r="I142" i="5"/>
  <c r="J142" i="5"/>
  <c r="K142" i="5"/>
  <c r="L142" i="5"/>
  <c r="M142" i="5"/>
  <c r="H143" i="5"/>
  <c r="I143" i="5"/>
  <c r="J143" i="5"/>
  <c r="K143" i="5"/>
  <c r="L143" i="5"/>
  <c r="M143" i="5"/>
  <c r="H144" i="5"/>
  <c r="I144" i="5"/>
  <c r="J144" i="5"/>
  <c r="K144" i="5"/>
  <c r="L144" i="5"/>
  <c r="M144" i="5"/>
  <c r="H145" i="5"/>
  <c r="I145" i="5"/>
  <c r="J145" i="5"/>
  <c r="K145" i="5"/>
  <c r="L145" i="5"/>
  <c r="M145" i="5"/>
  <c r="H146" i="5"/>
  <c r="I146" i="5"/>
  <c r="J146" i="5"/>
  <c r="K146" i="5"/>
  <c r="L146" i="5"/>
  <c r="M146" i="5"/>
  <c r="H147" i="5"/>
  <c r="I147" i="5"/>
  <c r="J147" i="5"/>
  <c r="K147" i="5"/>
  <c r="L147" i="5"/>
  <c r="M147" i="5"/>
  <c r="H148" i="5"/>
  <c r="I148" i="5"/>
  <c r="J148" i="5"/>
  <c r="K148" i="5"/>
  <c r="L148" i="5"/>
  <c r="M148" i="5"/>
  <c r="H149" i="5"/>
  <c r="I149" i="5"/>
  <c r="J149" i="5"/>
  <c r="K149" i="5"/>
  <c r="L149" i="5"/>
  <c r="M149" i="5"/>
  <c r="H150" i="5"/>
  <c r="I150" i="5"/>
  <c r="J150" i="5"/>
  <c r="K150" i="5"/>
  <c r="L150" i="5"/>
  <c r="M150" i="5"/>
  <c r="H151" i="5"/>
  <c r="I151" i="5"/>
  <c r="J151" i="5"/>
  <c r="K151" i="5"/>
  <c r="L151" i="5"/>
  <c r="M151" i="5"/>
  <c r="H152" i="5"/>
  <c r="G662" i="7" s="1"/>
  <c r="I152" i="5"/>
  <c r="H662" i="7" s="1"/>
  <c r="J152" i="5"/>
  <c r="I662" i="7" s="1"/>
  <c r="K152" i="5"/>
  <c r="J662" i="7" s="1"/>
  <c r="L152" i="5"/>
  <c r="K662" i="7" s="1"/>
  <c r="M152" i="5"/>
  <c r="L662" i="7" s="1"/>
  <c r="H153" i="5"/>
  <c r="G663" i="7" s="1"/>
  <c r="I153" i="5"/>
  <c r="H663" i="7" s="1"/>
  <c r="J153" i="5"/>
  <c r="I663" i="7" s="1"/>
  <c r="K153" i="5"/>
  <c r="J663" i="7" s="1"/>
  <c r="L153" i="5"/>
  <c r="K663" i="7" s="1"/>
  <c r="M153" i="5"/>
  <c r="L663" i="7" s="1"/>
  <c r="H154" i="5"/>
  <c r="G664" i="7" s="1"/>
  <c r="I154" i="5"/>
  <c r="H664" i="7" s="1"/>
  <c r="J154" i="5"/>
  <c r="I664" i="7" s="1"/>
  <c r="K154" i="5"/>
  <c r="J664" i="7" s="1"/>
  <c r="L154" i="5"/>
  <c r="K664" i="7" s="1"/>
  <c r="M154" i="5"/>
  <c r="L664" i="7" s="1"/>
  <c r="H155" i="5"/>
  <c r="G665" i="7" s="1"/>
  <c r="I155" i="5"/>
  <c r="H665" i="7" s="1"/>
  <c r="J155" i="5"/>
  <c r="I665" i="7" s="1"/>
  <c r="K155" i="5"/>
  <c r="J665" i="7" s="1"/>
  <c r="L155" i="5"/>
  <c r="K665" i="7" s="1"/>
  <c r="M155" i="5"/>
  <c r="L665" i="7" s="1"/>
  <c r="H156" i="5"/>
  <c r="G666" i="7" s="1"/>
  <c r="I156" i="5"/>
  <c r="H666" i="7" s="1"/>
  <c r="J156" i="5"/>
  <c r="I666" i="7" s="1"/>
  <c r="K156" i="5"/>
  <c r="J666" i="7" s="1"/>
  <c r="L156" i="5"/>
  <c r="K666" i="7" s="1"/>
  <c r="M156" i="5"/>
  <c r="L666" i="7" s="1"/>
  <c r="H157" i="5"/>
  <c r="G667" i="7" s="1"/>
  <c r="I157" i="5"/>
  <c r="H667" i="7" s="1"/>
  <c r="J157" i="5"/>
  <c r="I667" i="7" s="1"/>
  <c r="K157" i="5"/>
  <c r="J667" i="7" s="1"/>
  <c r="L157" i="5"/>
  <c r="K667" i="7" s="1"/>
  <c r="M157" i="5"/>
  <c r="L667" i="7" s="1"/>
  <c r="H158" i="5"/>
  <c r="G668" i="7" s="1"/>
  <c r="I158" i="5"/>
  <c r="H668" i="7" s="1"/>
  <c r="J158" i="5"/>
  <c r="I668" i="7" s="1"/>
  <c r="K158" i="5"/>
  <c r="J668" i="7" s="1"/>
  <c r="L158" i="5"/>
  <c r="K668" i="7" s="1"/>
  <c r="M158" i="5"/>
  <c r="L668" i="7" s="1"/>
  <c r="H159" i="5"/>
  <c r="G669" i="7" s="1"/>
  <c r="I159" i="5"/>
  <c r="H669" i="7" s="1"/>
  <c r="J159" i="5"/>
  <c r="I669" i="7" s="1"/>
  <c r="K159" i="5"/>
  <c r="J669" i="7" s="1"/>
  <c r="L159" i="5"/>
  <c r="K669" i="7" s="1"/>
  <c r="M159" i="5"/>
  <c r="L669" i="7" s="1"/>
  <c r="H160" i="5"/>
  <c r="G670" i="7" s="1"/>
  <c r="I160" i="5"/>
  <c r="H670" i="7" s="1"/>
  <c r="J160" i="5"/>
  <c r="I670" i="7" s="1"/>
  <c r="K160" i="5"/>
  <c r="J670" i="7" s="1"/>
  <c r="L160" i="5"/>
  <c r="K670" i="7" s="1"/>
  <c r="M160" i="5"/>
  <c r="L670" i="7" s="1"/>
  <c r="H161" i="5"/>
  <c r="G671" i="7" s="1"/>
  <c r="I161" i="5"/>
  <c r="H671" i="7" s="1"/>
  <c r="J161" i="5"/>
  <c r="I671" i="7" s="1"/>
  <c r="K161" i="5"/>
  <c r="J671" i="7" s="1"/>
  <c r="L161" i="5"/>
  <c r="K671" i="7" s="1"/>
  <c r="M161" i="5"/>
  <c r="L671" i="7" s="1"/>
  <c r="H162" i="5"/>
  <c r="I162" i="5"/>
  <c r="J162" i="5"/>
  <c r="K162" i="5"/>
  <c r="L162" i="5"/>
  <c r="M162" i="5"/>
  <c r="H163" i="5"/>
  <c r="G673" i="7" s="1"/>
  <c r="I163" i="5"/>
  <c r="H673" i="7" s="1"/>
  <c r="J163" i="5"/>
  <c r="I673" i="7" s="1"/>
  <c r="K163" i="5"/>
  <c r="J673" i="7" s="1"/>
  <c r="L163" i="5"/>
  <c r="K673" i="7" s="1"/>
  <c r="M163" i="5"/>
  <c r="L673" i="7" s="1"/>
  <c r="H164" i="5"/>
  <c r="G674" i="7" s="1"/>
  <c r="I164" i="5"/>
  <c r="H674" i="7" s="1"/>
  <c r="J164" i="5"/>
  <c r="I674" i="7" s="1"/>
  <c r="K164" i="5"/>
  <c r="J674" i="7" s="1"/>
  <c r="L164" i="5"/>
  <c r="K674" i="7" s="1"/>
  <c r="M164" i="5"/>
  <c r="L674" i="7" s="1"/>
  <c r="H165" i="5"/>
  <c r="G675" i="7" s="1"/>
  <c r="I165" i="5"/>
  <c r="H675" i="7" s="1"/>
  <c r="J165" i="5"/>
  <c r="I675" i="7" s="1"/>
  <c r="K165" i="5"/>
  <c r="J675" i="7" s="1"/>
  <c r="L165" i="5"/>
  <c r="K675" i="7" s="1"/>
  <c r="M165" i="5"/>
  <c r="L675" i="7" s="1"/>
  <c r="H166" i="5"/>
  <c r="G676" i="7" s="1"/>
  <c r="I166" i="5"/>
  <c r="H676" i="7" s="1"/>
  <c r="J166" i="5"/>
  <c r="I676" i="7" s="1"/>
  <c r="K166" i="5"/>
  <c r="J676" i="7" s="1"/>
  <c r="L166" i="5"/>
  <c r="K676" i="7" s="1"/>
  <c r="M166" i="5"/>
  <c r="L676" i="7" s="1"/>
  <c r="H167" i="5"/>
  <c r="G677" i="7" s="1"/>
  <c r="I167" i="5"/>
  <c r="H677" i="7" s="1"/>
  <c r="J167" i="5"/>
  <c r="I677" i="7" s="1"/>
  <c r="K167" i="5"/>
  <c r="J677" i="7" s="1"/>
  <c r="L167" i="5"/>
  <c r="K677" i="7" s="1"/>
  <c r="M167" i="5"/>
  <c r="L677" i="7" s="1"/>
  <c r="H168" i="5"/>
  <c r="G678" i="7" s="1"/>
  <c r="I168" i="5"/>
  <c r="H678" i="7" s="1"/>
  <c r="J168" i="5"/>
  <c r="I678" i="7" s="1"/>
  <c r="K168" i="5"/>
  <c r="J678" i="7" s="1"/>
  <c r="L168" i="5"/>
  <c r="K678" i="7" s="1"/>
  <c r="M168" i="5"/>
  <c r="L678" i="7" s="1"/>
  <c r="H169" i="5"/>
  <c r="G679" i="7" s="1"/>
  <c r="I169" i="5"/>
  <c r="H679" i="7" s="1"/>
  <c r="J169" i="5"/>
  <c r="I679" i="7" s="1"/>
  <c r="K169" i="5"/>
  <c r="J679" i="7" s="1"/>
  <c r="L169" i="5"/>
  <c r="K679" i="7" s="1"/>
  <c r="M169" i="5"/>
  <c r="L679" i="7" s="1"/>
  <c r="H170" i="5"/>
  <c r="G680" i="7" s="1"/>
  <c r="I170" i="5"/>
  <c r="H680" i="7" s="1"/>
  <c r="J170" i="5"/>
  <c r="I680" i="7" s="1"/>
  <c r="K170" i="5"/>
  <c r="J680" i="7" s="1"/>
  <c r="L170" i="5"/>
  <c r="K680" i="7" s="1"/>
  <c r="M170" i="5"/>
  <c r="L680" i="7" s="1"/>
  <c r="H171" i="5"/>
  <c r="G681" i="7" s="1"/>
  <c r="I171" i="5"/>
  <c r="H681" i="7" s="1"/>
  <c r="J171" i="5"/>
  <c r="I681" i="7" s="1"/>
  <c r="K171" i="5"/>
  <c r="J681" i="7" s="1"/>
  <c r="L171" i="5"/>
  <c r="K681" i="7" s="1"/>
  <c r="M171" i="5"/>
  <c r="L681" i="7" s="1"/>
  <c r="H172" i="5"/>
  <c r="G682" i="7" s="1"/>
  <c r="I172" i="5"/>
  <c r="H682" i="7" s="1"/>
  <c r="J172" i="5"/>
  <c r="I682" i="7" s="1"/>
  <c r="K172" i="5"/>
  <c r="J682" i="7" s="1"/>
  <c r="L172" i="5"/>
  <c r="K682" i="7" s="1"/>
  <c r="M172" i="5"/>
  <c r="L682" i="7" s="1"/>
  <c r="H173" i="5"/>
  <c r="G683" i="7" s="1"/>
  <c r="I173" i="5"/>
  <c r="H683" i="7" s="1"/>
  <c r="J173" i="5"/>
  <c r="I683" i="7" s="1"/>
  <c r="K173" i="5"/>
  <c r="J683" i="7" s="1"/>
  <c r="L173" i="5"/>
  <c r="K683" i="7" s="1"/>
  <c r="M173" i="5"/>
  <c r="L683" i="7" s="1"/>
  <c r="H174" i="5"/>
  <c r="G684" i="7" s="1"/>
  <c r="I174" i="5"/>
  <c r="H684" i="7" s="1"/>
  <c r="J174" i="5"/>
  <c r="I684" i="7" s="1"/>
  <c r="K174" i="5"/>
  <c r="J684" i="7" s="1"/>
  <c r="L174" i="5"/>
  <c r="K684" i="7" s="1"/>
  <c r="M174" i="5"/>
  <c r="L684" i="7" s="1"/>
  <c r="H175" i="5"/>
  <c r="G685" i="7" s="1"/>
  <c r="I175" i="5"/>
  <c r="H685" i="7" s="1"/>
  <c r="J175" i="5"/>
  <c r="I685" i="7" s="1"/>
  <c r="K175" i="5"/>
  <c r="J685" i="7" s="1"/>
  <c r="L175" i="5"/>
  <c r="K685" i="7" s="1"/>
  <c r="M175" i="5"/>
  <c r="L685" i="7" s="1"/>
  <c r="H176" i="5"/>
  <c r="G686" i="7" s="1"/>
  <c r="I176" i="5"/>
  <c r="H686" i="7" s="1"/>
  <c r="J176" i="5"/>
  <c r="I686" i="7" s="1"/>
  <c r="K176" i="5"/>
  <c r="J686" i="7" s="1"/>
  <c r="L176" i="5"/>
  <c r="K686" i="7" s="1"/>
  <c r="M176" i="5"/>
  <c r="L686" i="7" s="1"/>
  <c r="H177" i="5"/>
  <c r="G687" i="7" s="1"/>
  <c r="I177" i="5"/>
  <c r="H687" i="7" s="1"/>
  <c r="J177" i="5"/>
  <c r="I687" i="7" s="1"/>
  <c r="K177" i="5"/>
  <c r="J687" i="7" s="1"/>
  <c r="L177" i="5"/>
  <c r="K687" i="7" s="1"/>
  <c r="M177" i="5"/>
  <c r="L687" i="7" s="1"/>
  <c r="H178" i="5"/>
  <c r="G688" i="7" s="1"/>
  <c r="I178" i="5"/>
  <c r="H688" i="7" s="1"/>
  <c r="J178" i="5"/>
  <c r="I688" i="7" s="1"/>
  <c r="K178" i="5"/>
  <c r="J688" i="7" s="1"/>
  <c r="L178" i="5"/>
  <c r="K688" i="7" s="1"/>
  <c r="M178" i="5"/>
  <c r="L688" i="7" s="1"/>
  <c r="G54" i="5"/>
  <c r="G55" i="5"/>
  <c r="G56" i="5"/>
  <c r="G57" i="5"/>
  <c r="G58" i="5"/>
  <c r="F40" i="7" s="1"/>
  <c r="G66" i="5"/>
  <c r="G67" i="5"/>
  <c r="G72" i="5"/>
  <c r="G73" i="5"/>
  <c r="G74" i="5"/>
  <c r="G75" i="5"/>
  <c r="G76" i="5"/>
  <c r="G77" i="5"/>
  <c r="G78" i="5"/>
  <c r="G79" i="5"/>
  <c r="G80" i="5"/>
  <c r="G83" i="5"/>
  <c r="G86" i="5"/>
  <c r="G87" i="5"/>
  <c r="G88" i="5"/>
  <c r="G91" i="5"/>
  <c r="G93" i="5"/>
  <c r="G94" i="5"/>
  <c r="G95" i="5"/>
  <c r="G100" i="5"/>
  <c r="G101" i="5"/>
  <c r="G102" i="5"/>
  <c r="G103" i="5"/>
  <c r="G114" i="5"/>
  <c r="G115" i="5"/>
  <c r="G116" i="5"/>
  <c r="G119" i="5"/>
  <c r="G120" i="5"/>
  <c r="G121" i="5"/>
  <c r="G122" i="5"/>
  <c r="G123" i="5"/>
  <c r="G124" i="5"/>
  <c r="G125" i="5"/>
  <c r="G126" i="5"/>
  <c r="G127" i="5"/>
  <c r="G128" i="5"/>
  <c r="G129" i="5"/>
  <c r="G130" i="5"/>
  <c r="G131" i="5"/>
  <c r="G132" i="5"/>
  <c r="G133" i="5"/>
  <c r="G136" i="5"/>
  <c r="G137" i="5"/>
  <c r="G138" i="5"/>
  <c r="G139" i="5"/>
  <c r="G140" i="5"/>
  <c r="G141" i="5"/>
  <c r="G142" i="5"/>
  <c r="G143" i="5"/>
  <c r="G144" i="5"/>
  <c r="G145" i="5"/>
  <c r="G146" i="5"/>
  <c r="G147" i="5"/>
  <c r="G148" i="5"/>
  <c r="G149" i="5"/>
  <c r="G150" i="5"/>
  <c r="G151" i="5"/>
  <c r="G152" i="5"/>
  <c r="G153" i="5"/>
  <c r="F663" i="7" s="1"/>
  <c r="G154" i="5"/>
  <c r="F664" i="7" s="1"/>
  <c r="G155" i="5"/>
  <c r="F665" i="7" s="1"/>
  <c r="G156" i="5"/>
  <c r="F666" i="7" s="1"/>
  <c r="G157" i="5"/>
  <c r="F667" i="7" s="1"/>
  <c r="G158" i="5"/>
  <c r="F668" i="7" s="1"/>
  <c r="G159" i="5"/>
  <c r="F669" i="7" s="1"/>
  <c r="G160" i="5"/>
  <c r="F670" i="7" s="1"/>
  <c r="G161" i="5"/>
  <c r="F671" i="7" s="1"/>
  <c r="G162" i="5"/>
  <c r="F672" i="7" s="1"/>
  <c r="G163" i="5"/>
  <c r="F673" i="7" s="1"/>
  <c r="D55" i="10"/>
  <c r="E55" i="10"/>
  <c r="F55" i="10"/>
  <c r="G55" i="10"/>
  <c r="K55" i="10"/>
  <c r="K54" i="10"/>
  <c r="K51" i="10"/>
  <c r="D35" i="10"/>
  <c r="F64" i="2" s="1"/>
  <c r="B218" i="8"/>
  <c r="B278" i="8" s="1"/>
  <c r="B219" i="8"/>
  <c r="B279" i="8" s="1"/>
  <c r="B214" i="8"/>
  <c r="B274" i="8" s="1"/>
  <c r="B215" i="8"/>
  <c r="B275" i="8" s="1"/>
  <c r="B216" i="8"/>
  <c r="B276" i="8" s="1"/>
  <c r="B217" i="8"/>
  <c r="B277" i="8" s="1"/>
  <c r="B213" i="8"/>
  <c r="B273" i="8" s="1"/>
  <c r="H492" i="7" l="1"/>
  <c r="H672" i="7"/>
  <c r="G492" i="7"/>
  <c r="G672" i="7"/>
  <c r="L492" i="7"/>
  <c r="L672" i="7"/>
  <c r="I492" i="7"/>
  <c r="I672" i="7"/>
  <c r="K492" i="7"/>
  <c r="K672" i="7"/>
  <c r="J492" i="7"/>
  <c r="J672" i="7"/>
  <c r="G338" i="7"/>
  <c r="H339" i="7"/>
  <c r="L333" i="7"/>
  <c r="J493" i="7"/>
  <c r="I746" i="7" s="1"/>
  <c r="I767" i="7"/>
  <c r="I340" i="7"/>
  <c r="K337" i="7"/>
  <c r="G335" i="7"/>
  <c r="I332" i="7"/>
  <c r="K494" i="7"/>
  <c r="K329" i="7"/>
  <c r="I493" i="7"/>
  <c r="H746" i="7" s="1"/>
  <c r="K340" i="7"/>
  <c r="K332" i="7"/>
  <c r="J340" i="7"/>
  <c r="G343" i="7"/>
  <c r="K341" i="7"/>
  <c r="G339" i="7"/>
  <c r="I336" i="7"/>
  <c r="K333" i="7"/>
  <c r="G331" i="7"/>
  <c r="L342" i="7"/>
  <c r="J341" i="7"/>
  <c r="H340" i="7"/>
  <c r="L338" i="7"/>
  <c r="J337" i="7"/>
  <c r="H336" i="7"/>
  <c r="L334" i="7"/>
  <c r="J333" i="7"/>
  <c r="H332" i="7"/>
  <c r="L495" i="7"/>
  <c r="K747" i="7" s="1"/>
  <c r="L330" i="7"/>
  <c r="K726" i="7" s="1"/>
  <c r="J494" i="7"/>
  <c r="J329" i="7"/>
  <c r="H493" i="7"/>
  <c r="G746" i="7" s="1"/>
  <c r="G342" i="7"/>
  <c r="I335" i="7"/>
  <c r="K493" i="7"/>
  <c r="J746" i="7" s="1"/>
  <c r="J767" i="7"/>
  <c r="K342" i="7"/>
  <c r="I341" i="7"/>
  <c r="G340" i="7"/>
  <c r="K338" i="7"/>
  <c r="I337" i="7"/>
  <c r="G336" i="7"/>
  <c r="K334" i="7"/>
  <c r="I333" i="7"/>
  <c r="G332" i="7"/>
  <c r="K495" i="7"/>
  <c r="J747" i="7" s="1"/>
  <c r="K330" i="7"/>
  <c r="J726" i="7" s="1"/>
  <c r="I494" i="7"/>
  <c r="I329" i="7"/>
  <c r="G493" i="7"/>
  <c r="F746" i="7" s="1"/>
  <c r="K336" i="7"/>
  <c r="I331" i="7"/>
  <c r="J336" i="7"/>
  <c r="J332" i="7"/>
  <c r="L343" i="7"/>
  <c r="J342" i="7"/>
  <c r="H341" i="7"/>
  <c r="L339" i="7"/>
  <c r="J338" i="7"/>
  <c r="H337" i="7"/>
  <c r="L335" i="7"/>
  <c r="J334" i="7"/>
  <c r="H333" i="7"/>
  <c r="L331" i="7"/>
  <c r="J495" i="7"/>
  <c r="I747" i="7" s="1"/>
  <c r="I768" i="7"/>
  <c r="J330" i="7"/>
  <c r="I726" i="7" s="1"/>
  <c r="H494" i="7"/>
  <c r="H329" i="7"/>
  <c r="I339" i="7"/>
  <c r="G330" i="7"/>
  <c r="F726" i="7" s="1"/>
  <c r="H343" i="7"/>
  <c r="L337" i="7"/>
  <c r="H331" i="7"/>
  <c r="I342" i="7"/>
  <c r="K339" i="7"/>
  <c r="K335" i="7"/>
  <c r="K331" i="7"/>
  <c r="I343" i="7"/>
  <c r="G334" i="7"/>
  <c r="L341" i="7"/>
  <c r="H335" i="7"/>
  <c r="L494" i="7"/>
  <c r="L329" i="7"/>
  <c r="K343" i="7"/>
  <c r="G341" i="7"/>
  <c r="I338" i="7"/>
  <c r="G337" i="7"/>
  <c r="I334" i="7"/>
  <c r="G333" i="7"/>
  <c r="I495" i="7"/>
  <c r="H747" i="7" s="1"/>
  <c r="I330" i="7"/>
  <c r="H726" i="7" s="1"/>
  <c r="G329" i="7"/>
  <c r="J343" i="7"/>
  <c r="H342" i="7"/>
  <c r="L340" i="7"/>
  <c r="J339" i="7"/>
  <c r="H338" i="7"/>
  <c r="L336" i="7"/>
  <c r="J335" i="7"/>
  <c r="H334" i="7"/>
  <c r="L332" i="7"/>
  <c r="J331" i="7"/>
  <c r="H495" i="7"/>
  <c r="G747" i="7" s="1"/>
  <c r="H330" i="7"/>
  <c r="G726" i="7" s="1"/>
  <c r="G768" i="7"/>
  <c r="L493" i="7"/>
  <c r="K746" i="7" s="1"/>
  <c r="I360" i="3"/>
  <c r="G360" i="3"/>
  <c r="K40" i="7"/>
  <c r="J40" i="7"/>
  <c r="I40" i="7"/>
  <c r="K37" i="7"/>
  <c r="G40" i="7"/>
  <c r="I37" i="7"/>
  <c r="H37" i="7"/>
  <c r="G37" i="7"/>
  <c r="I548" i="7"/>
  <c r="I203" i="7"/>
  <c r="I368" i="7"/>
  <c r="J368" i="7"/>
  <c r="J203" i="7"/>
  <c r="J548" i="7"/>
  <c r="K548" i="7"/>
  <c r="K203" i="7"/>
  <c r="K368" i="7"/>
  <c r="E360" i="3"/>
  <c r="G18" i="5"/>
  <c r="E350" i="3"/>
  <c r="H548" i="7"/>
  <c r="H368" i="7"/>
  <c r="H203" i="7"/>
  <c r="G203" i="7"/>
  <c r="G368" i="7"/>
  <c r="G548" i="7"/>
  <c r="J360" i="3"/>
  <c r="F360" i="3"/>
  <c r="K360" i="3"/>
  <c r="G28" i="5"/>
  <c r="H360" i="3"/>
  <c r="F376" i="3"/>
  <c r="E376" i="3"/>
  <c r="K372" i="3"/>
  <c r="I373" i="3"/>
  <c r="G376" i="3"/>
  <c r="K379" i="3"/>
  <c r="J376" i="3"/>
  <c r="H373" i="3"/>
  <c r="J379" i="3"/>
  <c r="J373" i="3"/>
  <c r="H376" i="3"/>
  <c r="E377" i="3"/>
  <c r="K373" i="3"/>
  <c r="I376" i="3"/>
  <c r="F379" i="3"/>
  <c r="E373" i="3"/>
  <c r="G372" i="3"/>
  <c r="G379" i="3"/>
  <c r="H372" i="3"/>
  <c r="F373" i="3"/>
  <c r="H379" i="3"/>
  <c r="E379" i="3"/>
  <c r="I372" i="3"/>
  <c r="G373" i="3"/>
  <c r="I379" i="3"/>
  <c r="K376" i="3"/>
  <c r="J232" i="8"/>
  <c r="I232" i="8"/>
  <c r="D232" i="8"/>
  <c r="H232" i="8"/>
  <c r="G232" i="8"/>
  <c r="F232" i="8"/>
  <c r="E232" i="8"/>
  <c r="F372" i="3"/>
  <c r="J372" i="3"/>
  <c r="E372" i="3"/>
  <c r="E371" i="3"/>
  <c r="N66" i="5"/>
  <c r="O66" i="5" s="1"/>
  <c r="P66" i="5" s="1"/>
  <c r="N159" i="5"/>
  <c r="N143" i="5"/>
  <c r="M653" i="7" s="1"/>
  <c r="N125" i="5"/>
  <c r="N93" i="5"/>
  <c r="N78" i="5"/>
  <c r="O78" i="5" s="1"/>
  <c r="N103" i="5"/>
  <c r="N151" i="5"/>
  <c r="M661" i="7" s="1"/>
  <c r="N133" i="5"/>
  <c r="O133" i="5" s="1"/>
  <c r="N115" i="5"/>
  <c r="O115" i="5" s="1"/>
  <c r="N158" i="5"/>
  <c r="M668" i="7" s="1"/>
  <c r="N150" i="5"/>
  <c r="O150" i="5" s="1"/>
  <c r="N142" i="5"/>
  <c r="O142" i="5" s="1"/>
  <c r="N132" i="5"/>
  <c r="O132" i="5" s="1"/>
  <c r="N124" i="5"/>
  <c r="O124" i="5" s="1"/>
  <c r="P124" i="5" s="1"/>
  <c r="N114" i="5"/>
  <c r="N91" i="5"/>
  <c r="O91" i="5" s="1"/>
  <c r="N77" i="5"/>
  <c r="N67" i="5"/>
  <c r="N176" i="5"/>
  <c r="M686" i="7" s="1"/>
  <c r="N172" i="5"/>
  <c r="M682" i="7" s="1"/>
  <c r="N168" i="5"/>
  <c r="M678" i="7" s="1"/>
  <c r="G494" i="7"/>
  <c r="N164" i="5"/>
  <c r="M674" i="7" s="1"/>
  <c r="N149" i="5"/>
  <c r="N157" i="5"/>
  <c r="M667" i="7" s="1"/>
  <c r="N156" i="5"/>
  <c r="N148" i="5"/>
  <c r="N140" i="5"/>
  <c r="O140" i="5" s="1"/>
  <c r="N130" i="5"/>
  <c r="N122" i="5"/>
  <c r="O122" i="5" s="1"/>
  <c r="N102" i="5"/>
  <c r="M612" i="7" s="1"/>
  <c r="N87" i="5"/>
  <c r="O87" i="5" s="1"/>
  <c r="P87" i="5" s="1"/>
  <c r="N75" i="5"/>
  <c r="O75" i="5" s="1"/>
  <c r="N58" i="5"/>
  <c r="N177" i="5"/>
  <c r="M687" i="7" s="1"/>
  <c r="N173" i="5"/>
  <c r="M683" i="7" s="1"/>
  <c r="N169" i="5"/>
  <c r="M679" i="7" s="1"/>
  <c r="G495" i="7"/>
  <c r="F747" i="7" s="1"/>
  <c r="N165" i="5"/>
  <c r="M675" i="7" s="1"/>
  <c r="N141" i="5"/>
  <c r="O141" i="5" s="1"/>
  <c r="N76" i="5"/>
  <c r="O76" i="5" s="1"/>
  <c r="P76" i="5" s="1"/>
  <c r="F493" i="7"/>
  <c r="E746" i="7" s="1"/>
  <c r="N163" i="5"/>
  <c r="M673" i="7" s="1"/>
  <c r="N155" i="5"/>
  <c r="M665" i="7" s="1"/>
  <c r="N147" i="5"/>
  <c r="O147" i="5" s="1"/>
  <c r="N139" i="5"/>
  <c r="N129" i="5"/>
  <c r="O129" i="5" s="1"/>
  <c r="N121" i="5"/>
  <c r="O121" i="5" s="1"/>
  <c r="N101" i="5"/>
  <c r="O101" i="5" s="1"/>
  <c r="P101" i="5" s="1"/>
  <c r="N86" i="5"/>
  <c r="O86" i="5" s="1"/>
  <c r="N74" i="5"/>
  <c r="O74" i="5" s="1"/>
  <c r="N57" i="5"/>
  <c r="N131" i="5"/>
  <c r="O131" i="5" s="1"/>
  <c r="N162" i="5"/>
  <c r="N154" i="5"/>
  <c r="M664" i="7" s="1"/>
  <c r="N146" i="5"/>
  <c r="N138" i="5"/>
  <c r="N128" i="5"/>
  <c r="O128" i="5" s="1"/>
  <c r="N120" i="5"/>
  <c r="O120" i="5" s="1"/>
  <c r="N100" i="5"/>
  <c r="N83" i="5"/>
  <c r="N73" i="5"/>
  <c r="O73" i="5" s="1"/>
  <c r="N56" i="5"/>
  <c r="O56" i="5" s="1"/>
  <c r="P56" i="5" s="1"/>
  <c r="N178" i="5"/>
  <c r="M688" i="7" s="1"/>
  <c r="N174" i="5"/>
  <c r="M684" i="7" s="1"/>
  <c r="N170" i="5"/>
  <c r="M680" i="7" s="1"/>
  <c r="N166" i="5"/>
  <c r="M676" i="7" s="1"/>
  <c r="N88" i="5"/>
  <c r="O88" i="5" s="1"/>
  <c r="N161" i="5"/>
  <c r="M671" i="7" s="1"/>
  <c r="N153" i="5"/>
  <c r="M663" i="7" s="1"/>
  <c r="N145" i="5"/>
  <c r="O145" i="5" s="1"/>
  <c r="N137" i="5"/>
  <c r="O137" i="5" s="1"/>
  <c r="P137" i="5" s="1"/>
  <c r="N127" i="5"/>
  <c r="N119" i="5"/>
  <c r="O119" i="5" s="1"/>
  <c r="N95" i="5"/>
  <c r="N80" i="5"/>
  <c r="N72" i="5"/>
  <c r="N55" i="5"/>
  <c r="N123" i="5"/>
  <c r="O123" i="5" s="1"/>
  <c r="P123" i="5" s="1"/>
  <c r="N160" i="5"/>
  <c r="M670" i="7" s="1"/>
  <c r="N152" i="5"/>
  <c r="M662" i="7" s="1"/>
  <c r="N144" i="5"/>
  <c r="O144" i="5" s="1"/>
  <c r="N136" i="5"/>
  <c r="O136" i="5" s="1"/>
  <c r="N126" i="5"/>
  <c r="O126" i="5" s="1"/>
  <c r="N116" i="5"/>
  <c r="N94" i="5"/>
  <c r="O94" i="5" s="1"/>
  <c r="N79" i="5"/>
  <c r="O79" i="5" s="1"/>
  <c r="N54" i="5"/>
  <c r="O54" i="5" s="1"/>
  <c r="P54" i="5" s="1"/>
  <c r="N175" i="5"/>
  <c r="M685" i="7" s="1"/>
  <c r="N171" i="5"/>
  <c r="M681" i="7" s="1"/>
  <c r="N167" i="5"/>
  <c r="M677" i="7" s="1"/>
  <c r="V372" i="7"/>
  <c r="V420" i="7"/>
  <c r="V255" i="7"/>
  <c r="V600" i="7"/>
  <c r="Y599" i="7"/>
  <c r="Y419" i="7"/>
  <c r="Y254" i="7"/>
  <c r="J421" i="7"/>
  <c r="K421" i="7"/>
  <c r="I421" i="7"/>
  <c r="H421" i="7"/>
  <c r="G421" i="7"/>
  <c r="F421" i="7"/>
  <c r="L421" i="7"/>
  <c r="X422" i="7"/>
  <c r="W602" i="7"/>
  <c r="W257" i="7"/>
  <c r="D252" i="8"/>
  <c r="I641" i="7"/>
  <c r="I461" i="7"/>
  <c r="L639" i="7"/>
  <c r="L459" i="7"/>
  <c r="H638" i="7"/>
  <c r="H458" i="7"/>
  <c r="K456" i="7"/>
  <c r="K636" i="7"/>
  <c r="G635" i="7"/>
  <c r="G455" i="7"/>
  <c r="I633" i="7"/>
  <c r="I453" i="7"/>
  <c r="L642" i="7"/>
  <c r="L462" i="7"/>
  <c r="H461" i="7"/>
  <c r="H641" i="7"/>
  <c r="K639" i="7"/>
  <c r="K459" i="7"/>
  <c r="G638" i="7"/>
  <c r="G458" i="7"/>
  <c r="I636" i="7"/>
  <c r="I456" i="7"/>
  <c r="L634" i="7"/>
  <c r="L454" i="7"/>
  <c r="H453" i="7"/>
  <c r="H633" i="7"/>
  <c r="W295" i="3"/>
  <c r="W290" i="3"/>
  <c r="K642" i="7"/>
  <c r="K462" i="7"/>
  <c r="G641" i="7"/>
  <c r="G461" i="7"/>
  <c r="I639" i="7"/>
  <c r="I459" i="7"/>
  <c r="L457" i="7"/>
  <c r="L637" i="7"/>
  <c r="H636" i="7"/>
  <c r="H456" i="7"/>
  <c r="K634" i="7"/>
  <c r="K454" i="7"/>
  <c r="G633" i="7"/>
  <c r="G453" i="7"/>
  <c r="I462" i="7"/>
  <c r="I642" i="7"/>
  <c r="L640" i="7"/>
  <c r="L460" i="7"/>
  <c r="H639" i="7"/>
  <c r="H459" i="7"/>
  <c r="K637" i="7"/>
  <c r="K457" i="7"/>
  <c r="G636" i="7"/>
  <c r="G456" i="7"/>
  <c r="I454" i="7"/>
  <c r="I634" i="7"/>
  <c r="L632" i="7"/>
  <c r="L452" i="7"/>
  <c r="W293" i="3"/>
  <c r="W289" i="3"/>
  <c r="W294" i="3"/>
  <c r="H642" i="7"/>
  <c r="H462" i="7"/>
  <c r="K460" i="7"/>
  <c r="K640" i="7"/>
  <c r="G639" i="7"/>
  <c r="G459" i="7"/>
  <c r="I637" i="7"/>
  <c r="I457" i="7"/>
  <c r="L635" i="7"/>
  <c r="L455" i="7"/>
  <c r="H634" i="7"/>
  <c r="H454" i="7"/>
  <c r="K452" i="7"/>
  <c r="K632" i="7"/>
  <c r="G642" i="7"/>
  <c r="G462" i="7"/>
  <c r="I640" i="7"/>
  <c r="I460" i="7"/>
  <c r="L638" i="7"/>
  <c r="L458" i="7"/>
  <c r="H457" i="7"/>
  <c r="H637" i="7"/>
  <c r="K635" i="7"/>
  <c r="K455" i="7"/>
  <c r="G634" i="7"/>
  <c r="G454" i="7"/>
  <c r="I632" i="7"/>
  <c r="I452" i="7"/>
  <c r="W288" i="3"/>
  <c r="W296" i="3"/>
  <c r="L461" i="7"/>
  <c r="L641" i="7"/>
  <c r="H640" i="7"/>
  <c r="H460" i="7"/>
  <c r="K638" i="7"/>
  <c r="K458" i="7"/>
  <c r="G637" i="7"/>
  <c r="G457" i="7"/>
  <c r="I635" i="7"/>
  <c r="I455" i="7"/>
  <c r="L453" i="7"/>
  <c r="L633" i="7"/>
  <c r="H632" i="7"/>
  <c r="H452" i="7"/>
  <c r="K641" i="7"/>
  <c r="K461" i="7"/>
  <c r="G460" i="7"/>
  <c r="G640" i="7"/>
  <c r="I458" i="7"/>
  <c r="I638" i="7"/>
  <c r="L636" i="7"/>
  <c r="L456" i="7"/>
  <c r="H635" i="7"/>
  <c r="H455" i="7"/>
  <c r="K633" i="7"/>
  <c r="K453" i="7"/>
  <c r="G632" i="7"/>
  <c r="G452" i="7"/>
  <c r="W297" i="3"/>
  <c r="W291" i="3"/>
  <c r="W292" i="3"/>
  <c r="W256" i="3"/>
  <c r="W91" i="3"/>
  <c r="W236" i="3"/>
  <c r="H252" i="8"/>
  <c r="W328" i="3"/>
  <c r="V380" i="3" s="1"/>
  <c r="E252" i="8"/>
  <c r="W86" i="3"/>
  <c r="W235" i="3"/>
  <c r="W231" i="3"/>
  <c r="F252" i="8"/>
  <c r="W331" i="3"/>
  <c r="W203" i="3"/>
  <c r="G252" i="8"/>
  <c r="W253" i="3"/>
  <c r="W88" i="3"/>
  <c r="W327" i="3"/>
  <c r="W232" i="3"/>
  <c r="W205" i="3"/>
  <c r="W332" i="3"/>
  <c r="J252" i="8"/>
  <c r="W94" i="3"/>
  <c r="W329" i="3"/>
  <c r="I252" i="8"/>
  <c r="W325" i="3"/>
  <c r="W87" i="3"/>
  <c r="W330" i="3"/>
  <c r="V381" i="3" s="1"/>
  <c r="W93" i="3"/>
  <c r="W258" i="3"/>
  <c r="W326" i="3"/>
  <c r="W367" i="7"/>
  <c r="W547" i="7"/>
  <c r="W202" i="7"/>
  <c r="V373" i="7"/>
  <c r="V546" i="7"/>
  <c r="V201" i="7"/>
  <c r="X551" i="7"/>
  <c r="X371" i="7"/>
  <c r="X206" i="7"/>
  <c r="V370" i="7"/>
  <c r="V550" i="7"/>
  <c r="V205" i="7"/>
  <c r="X207" i="3"/>
  <c r="W42" i="3"/>
  <c r="Q25" i="4"/>
  <c r="T22" i="4"/>
  <c r="Q24" i="4"/>
  <c r="T21" i="4"/>
  <c r="Q23" i="4"/>
  <c r="T20" i="4"/>
  <c r="Q22" i="4"/>
  <c r="T25" i="4"/>
  <c r="S94" i="14"/>
  <c r="T121" i="14"/>
  <c r="U129" i="14"/>
  <c r="T95" i="14"/>
  <c r="U132" i="14"/>
  <c r="T96" i="14"/>
  <c r="H349" i="7"/>
  <c r="G349" i="7"/>
  <c r="F349" i="7"/>
  <c r="L349" i="7"/>
  <c r="K349" i="7"/>
  <c r="J349" i="7"/>
  <c r="I349" i="7"/>
  <c r="N147" i="3"/>
  <c r="I279" i="8"/>
  <c r="N323" i="3"/>
  <c r="E279" i="8"/>
  <c r="H276" i="8"/>
  <c r="H275" i="8"/>
  <c r="D275" i="8"/>
  <c r="F276" i="8"/>
  <c r="F275" i="8"/>
  <c r="H279" i="8"/>
  <c r="G279" i="8"/>
  <c r="J276" i="8"/>
  <c r="J275" i="8"/>
  <c r="F279" i="8"/>
  <c r="I276" i="8"/>
  <c r="I275" i="8"/>
  <c r="D276" i="8"/>
  <c r="G276" i="8"/>
  <c r="G275" i="8"/>
  <c r="E276" i="8"/>
  <c r="E275" i="8"/>
  <c r="H219" i="8"/>
  <c r="N339" i="3"/>
  <c r="N166" i="3"/>
  <c r="M165" i="3"/>
  <c r="M173" i="3"/>
  <c r="M366" i="7"/>
  <c r="F352" i="7"/>
  <c r="M352" i="7"/>
  <c r="M351" i="7"/>
  <c r="N335" i="3"/>
  <c r="N318" i="3"/>
  <c r="N341" i="3"/>
  <c r="D219" i="8"/>
  <c r="G215" i="8"/>
  <c r="N155" i="3"/>
  <c r="N129" i="3"/>
  <c r="F218" i="8"/>
  <c r="I218" i="8"/>
  <c r="G218" i="8"/>
  <c r="I216" i="8"/>
  <c r="D218" i="8"/>
  <c r="F219" i="8"/>
  <c r="F216" i="8"/>
  <c r="J215" i="8"/>
  <c r="E215" i="8"/>
  <c r="G219" i="8"/>
  <c r="E218" i="8"/>
  <c r="E216" i="8"/>
  <c r="M157" i="3"/>
  <c r="H218" i="8"/>
  <c r="N192" i="3"/>
  <c r="H215" i="8"/>
  <c r="F215" i="8"/>
  <c r="I219" i="8"/>
  <c r="J218" i="8"/>
  <c r="G216" i="8"/>
  <c r="F176" i="7"/>
  <c r="F506" i="7"/>
  <c r="F168" i="7"/>
  <c r="F498" i="7"/>
  <c r="F160" i="7"/>
  <c r="F490" i="7"/>
  <c r="F325" i="7"/>
  <c r="F153" i="7"/>
  <c r="F483" i="7"/>
  <c r="F318" i="7"/>
  <c r="F655" i="7"/>
  <c r="F475" i="7"/>
  <c r="F310" i="7"/>
  <c r="F647" i="7"/>
  <c r="F467" i="7"/>
  <c r="F302" i="7"/>
  <c r="F641" i="7"/>
  <c r="F461" i="7"/>
  <c r="F296" i="7"/>
  <c r="F633" i="7"/>
  <c r="F453" i="7"/>
  <c r="F288" i="7"/>
  <c r="F625" i="7"/>
  <c r="F445" i="7"/>
  <c r="F280" i="7"/>
  <c r="N199" i="3"/>
  <c r="N210" i="3"/>
  <c r="F373" i="7"/>
  <c r="F208" i="7"/>
  <c r="F351" i="7"/>
  <c r="G508" i="7"/>
  <c r="G178" i="7"/>
  <c r="K506" i="7"/>
  <c r="K176" i="7"/>
  <c r="I505" i="7"/>
  <c r="I175" i="7"/>
  <c r="G504" i="7"/>
  <c r="G174" i="7"/>
  <c r="K502" i="7"/>
  <c r="K172" i="7"/>
  <c r="I501" i="7"/>
  <c r="I171" i="7"/>
  <c r="G500" i="7"/>
  <c r="G170" i="7"/>
  <c r="K498" i="7"/>
  <c r="K168" i="7"/>
  <c r="I497" i="7"/>
  <c r="I167" i="7"/>
  <c r="G496" i="7"/>
  <c r="G166" i="7"/>
  <c r="H767" i="7"/>
  <c r="I328" i="7"/>
  <c r="H725" i="7" s="1"/>
  <c r="G327" i="7"/>
  <c r="G162" i="7"/>
  <c r="K490" i="7"/>
  <c r="K325" i="7"/>
  <c r="K160" i="7"/>
  <c r="I489" i="7"/>
  <c r="I324" i="7"/>
  <c r="I159" i="7"/>
  <c r="G488" i="7"/>
  <c r="G323" i="7"/>
  <c r="K486" i="7"/>
  <c r="K321" i="7"/>
  <c r="K156" i="7"/>
  <c r="I485" i="7"/>
  <c r="I320" i="7"/>
  <c r="I155" i="7"/>
  <c r="G484" i="7"/>
  <c r="G319" i="7"/>
  <c r="G154" i="7"/>
  <c r="K483" i="7"/>
  <c r="K318" i="7"/>
  <c r="K153" i="7"/>
  <c r="I482" i="7"/>
  <c r="I317" i="7"/>
  <c r="I152" i="7"/>
  <c r="G661" i="7"/>
  <c r="G481" i="7"/>
  <c r="G316" i="7"/>
  <c r="G151" i="7"/>
  <c r="K659" i="7"/>
  <c r="K479" i="7"/>
  <c r="K314" i="7"/>
  <c r="K149" i="7"/>
  <c r="I658" i="7"/>
  <c r="I478" i="7"/>
  <c r="I313" i="7"/>
  <c r="G657" i="7"/>
  <c r="G477" i="7"/>
  <c r="G312" i="7"/>
  <c r="K655" i="7"/>
  <c r="K475" i="7"/>
  <c r="K310" i="7"/>
  <c r="I654" i="7"/>
  <c r="I474" i="7"/>
  <c r="I309" i="7"/>
  <c r="I144" i="7"/>
  <c r="G653" i="7"/>
  <c r="G473" i="7"/>
  <c r="G308" i="7"/>
  <c r="G143" i="7"/>
  <c r="K651" i="7"/>
  <c r="K471" i="7"/>
  <c r="K306" i="7"/>
  <c r="I650" i="7"/>
  <c r="I470" i="7"/>
  <c r="I305" i="7"/>
  <c r="G649" i="7"/>
  <c r="G469" i="7"/>
  <c r="G304" i="7"/>
  <c r="K647" i="7"/>
  <c r="K467" i="7"/>
  <c r="K302" i="7"/>
  <c r="I646" i="7"/>
  <c r="I466" i="7"/>
  <c r="I301" i="7"/>
  <c r="G643" i="7"/>
  <c r="G463" i="7"/>
  <c r="G298" i="7"/>
  <c r="K296" i="7"/>
  <c r="I295" i="7"/>
  <c r="G294" i="7"/>
  <c r="G129" i="7"/>
  <c r="K292" i="7"/>
  <c r="I291" i="7"/>
  <c r="G290" i="7"/>
  <c r="K288" i="7"/>
  <c r="I287" i="7"/>
  <c r="G631" i="7"/>
  <c r="G451" i="7"/>
  <c r="G286" i="7"/>
  <c r="K629" i="7"/>
  <c r="K449" i="7"/>
  <c r="K284" i="7"/>
  <c r="K625" i="7"/>
  <c r="K445" i="7"/>
  <c r="K280" i="7"/>
  <c r="I624" i="7"/>
  <c r="I444" i="7"/>
  <c r="I279" i="7"/>
  <c r="O244" i="3"/>
  <c r="L186" i="8"/>
  <c r="N237" i="3"/>
  <c r="O197" i="3"/>
  <c r="N259" i="3"/>
  <c r="F542" i="7"/>
  <c r="F362" i="7"/>
  <c r="F197" i="7"/>
  <c r="F589" i="7"/>
  <c r="F409" i="7"/>
  <c r="F244" i="7"/>
  <c r="O280" i="3"/>
  <c r="N130" i="3"/>
  <c r="F501" i="7"/>
  <c r="F171" i="7"/>
  <c r="E767" i="7"/>
  <c r="F328" i="7"/>
  <c r="E725" i="7" s="1"/>
  <c r="F485" i="7"/>
  <c r="F155" i="7"/>
  <c r="F320" i="7"/>
  <c r="F658" i="7"/>
  <c r="F478" i="7"/>
  <c r="F313" i="7"/>
  <c r="F650" i="7"/>
  <c r="F470" i="7"/>
  <c r="F305" i="7"/>
  <c r="F636" i="7"/>
  <c r="F456" i="7"/>
  <c r="F291" i="7"/>
  <c r="F611" i="7"/>
  <c r="F431" i="7"/>
  <c r="F266" i="7"/>
  <c r="F603" i="7"/>
  <c r="F423" i="7"/>
  <c r="F258" i="7"/>
  <c r="F584" i="7"/>
  <c r="F74" i="7"/>
  <c r="F404" i="7"/>
  <c r="F239" i="7"/>
  <c r="F566" i="7"/>
  <c r="F386" i="7"/>
  <c r="F221" i="7"/>
  <c r="J508" i="7"/>
  <c r="J178" i="7"/>
  <c r="H507" i="7"/>
  <c r="H177" i="7"/>
  <c r="L505" i="7"/>
  <c r="L175" i="7"/>
  <c r="J504" i="7"/>
  <c r="J174" i="7"/>
  <c r="H503" i="7"/>
  <c r="H173" i="7"/>
  <c r="L501" i="7"/>
  <c r="L171" i="7"/>
  <c r="J500" i="7"/>
  <c r="J170" i="7"/>
  <c r="H499" i="7"/>
  <c r="H169" i="7"/>
  <c r="L497" i="7"/>
  <c r="L167" i="7"/>
  <c r="J496" i="7"/>
  <c r="J166" i="7"/>
  <c r="K767" i="7"/>
  <c r="L328" i="7"/>
  <c r="K725" i="7" s="1"/>
  <c r="J327" i="7"/>
  <c r="J162" i="7"/>
  <c r="H491" i="7"/>
  <c r="H326" i="7"/>
  <c r="H161" i="7"/>
  <c r="L489" i="7"/>
  <c r="L324" i="7"/>
  <c r="L159" i="7"/>
  <c r="J488" i="7"/>
  <c r="J323" i="7"/>
  <c r="H487" i="7"/>
  <c r="H322" i="7"/>
  <c r="L485" i="7"/>
  <c r="L320" i="7"/>
  <c r="L155" i="7"/>
  <c r="J484" i="7"/>
  <c r="J319" i="7"/>
  <c r="J154" i="7"/>
  <c r="L482" i="7"/>
  <c r="L317" i="7"/>
  <c r="L152" i="7"/>
  <c r="J661" i="7"/>
  <c r="J481" i="7"/>
  <c r="J316" i="7"/>
  <c r="J151" i="7"/>
  <c r="H660" i="7"/>
  <c r="H480" i="7"/>
  <c r="H315" i="7"/>
  <c r="H150" i="7"/>
  <c r="L658" i="7"/>
  <c r="L478" i="7"/>
  <c r="L313" i="7"/>
  <c r="J657" i="7"/>
  <c r="J477" i="7"/>
  <c r="J312" i="7"/>
  <c r="H656" i="7"/>
  <c r="H476" i="7"/>
  <c r="H311" i="7"/>
  <c r="L654" i="7"/>
  <c r="L474" i="7"/>
  <c r="L309" i="7"/>
  <c r="L144" i="7"/>
  <c r="J653" i="7"/>
  <c r="J473" i="7"/>
  <c r="J308" i="7"/>
  <c r="J143" i="7"/>
  <c r="H652" i="7"/>
  <c r="H307" i="7"/>
  <c r="H472" i="7"/>
  <c r="L650" i="7"/>
  <c r="L470" i="7"/>
  <c r="L305" i="7"/>
  <c r="J649" i="7"/>
  <c r="J469" i="7"/>
  <c r="J304" i="7"/>
  <c r="H648" i="7"/>
  <c r="H468" i="7"/>
  <c r="H303" i="7"/>
  <c r="L646" i="7"/>
  <c r="L466" i="7"/>
  <c r="L301" i="7"/>
  <c r="J643" i="7"/>
  <c r="J463" i="7"/>
  <c r="J298" i="7"/>
  <c r="H297" i="7"/>
  <c r="L295" i="7"/>
  <c r="J294" i="7"/>
  <c r="J129" i="7"/>
  <c r="H293" i="7"/>
  <c r="L291" i="7"/>
  <c r="J290" i="7"/>
  <c r="H289" i="7"/>
  <c r="L287" i="7"/>
  <c r="J631" i="7"/>
  <c r="J451" i="7"/>
  <c r="J286" i="7"/>
  <c r="H626" i="7"/>
  <c r="H446" i="7"/>
  <c r="H281" i="7"/>
  <c r="L624" i="7"/>
  <c r="L444" i="7"/>
  <c r="L279" i="7"/>
  <c r="K613" i="7"/>
  <c r="K433" i="7"/>
  <c r="K268" i="7"/>
  <c r="I612" i="7"/>
  <c r="I432" i="7"/>
  <c r="I267" i="7"/>
  <c r="G611" i="7"/>
  <c r="G431" i="7"/>
  <c r="G266" i="7"/>
  <c r="K609" i="7"/>
  <c r="K429" i="7"/>
  <c r="K264" i="7"/>
  <c r="I608" i="7"/>
  <c r="I428" i="7"/>
  <c r="I263" i="7"/>
  <c r="K605" i="7"/>
  <c r="K425" i="7"/>
  <c r="K260" i="7"/>
  <c r="I604" i="7"/>
  <c r="I424" i="7"/>
  <c r="I259" i="7"/>
  <c r="G603" i="7"/>
  <c r="G423" i="7"/>
  <c r="G258" i="7"/>
  <c r="K598" i="7"/>
  <c r="K418" i="7"/>
  <c r="K253" i="7"/>
  <c r="I593" i="7"/>
  <c r="I413" i="7"/>
  <c r="I248" i="7"/>
  <c r="K590" i="7"/>
  <c r="K410" i="7"/>
  <c r="K245" i="7"/>
  <c r="I589" i="7"/>
  <c r="I409" i="7"/>
  <c r="I244" i="7"/>
  <c r="G588" i="7"/>
  <c r="G408" i="7"/>
  <c r="G243" i="7"/>
  <c r="K586" i="7"/>
  <c r="K406" i="7"/>
  <c r="K241" i="7"/>
  <c r="I585" i="7"/>
  <c r="I405" i="7"/>
  <c r="I240" i="7"/>
  <c r="G584" i="7"/>
  <c r="G404" i="7"/>
  <c r="G239" i="7"/>
  <c r="G74" i="7"/>
  <c r="K582" i="7"/>
  <c r="K402" i="7"/>
  <c r="K237" i="7"/>
  <c r="K568" i="7"/>
  <c r="K388" i="7"/>
  <c r="K223" i="7"/>
  <c r="I567" i="7"/>
  <c r="I387" i="7"/>
  <c r="I222" i="7"/>
  <c r="G566" i="7"/>
  <c r="G386" i="7"/>
  <c r="G221" i="7"/>
  <c r="K564" i="7"/>
  <c r="K384" i="7"/>
  <c r="K219" i="7"/>
  <c r="L555" i="7"/>
  <c r="L375" i="7"/>
  <c r="L210" i="7"/>
  <c r="J554" i="7"/>
  <c r="J374" i="7"/>
  <c r="J209" i="7"/>
  <c r="H553" i="7"/>
  <c r="H208" i="7"/>
  <c r="H366" i="7"/>
  <c r="L544" i="7"/>
  <c r="L364" i="7"/>
  <c r="L199" i="7"/>
  <c r="J543" i="7"/>
  <c r="J363" i="7"/>
  <c r="J198" i="7"/>
  <c r="H542" i="7"/>
  <c r="H362" i="7"/>
  <c r="H197" i="7"/>
  <c r="L541" i="7"/>
  <c r="L361" i="7"/>
  <c r="L196" i="7"/>
  <c r="L539" i="7"/>
  <c r="L359" i="7"/>
  <c r="L194" i="7"/>
  <c r="N304" i="3"/>
  <c r="N139" i="3"/>
  <c r="N131" i="3"/>
  <c r="N278" i="3"/>
  <c r="O270" i="3"/>
  <c r="L202" i="8"/>
  <c r="L262" i="8"/>
  <c r="L187" i="8"/>
  <c r="N238" i="3"/>
  <c r="N73" i="3"/>
  <c r="L247" i="8" s="1"/>
  <c r="L170" i="8"/>
  <c r="N216" i="3"/>
  <c r="N35" i="3"/>
  <c r="N200" i="3"/>
  <c r="L207" i="8"/>
  <c r="N265" i="3"/>
  <c r="N34" i="3"/>
  <c r="K169" i="8"/>
  <c r="M215" i="3"/>
  <c r="K176" i="8"/>
  <c r="M224" i="3"/>
  <c r="K184" i="8"/>
  <c r="K190" i="8"/>
  <c r="M242" i="3"/>
  <c r="M77" i="3"/>
  <c r="K250" i="8" s="1"/>
  <c r="K204" i="8"/>
  <c r="M261" i="3"/>
  <c r="M269" i="3"/>
  <c r="M277" i="3"/>
  <c r="M285" i="3"/>
  <c r="M120" i="3"/>
  <c r="M128" i="3"/>
  <c r="M299" i="3"/>
  <c r="N140" i="3"/>
  <c r="M307" i="3"/>
  <c r="M142" i="3"/>
  <c r="N149" i="3"/>
  <c r="M315" i="3"/>
  <c r="M338" i="3"/>
  <c r="M171" i="3"/>
  <c r="M163" i="3"/>
  <c r="M155" i="3"/>
  <c r="F178" i="7"/>
  <c r="F508" i="7"/>
  <c r="F170" i="7"/>
  <c r="F500" i="7"/>
  <c r="F162" i="7"/>
  <c r="F492" i="7"/>
  <c r="F327" i="7"/>
  <c r="F154" i="7"/>
  <c r="F484" i="7"/>
  <c r="F319" i="7"/>
  <c r="F657" i="7"/>
  <c r="F477" i="7"/>
  <c r="F312" i="7"/>
  <c r="F649" i="7"/>
  <c r="F469" i="7"/>
  <c r="F304" i="7"/>
  <c r="F643" i="7"/>
  <c r="F463" i="7"/>
  <c r="F298" i="7"/>
  <c r="F635" i="7"/>
  <c r="F455" i="7"/>
  <c r="F290" i="7"/>
  <c r="F610" i="7"/>
  <c r="F430" i="7"/>
  <c r="F265" i="7"/>
  <c r="F601" i="7"/>
  <c r="F256" i="7"/>
  <c r="F583" i="7"/>
  <c r="F73" i="7"/>
  <c r="F403" i="7"/>
  <c r="F238" i="7"/>
  <c r="F565" i="7"/>
  <c r="F385" i="7"/>
  <c r="F220" i="7"/>
  <c r="F555" i="7"/>
  <c r="F375" i="7"/>
  <c r="F210" i="7"/>
  <c r="F544" i="7"/>
  <c r="F364" i="7"/>
  <c r="F199" i="7"/>
  <c r="F539" i="7"/>
  <c r="F359" i="7"/>
  <c r="F194" i="7"/>
  <c r="I508" i="7"/>
  <c r="I178" i="7"/>
  <c r="G507" i="7"/>
  <c r="G177" i="7"/>
  <c r="K505" i="7"/>
  <c r="K175" i="7"/>
  <c r="I504" i="7"/>
  <c r="I174" i="7"/>
  <c r="G503" i="7"/>
  <c r="G173" i="7"/>
  <c r="K501" i="7"/>
  <c r="K171" i="7"/>
  <c r="I500" i="7"/>
  <c r="I170" i="7"/>
  <c r="G499" i="7"/>
  <c r="G169" i="7"/>
  <c r="K497" i="7"/>
  <c r="K167" i="7"/>
  <c r="I496" i="7"/>
  <c r="I166" i="7"/>
  <c r="F768" i="7"/>
  <c r="K328" i="7"/>
  <c r="J725" i="7" s="1"/>
  <c r="I327" i="7"/>
  <c r="I162" i="7"/>
  <c r="G326" i="7"/>
  <c r="G491" i="7"/>
  <c r="G161" i="7"/>
  <c r="K489" i="7"/>
  <c r="K324" i="7"/>
  <c r="K159" i="7"/>
  <c r="I488" i="7"/>
  <c r="I323" i="7"/>
  <c r="G487" i="7"/>
  <c r="G322" i="7"/>
  <c r="K485" i="7"/>
  <c r="K320" i="7"/>
  <c r="K155" i="7"/>
  <c r="I319" i="7"/>
  <c r="I484" i="7"/>
  <c r="I154" i="7"/>
  <c r="K482" i="7"/>
  <c r="K317" i="7"/>
  <c r="K152" i="7"/>
  <c r="I661" i="7"/>
  <c r="I481" i="7"/>
  <c r="I316" i="7"/>
  <c r="I151" i="7"/>
  <c r="G660" i="7"/>
  <c r="G480" i="7"/>
  <c r="G315" i="7"/>
  <c r="G150" i="7"/>
  <c r="K658" i="7"/>
  <c r="K478" i="7"/>
  <c r="K313" i="7"/>
  <c r="I657" i="7"/>
  <c r="I477" i="7"/>
  <c r="I312" i="7"/>
  <c r="G656" i="7"/>
  <c r="G476" i="7"/>
  <c r="G311" i="7"/>
  <c r="K654" i="7"/>
  <c r="K474" i="7"/>
  <c r="K309" i="7"/>
  <c r="K144" i="7"/>
  <c r="I653" i="7"/>
  <c r="I473" i="7"/>
  <c r="I308" i="7"/>
  <c r="I143" i="7"/>
  <c r="G652" i="7"/>
  <c r="G472" i="7"/>
  <c r="G307" i="7"/>
  <c r="K650" i="7"/>
  <c r="K470" i="7"/>
  <c r="K305" i="7"/>
  <c r="I649" i="7"/>
  <c r="I469" i="7"/>
  <c r="I304" i="7"/>
  <c r="G648" i="7"/>
  <c r="G468" i="7"/>
  <c r="G303" i="7"/>
  <c r="K646" i="7"/>
  <c r="K466" i="7"/>
  <c r="K301" i="7"/>
  <c r="I643" i="7"/>
  <c r="I463" i="7"/>
  <c r="I298" i="7"/>
  <c r="G297" i="7"/>
  <c r="K295" i="7"/>
  <c r="I294" i="7"/>
  <c r="I129" i="7"/>
  <c r="G293" i="7"/>
  <c r="K291" i="7"/>
  <c r="I290" i="7"/>
  <c r="G289" i="7"/>
  <c r="K287" i="7"/>
  <c r="I631" i="7"/>
  <c r="I451" i="7"/>
  <c r="I286" i="7"/>
  <c r="G626" i="7"/>
  <c r="G446" i="7"/>
  <c r="G281" i="7"/>
  <c r="K624" i="7"/>
  <c r="K444" i="7"/>
  <c r="K279" i="7"/>
  <c r="J613" i="7"/>
  <c r="J433" i="7"/>
  <c r="J268" i="7"/>
  <c r="H612" i="7"/>
  <c r="H432" i="7"/>
  <c r="H267" i="7"/>
  <c r="L610" i="7"/>
  <c r="L430" i="7"/>
  <c r="L265" i="7"/>
  <c r="J609" i="7"/>
  <c r="J429" i="7"/>
  <c r="J264" i="7"/>
  <c r="H608" i="7"/>
  <c r="H428" i="7"/>
  <c r="H263" i="7"/>
  <c r="J605" i="7"/>
  <c r="J425" i="7"/>
  <c r="J260" i="7"/>
  <c r="H604" i="7"/>
  <c r="H424" i="7"/>
  <c r="H259" i="7"/>
  <c r="L601" i="7"/>
  <c r="L256" i="7"/>
  <c r="J598" i="7"/>
  <c r="J418" i="7"/>
  <c r="J253" i="7"/>
  <c r="H593" i="7"/>
  <c r="H413" i="7"/>
  <c r="H248" i="7"/>
  <c r="J590" i="7"/>
  <c r="J410" i="7"/>
  <c r="J245" i="7"/>
  <c r="H589" i="7"/>
  <c r="H409" i="7"/>
  <c r="H244" i="7"/>
  <c r="L587" i="7"/>
  <c r="L407" i="7"/>
  <c r="L242" i="7"/>
  <c r="J586" i="7"/>
  <c r="J406" i="7"/>
  <c r="J241" i="7"/>
  <c r="H585" i="7"/>
  <c r="H405" i="7"/>
  <c r="H240" i="7"/>
  <c r="L583" i="7"/>
  <c r="L403" i="7"/>
  <c r="L238" i="7"/>
  <c r="L73" i="7"/>
  <c r="J582" i="7"/>
  <c r="J402" i="7"/>
  <c r="J237" i="7"/>
  <c r="L577" i="7"/>
  <c r="L397" i="7"/>
  <c r="L232" i="7"/>
  <c r="J568" i="7"/>
  <c r="J388" i="7"/>
  <c r="J223" i="7"/>
  <c r="H567" i="7"/>
  <c r="H387" i="7"/>
  <c r="H222" i="7"/>
  <c r="L565" i="7"/>
  <c r="L385" i="7"/>
  <c r="L220" i="7"/>
  <c r="J564" i="7"/>
  <c r="J384" i="7"/>
  <c r="J219" i="7"/>
  <c r="K555" i="7"/>
  <c r="K375" i="7"/>
  <c r="K210" i="7"/>
  <c r="I554" i="7"/>
  <c r="I374" i="7"/>
  <c r="I209" i="7"/>
  <c r="G553" i="7"/>
  <c r="G208" i="7"/>
  <c r="G366" i="7"/>
  <c r="K544" i="7"/>
  <c r="K364" i="7"/>
  <c r="K199" i="7"/>
  <c r="I543" i="7"/>
  <c r="I363" i="7"/>
  <c r="I198" i="7"/>
  <c r="G542" i="7"/>
  <c r="G362" i="7"/>
  <c r="G197" i="7"/>
  <c r="K541" i="7"/>
  <c r="K361" i="7"/>
  <c r="K196" i="7"/>
  <c r="K539" i="7"/>
  <c r="K359" i="7"/>
  <c r="K194" i="7"/>
  <c r="N316" i="3"/>
  <c r="N286" i="3"/>
  <c r="N276" i="3"/>
  <c r="N270" i="3"/>
  <c r="L200" i="8"/>
  <c r="L192" i="8"/>
  <c r="N245" i="3"/>
  <c r="L177" i="8"/>
  <c r="N225" i="3"/>
  <c r="N211" i="3"/>
  <c r="N305" i="3"/>
  <c r="M197" i="3"/>
  <c r="M32" i="3"/>
  <c r="M208" i="3"/>
  <c r="M43" i="3"/>
  <c r="K170" i="8"/>
  <c r="M216" i="3"/>
  <c r="K177" i="8"/>
  <c r="M225" i="3"/>
  <c r="K185" i="8"/>
  <c r="K191" i="8"/>
  <c r="M78" i="3"/>
  <c r="K251" i="8" s="1"/>
  <c r="M243" i="3"/>
  <c r="K198" i="8"/>
  <c r="M251" i="3"/>
  <c r="K205" i="8"/>
  <c r="M262" i="3"/>
  <c r="M270" i="3"/>
  <c r="M278" i="3"/>
  <c r="M286" i="3"/>
  <c r="M129" i="3"/>
  <c r="M300" i="3"/>
  <c r="M308" i="3"/>
  <c r="M143" i="3"/>
  <c r="M316" i="3"/>
  <c r="M151" i="3"/>
  <c r="M29" i="3"/>
  <c r="M176" i="3"/>
  <c r="M168" i="3"/>
  <c r="M160" i="3"/>
  <c r="M153" i="3"/>
  <c r="M132" i="3"/>
  <c r="F177" i="7"/>
  <c r="F507" i="7"/>
  <c r="F169" i="7"/>
  <c r="F499" i="7"/>
  <c r="F161" i="7"/>
  <c r="F491" i="7"/>
  <c r="F326" i="7"/>
  <c r="F656" i="7"/>
  <c r="F476" i="7"/>
  <c r="F311" i="7"/>
  <c r="F648" i="7"/>
  <c r="F468" i="7"/>
  <c r="F303" i="7"/>
  <c r="F642" i="7"/>
  <c r="F462" i="7"/>
  <c r="F297" i="7"/>
  <c r="F634" i="7"/>
  <c r="F454" i="7"/>
  <c r="F289" i="7"/>
  <c r="F626" i="7"/>
  <c r="F446" i="7"/>
  <c r="F281" i="7"/>
  <c r="F598" i="7"/>
  <c r="F418" i="7"/>
  <c r="F253" i="7"/>
  <c r="F590" i="7"/>
  <c r="F410" i="7"/>
  <c r="F245" i="7"/>
  <c r="F582" i="7"/>
  <c r="F402" i="7"/>
  <c r="F237" i="7"/>
  <c r="F564" i="7"/>
  <c r="F384" i="7"/>
  <c r="F219" i="7"/>
  <c r="F554" i="7"/>
  <c r="F374" i="7"/>
  <c r="F209" i="7"/>
  <c r="F543" i="7"/>
  <c r="F363" i="7"/>
  <c r="F198" i="7"/>
  <c r="F358" i="7"/>
  <c r="H508" i="7"/>
  <c r="H178" i="7"/>
  <c r="L506" i="7"/>
  <c r="L176" i="7"/>
  <c r="J505" i="7"/>
  <c r="J175" i="7"/>
  <c r="H504" i="7"/>
  <c r="H174" i="7"/>
  <c r="L502" i="7"/>
  <c r="L172" i="7"/>
  <c r="J501" i="7"/>
  <c r="J171" i="7"/>
  <c r="H500" i="7"/>
  <c r="H170" i="7"/>
  <c r="L498" i="7"/>
  <c r="L168" i="7"/>
  <c r="J497" i="7"/>
  <c r="J167" i="7"/>
  <c r="H496" i="7"/>
  <c r="H166" i="7"/>
  <c r="J328" i="7"/>
  <c r="I725" i="7" s="1"/>
  <c r="H327" i="7"/>
  <c r="H162" i="7"/>
  <c r="L490" i="7"/>
  <c r="L325" i="7"/>
  <c r="L160" i="7"/>
  <c r="J489" i="7"/>
  <c r="J324" i="7"/>
  <c r="J159" i="7"/>
  <c r="H488" i="7"/>
  <c r="H323" i="7"/>
  <c r="L486" i="7"/>
  <c r="L321" i="7"/>
  <c r="L156" i="7"/>
  <c r="J485" i="7"/>
  <c r="J320" i="7"/>
  <c r="J155" i="7"/>
  <c r="H484" i="7"/>
  <c r="H319" i="7"/>
  <c r="H154" i="7"/>
  <c r="L483" i="7"/>
  <c r="L318" i="7"/>
  <c r="L153" i="7"/>
  <c r="J317" i="7"/>
  <c r="J482" i="7"/>
  <c r="J152" i="7"/>
  <c r="H661" i="7"/>
  <c r="H481" i="7"/>
  <c r="H316" i="7"/>
  <c r="H151" i="7"/>
  <c r="L659" i="7"/>
  <c r="L479" i="7"/>
  <c r="L314" i="7"/>
  <c r="L149" i="7"/>
  <c r="J658" i="7"/>
  <c r="J478" i="7"/>
  <c r="J313" i="7"/>
  <c r="H657" i="7"/>
  <c r="H477" i="7"/>
  <c r="H312" i="7"/>
  <c r="L655" i="7"/>
  <c r="L475" i="7"/>
  <c r="L310" i="7"/>
  <c r="J654" i="7"/>
  <c r="J474" i="7"/>
  <c r="J309" i="7"/>
  <c r="J144" i="7"/>
  <c r="H653" i="7"/>
  <c r="H473" i="7"/>
  <c r="H308" i="7"/>
  <c r="H143" i="7"/>
  <c r="L651" i="7"/>
  <c r="L471" i="7"/>
  <c r="L306" i="7"/>
  <c r="J650" i="7"/>
  <c r="J470" i="7"/>
  <c r="J305" i="7"/>
  <c r="H649" i="7"/>
  <c r="H469" i="7"/>
  <c r="H304" i="7"/>
  <c r="L647" i="7"/>
  <c r="L467" i="7"/>
  <c r="L302" i="7"/>
  <c r="J646" i="7"/>
  <c r="J466" i="7"/>
  <c r="J301" i="7"/>
  <c r="H643" i="7"/>
  <c r="H463" i="7"/>
  <c r="H298" i="7"/>
  <c r="L296" i="7"/>
  <c r="J295" i="7"/>
  <c r="H294" i="7"/>
  <c r="H129" i="7"/>
  <c r="L292" i="7"/>
  <c r="J291" i="7"/>
  <c r="H290" i="7"/>
  <c r="L288" i="7"/>
  <c r="J287" i="7"/>
  <c r="H631" i="7"/>
  <c r="H451" i="7"/>
  <c r="H286" i="7"/>
  <c r="L629" i="7"/>
  <c r="L449" i="7"/>
  <c r="L284" i="7"/>
  <c r="L625" i="7"/>
  <c r="L445" i="7"/>
  <c r="L280" i="7"/>
  <c r="J624" i="7"/>
  <c r="J444" i="7"/>
  <c r="J279" i="7"/>
  <c r="I613" i="7"/>
  <c r="I433" i="7"/>
  <c r="I268" i="7"/>
  <c r="G612" i="7"/>
  <c r="G432" i="7"/>
  <c r="G267" i="7"/>
  <c r="K610" i="7"/>
  <c r="K430" i="7"/>
  <c r="K265" i="7"/>
  <c r="I609" i="7"/>
  <c r="I429" i="7"/>
  <c r="I264" i="7"/>
  <c r="G608" i="7"/>
  <c r="G428" i="7"/>
  <c r="G263" i="7"/>
  <c r="I605" i="7"/>
  <c r="I425" i="7"/>
  <c r="I260" i="7"/>
  <c r="G604" i="7"/>
  <c r="G424" i="7"/>
  <c r="G259" i="7"/>
  <c r="K601" i="7"/>
  <c r="K256" i="7"/>
  <c r="I598" i="7"/>
  <c r="I418" i="7"/>
  <c r="I253" i="7"/>
  <c r="G593" i="7"/>
  <c r="G413" i="7"/>
  <c r="G248" i="7"/>
  <c r="I590" i="7"/>
  <c r="I410" i="7"/>
  <c r="I245" i="7"/>
  <c r="G589" i="7"/>
  <c r="G409" i="7"/>
  <c r="G244" i="7"/>
  <c r="K587" i="7"/>
  <c r="K407" i="7"/>
  <c r="K242" i="7"/>
  <c r="I586" i="7"/>
  <c r="I406" i="7"/>
  <c r="I241" i="7"/>
  <c r="G585" i="7"/>
  <c r="G405" i="7"/>
  <c r="G240" i="7"/>
  <c r="K583" i="7"/>
  <c r="K403" i="7"/>
  <c r="K238" i="7"/>
  <c r="K73" i="7"/>
  <c r="I582" i="7"/>
  <c r="I402" i="7"/>
  <c r="I237" i="7"/>
  <c r="K577" i="7"/>
  <c r="K397" i="7"/>
  <c r="K232" i="7"/>
  <c r="I568" i="7"/>
  <c r="I388" i="7"/>
  <c r="I223" i="7"/>
  <c r="G567" i="7"/>
  <c r="G387" i="7"/>
  <c r="G222" i="7"/>
  <c r="K565" i="7"/>
  <c r="K385" i="7"/>
  <c r="K220" i="7"/>
  <c r="I564" i="7"/>
  <c r="I384" i="7"/>
  <c r="I219" i="7"/>
  <c r="J555" i="7"/>
  <c r="J375" i="7"/>
  <c r="J210" i="7"/>
  <c r="H554" i="7"/>
  <c r="H374" i="7"/>
  <c r="H209" i="7"/>
  <c r="J544" i="7"/>
  <c r="J364" i="7"/>
  <c r="J199" i="7"/>
  <c r="H543" i="7"/>
  <c r="H363" i="7"/>
  <c r="H198" i="7"/>
  <c r="J541" i="7"/>
  <c r="J361" i="7"/>
  <c r="J196" i="7"/>
  <c r="J539" i="7"/>
  <c r="J359" i="7"/>
  <c r="J194" i="7"/>
  <c r="N340" i="3"/>
  <c r="N314" i="3"/>
  <c r="N301" i="3"/>
  <c r="N136" i="3"/>
  <c r="N284" i="3"/>
  <c r="N119" i="3"/>
  <c r="N275" i="3"/>
  <c r="N268" i="3"/>
  <c r="N103" i="3"/>
  <c r="L199" i="8"/>
  <c r="N252" i="3"/>
  <c r="N342" i="3"/>
  <c r="N303" i="3"/>
  <c r="N138" i="3"/>
  <c r="L201" i="8"/>
  <c r="M33" i="3"/>
  <c r="M198" i="3"/>
  <c r="M44" i="3"/>
  <c r="M209" i="3"/>
  <c r="K171" i="8"/>
  <c r="M217" i="3"/>
  <c r="M244" i="3"/>
  <c r="M79" i="3"/>
  <c r="K199" i="8"/>
  <c r="M252" i="3"/>
  <c r="M263" i="3"/>
  <c r="M279" i="3"/>
  <c r="M114" i="3"/>
  <c r="M130" i="3"/>
  <c r="M301" i="3"/>
  <c r="M136" i="3"/>
  <c r="K186" i="8"/>
  <c r="M237" i="3"/>
  <c r="M72" i="3"/>
  <c r="K246" i="8" s="1"/>
  <c r="K192" i="8"/>
  <c r="M245" i="3"/>
  <c r="M80" i="3"/>
  <c r="K200" i="8"/>
  <c r="K206" i="8"/>
  <c r="M264" i="3"/>
  <c r="M280" i="3"/>
  <c r="M115" i="3"/>
  <c r="M131" i="3"/>
  <c r="M178" i="3"/>
  <c r="M170" i="3"/>
  <c r="M162" i="3"/>
  <c r="M154" i="3"/>
  <c r="J601" i="7"/>
  <c r="J256" i="7"/>
  <c r="F175" i="7"/>
  <c r="F505" i="7"/>
  <c r="F167" i="7"/>
  <c r="F497" i="7"/>
  <c r="F159" i="7"/>
  <c r="F489" i="7"/>
  <c r="F324" i="7"/>
  <c r="F662" i="7"/>
  <c r="F152" i="7"/>
  <c r="F482" i="7"/>
  <c r="F317" i="7"/>
  <c r="F654" i="7"/>
  <c r="F144" i="7"/>
  <c r="F474" i="7"/>
  <c r="F309" i="7"/>
  <c r="F646" i="7"/>
  <c r="F466" i="7"/>
  <c r="F301" i="7"/>
  <c r="F640" i="7"/>
  <c r="F460" i="7"/>
  <c r="F295" i="7"/>
  <c r="F632" i="7"/>
  <c r="F452" i="7"/>
  <c r="F287" i="7"/>
  <c r="F624" i="7"/>
  <c r="F444" i="7"/>
  <c r="F279" i="7"/>
  <c r="F588" i="7"/>
  <c r="F408" i="7"/>
  <c r="F243" i="7"/>
  <c r="L507" i="7"/>
  <c r="L177" i="7"/>
  <c r="J506" i="7"/>
  <c r="J176" i="7"/>
  <c r="H505" i="7"/>
  <c r="H175" i="7"/>
  <c r="L503" i="7"/>
  <c r="L173" i="7"/>
  <c r="J502" i="7"/>
  <c r="J172" i="7"/>
  <c r="H501" i="7"/>
  <c r="H171" i="7"/>
  <c r="L499" i="7"/>
  <c r="L169" i="7"/>
  <c r="J498" i="7"/>
  <c r="J168" i="7"/>
  <c r="H497" i="7"/>
  <c r="H167" i="7"/>
  <c r="K768" i="7"/>
  <c r="G767" i="7"/>
  <c r="H328" i="7"/>
  <c r="G725" i="7" s="1"/>
  <c r="L326" i="7"/>
  <c r="L491" i="7"/>
  <c r="L161" i="7"/>
  <c r="J325" i="7"/>
  <c r="J490" i="7"/>
  <c r="J160" i="7"/>
  <c r="H489" i="7"/>
  <c r="H324" i="7"/>
  <c r="H159" i="7"/>
  <c r="L322" i="7"/>
  <c r="L487" i="7"/>
  <c r="J486" i="7"/>
  <c r="J321" i="7"/>
  <c r="J156" i="7"/>
  <c r="H485" i="7"/>
  <c r="H320" i="7"/>
  <c r="H155" i="7"/>
  <c r="J483" i="7"/>
  <c r="J318" i="7"/>
  <c r="J153" i="7"/>
  <c r="H482" i="7"/>
  <c r="H317" i="7"/>
  <c r="H152" i="7"/>
  <c r="L660" i="7"/>
  <c r="L480" i="7"/>
  <c r="L315" i="7"/>
  <c r="L150" i="7"/>
  <c r="J659" i="7"/>
  <c r="J479" i="7"/>
  <c r="J314" i="7"/>
  <c r="J149" i="7"/>
  <c r="H658" i="7"/>
  <c r="H478" i="7"/>
  <c r="H313" i="7"/>
  <c r="L656" i="7"/>
  <c r="L476" i="7"/>
  <c r="L311" i="7"/>
  <c r="J655" i="7"/>
  <c r="J475" i="7"/>
  <c r="J310" i="7"/>
  <c r="H654" i="7"/>
  <c r="H474" i="7"/>
  <c r="H309" i="7"/>
  <c r="H144" i="7"/>
  <c r="L652" i="7"/>
  <c r="L472" i="7"/>
  <c r="L307" i="7"/>
  <c r="J651" i="7"/>
  <c r="J471" i="7"/>
  <c r="J306" i="7"/>
  <c r="H650" i="7"/>
  <c r="H470" i="7"/>
  <c r="H305" i="7"/>
  <c r="L648" i="7"/>
  <c r="L303" i="7"/>
  <c r="L468" i="7"/>
  <c r="J647" i="7"/>
  <c r="J467" i="7"/>
  <c r="J302" i="7"/>
  <c r="H646" i="7"/>
  <c r="H466" i="7"/>
  <c r="H301" i="7"/>
  <c r="L297" i="7"/>
  <c r="J296" i="7"/>
  <c r="H295" i="7"/>
  <c r="L293" i="7"/>
  <c r="J292" i="7"/>
  <c r="H291" i="7"/>
  <c r="L289" i="7"/>
  <c r="J288" i="7"/>
  <c r="H287" i="7"/>
  <c r="J629" i="7"/>
  <c r="J449" i="7"/>
  <c r="J284" i="7"/>
  <c r="L626" i="7"/>
  <c r="L446" i="7"/>
  <c r="L281" i="7"/>
  <c r="J625" i="7"/>
  <c r="J445" i="7"/>
  <c r="J280" i="7"/>
  <c r="H624" i="7"/>
  <c r="H444" i="7"/>
  <c r="H279" i="7"/>
  <c r="G613" i="7"/>
  <c r="G433" i="7"/>
  <c r="G268" i="7"/>
  <c r="K611" i="7"/>
  <c r="K431" i="7"/>
  <c r="K266" i="7"/>
  <c r="I610" i="7"/>
  <c r="I430" i="7"/>
  <c r="I265" i="7"/>
  <c r="G609" i="7"/>
  <c r="G429" i="7"/>
  <c r="G264" i="7"/>
  <c r="G605" i="7"/>
  <c r="G425" i="7"/>
  <c r="G260" i="7"/>
  <c r="K603" i="7"/>
  <c r="K423" i="7"/>
  <c r="K258" i="7"/>
  <c r="I601" i="7"/>
  <c r="I256" i="7"/>
  <c r="G598" i="7"/>
  <c r="G418" i="7"/>
  <c r="G253" i="7"/>
  <c r="G590" i="7"/>
  <c r="G410" i="7"/>
  <c r="G245" i="7"/>
  <c r="K588" i="7"/>
  <c r="K408" i="7"/>
  <c r="K243" i="7"/>
  <c r="I587" i="7"/>
  <c r="I407" i="7"/>
  <c r="I242" i="7"/>
  <c r="G586" i="7"/>
  <c r="G406" i="7"/>
  <c r="G241" i="7"/>
  <c r="K584" i="7"/>
  <c r="K404" i="7"/>
  <c r="K239" i="7"/>
  <c r="K74" i="7"/>
  <c r="I583" i="7"/>
  <c r="I403" i="7"/>
  <c r="I238" i="7"/>
  <c r="I73" i="7"/>
  <c r="G582" i="7"/>
  <c r="G402" i="7"/>
  <c r="G237" i="7"/>
  <c r="I577" i="7"/>
  <c r="I397" i="7"/>
  <c r="I232" i="7"/>
  <c r="G568" i="7"/>
  <c r="G388" i="7"/>
  <c r="G223" i="7"/>
  <c r="K566" i="7"/>
  <c r="K386" i="7"/>
  <c r="K221" i="7"/>
  <c r="I565" i="7"/>
  <c r="I385" i="7"/>
  <c r="I220" i="7"/>
  <c r="G564" i="7"/>
  <c r="G384" i="7"/>
  <c r="G219" i="7"/>
  <c r="H555" i="7"/>
  <c r="H375" i="7"/>
  <c r="H210" i="7"/>
  <c r="L553" i="7"/>
  <c r="L208" i="7"/>
  <c r="L366" i="7"/>
  <c r="H544" i="7"/>
  <c r="H364" i="7"/>
  <c r="H199" i="7"/>
  <c r="L542" i="7"/>
  <c r="L362" i="7"/>
  <c r="L197" i="7"/>
  <c r="H541" i="7"/>
  <c r="H361" i="7"/>
  <c r="H196" i="7"/>
  <c r="H539" i="7"/>
  <c r="H359" i="7"/>
  <c r="H194" i="7"/>
  <c r="N310" i="3"/>
  <c r="N300" i="3"/>
  <c r="N126" i="3"/>
  <c r="N282" i="3"/>
  <c r="N274" i="3"/>
  <c r="L206" i="8"/>
  <c r="N264" i="3"/>
  <c r="L191" i="8"/>
  <c r="N243" i="3"/>
  <c r="L183" i="8"/>
  <c r="L173" i="8"/>
  <c r="N221" i="3"/>
  <c r="N283" i="3"/>
  <c r="M200" i="3"/>
  <c r="M35" i="3"/>
  <c r="M211" i="3"/>
  <c r="K172" i="8"/>
  <c r="M220" i="3"/>
  <c r="M55" i="3"/>
  <c r="K232" i="8" s="1"/>
  <c r="K187" i="8"/>
  <c r="M238" i="3"/>
  <c r="M73" i="3"/>
  <c r="K247" i="8" s="1"/>
  <c r="K193" i="8"/>
  <c r="M246" i="3"/>
  <c r="K201" i="8"/>
  <c r="K207" i="8"/>
  <c r="M265" i="3"/>
  <c r="M100" i="3"/>
  <c r="K267" i="8" s="1"/>
  <c r="M273" i="3"/>
  <c r="M281" i="3"/>
  <c r="M116" i="3"/>
  <c r="M303" i="3"/>
  <c r="M138" i="3"/>
  <c r="M175" i="3"/>
  <c r="M167" i="3"/>
  <c r="M159" i="3"/>
  <c r="M152" i="3"/>
  <c r="M145" i="3"/>
  <c r="H613" i="7"/>
  <c r="H433" i="7"/>
  <c r="H268" i="7"/>
  <c r="J610" i="7"/>
  <c r="J430" i="7"/>
  <c r="J265" i="7"/>
  <c r="H605" i="7"/>
  <c r="H425" i="7"/>
  <c r="H260" i="7"/>
  <c r="H598" i="7"/>
  <c r="H418" i="7"/>
  <c r="H253" i="7"/>
  <c r="H590" i="7"/>
  <c r="H410" i="7"/>
  <c r="H245" i="7"/>
  <c r="J587" i="7"/>
  <c r="J407" i="7"/>
  <c r="J242" i="7"/>
  <c r="L584" i="7"/>
  <c r="L404" i="7"/>
  <c r="L239" i="7"/>
  <c r="L74" i="7"/>
  <c r="H582" i="7"/>
  <c r="H402" i="7"/>
  <c r="H237" i="7"/>
  <c r="J577" i="7"/>
  <c r="J397" i="7"/>
  <c r="J232" i="7"/>
  <c r="H568" i="7"/>
  <c r="H388" i="7"/>
  <c r="H223" i="7"/>
  <c r="J565" i="7"/>
  <c r="J385" i="7"/>
  <c r="J220" i="7"/>
  <c r="G554" i="7"/>
  <c r="G374" i="7"/>
  <c r="G209" i="7"/>
  <c r="G543" i="7"/>
  <c r="G363" i="7"/>
  <c r="G198" i="7"/>
  <c r="I541" i="7"/>
  <c r="I361" i="7"/>
  <c r="I196" i="7"/>
  <c r="N321" i="3"/>
  <c r="O274" i="3"/>
  <c r="L208" i="8"/>
  <c r="N266" i="3"/>
  <c r="N244" i="3"/>
  <c r="N79" i="3"/>
  <c r="L185" i="8"/>
  <c r="L175" i="8"/>
  <c r="N223" i="3"/>
  <c r="N198" i="3"/>
  <c r="N33" i="3"/>
  <c r="M219" i="3"/>
  <c r="M54" i="3"/>
  <c r="F504" i="7"/>
  <c r="F174" i="7"/>
  <c r="F496" i="7"/>
  <c r="F166" i="7"/>
  <c r="F488" i="7"/>
  <c r="F323" i="7"/>
  <c r="F661" i="7"/>
  <c r="F481" i="7"/>
  <c r="F151" i="7"/>
  <c r="F316" i="7"/>
  <c r="F653" i="7"/>
  <c r="F473" i="7"/>
  <c r="F143" i="7"/>
  <c r="F308" i="7"/>
  <c r="F639" i="7"/>
  <c r="F459" i="7"/>
  <c r="F294" i="7"/>
  <c r="F631" i="7"/>
  <c r="F451" i="7"/>
  <c r="F286" i="7"/>
  <c r="F587" i="7"/>
  <c r="F407" i="7"/>
  <c r="F242" i="7"/>
  <c r="F577" i="7"/>
  <c r="F397" i="7"/>
  <c r="F232" i="7"/>
  <c r="F541" i="7"/>
  <c r="F361" i="7"/>
  <c r="F196" i="7"/>
  <c r="K507" i="7"/>
  <c r="K177" i="7"/>
  <c r="I506" i="7"/>
  <c r="I176" i="7"/>
  <c r="G505" i="7"/>
  <c r="G175" i="7"/>
  <c r="K503" i="7"/>
  <c r="K173" i="7"/>
  <c r="I502" i="7"/>
  <c r="I172" i="7"/>
  <c r="G501" i="7"/>
  <c r="G171" i="7"/>
  <c r="K499" i="7"/>
  <c r="K169" i="7"/>
  <c r="I498" i="7"/>
  <c r="I168" i="7"/>
  <c r="G497" i="7"/>
  <c r="G167" i="7"/>
  <c r="J768" i="7"/>
  <c r="F767" i="7"/>
  <c r="G328" i="7"/>
  <c r="F725" i="7" s="1"/>
  <c r="K326" i="7"/>
  <c r="K491" i="7"/>
  <c r="K161" i="7"/>
  <c r="I490" i="7"/>
  <c r="I325" i="7"/>
  <c r="I160" i="7"/>
  <c r="G489" i="7"/>
  <c r="G324" i="7"/>
  <c r="G159" i="7"/>
  <c r="K322" i="7"/>
  <c r="K487" i="7"/>
  <c r="I486" i="7"/>
  <c r="I321" i="7"/>
  <c r="I156" i="7"/>
  <c r="G485" i="7"/>
  <c r="G320" i="7"/>
  <c r="G155" i="7"/>
  <c r="I483" i="7"/>
  <c r="I318" i="7"/>
  <c r="I153" i="7"/>
  <c r="G482" i="7"/>
  <c r="G317" i="7"/>
  <c r="G152" i="7"/>
  <c r="K660" i="7"/>
  <c r="K480" i="7"/>
  <c r="K315" i="7"/>
  <c r="K150" i="7"/>
  <c r="I659" i="7"/>
  <c r="I479" i="7"/>
  <c r="I314" i="7"/>
  <c r="I149" i="7"/>
  <c r="G658" i="7"/>
  <c r="G478" i="7"/>
  <c r="G313" i="7"/>
  <c r="K656" i="7"/>
  <c r="K476" i="7"/>
  <c r="K311" i="7"/>
  <c r="I655" i="7"/>
  <c r="I475" i="7"/>
  <c r="I310" i="7"/>
  <c r="G654" i="7"/>
  <c r="G474" i="7"/>
  <c r="G309" i="7"/>
  <c r="G144" i="7"/>
  <c r="K652" i="7"/>
  <c r="K472" i="7"/>
  <c r="K307" i="7"/>
  <c r="I651" i="7"/>
  <c r="I471" i="7"/>
  <c r="I306" i="7"/>
  <c r="G650" i="7"/>
  <c r="G470" i="7"/>
  <c r="G305" i="7"/>
  <c r="K648" i="7"/>
  <c r="K468" i="7"/>
  <c r="K303" i="7"/>
  <c r="I647" i="7"/>
  <c r="I467" i="7"/>
  <c r="I302" i="7"/>
  <c r="G646" i="7"/>
  <c r="G466" i="7"/>
  <c r="G301" i="7"/>
  <c r="K297" i="7"/>
  <c r="I296" i="7"/>
  <c r="G295" i="7"/>
  <c r="K293" i="7"/>
  <c r="I292" i="7"/>
  <c r="G291" i="7"/>
  <c r="K289" i="7"/>
  <c r="I288" i="7"/>
  <c r="G287" i="7"/>
  <c r="I629" i="7"/>
  <c r="I449" i="7"/>
  <c r="I284" i="7"/>
  <c r="K626" i="7"/>
  <c r="K446" i="7"/>
  <c r="K281" i="7"/>
  <c r="I625" i="7"/>
  <c r="I445" i="7"/>
  <c r="I280" i="7"/>
  <c r="G624" i="7"/>
  <c r="G444" i="7"/>
  <c r="G279" i="7"/>
  <c r="L612" i="7"/>
  <c r="L432" i="7"/>
  <c r="L267" i="7"/>
  <c r="J611" i="7"/>
  <c r="J431" i="7"/>
  <c r="J266" i="7"/>
  <c r="H610" i="7"/>
  <c r="H430" i="7"/>
  <c r="H265" i="7"/>
  <c r="L604" i="7"/>
  <c r="L424" i="7"/>
  <c r="L259" i="7"/>
  <c r="J603" i="7"/>
  <c r="J423" i="7"/>
  <c r="J258" i="7"/>
  <c r="H601" i="7"/>
  <c r="H256" i="7"/>
  <c r="L593" i="7"/>
  <c r="L413" i="7"/>
  <c r="L248" i="7"/>
  <c r="L589" i="7"/>
  <c r="L409" i="7"/>
  <c r="L244" i="7"/>
  <c r="J588" i="7"/>
  <c r="J408" i="7"/>
  <c r="J243" i="7"/>
  <c r="H587" i="7"/>
  <c r="H407" i="7"/>
  <c r="H242" i="7"/>
  <c r="L585" i="7"/>
  <c r="L405" i="7"/>
  <c r="L240" i="7"/>
  <c r="J584" i="7"/>
  <c r="J404" i="7"/>
  <c r="J239" i="7"/>
  <c r="J74" i="7"/>
  <c r="H583" i="7"/>
  <c r="H403" i="7"/>
  <c r="H238" i="7"/>
  <c r="H73" i="7"/>
  <c r="H577" i="7"/>
  <c r="H397" i="7"/>
  <c r="H232" i="7"/>
  <c r="L567" i="7"/>
  <c r="L387" i="7"/>
  <c r="L222" i="7"/>
  <c r="J566" i="7"/>
  <c r="J386" i="7"/>
  <c r="J221" i="7"/>
  <c r="H565" i="7"/>
  <c r="H385" i="7"/>
  <c r="H220" i="7"/>
  <c r="G555" i="7"/>
  <c r="G375" i="7"/>
  <c r="G210" i="7"/>
  <c r="K553" i="7"/>
  <c r="K208" i="7"/>
  <c r="K366" i="7"/>
  <c r="G544" i="7"/>
  <c r="G364" i="7"/>
  <c r="G199" i="7"/>
  <c r="K542" i="7"/>
  <c r="K362" i="7"/>
  <c r="K197" i="7"/>
  <c r="G541" i="7"/>
  <c r="G361" i="7"/>
  <c r="G196" i="7"/>
  <c r="G539" i="7"/>
  <c r="G359" i="7"/>
  <c r="G194" i="7"/>
  <c r="N101" i="3"/>
  <c r="L268" i="8" s="1"/>
  <c r="L189" i="8"/>
  <c r="N241" i="3"/>
  <c r="N76" i="3"/>
  <c r="L249" i="8" s="1"/>
  <c r="N197" i="3"/>
  <c r="N32" i="3"/>
  <c r="N281" i="3"/>
  <c r="N116" i="3"/>
  <c r="M190" i="3"/>
  <c r="N72" i="3"/>
  <c r="L246" i="8" s="1"/>
  <c r="M201" i="3"/>
  <c r="M212" i="3"/>
  <c r="K173" i="8"/>
  <c r="M221" i="3"/>
  <c r="M56" i="3"/>
  <c r="K233" i="8" s="1"/>
  <c r="K188" i="8"/>
  <c r="M239" i="3"/>
  <c r="M74" i="3"/>
  <c r="K248" i="8" s="1"/>
  <c r="K194" i="8"/>
  <c r="M247" i="3"/>
  <c r="K202" i="8"/>
  <c r="K262" i="8"/>
  <c r="K208" i="8"/>
  <c r="M266" i="3"/>
  <c r="M101" i="3"/>
  <c r="K268" i="8" s="1"/>
  <c r="M274" i="3"/>
  <c r="M282" i="3"/>
  <c r="M298" i="3"/>
  <c r="M133" i="3"/>
  <c r="M304" i="3"/>
  <c r="M139" i="3"/>
  <c r="N177" i="3"/>
  <c r="M172" i="3"/>
  <c r="M164" i="3"/>
  <c r="N161" i="3"/>
  <c r="M156" i="3"/>
  <c r="M148" i="3"/>
  <c r="M147" i="3"/>
  <c r="M146" i="3"/>
  <c r="M144" i="3"/>
  <c r="M137" i="3"/>
  <c r="L611" i="7"/>
  <c r="L431" i="7"/>
  <c r="L266" i="7"/>
  <c r="H609" i="7"/>
  <c r="H429" i="7"/>
  <c r="H264" i="7"/>
  <c r="L603" i="7"/>
  <c r="L423" i="7"/>
  <c r="L258" i="7"/>
  <c r="L588" i="7"/>
  <c r="L408" i="7"/>
  <c r="L243" i="7"/>
  <c r="H586" i="7"/>
  <c r="H406" i="7"/>
  <c r="H241" i="7"/>
  <c r="J583" i="7"/>
  <c r="J403" i="7"/>
  <c r="J238" i="7"/>
  <c r="J73" i="7"/>
  <c r="L566" i="7"/>
  <c r="L386" i="7"/>
  <c r="L221" i="7"/>
  <c r="H564" i="7"/>
  <c r="H384" i="7"/>
  <c r="H219" i="7"/>
  <c r="I555" i="7"/>
  <c r="I375" i="7"/>
  <c r="I210" i="7"/>
  <c r="I544" i="7"/>
  <c r="I364" i="7"/>
  <c r="I199" i="7"/>
  <c r="I539" i="7"/>
  <c r="I359" i="7"/>
  <c r="I194" i="7"/>
  <c r="N312" i="3"/>
  <c r="O282" i="3"/>
  <c r="L198" i="8"/>
  <c r="N251" i="3"/>
  <c r="L193" i="8"/>
  <c r="N246" i="3"/>
  <c r="M199" i="3"/>
  <c r="M34" i="3"/>
  <c r="M210" i="3"/>
  <c r="M45" i="3"/>
  <c r="F503" i="7"/>
  <c r="F173" i="7"/>
  <c r="E768" i="7"/>
  <c r="E726" i="7"/>
  <c r="F487" i="7"/>
  <c r="F322" i="7"/>
  <c r="F660" i="7"/>
  <c r="F480" i="7"/>
  <c r="F150" i="7"/>
  <c r="F315" i="7"/>
  <c r="F652" i="7"/>
  <c r="F472" i="7"/>
  <c r="F307" i="7"/>
  <c r="F638" i="7"/>
  <c r="F458" i="7"/>
  <c r="F293" i="7"/>
  <c r="F630" i="7"/>
  <c r="F450" i="7"/>
  <c r="F285" i="7"/>
  <c r="F613" i="7"/>
  <c r="F433" i="7"/>
  <c r="F268" i="7"/>
  <c r="F605" i="7"/>
  <c r="F425" i="7"/>
  <c r="F260" i="7"/>
  <c r="F586" i="7"/>
  <c r="F406" i="7"/>
  <c r="F241" i="7"/>
  <c r="F568" i="7"/>
  <c r="F388" i="7"/>
  <c r="F223" i="7"/>
  <c r="L508" i="7"/>
  <c r="L178" i="7"/>
  <c r="J507" i="7"/>
  <c r="J177" i="7"/>
  <c r="H506" i="7"/>
  <c r="H176" i="7"/>
  <c r="L504" i="7"/>
  <c r="L174" i="7"/>
  <c r="J503" i="7"/>
  <c r="J173" i="7"/>
  <c r="H502" i="7"/>
  <c r="H172" i="7"/>
  <c r="L500" i="7"/>
  <c r="L170" i="7"/>
  <c r="J499" i="7"/>
  <c r="J169" i="7"/>
  <c r="H498" i="7"/>
  <c r="H168" i="7"/>
  <c r="L166" i="7"/>
  <c r="L496" i="7"/>
  <c r="L327" i="7"/>
  <c r="L162" i="7"/>
  <c r="J326" i="7"/>
  <c r="J491" i="7"/>
  <c r="J161" i="7"/>
  <c r="H325" i="7"/>
  <c r="H490" i="7"/>
  <c r="H160" i="7"/>
  <c r="L488" i="7"/>
  <c r="L323" i="7"/>
  <c r="J487" i="7"/>
  <c r="J322" i="7"/>
  <c r="H486" i="7"/>
  <c r="H321" i="7"/>
  <c r="H156" i="7"/>
  <c r="L484" i="7"/>
  <c r="L319" i="7"/>
  <c r="L154" i="7"/>
  <c r="H483" i="7"/>
  <c r="H318" i="7"/>
  <c r="H153" i="7"/>
  <c r="L661" i="7"/>
  <c r="L481" i="7"/>
  <c r="L316" i="7"/>
  <c r="L151" i="7"/>
  <c r="J660" i="7"/>
  <c r="J480" i="7"/>
  <c r="J315" i="7"/>
  <c r="J150" i="7"/>
  <c r="H659" i="7"/>
  <c r="H479" i="7"/>
  <c r="H314" i="7"/>
  <c r="H149" i="7"/>
  <c r="L657" i="7"/>
  <c r="L477" i="7"/>
  <c r="L312" i="7"/>
  <c r="J656" i="7"/>
  <c r="J476" i="7"/>
  <c r="J311" i="7"/>
  <c r="H655" i="7"/>
  <c r="H475" i="7"/>
  <c r="H310" i="7"/>
  <c r="L653" i="7"/>
  <c r="L473" i="7"/>
  <c r="L308" i="7"/>
  <c r="L143" i="7"/>
  <c r="J652" i="7"/>
  <c r="J472" i="7"/>
  <c r="J307" i="7"/>
  <c r="H651" i="7"/>
  <c r="H471" i="7"/>
  <c r="H306" i="7"/>
  <c r="L649" i="7"/>
  <c r="L469" i="7"/>
  <c r="L304" i="7"/>
  <c r="J648" i="7"/>
  <c r="J468" i="7"/>
  <c r="J303" i="7"/>
  <c r="H647" i="7"/>
  <c r="H467" i="7"/>
  <c r="H302" i="7"/>
  <c r="L643" i="7"/>
  <c r="L463" i="7"/>
  <c r="L298" i="7"/>
  <c r="J297" i="7"/>
  <c r="H296" i="7"/>
  <c r="L294" i="7"/>
  <c r="J293" i="7"/>
  <c r="H292" i="7"/>
  <c r="L290" i="7"/>
  <c r="J289" i="7"/>
  <c r="H288" i="7"/>
  <c r="L631" i="7"/>
  <c r="L451" i="7"/>
  <c r="L286" i="7"/>
  <c r="H629" i="7"/>
  <c r="H449" i="7"/>
  <c r="H284" i="7"/>
  <c r="J626" i="7"/>
  <c r="J446" i="7"/>
  <c r="J281" i="7"/>
  <c r="H625" i="7"/>
  <c r="H445" i="7"/>
  <c r="H280" i="7"/>
  <c r="K612" i="7"/>
  <c r="K432" i="7"/>
  <c r="K267" i="7"/>
  <c r="I611" i="7"/>
  <c r="I431" i="7"/>
  <c r="I266" i="7"/>
  <c r="G610" i="7"/>
  <c r="G430" i="7"/>
  <c r="G265" i="7"/>
  <c r="K608" i="7"/>
  <c r="K428" i="7"/>
  <c r="K263" i="7"/>
  <c r="K604" i="7"/>
  <c r="K424" i="7"/>
  <c r="K259" i="7"/>
  <c r="I603" i="7"/>
  <c r="I423" i="7"/>
  <c r="I258" i="7"/>
  <c r="G601" i="7"/>
  <c r="G256" i="7"/>
  <c r="K593" i="7"/>
  <c r="K413" i="7"/>
  <c r="K248" i="7"/>
  <c r="K589" i="7"/>
  <c r="K409" i="7"/>
  <c r="K244" i="7"/>
  <c r="I588" i="7"/>
  <c r="I408" i="7"/>
  <c r="I243" i="7"/>
  <c r="G587" i="7"/>
  <c r="G407" i="7"/>
  <c r="G242" i="7"/>
  <c r="K585" i="7"/>
  <c r="K405" i="7"/>
  <c r="K240" i="7"/>
  <c r="I584" i="7"/>
  <c r="I404" i="7"/>
  <c r="I74" i="7"/>
  <c r="I239" i="7"/>
  <c r="G583" i="7"/>
  <c r="G403" i="7"/>
  <c r="G238" i="7"/>
  <c r="G73" i="7"/>
  <c r="G577" i="7"/>
  <c r="G397" i="7"/>
  <c r="G232" i="7"/>
  <c r="K567" i="7"/>
  <c r="K387" i="7"/>
  <c r="K222" i="7"/>
  <c r="I566" i="7"/>
  <c r="I386" i="7"/>
  <c r="I221" i="7"/>
  <c r="G565" i="7"/>
  <c r="G385" i="7"/>
  <c r="G220" i="7"/>
  <c r="L554" i="7"/>
  <c r="L374" i="7"/>
  <c r="L209" i="7"/>
  <c r="J553" i="7"/>
  <c r="J208" i="7"/>
  <c r="J366" i="7"/>
  <c r="L543" i="7"/>
  <c r="L363" i="7"/>
  <c r="L198" i="7"/>
  <c r="J542" i="7"/>
  <c r="J362" i="7"/>
  <c r="J197" i="7"/>
  <c r="N308" i="3"/>
  <c r="N298" i="3"/>
  <c r="N133" i="3"/>
  <c r="N280" i="3"/>
  <c r="L205" i="8"/>
  <c r="N262" i="3"/>
  <c r="L195" i="8"/>
  <c r="N248" i="3"/>
  <c r="N240" i="3"/>
  <c r="N208" i="3"/>
  <c r="N43" i="3"/>
  <c r="N196" i="3"/>
  <c r="N31" i="3"/>
  <c r="N273" i="3"/>
  <c r="K174" i="8"/>
  <c r="M57" i="3"/>
  <c r="K234" i="8" s="1"/>
  <c r="M222" i="3"/>
  <c r="N100" i="3"/>
  <c r="L267" i="8" s="1"/>
  <c r="K182" i="8"/>
  <c r="M230" i="3"/>
  <c r="M75" i="3"/>
  <c r="M240" i="3"/>
  <c r="K195" i="8"/>
  <c r="M248" i="3"/>
  <c r="M259" i="3"/>
  <c r="M267" i="3"/>
  <c r="M102" i="3"/>
  <c r="M275" i="3"/>
  <c r="M283" i="3"/>
  <c r="M126" i="3"/>
  <c r="M305" i="3"/>
  <c r="M140" i="3"/>
  <c r="M177" i="3"/>
  <c r="M169" i="3"/>
  <c r="M161" i="3"/>
  <c r="N151" i="3"/>
  <c r="M150" i="3"/>
  <c r="F502" i="7"/>
  <c r="F172" i="7"/>
  <c r="F329" i="7"/>
  <c r="F486" i="7"/>
  <c r="F156" i="7"/>
  <c r="F321" i="7"/>
  <c r="F659" i="7"/>
  <c r="F479" i="7"/>
  <c r="F149" i="7"/>
  <c r="F314" i="7"/>
  <c r="F651" i="7"/>
  <c r="F471" i="7"/>
  <c r="F306" i="7"/>
  <c r="F637" i="7"/>
  <c r="F457" i="7"/>
  <c r="F292" i="7"/>
  <c r="F629" i="7"/>
  <c r="F449" i="7"/>
  <c r="F284" i="7"/>
  <c r="F612" i="7"/>
  <c r="F432" i="7"/>
  <c r="F267" i="7"/>
  <c r="F604" i="7"/>
  <c r="F424" i="7"/>
  <c r="F259" i="7"/>
  <c r="F593" i="7"/>
  <c r="F413" i="7"/>
  <c r="F248" i="7"/>
  <c r="F585" i="7"/>
  <c r="F405" i="7"/>
  <c r="F240" i="7"/>
  <c r="F567" i="7"/>
  <c r="F387" i="7"/>
  <c r="F222" i="7"/>
  <c r="F546" i="7"/>
  <c r="F366" i="7"/>
  <c r="F201" i="7"/>
  <c r="K508" i="7"/>
  <c r="K178" i="7"/>
  <c r="I507" i="7"/>
  <c r="I177" i="7"/>
  <c r="G506" i="7"/>
  <c r="G176" i="7"/>
  <c r="K504" i="7"/>
  <c r="K174" i="7"/>
  <c r="I503" i="7"/>
  <c r="I173" i="7"/>
  <c r="G502" i="7"/>
  <c r="G172" i="7"/>
  <c r="K500" i="7"/>
  <c r="K170" i="7"/>
  <c r="I499" i="7"/>
  <c r="I169" i="7"/>
  <c r="G498" i="7"/>
  <c r="G168" i="7"/>
  <c r="K496" i="7"/>
  <c r="K166" i="7"/>
  <c r="H768" i="7"/>
  <c r="K327" i="7"/>
  <c r="K162" i="7"/>
  <c r="I491" i="7"/>
  <c r="I326" i="7"/>
  <c r="I161" i="7"/>
  <c r="G325" i="7"/>
  <c r="G490" i="7"/>
  <c r="G160" i="7"/>
  <c r="K488" i="7"/>
  <c r="K323" i="7"/>
  <c r="I487" i="7"/>
  <c r="I322" i="7"/>
  <c r="G486" i="7"/>
  <c r="G321" i="7"/>
  <c r="G156" i="7"/>
  <c r="K484" i="7"/>
  <c r="K319" i="7"/>
  <c r="K154" i="7"/>
  <c r="G483" i="7"/>
  <c r="G318" i="7"/>
  <c r="G153" i="7"/>
  <c r="K661" i="7"/>
  <c r="K481" i="7"/>
  <c r="K316" i="7"/>
  <c r="K151" i="7"/>
  <c r="I660" i="7"/>
  <c r="I480" i="7"/>
  <c r="I315" i="7"/>
  <c r="I150" i="7"/>
  <c r="G659" i="7"/>
  <c r="G479" i="7"/>
  <c r="G314" i="7"/>
  <c r="G149" i="7"/>
  <c r="K657" i="7"/>
  <c r="K477" i="7"/>
  <c r="K312" i="7"/>
  <c r="I656" i="7"/>
  <c r="I476" i="7"/>
  <c r="I311" i="7"/>
  <c r="G655" i="7"/>
  <c r="G475" i="7"/>
  <c r="G310" i="7"/>
  <c r="K653" i="7"/>
  <c r="K473" i="7"/>
  <c r="K308" i="7"/>
  <c r="K143" i="7"/>
  <c r="I652" i="7"/>
  <c r="I472" i="7"/>
  <c r="I307" i="7"/>
  <c r="G651" i="7"/>
  <c r="G471" i="7"/>
  <c r="G306" i="7"/>
  <c r="K649" i="7"/>
  <c r="K469" i="7"/>
  <c r="K304" i="7"/>
  <c r="I648" i="7"/>
  <c r="I468" i="7"/>
  <c r="I303" i="7"/>
  <c r="G647" i="7"/>
  <c r="G467" i="7"/>
  <c r="G302" i="7"/>
  <c r="K643" i="7"/>
  <c r="K463" i="7"/>
  <c r="K298" i="7"/>
  <c r="I297" i="7"/>
  <c r="G296" i="7"/>
  <c r="K294" i="7"/>
  <c r="K129" i="7"/>
  <c r="I293" i="7"/>
  <c r="G292" i="7"/>
  <c r="K290" i="7"/>
  <c r="I289" i="7"/>
  <c r="G288" i="7"/>
  <c r="K631" i="7"/>
  <c r="K451" i="7"/>
  <c r="K286" i="7"/>
  <c r="G629" i="7"/>
  <c r="G449" i="7"/>
  <c r="G284" i="7"/>
  <c r="I626" i="7"/>
  <c r="I446" i="7"/>
  <c r="I281" i="7"/>
  <c r="G625" i="7"/>
  <c r="G445" i="7"/>
  <c r="G280" i="7"/>
  <c r="L613" i="7"/>
  <c r="L433" i="7"/>
  <c r="L268" i="7"/>
  <c r="J612" i="7"/>
  <c r="J432" i="7"/>
  <c r="J267" i="7"/>
  <c r="H611" i="7"/>
  <c r="H431" i="7"/>
  <c r="H266" i="7"/>
  <c r="J608" i="7"/>
  <c r="J428" i="7"/>
  <c r="J263" i="7"/>
  <c r="L605" i="7"/>
  <c r="L425" i="7"/>
  <c r="L260" i="7"/>
  <c r="J604" i="7"/>
  <c r="J424" i="7"/>
  <c r="J259" i="7"/>
  <c r="H603" i="7"/>
  <c r="H423" i="7"/>
  <c r="H258" i="7"/>
  <c r="L598" i="7"/>
  <c r="L418" i="7"/>
  <c r="L253" i="7"/>
  <c r="J593" i="7"/>
  <c r="J413" i="7"/>
  <c r="J248" i="7"/>
  <c r="L590" i="7"/>
  <c r="L410" i="7"/>
  <c r="L245" i="7"/>
  <c r="J589" i="7"/>
  <c r="J409" i="7"/>
  <c r="J244" i="7"/>
  <c r="H588" i="7"/>
  <c r="H408" i="7"/>
  <c r="H243" i="7"/>
  <c r="L586" i="7"/>
  <c r="L406" i="7"/>
  <c r="L241" i="7"/>
  <c r="J585" i="7"/>
  <c r="J405" i="7"/>
  <c r="J240" i="7"/>
  <c r="H584" i="7"/>
  <c r="H404" i="7"/>
  <c r="H74" i="7"/>
  <c r="H239" i="7"/>
  <c r="L582" i="7"/>
  <c r="L402" i="7"/>
  <c r="L237" i="7"/>
  <c r="L568" i="7"/>
  <c r="L388" i="7"/>
  <c r="L223" i="7"/>
  <c r="J567" i="7"/>
  <c r="J387" i="7"/>
  <c r="J222" i="7"/>
  <c r="H566" i="7"/>
  <c r="H386" i="7"/>
  <c r="H221" i="7"/>
  <c r="L564" i="7"/>
  <c r="L384" i="7"/>
  <c r="L219" i="7"/>
  <c r="K554" i="7"/>
  <c r="K374" i="7"/>
  <c r="K209" i="7"/>
  <c r="I553" i="7"/>
  <c r="I208" i="7"/>
  <c r="I366" i="7"/>
  <c r="K543" i="7"/>
  <c r="K363" i="7"/>
  <c r="K198" i="7"/>
  <c r="I542" i="7"/>
  <c r="I362" i="7"/>
  <c r="I197" i="7"/>
  <c r="N333" i="3"/>
  <c r="N324" i="3"/>
  <c r="N306" i="3"/>
  <c r="N115" i="3"/>
  <c r="L203" i="8"/>
  <c r="N260" i="3"/>
  <c r="N95" i="3"/>
  <c r="L263" i="8" s="1"/>
  <c r="L194" i="8"/>
  <c r="N247" i="3"/>
  <c r="L188" i="8"/>
  <c r="N239" i="3"/>
  <c r="N74" i="3"/>
  <c r="L248" i="8" s="1"/>
  <c r="N40" i="3"/>
  <c r="N313" i="3"/>
  <c r="N148" i="3"/>
  <c r="N267" i="3"/>
  <c r="N102" i="3"/>
  <c r="M31" i="3"/>
  <c r="M196" i="3"/>
  <c r="M40" i="3"/>
  <c r="K175" i="8"/>
  <c r="M223" i="3"/>
  <c r="M58" i="3"/>
  <c r="K235" i="8" s="1"/>
  <c r="K183" i="8"/>
  <c r="K189" i="8"/>
  <c r="M241" i="3"/>
  <c r="M76" i="3"/>
  <c r="K249" i="8" s="1"/>
  <c r="K203" i="8"/>
  <c r="M260" i="3"/>
  <c r="M95" i="3"/>
  <c r="K263" i="8" s="1"/>
  <c r="M268" i="3"/>
  <c r="M103" i="3"/>
  <c r="M276" i="3"/>
  <c r="M284" i="3"/>
  <c r="M119" i="3"/>
  <c r="M306" i="3"/>
  <c r="M141" i="3"/>
  <c r="M314" i="3"/>
  <c r="M149" i="3"/>
  <c r="M174" i="3"/>
  <c r="M166" i="3"/>
  <c r="N163" i="3"/>
  <c r="M158" i="3"/>
  <c r="J219" i="8"/>
  <c r="E219" i="8"/>
  <c r="H216" i="8"/>
  <c r="I215" i="8"/>
  <c r="J216" i="8"/>
  <c r="N75" i="3"/>
  <c r="D215" i="8"/>
  <c r="D216" i="8"/>
  <c r="D34" i="10"/>
  <c r="F62" i="2" s="1"/>
  <c r="G24" i="5" s="1"/>
  <c r="F354" i="7" s="1"/>
  <c r="D51" i="10"/>
  <c r="E51" i="10"/>
  <c r="F51" i="10"/>
  <c r="G51" i="10"/>
  <c r="H51" i="10"/>
  <c r="H55" i="10" s="1"/>
  <c r="I51" i="10"/>
  <c r="I55" i="10" s="1"/>
  <c r="J51" i="10"/>
  <c r="J55" i="10" s="1"/>
  <c r="L106" i="2" s="1"/>
  <c r="W51" i="10"/>
  <c r="L51" i="10"/>
  <c r="M51" i="10"/>
  <c r="N51" i="10"/>
  <c r="O51" i="10"/>
  <c r="P51" i="10"/>
  <c r="Q51" i="10"/>
  <c r="R51" i="10"/>
  <c r="S51" i="10"/>
  <c r="T51" i="10"/>
  <c r="U51" i="10"/>
  <c r="V51" i="10"/>
  <c r="D45" i="10"/>
  <c r="D54" i="10" s="1"/>
  <c r="E45" i="10"/>
  <c r="E54" i="10" s="1"/>
  <c r="F45" i="10"/>
  <c r="F54" i="10" s="1"/>
  <c r="G45" i="10"/>
  <c r="G54" i="10" s="1"/>
  <c r="H45" i="10"/>
  <c r="H54" i="10" s="1"/>
  <c r="I45" i="10"/>
  <c r="I54" i="10" s="1"/>
  <c r="J45" i="10"/>
  <c r="J54" i="10" s="1"/>
  <c r="L107" i="2" s="1"/>
  <c r="L45" i="10"/>
  <c r="M45" i="10"/>
  <c r="N45" i="10"/>
  <c r="O45" i="10"/>
  <c r="P45" i="10"/>
  <c r="Q45" i="10"/>
  <c r="R45" i="10"/>
  <c r="S45" i="10"/>
  <c r="T45" i="10"/>
  <c r="U45" i="10"/>
  <c r="V45" i="10"/>
  <c r="W45" i="10"/>
  <c r="K45" i="10"/>
  <c r="E33" i="10"/>
  <c r="G49" i="2" s="1"/>
  <c r="F33" i="10"/>
  <c r="H49" i="2" s="1"/>
  <c r="G33" i="10"/>
  <c r="I49" i="2" s="1"/>
  <c r="H33" i="10"/>
  <c r="J49" i="2" s="1"/>
  <c r="I33" i="10"/>
  <c r="K49" i="2" s="1"/>
  <c r="J33" i="10"/>
  <c r="L49" i="2" s="1"/>
  <c r="K33" i="10"/>
  <c r="E34" i="10"/>
  <c r="G62" i="2" s="1"/>
  <c r="H24" i="5" s="1"/>
  <c r="G354" i="7" s="1"/>
  <c r="F34" i="10"/>
  <c r="H62" i="2" s="1"/>
  <c r="I24" i="5" s="1"/>
  <c r="H354" i="7" s="1"/>
  <c r="G34" i="10"/>
  <c r="I62" i="2" s="1"/>
  <c r="J24" i="5" s="1"/>
  <c r="I354" i="7" s="1"/>
  <c r="H34" i="10"/>
  <c r="J62" i="2" s="1"/>
  <c r="K24" i="5" s="1"/>
  <c r="J354" i="7" s="1"/>
  <c r="I34" i="10"/>
  <c r="K62" i="2" s="1"/>
  <c r="J34" i="10"/>
  <c r="L62" i="2" s="1"/>
  <c r="K34" i="10"/>
  <c r="E35" i="10"/>
  <c r="G64" i="2" s="1"/>
  <c r="F35" i="10"/>
  <c r="H64" i="2" s="1"/>
  <c r="G35" i="10"/>
  <c r="I64" i="2" s="1"/>
  <c r="H35" i="10"/>
  <c r="J64" i="2" s="1"/>
  <c r="I35" i="10"/>
  <c r="K64" i="2" s="1"/>
  <c r="J35" i="10"/>
  <c r="L64" i="2" s="1"/>
  <c r="K35" i="10"/>
  <c r="E36" i="10"/>
  <c r="F36" i="10"/>
  <c r="G36" i="10"/>
  <c r="H36" i="10"/>
  <c r="I36" i="10"/>
  <c r="J36" i="10"/>
  <c r="K36" i="10"/>
  <c r="D36" i="10"/>
  <c r="D33" i="10"/>
  <c r="F49" i="2" s="1"/>
  <c r="E27" i="10"/>
  <c r="G48" i="2" s="1"/>
  <c r="F27" i="10"/>
  <c r="H48" i="2" s="1"/>
  <c r="G27" i="10"/>
  <c r="I48" i="2" s="1"/>
  <c r="H27" i="10"/>
  <c r="J48" i="2" s="1"/>
  <c r="I27" i="10"/>
  <c r="K48" i="2" s="1"/>
  <c r="J27" i="10"/>
  <c r="L48" i="2" s="1"/>
  <c r="J28" i="10"/>
  <c r="L61" i="2" s="1"/>
  <c r="K28" i="10"/>
  <c r="J29" i="10"/>
  <c r="L63" i="2" s="1"/>
  <c r="M27" i="5" s="1"/>
  <c r="L357" i="7" s="1"/>
  <c r="K29" i="10"/>
  <c r="J30" i="10"/>
  <c r="L84" i="2" s="1"/>
  <c r="K30" i="10"/>
  <c r="D28" i="10"/>
  <c r="D29" i="10"/>
  <c r="F63" i="2" s="1"/>
  <c r="D30" i="10"/>
  <c r="F84" i="2" s="1"/>
  <c r="D27" i="10"/>
  <c r="F48" i="2" s="1"/>
  <c r="G23" i="5" l="1"/>
  <c r="F61" i="2"/>
  <c r="F538" i="7"/>
  <c r="F193" i="7"/>
  <c r="F28" i="7"/>
  <c r="O162" i="5"/>
  <c r="N672" i="7" s="1"/>
  <c r="M672" i="7"/>
  <c r="F348" i="7"/>
  <c r="O156" i="5"/>
  <c r="N666" i="7" s="1"/>
  <c r="M666" i="7"/>
  <c r="O159" i="5"/>
  <c r="N669" i="7" s="1"/>
  <c r="M669" i="7"/>
  <c r="O175" i="5"/>
  <c r="N685" i="7" s="1"/>
  <c r="M340" i="7"/>
  <c r="O174" i="5"/>
  <c r="N684" i="7" s="1"/>
  <c r="M339" i="7"/>
  <c r="O178" i="5"/>
  <c r="N688" i="7" s="1"/>
  <c r="M343" i="7"/>
  <c r="M330" i="7"/>
  <c r="O164" i="5"/>
  <c r="M329" i="7"/>
  <c r="O169" i="5"/>
  <c r="M334" i="7"/>
  <c r="M333" i="7"/>
  <c r="M338" i="7"/>
  <c r="M337" i="7"/>
  <c r="M332" i="7"/>
  <c r="O166" i="5"/>
  <c r="M331" i="7"/>
  <c r="O177" i="5"/>
  <c r="N687" i="7" s="1"/>
  <c r="M342" i="7"/>
  <c r="O176" i="5"/>
  <c r="N686" i="7" s="1"/>
  <c r="M341" i="7"/>
  <c r="M336" i="7"/>
  <c r="O170" i="5"/>
  <c r="N680" i="7" s="1"/>
  <c r="M335" i="7"/>
  <c r="M40" i="7"/>
  <c r="O55" i="5"/>
  <c r="N565" i="7" s="1"/>
  <c r="K27" i="5"/>
  <c r="J357" i="7" s="1"/>
  <c r="K18" i="5"/>
  <c r="I350" i="3"/>
  <c r="J27" i="5"/>
  <c r="I357" i="7" s="1"/>
  <c r="J18" i="5"/>
  <c r="H350" i="3"/>
  <c r="G46" i="5"/>
  <c r="G38" i="5"/>
  <c r="F37" i="7" s="1"/>
  <c r="F38" i="3"/>
  <c r="M38" i="5"/>
  <c r="L37" i="7" s="1"/>
  <c r="L38" i="3"/>
  <c r="I27" i="5"/>
  <c r="H357" i="7" s="1"/>
  <c r="I18" i="5"/>
  <c r="G350" i="3"/>
  <c r="H27" i="5"/>
  <c r="G357" i="7" s="1"/>
  <c r="F350" i="3"/>
  <c r="M28" i="5"/>
  <c r="M18" i="5"/>
  <c r="K350" i="3"/>
  <c r="L27" i="5"/>
  <c r="K357" i="7" s="1"/>
  <c r="L18" i="5"/>
  <c r="J350" i="3"/>
  <c r="L24" i="5"/>
  <c r="K354" i="7" s="1"/>
  <c r="G25" i="5"/>
  <c r="F355" i="7" s="1"/>
  <c r="G27" i="5"/>
  <c r="L23" i="5"/>
  <c r="K353" i="7" s="1"/>
  <c r="L25" i="5"/>
  <c r="K355" i="7" s="1"/>
  <c r="K23" i="5"/>
  <c r="J353" i="7" s="1"/>
  <c r="K25" i="5"/>
  <c r="J355" i="7" s="1"/>
  <c r="I26" i="5"/>
  <c r="I28" i="5"/>
  <c r="J23" i="5"/>
  <c r="I353" i="7" s="1"/>
  <c r="J25" i="5"/>
  <c r="I355" i="7" s="1"/>
  <c r="H26" i="5"/>
  <c r="H28" i="5"/>
  <c r="I23" i="5"/>
  <c r="H353" i="7" s="1"/>
  <c r="I25" i="5"/>
  <c r="H355" i="7" s="1"/>
  <c r="H23" i="5"/>
  <c r="H25" i="5"/>
  <c r="G355" i="7" s="1"/>
  <c r="L26" i="5"/>
  <c r="L28" i="5"/>
  <c r="K26" i="5"/>
  <c r="K28" i="5"/>
  <c r="J26" i="5"/>
  <c r="J28" i="5"/>
  <c r="G26" i="5"/>
  <c r="G435" i="3"/>
  <c r="M23" i="5"/>
  <c r="G436" i="3"/>
  <c r="M24" i="5"/>
  <c r="L354" i="7" s="1"/>
  <c r="G437" i="3"/>
  <c r="M25" i="5"/>
  <c r="L355" i="7" s="1"/>
  <c r="G458" i="3"/>
  <c r="M46" i="5"/>
  <c r="F353" i="7"/>
  <c r="G438" i="3"/>
  <c r="M26" i="5"/>
  <c r="E743" i="7"/>
  <c r="G764" i="7"/>
  <c r="H764" i="7"/>
  <c r="E764" i="7"/>
  <c r="F743" i="7"/>
  <c r="F722" i="7"/>
  <c r="I722" i="7"/>
  <c r="F764" i="7"/>
  <c r="G722" i="7"/>
  <c r="H722" i="7"/>
  <c r="J764" i="7"/>
  <c r="J722" i="7"/>
  <c r="J743" i="7"/>
  <c r="E722" i="7"/>
  <c r="G743" i="7"/>
  <c r="H743" i="7"/>
  <c r="K743" i="7"/>
  <c r="K764" i="7"/>
  <c r="K722" i="7"/>
  <c r="L376" i="3"/>
  <c r="L372" i="3"/>
  <c r="L379" i="3"/>
  <c r="L373" i="3"/>
  <c r="M84" i="2"/>
  <c r="G423" i="3"/>
  <c r="E423" i="3"/>
  <c r="F423" i="3"/>
  <c r="E422" i="3"/>
  <c r="C76" i="8" s="1"/>
  <c r="G422" i="3"/>
  <c r="E76" i="8" s="1"/>
  <c r="F422" i="3"/>
  <c r="D76" i="8" s="1"/>
  <c r="M62" i="2"/>
  <c r="M63" i="2"/>
  <c r="M49" i="2"/>
  <c r="N49" i="2" s="1"/>
  <c r="O49" i="2" s="1"/>
  <c r="P49" i="2" s="1"/>
  <c r="Q49" i="2" s="1"/>
  <c r="R49" i="2" s="1"/>
  <c r="S49" i="2" s="1"/>
  <c r="T49" i="2" s="1"/>
  <c r="U49" i="2" s="1"/>
  <c r="V49" i="2" s="1"/>
  <c r="W49" i="2" s="1"/>
  <c r="X49" i="2" s="1"/>
  <c r="Y49" i="2" s="1"/>
  <c r="M61" i="2"/>
  <c r="M48" i="2"/>
  <c r="N48" i="2" s="1"/>
  <c r="O48" i="2" s="1"/>
  <c r="P48" i="2" s="1"/>
  <c r="Q48" i="2" s="1"/>
  <c r="R48" i="2" s="1"/>
  <c r="S48" i="2" s="1"/>
  <c r="T48" i="2" s="1"/>
  <c r="U48" i="2" s="1"/>
  <c r="V48" i="2" s="1"/>
  <c r="W48" i="2" s="1"/>
  <c r="X48" i="2" s="1"/>
  <c r="Y48" i="2" s="1"/>
  <c r="M472" i="7"/>
  <c r="O173" i="5"/>
  <c r="N683" i="7" s="1"/>
  <c r="O172" i="5"/>
  <c r="N682" i="7" s="1"/>
  <c r="P142" i="5"/>
  <c r="Q142" i="5" s="1"/>
  <c r="P86" i="5"/>
  <c r="Q86" i="5" s="1"/>
  <c r="O77" i="5"/>
  <c r="P77" i="5" s="1"/>
  <c r="P144" i="5"/>
  <c r="Q144" i="5" s="1"/>
  <c r="Q76" i="5"/>
  <c r="R76" i="5" s="1"/>
  <c r="S76" i="5" s="1"/>
  <c r="P91" i="5"/>
  <c r="Q91" i="5" s="1"/>
  <c r="R91" i="5" s="1"/>
  <c r="P88" i="5"/>
  <c r="Q88" i="5" s="1"/>
  <c r="R88" i="5" s="1"/>
  <c r="P120" i="5"/>
  <c r="Q120" i="5" s="1"/>
  <c r="R120" i="5" s="1"/>
  <c r="S120" i="5" s="1"/>
  <c r="P126" i="5"/>
  <c r="Q126" i="5" s="1"/>
  <c r="R126" i="5" s="1"/>
  <c r="O167" i="5"/>
  <c r="N677" i="7" s="1"/>
  <c r="O72" i="5"/>
  <c r="O153" i="5"/>
  <c r="N663" i="7" s="1"/>
  <c r="P74" i="5"/>
  <c r="Q74" i="5" s="1"/>
  <c r="P129" i="5"/>
  <c r="Q129" i="5" s="1"/>
  <c r="O155" i="5"/>
  <c r="N665" i="7" s="1"/>
  <c r="O165" i="5"/>
  <c r="N675" i="7" s="1"/>
  <c r="O95" i="5"/>
  <c r="N605" i="7" s="1"/>
  <c r="P75" i="5"/>
  <c r="P150" i="5"/>
  <c r="Q150" i="5" s="1"/>
  <c r="R150" i="5" s="1"/>
  <c r="O93" i="5"/>
  <c r="Q54" i="5"/>
  <c r="P136" i="5"/>
  <c r="O301" i="7" s="1"/>
  <c r="Q123" i="5"/>
  <c r="R123" i="5" s="1"/>
  <c r="P131" i="5"/>
  <c r="O139" i="5"/>
  <c r="P139" i="5" s="1"/>
  <c r="Q139" i="5" s="1"/>
  <c r="O158" i="5"/>
  <c r="P133" i="5"/>
  <c r="O171" i="5"/>
  <c r="N681" i="7" s="1"/>
  <c r="P79" i="5"/>
  <c r="O160" i="5"/>
  <c r="N670" i="7" s="1"/>
  <c r="O80" i="5"/>
  <c r="P80" i="5" s="1"/>
  <c r="Q137" i="5"/>
  <c r="R137" i="5" s="1"/>
  <c r="S137" i="5" s="1"/>
  <c r="P73" i="5"/>
  <c r="Q73" i="5" s="1"/>
  <c r="Q87" i="5"/>
  <c r="O67" i="5"/>
  <c r="P78" i="5"/>
  <c r="Q78" i="5" s="1"/>
  <c r="P94" i="5"/>
  <c r="O116" i="5"/>
  <c r="O161" i="5"/>
  <c r="O163" i="5"/>
  <c r="N673" i="7" s="1"/>
  <c r="P140" i="5"/>
  <c r="Q140" i="5" s="1"/>
  <c r="O125" i="5"/>
  <c r="O102" i="5"/>
  <c r="P102" i="5" s="1"/>
  <c r="O152" i="5"/>
  <c r="N662" i="7" s="1"/>
  <c r="P141" i="5"/>
  <c r="P115" i="5"/>
  <c r="Q115" i="5" s="1"/>
  <c r="O151" i="5"/>
  <c r="O143" i="5"/>
  <c r="N653" i="7" s="1"/>
  <c r="O127" i="5"/>
  <c r="P127" i="5" s="1"/>
  <c r="P145" i="5"/>
  <c r="O655" i="7" s="1"/>
  <c r="P128" i="5"/>
  <c r="Q128" i="5" s="1"/>
  <c r="P147" i="5"/>
  <c r="Q147" i="5" s="1"/>
  <c r="O58" i="5"/>
  <c r="O157" i="5"/>
  <c r="P162" i="5"/>
  <c r="O672" i="7" s="1"/>
  <c r="O57" i="5"/>
  <c r="Q101" i="5"/>
  <c r="R101" i="5" s="1"/>
  <c r="S101" i="5" s="1"/>
  <c r="P121" i="5"/>
  <c r="Q121" i="5" s="1"/>
  <c r="O149" i="5"/>
  <c r="N314" i="7" s="1"/>
  <c r="O168" i="5"/>
  <c r="N678" i="7" s="1"/>
  <c r="Q66" i="5"/>
  <c r="R66" i="5" s="1"/>
  <c r="S66" i="5" s="1"/>
  <c r="O83" i="5"/>
  <c r="N248" i="7" s="1"/>
  <c r="O100" i="5"/>
  <c r="N610" i="7" s="1"/>
  <c r="O138" i="5"/>
  <c r="N648" i="7" s="1"/>
  <c r="Q124" i="5"/>
  <c r="R124" i="5" s="1"/>
  <c r="P132" i="5"/>
  <c r="P119" i="5"/>
  <c r="O629" i="7" s="1"/>
  <c r="Q56" i="5"/>
  <c r="O148" i="5"/>
  <c r="P148" i="5" s="1"/>
  <c r="O146" i="5"/>
  <c r="O154" i="5"/>
  <c r="P122" i="5"/>
  <c r="O130" i="5"/>
  <c r="O114" i="5"/>
  <c r="O103" i="5"/>
  <c r="J181" i="8"/>
  <c r="L85" i="2"/>
  <c r="K64" i="5"/>
  <c r="J85" i="2"/>
  <c r="I229" i="3"/>
  <c r="I85" i="2"/>
  <c r="H229" i="3"/>
  <c r="H85" i="2"/>
  <c r="G229" i="3"/>
  <c r="G85" i="2"/>
  <c r="I181" i="8"/>
  <c r="K85" i="2"/>
  <c r="F85" i="2"/>
  <c r="W372" i="7"/>
  <c r="W255" i="7"/>
  <c r="W420" i="7"/>
  <c r="W600" i="7"/>
  <c r="M421" i="7"/>
  <c r="X602" i="7"/>
  <c r="X257" i="7"/>
  <c r="Y422" i="7"/>
  <c r="M458" i="7"/>
  <c r="M638" i="7"/>
  <c r="M639" i="7"/>
  <c r="M459" i="7"/>
  <c r="Y297" i="3"/>
  <c r="X297" i="3"/>
  <c r="Y288" i="3"/>
  <c r="X288" i="3"/>
  <c r="Y294" i="3"/>
  <c r="X294" i="3"/>
  <c r="M633" i="7"/>
  <c r="M453" i="7"/>
  <c r="M641" i="7"/>
  <c r="M461" i="7"/>
  <c r="M640" i="7"/>
  <c r="M460" i="7"/>
  <c r="M634" i="7"/>
  <c r="M454" i="7"/>
  <c r="M635" i="7"/>
  <c r="M455" i="7"/>
  <c r="Y289" i="3"/>
  <c r="X289" i="3"/>
  <c r="Y290" i="3"/>
  <c r="X290" i="3"/>
  <c r="M642" i="7"/>
  <c r="M462" i="7"/>
  <c r="M637" i="7"/>
  <c r="M457" i="7"/>
  <c r="Y292" i="3"/>
  <c r="X292" i="3"/>
  <c r="Y293" i="3"/>
  <c r="X293" i="3"/>
  <c r="Y295" i="3"/>
  <c r="X295" i="3"/>
  <c r="N291" i="7"/>
  <c r="M636" i="7"/>
  <c r="M456" i="7"/>
  <c r="Y291" i="3"/>
  <c r="X291" i="3"/>
  <c r="Y296" i="3"/>
  <c r="X296" i="3"/>
  <c r="Y87" i="3"/>
  <c r="X87" i="3"/>
  <c r="Y326" i="3"/>
  <c r="X326" i="3"/>
  <c r="Y325" i="3"/>
  <c r="X325" i="3"/>
  <c r="Y327" i="3"/>
  <c r="X327" i="3"/>
  <c r="Y331" i="3"/>
  <c r="X331" i="3"/>
  <c r="Y86" i="3"/>
  <c r="X86" i="3"/>
  <c r="Y236" i="3"/>
  <c r="X236" i="3"/>
  <c r="Y203" i="3"/>
  <c r="X203" i="3"/>
  <c r="K252" i="8"/>
  <c r="X253" i="3"/>
  <c r="X88" i="3"/>
  <c r="X258" i="3"/>
  <c r="X93" i="3"/>
  <c r="Y332" i="3"/>
  <c r="X332" i="3"/>
  <c r="Y235" i="3"/>
  <c r="X235" i="3"/>
  <c r="Y232" i="3"/>
  <c r="X232" i="3"/>
  <c r="Y330" i="3"/>
  <c r="X381" i="3" s="1"/>
  <c r="X330" i="3"/>
  <c r="W381" i="3" s="1"/>
  <c r="Y329" i="3"/>
  <c r="X329" i="3"/>
  <c r="Y205" i="3"/>
  <c r="X205" i="3"/>
  <c r="Y231" i="3"/>
  <c r="X231" i="3"/>
  <c r="Y328" i="3"/>
  <c r="X380" i="3" s="1"/>
  <c r="X328" i="3"/>
  <c r="W380" i="3" s="1"/>
  <c r="X91" i="3"/>
  <c r="X256" i="3"/>
  <c r="Y94" i="3"/>
  <c r="X94" i="3"/>
  <c r="M493" i="7"/>
  <c r="L746" i="7" s="1"/>
  <c r="W373" i="7"/>
  <c r="M495" i="7"/>
  <c r="L747" i="7" s="1"/>
  <c r="X367" i="7"/>
  <c r="X547" i="7"/>
  <c r="X202" i="7"/>
  <c r="M494" i="7"/>
  <c r="M492" i="7"/>
  <c r="W370" i="7"/>
  <c r="W550" i="7"/>
  <c r="W205" i="7"/>
  <c r="Y551" i="7"/>
  <c r="Y206" i="7"/>
  <c r="Y371" i="7"/>
  <c r="X42" i="3"/>
  <c r="W546" i="7"/>
  <c r="W201" i="7"/>
  <c r="M660" i="7"/>
  <c r="M585" i="7"/>
  <c r="V132" i="14"/>
  <c r="V96" i="14" s="1"/>
  <c r="U96" i="14"/>
  <c r="V129" i="14"/>
  <c r="V95" i="14" s="1"/>
  <c r="U95" i="14"/>
  <c r="T94" i="14"/>
  <c r="U121" i="14"/>
  <c r="R24" i="4"/>
  <c r="U21" i="4"/>
  <c r="R23" i="4"/>
  <c r="U20" i="4"/>
  <c r="R22" i="4"/>
  <c r="U25" i="4"/>
  <c r="U24" i="4"/>
  <c r="U23" i="4"/>
  <c r="R25" i="4"/>
  <c r="U22" i="4"/>
  <c r="M587" i="7"/>
  <c r="M611" i="7"/>
  <c r="M449" i="7"/>
  <c r="M613" i="7"/>
  <c r="M387" i="7"/>
  <c r="M586" i="7"/>
  <c r="M221" i="7"/>
  <c r="M577" i="7"/>
  <c r="N309" i="7"/>
  <c r="L768" i="7"/>
  <c r="N322" i="3"/>
  <c r="N184" i="3"/>
  <c r="M349" i="7"/>
  <c r="N186" i="3"/>
  <c r="I59" i="3"/>
  <c r="J59" i="5"/>
  <c r="I41" i="7" s="1"/>
  <c r="H59" i="3"/>
  <c r="I59" i="5"/>
  <c r="K46" i="3"/>
  <c r="I47" i="3"/>
  <c r="G59" i="3"/>
  <c r="H59" i="5"/>
  <c r="G41" i="7" s="1"/>
  <c r="J46" i="3"/>
  <c r="I46" i="3"/>
  <c r="G47" i="3"/>
  <c r="G45" i="7"/>
  <c r="L46" i="3"/>
  <c r="L44" i="7"/>
  <c r="H46" i="3"/>
  <c r="H44" i="7"/>
  <c r="F46" i="3"/>
  <c r="G59" i="5"/>
  <c r="F41" i="7" s="1"/>
  <c r="F59" i="3"/>
  <c r="L59" i="3"/>
  <c r="M59" i="5"/>
  <c r="L41" i="7" s="1"/>
  <c r="G46" i="3"/>
  <c r="N45" i="3"/>
  <c r="K59" i="3"/>
  <c r="L59" i="5"/>
  <c r="K41" i="7" s="1"/>
  <c r="F45" i="7"/>
  <c r="L47" i="3"/>
  <c r="L45" i="7"/>
  <c r="J59" i="3"/>
  <c r="K59" i="5"/>
  <c r="J41" i="7" s="1"/>
  <c r="K47" i="3"/>
  <c r="N334" i="3"/>
  <c r="N178" i="3"/>
  <c r="N146" i="3"/>
  <c r="N343" i="3"/>
  <c r="O323" i="3"/>
  <c r="N158" i="3"/>
  <c r="N174" i="3"/>
  <c r="N137" i="3"/>
  <c r="M629" i="7"/>
  <c r="N189" i="3"/>
  <c r="N302" i="3"/>
  <c r="N156" i="3"/>
  <c r="N175" i="3"/>
  <c r="K276" i="8"/>
  <c r="N162" i="3"/>
  <c r="N159" i="3"/>
  <c r="N154" i="3"/>
  <c r="N311" i="3"/>
  <c r="N320" i="3"/>
  <c r="N143" i="3"/>
  <c r="N141" i="3"/>
  <c r="L275" i="8"/>
  <c r="O341" i="3"/>
  <c r="N164" i="3"/>
  <c r="K275" i="8"/>
  <c r="N169" i="3"/>
  <c r="F51" i="3"/>
  <c r="D230" i="8" s="1"/>
  <c r="G51" i="5"/>
  <c r="F33" i="7" s="1"/>
  <c r="L51" i="3"/>
  <c r="J230" i="8" s="1"/>
  <c r="M51" i="5"/>
  <c r="G65" i="3"/>
  <c r="E242" i="8" s="1"/>
  <c r="H65" i="5"/>
  <c r="J52" i="3"/>
  <c r="H231" i="8" s="1"/>
  <c r="K52" i="5"/>
  <c r="J34" i="7" s="1"/>
  <c r="K51" i="3"/>
  <c r="I230" i="8" s="1"/>
  <c r="L51" i="5"/>
  <c r="K33" i="7" s="1"/>
  <c r="I52" i="3"/>
  <c r="G231" i="8" s="1"/>
  <c r="J52" i="5"/>
  <c r="I34" i="7" s="1"/>
  <c r="N80" i="3"/>
  <c r="J51" i="3"/>
  <c r="H230" i="8" s="1"/>
  <c r="K51" i="5"/>
  <c r="J33" i="7" s="1"/>
  <c r="I52" i="5"/>
  <c r="H34" i="7" s="1"/>
  <c r="H52" i="3"/>
  <c r="F231" i="8" s="1"/>
  <c r="N160" i="3"/>
  <c r="J51" i="5"/>
  <c r="I51" i="3"/>
  <c r="G230" i="8" s="1"/>
  <c r="L65" i="3"/>
  <c r="J242" i="8" s="1"/>
  <c r="M65" i="5"/>
  <c r="G52" i="3"/>
  <c r="E231" i="8" s="1"/>
  <c r="H52" i="5"/>
  <c r="G34" i="7" s="1"/>
  <c r="F65" i="3"/>
  <c r="D242" i="8" s="1"/>
  <c r="G65" i="5"/>
  <c r="K52" i="3"/>
  <c r="I231" i="8" s="1"/>
  <c r="L52" i="5"/>
  <c r="K34" i="7" s="1"/>
  <c r="H51" i="3"/>
  <c r="F230" i="8" s="1"/>
  <c r="I51" i="5"/>
  <c r="H33" i="7" s="1"/>
  <c r="K65" i="3"/>
  <c r="I242" i="8" s="1"/>
  <c r="L65" i="5"/>
  <c r="I65" i="5"/>
  <c r="H65" i="3"/>
  <c r="F242" i="8" s="1"/>
  <c r="G51" i="3"/>
  <c r="E230" i="8" s="1"/>
  <c r="H51" i="5"/>
  <c r="G33" i="7" s="1"/>
  <c r="J65" i="3"/>
  <c r="H242" i="8" s="1"/>
  <c r="K65" i="5"/>
  <c r="N176" i="3"/>
  <c r="N170" i="3"/>
  <c r="F52" i="3"/>
  <c r="D231" i="8" s="1"/>
  <c r="G52" i="5"/>
  <c r="F34" i="7" s="1"/>
  <c r="I65" i="3"/>
  <c r="G242" i="8" s="1"/>
  <c r="J65" i="5"/>
  <c r="L52" i="3"/>
  <c r="J231" i="8" s="1"/>
  <c r="M52" i="5"/>
  <c r="L34" i="7" s="1"/>
  <c r="N157" i="3"/>
  <c r="H50" i="3"/>
  <c r="F229" i="8" s="1"/>
  <c r="I50" i="5"/>
  <c r="H32" i="7" s="1"/>
  <c r="O79" i="3"/>
  <c r="N153" i="3"/>
  <c r="G50" i="3"/>
  <c r="E229" i="8" s="1"/>
  <c r="H50" i="5"/>
  <c r="G32" i="7" s="1"/>
  <c r="M316" i="7"/>
  <c r="N145" i="3"/>
  <c r="N168" i="3"/>
  <c r="J50" i="3"/>
  <c r="H229" i="8" s="1"/>
  <c r="K50" i="5"/>
  <c r="J32" i="7" s="1"/>
  <c r="I50" i="3"/>
  <c r="G229" i="8" s="1"/>
  <c r="J50" i="5"/>
  <c r="I32" i="7" s="1"/>
  <c r="M151" i="7"/>
  <c r="O192" i="3"/>
  <c r="M481" i="7"/>
  <c r="N58" i="3"/>
  <c r="L235" i="8" s="1"/>
  <c r="N56" i="3"/>
  <c r="L233" i="8" s="1"/>
  <c r="N78" i="3"/>
  <c r="L251" i="8" s="1"/>
  <c r="F50" i="3"/>
  <c r="D229" i="8" s="1"/>
  <c r="G50" i="5"/>
  <c r="F32" i="7" s="1"/>
  <c r="M50" i="5"/>
  <c r="L32" i="7" s="1"/>
  <c r="L50" i="3"/>
  <c r="J229" i="8" s="1"/>
  <c r="L50" i="5"/>
  <c r="K32" i="7" s="1"/>
  <c r="K50" i="3"/>
  <c r="I229" i="8" s="1"/>
  <c r="N172" i="3"/>
  <c r="N319" i="3"/>
  <c r="N132" i="3"/>
  <c r="P554" i="7"/>
  <c r="N336" i="3"/>
  <c r="M605" i="7"/>
  <c r="N171" i="3"/>
  <c r="N337" i="3"/>
  <c r="M223" i="7"/>
  <c r="M388" i="7"/>
  <c r="M568" i="7"/>
  <c r="N352" i="7"/>
  <c r="M174" i="7"/>
  <c r="M652" i="7"/>
  <c r="M260" i="7"/>
  <c r="M425" i="7"/>
  <c r="M150" i="7"/>
  <c r="M315" i="7"/>
  <c r="M480" i="7"/>
  <c r="M307" i="7"/>
  <c r="M293" i="7"/>
  <c r="M544" i="7"/>
  <c r="M292" i="7"/>
  <c r="M199" i="7"/>
  <c r="K96" i="3"/>
  <c r="I264" i="8" s="1"/>
  <c r="L96" i="5"/>
  <c r="K118" i="3"/>
  <c r="L118" i="5"/>
  <c r="J97" i="5"/>
  <c r="I97" i="3"/>
  <c r="G265" i="8" s="1"/>
  <c r="M82" i="5"/>
  <c r="L82" i="3"/>
  <c r="J254" i="8" s="1"/>
  <c r="K117" i="5"/>
  <c r="J117" i="3"/>
  <c r="F82" i="3"/>
  <c r="D254" i="8" s="1"/>
  <c r="G82" i="5"/>
  <c r="G117" i="5"/>
  <c r="F117" i="3"/>
  <c r="E359" i="3" s="1"/>
  <c r="I117" i="3"/>
  <c r="J117" i="5"/>
  <c r="M98" i="5"/>
  <c r="L98" i="3"/>
  <c r="J96" i="3"/>
  <c r="H264" i="8" s="1"/>
  <c r="K96" i="5"/>
  <c r="K118" i="5"/>
  <c r="J118" i="3"/>
  <c r="I97" i="5"/>
  <c r="H97" i="3"/>
  <c r="F265" i="8" s="1"/>
  <c r="L82" i="5"/>
  <c r="K82" i="3"/>
  <c r="I254" i="8" s="1"/>
  <c r="M242" i="7"/>
  <c r="H96" i="5"/>
  <c r="G96" i="3"/>
  <c r="E264" i="8" s="1"/>
  <c r="G98" i="5"/>
  <c r="F98" i="3"/>
  <c r="J96" i="5"/>
  <c r="I96" i="3"/>
  <c r="G264" i="8" s="1"/>
  <c r="M81" i="5"/>
  <c r="L35" i="7" s="1"/>
  <c r="L81" i="3"/>
  <c r="J118" i="5"/>
  <c r="I118" i="3"/>
  <c r="M99" i="5"/>
  <c r="L99" i="3"/>
  <c r="H97" i="5"/>
  <c r="G97" i="3"/>
  <c r="E265" i="8" s="1"/>
  <c r="J82" i="3"/>
  <c r="H254" i="8" s="1"/>
  <c r="K82" i="5"/>
  <c r="M407" i="7"/>
  <c r="I117" i="5"/>
  <c r="H117" i="3"/>
  <c r="F96" i="3"/>
  <c r="D264" i="8" s="1"/>
  <c r="G96" i="5"/>
  <c r="H117" i="5"/>
  <c r="G117" i="3"/>
  <c r="I96" i="5"/>
  <c r="H96" i="3"/>
  <c r="F264" i="8" s="1"/>
  <c r="L48" i="5"/>
  <c r="L81" i="5"/>
  <c r="K35" i="7" s="1"/>
  <c r="K81" i="3"/>
  <c r="G118" i="5"/>
  <c r="F118" i="3"/>
  <c r="I118" i="5"/>
  <c r="H118" i="3"/>
  <c r="I82" i="3"/>
  <c r="G254" i="8" s="1"/>
  <c r="J82" i="5"/>
  <c r="K81" i="5"/>
  <c r="J35" i="7" s="1"/>
  <c r="J81" i="3"/>
  <c r="I82" i="5"/>
  <c r="H82" i="3"/>
  <c r="F254" i="8" s="1"/>
  <c r="H118" i="5"/>
  <c r="G118" i="3"/>
  <c r="J81" i="5"/>
  <c r="I35" i="7" s="1"/>
  <c r="I81" i="3"/>
  <c r="M97" i="5"/>
  <c r="L97" i="3"/>
  <c r="J265" i="8" s="1"/>
  <c r="H82" i="5"/>
  <c r="G82" i="3"/>
  <c r="E254" i="8" s="1"/>
  <c r="F81" i="3"/>
  <c r="G81" i="5"/>
  <c r="F35" i="7" s="1"/>
  <c r="H81" i="3"/>
  <c r="I81" i="5"/>
  <c r="H35" i="7" s="1"/>
  <c r="L97" i="5"/>
  <c r="K97" i="3"/>
  <c r="I265" i="8" s="1"/>
  <c r="G99" i="5"/>
  <c r="F99" i="3"/>
  <c r="D266" i="8" s="1"/>
  <c r="D279" i="8" s="1"/>
  <c r="M117" i="5"/>
  <c r="L117" i="3"/>
  <c r="L96" i="3"/>
  <c r="J264" i="8" s="1"/>
  <c r="M96" i="5"/>
  <c r="G81" i="3"/>
  <c r="H81" i="5"/>
  <c r="G35" i="7" s="1"/>
  <c r="L118" i="3"/>
  <c r="M118" i="5"/>
  <c r="L124" i="7" s="1"/>
  <c r="K97" i="5"/>
  <c r="J97" i="3"/>
  <c r="H265" i="8" s="1"/>
  <c r="L117" i="5"/>
  <c r="K117" i="3"/>
  <c r="F97" i="3"/>
  <c r="D265" i="8" s="1"/>
  <c r="G97" i="5"/>
  <c r="M294" i="7"/>
  <c r="M241" i="7"/>
  <c r="M284" i="7"/>
  <c r="M406" i="7"/>
  <c r="M364" i="7"/>
  <c r="M240" i="7"/>
  <c r="M143" i="7"/>
  <c r="M248" i="7"/>
  <c r="M405" i="7"/>
  <c r="M504" i="7"/>
  <c r="M567" i="7"/>
  <c r="K215" i="8"/>
  <c r="M386" i="7"/>
  <c r="M173" i="7"/>
  <c r="M166" i="7"/>
  <c r="L726" i="7"/>
  <c r="M503" i="7"/>
  <c r="M496" i="7"/>
  <c r="M232" i="7"/>
  <c r="M397" i="7"/>
  <c r="M413" i="7"/>
  <c r="M322" i="7"/>
  <c r="M286" i="7"/>
  <c r="M593" i="7"/>
  <c r="M487" i="7"/>
  <c r="M451" i="7"/>
  <c r="M631" i="7"/>
  <c r="M259" i="7"/>
  <c r="M424" i="7"/>
  <c r="M604" i="7"/>
  <c r="K216" i="8"/>
  <c r="M488" i="7"/>
  <c r="M266" i="7"/>
  <c r="N351" i="7"/>
  <c r="M267" i="7"/>
  <c r="M323" i="7"/>
  <c r="M431" i="7"/>
  <c r="M432" i="7"/>
  <c r="M566" i="7"/>
  <c r="M268" i="7"/>
  <c r="M433" i="7"/>
  <c r="M308" i="7"/>
  <c r="M473" i="7"/>
  <c r="M222" i="7"/>
  <c r="D180" i="8"/>
  <c r="F228" i="3"/>
  <c r="F63" i="3"/>
  <c r="D240" i="8" s="1"/>
  <c r="G63" i="5"/>
  <c r="D178" i="8"/>
  <c r="F226" i="3"/>
  <c r="F196" i="8"/>
  <c r="H249" i="3"/>
  <c r="H84" i="3"/>
  <c r="F256" i="8" s="1"/>
  <c r="I84" i="5"/>
  <c r="J179" i="8"/>
  <c r="L227" i="3"/>
  <c r="L62" i="3"/>
  <c r="J239" i="8" s="1"/>
  <c r="M62" i="5"/>
  <c r="E168" i="8"/>
  <c r="G214" i="3"/>
  <c r="G49" i="3"/>
  <c r="E228" i="8" s="1"/>
  <c r="E196" i="8"/>
  <c r="G249" i="3"/>
  <c r="G84" i="3"/>
  <c r="E256" i="8" s="1"/>
  <c r="H84" i="5"/>
  <c r="I179" i="8"/>
  <c r="K227" i="3"/>
  <c r="K62" i="3"/>
  <c r="I239" i="8" s="1"/>
  <c r="L62" i="5"/>
  <c r="K44" i="7" s="1"/>
  <c r="N539" i="7"/>
  <c r="N359" i="7"/>
  <c r="N194" i="7"/>
  <c r="G196" i="8"/>
  <c r="I249" i="3"/>
  <c r="I84" i="3"/>
  <c r="G256" i="8" s="1"/>
  <c r="J84" i="5"/>
  <c r="N541" i="7"/>
  <c r="N361" i="7"/>
  <c r="N196" i="7"/>
  <c r="I178" i="8"/>
  <c r="K226" i="3"/>
  <c r="E178" i="8"/>
  <c r="G226" i="3"/>
  <c r="J178" i="8"/>
  <c r="L226" i="3"/>
  <c r="E180" i="8"/>
  <c r="G228" i="3"/>
  <c r="G63" i="3"/>
  <c r="E240" i="8" s="1"/>
  <c r="H63" i="5"/>
  <c r="H178" i="8"/>
  <c r="J226" i="3"/>
  <c r="I168" i="8"/>
  <c r="K214" i="3"/>
  <c r="K49" i="3"/>
  <c r="I228" i="8" s="1"/>
  <c r="N650" i="7"/>
  <c r="N470" i="7"/>
  <c r="N305" i="7"/>
  <c r="G178" i="8"/>
  <c r="I226" i="3"/>
  <c r="J180" i="8"/>
  <c r="L228" i="3"/>
  <c r="L63" i="3"/>
  <c r="J240" i="8" s="1"/>
  <c r="M63" i="5"/>
  <c r="N588" i="7"/>
  <c r="N408" i="7"/>
  <c r="N243" i="7"/>
  <c r="D196" i="8"/>
  <c r="F249" i="3"/>
  <c r="G84" i="5"/>
  <c r="F84" i="3"/>
  <c r="H196" i="8"/>
  <c r="J249" i="3"/>
  <c r="J84" i="3"/>
  <c r="H256" i="8" s="1"/>
  <c r="K84" i="5"/>
  <c r="F178" i="8"/>
  <c r="H226" i="3"/>
  <c r="H167" i="8"/>
  <c r="J213" i="3"/>
  <c r="J48" i="3"/>
  <c r="M67" i="3"/>
  <c r="K244" i="8" s="1"/>
  <c r="L171" i="8"/>
  <c r="N217" i="3"/>
  <c r="M189" i="8"/>
  <c r="O241" i="3"/>
  <c r="O76" i="3"/>
  <c r="M249" i="8" s="1"/>
  <c r="M589" i="7"/>
  <c r="M409" i="7"/>
  <c r="M244" i="7"/>
  <c r="O259" i="3"/>
  <c r="N657" i="7"/>
  <c r="N477" i="7"/>
  <c r="N312" i="7"/>
  <c r="H180" i="8"/>
  <c r="J228" i="3"/>
  <c r="J63" i="3"/>
  <c r="H240" i="8" s="1"/>
  <c r="K63" i="5"/>
  <c r="J45" i="7" s="1"/>
  <c r="L172" i="8"/>
  <c r="N220" i="3"/>
  <c r="N55" i="3"/>
  <c r="L232" i="8" s="1"/>
  <c r="N646" i="7"/>
  <c r="N466" i="7"/>
  <c r="N301" i="7"/>
  <c r="M295" i="7"/>
  <c r="M555" i="7"/>
  <c r="M375" i="7"/>
  <c r="M210" i="7"/>
  <c r="O34" i="3"/>
  <c r="N201" i="3"/>
  <c r="N188" i="3"/>
  <c r="N263" i="3"/>
  <c r="M500" i="7"/>
  <c r="M170" i="7"/>
  <c r="O300" i="3"/>
  <c r="M610" i="7"/>
  <c r="M430" i="7"/>
  <c r="M265" i="7"/>
  <c r="L767" i="7"/>
  <c r="M328" i="7"/>
  <c r="L725" i="7" s="1"/>
  <c r="O303" i="3"/>
  <c r="O138" i="3"/>
  <c r="O211" i="3"/>
  <c r="M192" i="8"/>
  <c r="O245" i="3"/>
  <c r="N128" i="3"/>
  <c r="O32" i="3"/>
  <c r="N317" i="3"/>
  <c r="N152" i="3"/>
  <c r="O130" i="3"/>
  <c r="N486" i="7"/>
  <c r="N321" i="7"/>
  <c r="M553" i="7"/>
  <c r="M208" i="7"/>
  <c r="M646" i="7"/>
  <c r="M466" i="7"/>
  <c r="M301" i="7"/>
  <c r="M625" i="7"/>
  <c r="M445" i="7"/>
  <c r="M280" i="7"/>
  <c r="M506" i="7"/>
  <c r="M176" i="7"/>
  <c r="I180" i="8"/>
  <c r="K228" i="3"/>
  <c r="K63" i="3"/>
  <c r="I240" i="8" s="1"/>
  <c r="L63" i="5"/>
  <c r="K45" i="7" s="1"/>
  <c r="M656" i="7"/>
  <c r="M476" i="7"/>
  <c r="M311" i="7"/>
  <c r="O312" i="3"/>
  <c r="O147" i="3"/>
  <c r="O321" i="3"/>
  <c r="O156" i="3"/>
  <c r="M601" i="7"/>
  <c r="M256" i="7"/>
  <c r="O302" i="3"/>
  <c r="O137" i="3"/>
  <c r="M187" i="8"/>
  <c r="O238" i="3"/>
  <c r="O73" i="3"/>
  <c r="M247" i="8" s="1"/>
  <c r="M186" i="8"/>
  <c r="O237" i="3"/>
  <c r="O72" i="3"/>
  <c r="M246" i="8" s="1"/>
  <c r="M647" i="7"/>
  <c r="M467" i="7"/>
  <c r="M302" i="7"/>
  <c r="F179" i="8"/>
  <c r="H227" i="3"/>
  <c r="H62" i="3"/>
  <c r="F239" i="8" s="1"/>
  <c r="I62" i="5"/>
  <c r="G180" i="8"/>
  <c r="I228" i="3"/>
  <c r="I63" i="3"/>
  <c r="G240" i="8" s="1"/>
  <c r="J63" i="5"/>
  <c r="I45" i="7" s="1"/>
  <c r="O542" i="7"/>
  <c r="O362" i="7"/>
  <c r="O197" i="7"/>
  <c r="L176" i="8"/>
  <c r="N224" i="3"/>
  <c r="O313" i="3"/>
  <c r="O306" i="3"/>
  <c r="L182" i="8"/>
  <c r="N230" i="3"/>
  <c r="O189" i="3"/>
  <c r="O240" i="3"/>
  <c r="M205" i="8"/>
  <c r="O262" i="3"/>
  <c r="O298" i="3"/>
  <c r="O133" i="3"/>
  <c r="M326" i="7"/>
  <c r="M491" i="7"/>
  <c r="M161" i="7"/>
  <c r="M193" i="8"/>
  <c r="O246" i="3"/>
  <c r="M584" i="7"/>
  <c r="M404" i="7"/>
  <c r="M239" i="7"/>
  <c r="M74" i="7"/>
  <c r="N507" i="7"/>
  <c r="M626" i="7"/>
  <c r="M446" i="7"/>
  <c r="M281" i="7"/>
  <c r="M508" i="7"/>
  <c r="M178" i="7"/>
  <c r="O198" i="3"/>
  <c r="O33" i="3"/>
  <c r="M185" i="8"/>
  <c r="N542" i="7"/>
  <c r="N362" i="7"/>
  <c r="N197" i="7"/>
  <c r="M501" i="7"/>
  <c r="M171" i="7"/>
  <c r="O275" i="3"/>
  <c r="O301" i="3"/>
  <c r="O136" i="3"/>
  <c r="O340" i="3"/>
  <c r="O175" i="3"/>
  <c r="O276" i="3"/>
  <c r="O316" i="3"/>
  <c r="N269" i="3"/>
  <c r="M376" i="3" s="1"/>
  <c r="O311" i="3"/>
  <c r="O146" i="3"/>
  <c r="O278" i="3"/>
  <c r="P244" i="3"/>
  <c r="P79" i="3"/>
  <c r="M291" i="7"/>
  <c r="M659" i="7"/>
  <c r="M479" i="7"/>
  <c r="M314" i="7"/>
  <c r="M149" i="7"/>
  <c r="M654" i="7"/>
  <c r="M474" i="7"/>
  <c r="M309" i="7"/>
  <c r="M144" i="7"/>
  <c r="M483" i="7"/>
  <c r="M318" i="7"/>
  <c r="M153" i="7"/>
  <c r="M194" i="8"/>
  <c r="O247" i="3"/>
  <c r="O143" i="3"/>
  <c r="N309" i="3"/>
  <c r="N144" i="3"/>
  <c r="O35" i="3"/>
  <c r="O200" i="3"/>
  <c r="G167" i="8"/>
  <c r="I48" i="3"/>
  <c r="I213" i="3"/>
  <c r="J48" i="5"/>
  <c r="I75" i="7" s="1"/>
  <c r="F167" i="8"/>
  <c r="H48" i="3"/>
  <c r="H213" i="3"/>
  <c r="I48" i="5"/>
  <c r="H75" i="7" s="1"/>
  <c r="I196" i="8"/>
  <c r="K249" i="3"/>
  <c r="K84" i="3"/>
  <c r="I256" i="8" s="1"/>
  <c r="L84" i="5"/>
  <c r="E167" i="8"/>
  <c r="G213" i="3"/>
  <c r="G48" i="3"/>
  <c r="H48" i="5"/>
  <c r="G75" i="7" s="1"/>
  <c r="F180" i="8"/>
  <c r="H228" i="3"/>
  <c r="H63" i="3"/>
  <c r="F240" i="8" s="1"/>
  <c r="I63" i="5"/>
  <c r="H45" i="7" s="1"/>
  <c r="M588" i="7"/>
  <c r="M408" i="7"/>
  <c r="M243" i="7"/>
  <c r="O196" i="3"/>
  <c r="O31" i="3"/>
  <c r="M499" i="7"/>
  <c r="M169" i="7"/>
  <c r="M198" i="8"/>
  <c r="O251" i="3"/>
  <c r="M603" i="7"/>
  <c r="M423" i="7"/>
  <c r="M258" i="7"/>
  <c r="N190" i="3"/>
  <c r="M289" i="7"/>
  <c r="P274" i="3"/>
  <c r="M173" i="8"/>
  <c r="O221" i="3"/>
  <c r="O56" i="3"/>
  <c r="M233" i="8" s="1"/>
  <c r="M191" i="8"/>
  <c r="O243" i="3"/>
  <c r="O310" i="3"/>
  <c r="N553" i="7"/>
  <c r="N208" i="7"/>
  <c r="M543" i="7"/>
  <c r="M363" i="7"/>
  <c r="M198" i="7"/>
  <c r="O342" i="3"/>
  <c r="O177" i="3"/>
  <c r="N167" i="3"/>
  <c r="O145" i="3"/>
  <c r="N307" i="3"/>
  <c r="N142" i="3"/>
  <c r="O199" i="3"/>
  <c r="M482" i="7"/>
  <c r="M317" i="7"/>
  <c r="M152" i="7"/>
  <c r="M296" i="7"/>
  <c r="O151" i="3"/>
  <c r="N315" i="3"/>
  <c r="N150" i="3"/>
  <c r="N555" i="7"/>
  <c r="N375" i="7"/>
  <c r="N210" i="7"/>
  <c r="J168" i="8"/>
  <c r="L214" i="3"/>
  <c r="L49" i="3"/>
  <c r="J228" i="8" s="1"/>
  <c r="M49" i="5"/>
  <c r="L31" i="7" s="1"/>
  <c r="L169" i="8"/>
  <c r="N215" i="3"/>
  <c r="D168" i="8"/>
  <c r="F214" i="3"/>
  <c r="K48" i="5"/>
  <c r="J75" i="7" s="1"/>
  <c r="O186" i="3"/>
  <c r="M188" i="8"/>
  <c r="O239" i="3"/>
  <c r="O74" i="3"/>
  <c r="M248" i="8" s="1"/>
  <c r="M203" i="8"/>
  <c r="O260" i="3"/>
  <c r="O95" i="3"/>
  <c r="M263" i="8" s="1"/>
  <c r="O324" i="3"/>
  <c r="O159" i="3"/>
  <c r="O308" i="3"/>
  <c r="M507" i="7"/>
  <c r="M177" i="7"/>
  <c r="N209" i="3"/>
  <c r="M373" i="3" s="1"/>
  <c r="N44" i="3"/>
  <c r="M564" i="7"/>
  <c r="M384" i="7"/>
  <c r="M219" i="7"/>
  <c r="M297" i="7"/>
  <c r="N554" i="7"/>
  <c r="N374" i="7"/>
  <c r="N209" i="7"/>
  <c r="M554" i="7"/>
  <c r="M374" i="7"/>
  <c r="M209" i="7"/>
  <c r="M290" i="7"/>
  <c r="M199" i="8"/>
  <c r="O252" i="3"/>
  <c r="O314" i="3"/>
  <c r="O149" i="3"/>
  <c r="O171" i="3"/>
  <c r="N338" i="3"/>
  <c r="N173" i="3"/>
  <c r="N285" i="3"/>
  <c r="N120" i="3"/>
  <c r="M170" i="8"/>
  <c r="O216" i="3"/>
  <c r="M202" i="8"/>
  <c r="M262" i="8"/>
  <c r="M324" i="7"/>
  <c r="M489" i="7"/>
  <c r="M159" i="7"/>
  <c r="M498" i="7"/>
  <c r="M168" i="7"/>
  <c r="F168" i="8"/>
  <c r="H214" i="3"/>
  <c r="N187" i="3"/>
  <c r="O160" i="3"/>
  <c r="M327" i="7"/>
  <c r="M162" i="7"/>
  <c r="O304" i="3"/>
  <c r="O139" i="3"/>
  <c r="J196" i="8"/>
  <c r="L249" i="3"/>
  <c r="L84" i="3"/>
  <c r="J256" i="8" s="1"/>
  <c r="M84" i="5"/>
  <c r="E179" i="8"/>
  <c r="G62" i="3"/>
  <c r="E239" i="8" s="1"/>
  <c r="G227" i="3"/>
  <c r="H62" i="5"/>
  <c r="G44" i="7" s="1"/>
  <c r="N279" i="3"/>
  <c r="N114" i="3"/>
  <c r="O273" i="3"/>
  <c r="M582" i="7"/>
  <c r="M402" i="7"/>
  <c r="M237" i="7"/>
  <c r="M649" i="7"/>
  <c r="M469" i="7"/>
  <c r="M304" i="7"/>
  <c r="O283" i="3"/>
  <c r="M565" i="7"/>
  <c r="M385" i="7"/>
  <c r="M220" i="7"/>
  <c r="M643" i="7"/>
  <c r="M463" i="7"/>
  <c r="M298" i="7"/>
  <c r="O284" i="3"/>
  <c r="O119" i="3"/>
  <c r="O305" i="3"/>
  <c r="M177" i="8"/>
  <c r="O225" i="3"/>
  <c r="M200" i="8"/>
  <c r="O286" i="3"/>
  <c r="L184" i="8"/>
  <c r="N194" i="3"/>
  <c r="N29" i="3"/>
  <c r="O131" i="3"/>
  <c r="O343" i="3"/>
  <c r="O178" i="3"/>
  <c r="N651" i="7"/>
  <c r="N471" i="7"/>
  <c r="N306" i="7"/>
  <c r="M542" i="7"/>
  <c r="M362" i="7"/>
  <c r="M197" i="7"/>
  <c r="M497" i="7"/>
  <c r="M167" i="7"/>
  <c r="M655" i="7"/>
  <c r="M475" i="7"/>
  <c r="M310" i="7"/>
  <c r="M539" i="7"/>
  <c r="M359" i="7"/>
  <c r="M194" i="7"/>
  <c r="O161" i="3"/>
  <c r="M208" i="8"/>
  <c r="O266" i="3"/>
  <c r="O101" i="3"/>
  <c r="M268" i="8" s="1"/>
  <c r="D167" i="8"/>
  <c r="F213" i="3"/>
  <c r="M46" i="3"/>
  <c r="G48" i="5"/>
  <c r="F48" i="3"/>
  <c r="O553" i="7"/>
  <c r="O208" i="7"/>
  <c r="J167" i="8"/>
  <c r="L213" i="3"/>
  <c r="L48" i="3"/>
  <c r="M48" i="5"/>
  <c r="H168" i="8"/>
  <c r="J214" i="3"/>
  <c r="J49" i="3"/>
  <c r="H228" i="8" s="1"/>
  <c r="D179" i="8"/>
  <c r="F227" i="3"/>
  <c r="F62" i="3"/>
  <c r="D239" i="8" s="1"/>
  <c r="G62" i="5"/>
  <c r="F44" i="7" s="1"/>
  <c r="L190" i="8"/>
  <c r="N242" i="3"/>
  <c r="N77" i="3"/>
  <c r="L250" i="8" s="1"/>
  <c r="O333" i="3"/>
  <c r="M541" i="7"/>
  <c r="M361" i="7"/>
  <c r="M196" i="7"/>
  <c r="O58" i="3"/>
  <c r="M235" i="8" s="1"/>
  <c r="L174" i="8"/>
  <c r="N222" i="3"/>
  <c r="N57" i="3"/>
  <c r="L234" i="8" s="1"/>
  <c r="O43" i="3"/>
  <c r="O208" i="3"/>
  <c r="M195" i="8"/>
  <c r="O248" i="3"/>
  <c r="O318" i="3"/>
  <c r="P282" i="3"/>
  <c r="O80" i="3"/>
  <c r="N212" i="3"/>
  <c r="O281" i="3"/>
  <c r="O116" i="3"/>
  <c r="M590" i="7"/>
  <c r="M410" i="7"/>
  <c r="M245" i="7"/>
  <c r="M657" i="7"/>
  <c r="M477" i="7"/>
  <c r="M312" i="7"/>
  <c r="M175" i="8"/>
  <c r="O223" i="3"/>
  <c r="M583" i="7"/>
  <c r="M403" i="7"/>
  <c r="M238" i="7"/>
  <c r="M73" i="7"/>
  <c r="M650" i="7"/>
  <c r="M470" i="7"/>
  <c r="M305" i="7"/>
  <c r="M201" i="8"/>
  <c r="O322" i="3"/>
  <c r="O157" i="3"/>
  <c r="N193" i="3"/>
  <c r="N165" i="3"/>
  <c r="O132" i="3"/>
  <c r="N299" i="3"/>
  <c r="O126" i="3"/>
  <c r="L204" i="8"/>
  <c r="N261" i="3"/>
  <c r="N625" i="7"/>
  <c r="N445" i="7"/>
  <c r="N280" i="7"/>
  <c r="N655" i="7"/>
  <c r="N475" i="7"/>
  <c r="N310" i="7"/>
  <c r="P197" i="3"/>
  <c r="M651" i="7"/>
  <c r="M471" i="7"/>
  <c r="M306" i="7"/>
  <c r="M486" i="7"/>
  <c r="M321" i="7"/>
  <c r="M156" i="7"/>
  <c r="M502" i="7"/>
  <c r="M172" i="7"/>
  <c r="O210" i="3"/>
  <c r="M505" i="7"/>
  <c r="M175" i="7"/>
  <c r="M288" i="7"/>
  <c r="G179" i="8"/>
  <c r="I227" i="3"/>
  <c r="I62" i="3"/>
  <c r="G239" i="8" s="1"/>
  <c r="J62" i="5"/>
  <c r="I44" i="7" s="1"/>
  <c r="M485" i="7"/>
  <c r="M320" i="7"/>
  <c r="M155" i="7"/>
  <c r="I167" i="8"/>
  <c r="K213" i="3"/>
  <c r="K48" i="3"/>
  <c r="G168" i="8"/>
  <c r="I214" i="3"/>
  <c r="H179" i="8"/>
  <c r="J227" i="3"/>
  <c r="J62" i="3"/>
  <c r="H239" i="8" s="1"/>
  <c r="K62" i="5"/>
  <c r="J44" i="7" s="1"/>
  <c r="O554" i="7"/>
  <c r="O374" i="7"/>
  <c r="O209" i="7"/>
  <c r="O267" i="3"/>
  <c r="O102" i="3"/>
  <c r="O40" i="3"/>
  <c r="M624" i="7"/>
  <c r="M444" i="7"/>
  <c r="M279" i="7"/>
  <c r="N54" i="3"/>
  <c r="N219" i="3"/>
  <c r="M648" i="7"/>
  <c r="M468" i="7"/>
  <c r="M303" i="7"/>
  <c r="O336" i="3"/>
  <c r="M598" i="7"/>
  <c r="M418" i="7"/>
  <c r="M253" i="7"/>
  <c r="M484" i="7"/>
  <c r="M319" i="7"/>
  <c r="M154" i="7"/>
  <c r="O334" i="3"/>
  <c r="O169" i="3"/>
  <c r="M183" i="8"/>
  <c r="M206" i="8"/>
  <c r="O264" i="3"/>
  <c r="M658" i="7"/>
  <c r="M478" i="7"/>
  <c r="M313" i="7"/>
  <c r="O268" i="3"/>
  <c r="O103" i="3"/>
  <c r="O129" i="3"/>
  <c r="N277" i="3"/>
  <c r="M207" i="8"/>
  <c r="O265" i="3"/>
  <c r="O100" i="3"/>
  <c r="M267" i="8" s="1"/>
  <c r="P270" i="3"/>
  <c r="P280" i="3"/>
  <c r="M490" i="7"/>
  <c r="M325" i="7"/>
  <c r="M160" i="7"/>
  <c r="K219" i="8"/>
  <c r="K218" i="8"/>
  <c r="L49" i="5"/>
  <c r="K31" i="7" s="1"/>
  <c r="K49" i="5"/>
  <c r="J31" i="7" s="1"/>
  <c r="I49" i="5"/>
  <c r="H31" i="7" s="1"/>
  <c r="H49" i="5"/>
  <c r="G31" i="7" s="1"/>
  <c r="G49" i="5"/>
  <c r="F31" i="7" s="1"/>
  <c r="L348" i="7" l="1"/>
  <c r="L184" i="7"/>
  <c r="L18" i="7"/>
  <c r="J348" i="7"/>
  <c r="J184" i="7"/>
  <c r="J18" i="7"/>
  <c r="H193" i="7"/>
  <c r="H28" i="7"/>
  <c r="G695" i="7" s="1"/>
  <c r="G184" i="7"/>
  <c r="G18" i="7"/>
  <c r="I193" i="7"/>
  <c r="I28" i="7"/>
  <c r="K348" i="7"/>
  <c r="K184" i="7"/>
  <c r="K18" i="7"/>
  <c r="H348" i="7"/>
  <c r="H184" i="7"/>
  <c r="H18" i="7"/>
  <c r="I348" i="7"/>
  <c r="I184" i="7"/>
  <c r="I18" i="7"/>
  <c r="F18" i="7"/>
  <c r="E695" i="7" s="1"/>
  <c r="J193" i="7"/>
  <c r="J28" i="7"/>
  <c r="G193" i="7"/>
  <c r="G28" i="7"/>
  <c r="F184" i="7"/>
  <c r="L538" i="7"/>
  <c r="L28" i="7"/>
  <c r="L193" i="7"/>
  <c r="K28" i="7"/>
  <c r="K193" i="7"/>
  <c r="P156" i="5"/>
  <c r="O666" i="7" s="1"/>
  <c r="P159" i="5"/>
  <c r="O669" i="7" s="1"/>
  <c r="P170" i="5"/>
  <c r="O680" i="7" s="1"/>
  <c r="F76" i="8"/>
  <c r="C77" i="8"/>
  <c r="P164" i="5"/>
  <c r="O674" i="7" s="1"/>
  <c r="N674" i="7"/>
  <c r="P157" i="5"/>
  <c r="O667" i="7" s="1"/>
  <c r="N667" i="7"/>
  <c r="P158" i="5"/>
  <c r="O668" i="7" s="1"/>
  <c r="N668" i="7"/>
  <c r="F528" i="7"/>
  <c r="E758" i="7" s="1"/>
  <c r="P161" i="5"/>
  <c r="Q161" i="5" s="1"/>
  <c r="N671" i="7"/>
  <c r="P166" i="5"/>
  <c r="O676" i="7" s="1"/>
  <c r="N676" i="7"/>
  <c r="N484" i="7"/>
  <c r="N664" i="7"/>
  <c r="P169" i="5"/>
  <c r="O679" i="7" s="1"/>
  <c r="N679" i="7"/>
  <c r="E77" i="8"/>
  <c r="J695" i="7"/>
  <c r="H695" i="7"/>
  <c r="K695" i="7"/>
  <c r="D77" i="8"/>
  <c r="F695" i="7"/>
  <c r="N493" i="7"/>
  <c r="M746" i="7" s="1"/>
  <c r="M767" i="7"/>
  <c r="P167" i="5"/>
  <c r="O677" i="7" s="1"/>
  <c r="N332" i="7"/>
  <c r="N334" i="7"/>
  <c r="P178" i="5"/>
  <c r="O688" i="7" s="1"/>
  <c r="N343" i="7"/>
  <c r="P173" i="5"/>
  <c r="O683" i="7" s="1"/>
  <c r="N338" i="7"/>
  <c r="P165" i="5"/>
  <c r="O495" i="7" s="1"/>
  <c r="N747" i="7" s="1"/>
  <c r="N330" i="7"/>
  <c r="M726" i="7" s="1"/>
  <c r="N335" i="7"/>
  <c r="P177" i="5"/>
  <c r="N342" i="7"/>
  <c r="N333" i="7"/>
  <c r="P172" i="5"/>
  <c r="N337" i="7"/>
  <c r="N329" i="7"/>
  <c r="P174" i="5"/>
  <c r="N339" i="7"/>
  <c r="N341" i="7"/>
  <c r="N506" i="7"/>
  <c r="N336" i="7"/>
  <c r="N331" i="7"/>
  <c r="P176" i="5"/>
  <c r="P175" i="5"/>
  <c r="N340" i="7"/>
  <c r="L55" i="7"/>
  <c r="L33" i="7"/>
  <c r="I55" i="7"/>
  <c r="I33" i="7"/>
  <c r="P58" i="5"/>
  <c r="Q58" i="5" s="1"/>
  <c r="N40" i="7"/>
  <c r="H57" i="7"/>
  <c r="H41" i="7"/>
  <c r="P55" i="5"/>
  <c r="L358" i="7"/>
  <c r="F548" i="7"/>
  <c r="F203" i="7"/>
  <c r="F368" i="7"/>
  <c r="H250" i="3"/>
  <c r="G375" i="3" s="1"/>
  <c r="I39" i="5"/>
  <c r="H38" i="7" s="1"/>
  <c r="H39" i="3"/>
  <c r="G197" i="8"/>
  <c r="G217" i="8" s="1"/>
  <c r="I39" i="3"/>
  <c r="J39" i="5"/>
  <c r="I38" i="7" s="1"/>
  <c r="G47" i="5"/>
  <c r="F29" i="7" s="1"/>
  <c r="F39" i="3"/>
  <c r="G39" i="5"/>
  <c r="F38" i="7" s="1"/>
  <c r="K85" i="3"/>
  <c r="I257" i="8" s="1"/>
  <c r="K39" i="3"/>
  <c r="L39" i="5"/>
  <c r="K38" i="7" s="1"/>
  <c r="J85" i="3"/>
  <c r="H257" i="8" s="1"/>
  <c r="J39" i="3"/>
  <c r="K39" i="5"/>
  <c r="J38" i="7" s="1"/>
  <c r="L368" i="7"/>
  <c r="L548" i="7"/>
  <c r="L203" i="7"/>
  <c r="L38" i="7"/>
  <c r="G85" i="3"/>
  <c r="E257" i="8" s="1"/>
  <c r="G39" i="3"/>
  <c r="H39" i="5"/>
  <c r="G38" i="7" s="1"/>
  <c r="M47" i="5"/>
  <c r="L29" i="7" s="1"/>
  <c r="L39" i="3"/>
  <c r="M39" i="5"/>
  <c r="N38" i="5"/>
  <c r="M37" i="7" s="1"/>
  <c r="M38" i="3"/>
  <c r="H47" i="3"/>
  <c r="F47" i="3"/>
  <c r="H716" i="7"/>
  <c r="I716" i="7"/>
  <c r="G528" i="7"/>
  <c r="H49" i="3"/>
  <c r="F228" i="8" s="1"/>
  <c r="E716" i="7"/>
  <c r="I528" i="7"/>
  <c r="K528" i="7"/>
  <c r="J528" i="7"/>
  <c r="H538" i="7"/>
  <c r="H358" i="7"/>
  <c r="I49" i="3"/>
  <c r="G228" i="8" s="1"/>
  <c r="G353" i="7"/>
  <c r="G716" i="7"/>
  <c r="F716" i="7"/>
  <c r="H528" i="7"/>
  <c r="J358" i="7"/>
  <c r="J538" i="7"/>
  <c r="J49" i="5"/>
  <c r="I559" i="7" s="1"/>
  <c r="G538" i="7"/>
  <c r="G358" i="7"/>
  <c r="F49" i="3"/>
  <c r="D228" i="8" s="1"/>
  <c r="I538" i="7"/>
  <c r="I358" i="7"/>
  <c r="K358" i="7"/>
  <c r="K538" i="7"/>
  <c r="F357" i="7"/>
  <c r="J47" i="3"/>
  <c r="N63" i="2"/>
  <c r="N25" i="5"/>
  <c r="I47" i="5"/>
  <c r="K47" i="5"/>
  <c r="J29" i="7" s="1"/>
  <c r="N61" i="2"/>
  <c r="O61" i="2" s="1"/>
  <c r="P61" i="2" s="1"/>
  <c r="Q61" i="2" s="1"/>
  <c r="R61" i="2" s="1"/>
  <c r="S61" i="2" s="1"/>
  <c r="T61" i="2" s="1"/>
  <c r="U61" i="2" s="1"/>
  <c r="V61" i="2" s="1"/>
  <c r="W61" i="2" s="1"/>
  <c r="X61" i="2" s="1"/>
  <c r="Y61" i="2" s="1"/>
  <c r="N23" i="5"/>
  <c r="N62" i="2"/>
  <c r="N24" i="5"/>
  <c r="M354" i="7" s="1"/>
  <c r="L528" i="7"/>
  <c r="K758" i="7" s="1"/>
  <c r="K716" i="7"/>
  <c r="L353" i="7"/>
  <c r="N84" i="2"/>
  <c r="N46" i="5"/>
  <c r="O46" i="5" s="1"/>
  <c r="D256" i="8"/>
  <c r="L47" i="5"/>
  <c r="K29" i="7" s="1"/>
  <c r="H47" i="5"/>
  <c r="G557" i="7" s="1"/>
  <c r="J47" i="5"/>
  <c r="I46" i="7" s="1"/>
  <c r="F374" i="3"/>
  <c r="M372" i="3"/>
  <c r="G459" i="3"/>
  <c r="E78" i="8" s="1"/>
  <c r="F78" i="8" s="1"/>
  <c r="G374" i="3"/>
  <c r="H374" i="3"/>
  <c r="J266" i="8"/>
  <c r="J279" i="8" s="1"/>
  <c r="E236" i="8"/>
  <c r="F236" i="8"/>
  <c r="H236" i="8"/>
  <c r="I236" i="8"/>
  <c r="D236" i="8"/>
  <c r="G236" i="8"/>
  <c r="J236" i="8"/>
  <c r="M379" i="3"/>
  <c r="J197" i="8"/>
  <c r="J217" i="8" s="1"/>
  <c r="N260" i="7"/>
  <c r="N612" i="7"/>
  <c r="N425" i="7"/>
  <c r="O307" i="7"/>
  <c r="N469" i="7"/>
  <c r="N587" i="7"/>
  <c r="N497" i="7"/>
  <c r="M85" i="2"/>
  <c r="J64" i="3"/>
  <c r="H241" i="8" s="1"/>
  <c r="M64" i="2"/>
  <c r="N659" i="7"/>
  <c r="N149" i="7"/>
  <c r="N479" i="7"/>
  <c r="N319" i="7"/>
  <c r="N478" i="7"/>
  <c r="N304" i="7"/>
  <c r="O312" i="7"/>
  <c r="T76" i="5"/>
  <c r="U76" i="5" s="1"/>
  <c r="V76" i="5" s="1"/>
  <c r="N317" i="7"/>
  <c r="N482" i="7"/>
  <c r="N649" i="7"/>
  <c r="R142" i="5"/>
  <c r="S142" i="5" s="1"/>
  <c r="R129" i="5"/>
  <c r="S129" i="5" s="1"/>
  <c r="R74" i="5"/>
  <c r="S74" i="5" s="1"/>
  <c r="N313" i="7"/>
  <c r="S91" i="5"/>
  <c r="T91" i="5" s="1"/>
  <c r="N658" i="7"/>
  <c r="E181" i="8"/>
  <c r="E214" i="8" s="1"/>
  <c r="M64" i="5"/>
  <c r="L394" i="7" s="1"/>
  <c r="H64" i="5"/>
  <c r="G574" i="7" s="1"/>
  <c r="N502" i="7"/>
  <c r="L64" i="3"/>
  <c r="J241" i="8" s="1"/>
  <c r="L229" i="3"/>
  <c r="K374" i="3" s="1"/>
  <c r="Q77" i="5"/>
  <c r="R77" i="5" s="1"/>
  <c r="P151" i="5"/>
  <c r="Q151" i="5" s="1"/>
  <c r="R144" i="5"/>
  <c r="S144" i="5" s="1"/>
  <c r="N487" i="7"/>
  <c r="S126" i="5"/>
  <c r="T126" i="5" s="1"/>
  <c r="P116" i="5"/>
  <c r="Q116" i="5" s="1"/>
  <c r="P93" i="5"/>
  <c r="Q93" i="5" s="1"/>
  <c r="R93" i="5" s="1"/>
  <c r="R73" i="5"/>
  <c r="S73" i="5" s="1"/>
  <c r="T137" i="5"/>
  <c r="U137" i="5" s="1"/>
  <c r="S150" i="5"/>
  <c r="T150" i="5" s="1"/>
  <c r="R121" i="5"/>
  <c r="S121" i="5" s="1"/>
  <c r="R139" i="5"/>
  <c r="S139" i="5" s="1"/>
  <c r="T139" i="5" s="1"/>
  <c r="Q102" i="5"/>
  <c r="R102" i="5" s="1"/>
  <c r="S102" i="5" s="1"/>
  <c r="R115" i="5"/>
  <c r="S115" i="5" s="1"/>
  <c r="R78" i="5"/>
  <c r="Q162" i="5"/>
  <c r="N265" i="7"/>
  <c r="N48" i="5"/>
  <c r="N117" i="5"/>
  <c r="O117" i="5" s="1"/>
  <c r="P117" i="5" s="1"/>
  <c r="N65" i="5"/>
  <c r="O65" i="5" s="1"/>
  <c r="P65" i="5" s="1"/>
  <c r="N51" i="5"/>
  <c r="M33" i="7" s="1"/>
  <c r="Q122" i="5"/>
  <c r="R122" i="5" s="1"/>
  <c r="Q170" i="5"/>
  <c r="P680" i="7" s="1"/>
  <c r="Q119" i="5"/>
  <c r="R119" i="5" s="1"/>
  <c r="P149" i="5"/>
  <c r="Q149" i="5" s="1"/>
  <c r="P57" i="5"/>
  <c r="O387" i="7" s="1"/>
  <c r="Q141" i="5"/>
  <c r="P155" i="5"/>
  <c r="O665" i="7" s="1"/>
  <c r="P130" i="5"/>
  <c r="Q130" i="5" s="1"/>
  <c r="Q145" i="5"/>
  <c r="R145" i="5" s="1"/>
  <c r="S145" i="5" s="1"/>
  <c r="N430" i="7"/>
  <c r="N81" i="5"/>
  <c r="N82" i="5"/>
  <c r="O82" i="5" s="1"/>
  <c r="R86" i="5"/>
  <c r="S86" i="5" s="1"/>
  <c r="T86" i="5" s="1"/>
  <c r="P154" i="5"/>
  <c r="O664" i="7" s="1"/>
  <c r="P72" i="5"/>
  <c r="S123" i="5"/>
  <c r="T123" i="5" s="1"/>
  <c r="R56" i="5"/>
  <c r="S56" i="5" s="1"/>
  <c r="T56" i="5" s="1"/>
  <c r="T120" i="5"/>
  <c r="Q148" i="5"/>
  <c r="R148" i="5" s="1"/>
  <c r="P103" i="5"/>
  <c r="R147" i="5"/>
  <c r="P152" i="5"/>
  <c r="P146" i="5"/>
  <c r="Q146" i="5" s="1"/>
  <c r="R146" i="5" s="1"/>
  <c r="S146" i="5" s="1"/>
  <c r="P125" i="5"/>
  <c r="Q125" i="5" s="1"/>
  <c r="R125" i="5" s="1"/>
  <c r="S125" i="5" s="1"/>
  <c r="T125" i="5" s="1"/>
  <c r="P67" i="5"/>
  <c r="P163" i="5"/>
  <c r="O673" i="7" s="1"/>
  <c r="P160" i="5"/>
  <c r="Q94" i="5"/>
  <c r="N84" i="5"/>
  <c r="N99" i="5"/>
  <c r="N118" i="5"/>
  <c r="O118" i="5" s="1"/>
  <c r="P118" i="5" s="1"/>
  <c r="N96" i="5"/>
  <c r="O96" i="5" s="1"/>
  <c r="N50" i="5"/>
  <c r="D197" i="8"/>
  <c r="D217" i="8" s="1"/>
  <c r="T66" i="5"/>
  <c r="R128" i="5"/>
  <c r="P143" i="5"/>
  <c r="R140" i="5"/>
  <c r="S88" i="5"/>
  <c r="T88" i="5" s="1"/>
  <c r="U88" i="5" s="1"/>
  <c r="V88" i="5" s="1"/>
  <c r="W88" i="5" s="1"/>
  <c r="X88" i="5" s="1"/>
  <c r="Y88" i="5" s="1"/>
  <c r="Q79" i="5"/>
  <c r="Q159" i="5"/>
  <c r="P669" i="7" s="1"/>
  <c r="N97" i="5"/>
  <c r="N59" i="5"/>
  <c r="F229" i="3"/>
  <c r="E374" i="3" s="1"/>
  <c r="Q132" i="5"/>
  <c r="Q156" i="5"/>
  <c r="P666" i="7" s="1"/>
  <c r="Q75" i="5"/>
  <c r="T101" i="5"/>
  <c r="U101" i="5" s="1"/>
  <c r="V101" i="5" s="1"/>
  <c r="P83" i="5"/>
  <c r="Q136" i="5"/>
  <c r="P646" i="7" s="1"/>
  <c r="Q127" i="5"/>
  <c r="R127" i="5" s="1"/>
  <c r="P153" i="5"/>
  <c r="N63" i="5"/>
  <c r="P114" i="5"/>
  <c r="Q114" i="5" s="1"/>
  <c r="R114" i="5" s="1"/>
  <c r="S124" i="5"/>
  <c r="R54" i="5"/>
  <c r="Q169" i="5"/>
  <c r="P679" i="7" s="1"/>
  <c r="Q131" i="5"/>
  <c r="P296" i="7" s="1"/>
  <c r="N62" i="5"/>
  <c r="P100" i="5"/>
  <c r="Q100" i="5" s="1"/>
  <c r="N98" i="5"/>
  <c r="N52" i="5"/>
  <c r="P138" i="5"/>
  <c r="Q138" i="5" s="1"/>
  <c r="P168" i="5"/>
  <c r="O678" i="7" s="1"/>
  <c r="R87" i="5"/>
  <c r="Q80" i="5"/>
  <c r="P171" i="5"/>
  <c r="O681" i="7" s="1"/>
  <c r="P95" i="5"/>
  <c r="Q133" i="5"/>
  <c r="E197" i="8"/>
  <c r="E217" i="8" s="1"/>
  <c r="M85" i="5"/>
  <c r="L595" i="7" s="1"/>
  <c r="H85" i="5"/>
  <c r="G250" i="7" s="1"/>
  <c r="L85" i="3"/>
  <c r="J257" i="8" s="1"/>
  <c r="G250" i="3"/>
  <c r="L250" i="3"/>
  <c r="K375" i="3" s="1"/>
  <c r="K229" i="3"/>
  <c r="J374" i="3" s="1"/>
  <c r="L64" i="5"/>
  <c r="J229" i="3"/>
  <c r="I374" i="3" s="1"/>
  <c r="K64" i="3"/>
  <c r="I241" i="8" s="1"/>
  <c r="H181" i="8"/>
  <c r="H214" i="8" s="1"/>
  <c r="X372" i="7"/>
  <c r="G64" i="5"/>
  <c r="F64" i="3"/>
  <c r="D241" i="8" s="1"/>
  <c r="F181" i="8"/>
  <c r="F214" i="8" s="1"/>
  <c r="F85" i="3"/>
  <c r="D257" i="8" s="1"/>
  <c r="J64" i="5"/>
  <c r="I574" i="7" s="1"/>
  <c r="G181" i="8"/>
  <c r="G214" i="8" s="1"/>
  <c r="D181" i="8"/>
  <c r="D214" i="8" s="1"/>
  <c r="H64" i="3"/>
  <c r="F241" i="8" s="1"/>
  <c r="I64" i="5"/>
  <c r="H574" i="7" s="1"/>
  <c r="G64" i="3"/>
  <c r="E241" i="8" s="1"/>
  <c r="H85" i="3"/>
  <c r="F257" i="8" s="1"/>
  <c r="I64" i="3"/>
  <c r="G241" i="8" s="1"/>
  <c r="G85" i="5"/>
  <c r="F250" i="3"/>
  <c r="E375" i="3" s="1"/>
  <c r="J85" i="5"/>
  <c r="I85" i="7" s="1"/>
  <c r="I85" i="3"/>
  <c r="G257" i="8" s="1"/>
  <c r="I250" i="3"/>
  <c r="H375" i="3" s="1"/>
  <c r="J250" i="3"/>
  <c r="K250" i="3"/>
  <c r="H197" i="8"/>
  <c r="H217" i="8" s="1"/>
  <c r="I197" i="8"/>
  <c r="I217" i="8" s="1"/>
  <c r="K85" i="5"/>
  <c r="J595" i="7" s="1"/>
  <c r="L85" i="5"/>
  <c r="K595" i="7" s="1"/>
  <c r="F197" i="8"/>
  <c r="F217" i="8" s="1"/>
  <c r="I85" i="5"/>
  <c r="H595" i="7" s="1"/>
  <c r="G83" i="7"/>
  <c r="G80" i="7"/>
  <c r="H80" i="7"/>
  <c r="L83" i="7"/>
  <c r="J80" i="7"/>
  <c r="X420" i="7"/>
  <c r="X600" i="7"/>
  <c r="X255" i="7"/>
  <c r="K80" i="7"/>
  <c r="I80" i="7"/>
  <c r="H83" i="7"/>
  <c r="N421" i="7"/>
  <c r="Y257" i="7"/>
  <c r="Y602" i="7"/>
  <c r="N288" i="7"/>
  <c r="E227" i="8"/>
  <c r="E273" i="8" s="1"/>
  <c r="D227" i="8"/>
  <c r="F227" i="8"/>
  <c r="G227" i="8"/>
  <c r="J227" i="8"/>
  <c r="J273" i="8" s="1"/>
  <c r="I227" i="8"/>
  <c r="I273" i="8" s="1"/>
  <c r="H227" i="8"/>
  <c r="H273" i="8" s="1"/>
  <c r="D253" i="8"/>
  <c r="N296" i="7"/>
  <c r="N259" i="7"/>
  <c r="N455" i="7"/>
  <c r="N635" i="7"/>
  <c r="N637" i="7"/>
  <c r="N457" i="7"/>
  <c r="N634" i="7"/>
  <c r="N454" i="7"/>
  <c r="P288" i="7"/>
  <c r="O633" i="7"/>
  <c r="O453" i="7"/>
  <c r="O641" i="7"/>
  <c r="O461" i="7"/>
  <c r="N636" i="7"/>
  <c r="N456" i="7"/>
  <c r="O642" i="7"/>
  <c r="O462" i="7"/>
  <c r="N640" i="7"/>
  <c r="N460" i="7"/>
  <c r="N633" i="7"/>
  <c r="N453" i="7"/>
  <c r="N459" i="7"/>
  <c r="N639" i="7"/>
  <c r="N642" i="7"/>
  <c r="N462" i="7"/>
  <c r="N641" i="7"/>
  <c r="N461" i="7"/>
  <c r="O293" i="7"/>
  <c r="N638" i="7"/>
  <c r="N458" i="7"/>
  <c r="I253" i="8"/>
  <c r="Y42" i="3"/>
  <c r="Y207" i="3"/>
  <c r="Y258" i="3"/>
  <c r="Y93" i="3"/>
  <c r="L252" i="8"/>
  <c r="E253" i="8"/>
  <c r="G253" i="8"/>
  <c r="O604" i="7"/>
  <c r="M252" i="8"/>
  <c r="F253" i="8"/>
  <c r="Y88" i="3"/>
  <c r="Y253" i="3"/>
  <c r="H253" i="8"/>
  <c r="J253" i="8"/>
  <c r="Y256" i="3"/>
  <c r="Y91" i="3"/>
  <c r="X546" i="7"/>
  <c r="X201" i="7"/>
  <c r="N495" i="7"/>
  <c r="M747" i="7" s="1"/>
  <c r="X205" i="7"/>
  <c r="X370" i="7"/>
  <c r="X550" i="7"/>
  <c r="N492" i="7"/>
  <c r="Y373" i="7"/>
  <c r="X373" i="7"/>
  <c r="Y202" i="7"/>
  <c r="Y367" i="7"/>
  <c r="Y547" i="7"/>
  <c r="N494" i="7"/>
  <c r="G57" i="7"/>
  <c r="F72" i="7"/>
  <c r="J57" i="7"/>
  <c r="L57" i="7"/>
  <c r="H72" i="7"/>
  <c r="K72" i="7"/>
  <c r="J72" i="7"/>
  <c r="L72" i="7"/>
  <c r="F124" i="7"/>
  <c r="F125" i="7"/>
  <c r="I72" i="7"/>
  <c r="G72" i="7"/>
  <c r="H55" i="7"/>
  <c r="K57" i="7"/>
  <c r="J123" i="7"/>
  <c r="J124" i="7"/>
  <c r="K55" i="7"/>
  <c r="I123" i="7"/>
  <c r="I124" i="7"/>
  <c r="K123" i="7"/>
  <c r="K124" i="7"/>
  <c r="G123" i="7"/>
  <c r="G124" i="7"/>
  <c r="H123" i="7"/>
  <c r="H124" i="7"/>
  <c r="I57" i="7"/>
  <c r="J55" i="7"/>
  <c r="L100" i="7"/>
  <c r="H99" i="7"/>
  <c r="J83" i="7"/>
  <c r="K83" i="7"/>
  <c r="G55" i="7"/>
  <c r="O625" i="7"/>
  <c r="O321" i="7"/>
  <c r="N489" i="7"/>
  <c r="N403" i="7"/>
  <c r="O445" i="7"/>
  <c r="N286" i="7"/>
  <c r="N451" i="7"/>
  <c r="N631" i="7"/>
  <c r="O296" i="7"/>
  <c r="N303" i="7"/>
  <c r="N175" i="7"/>
  <c r="N220" i="7"/>
  <c r="O288" i="7"/>
  <c r="N505" i="7"/>
  <c r="N385" i="7"/>
  <c r="U94" i="14"/>
  <c r="V121" i="14"/>
  <c r="V94" i="14" s="1"/>
  <c r="S23" i="4"/>
  <c r="V20" i="4"/>
  <c r="S22" i="4"/>
  <c r="V25" i="4"/>
  <c r="V24" i="4"/>
  <c r="V23" i="4"/>
  <c r="S25" i="4"/>
  <c r="V22" i="4"/>
  <c r="V21" i="4"/>
  <c r="S24" i="4"/>
  <c r="N491" i="7"/>
  <c r="N474" i="7"/>
  <c r="N324" i="7"/>
  <c r="O477" i="7"/>
  <c r="O486" i="7"/>
  <c r="N326" i="7"/>
  <c r="O280" i="7"/>
  <c r="N468" i="7"/>
  <c r="N223" i="7"/>
  <c r="N498" i="7"/>
  <c r="N388" i="7"/>
  <c r="N568" i="7"/>
  <c r="N654" i="7"/>
  <c r="N499" i="7"/>
  <c r="N171" i="7"/>
  <c r="N169" i="7"/>
  <c r="N501" i="7"/>
  <c r="O657" i="7"/>
  <c r="N583" i="7"/>
  <c r="N325" i="7"/>
  <c r="N490" i="7"/>
  <c r="N241" i="7"/>
  <c r="N238" i="7"/>
  <c r="P625" i="7"/>
  <c r="O466" i="7"/>
  <c r="O646" i="7"/>
  <c r="F57" i="7"/>
  <c r="F55" i="7"/>
  <c r="N318" i="7"/>
  <c r="N153" i="7"/>
  <c r="N483" i="7"/>
  <c r="N298" i="7"/>
  <c r="O386" i="7"/>
  <c r="O302" i="7"/>
  <c r="N463" i="7"/>
  <c r="O654" i="7"/>
  <c r="N322" i="7"/>
  <c r="N643" i="7"/>
  <c r="M57" i="7"/>
  <c r="F75" i="7"/>
  <c r="F48" i="7"/>
  <c r="O184" i="3"/>
  <c r="O75" i="3"/>
  <c r="J128" i="7"/>
  <c r="G126" i="7"/>
  <c r="H126" i="7"/>
  <c r="I128" i="7"/>
  <c r="F126" i="7"/>
  <c r="L126" i="7"/>
  <c r="G128" i="7"/>
  <c r="F80" i="7"/>
  <c r="H128" i="7"/>
  <c r="L80" i="7"/>
  <c r="K260" i="8"/>
  <c r="M83" i="3"/>
  <c r="K255" i="8" s="1"/>
  <c r="L224" i="7"/>
  <c r="L569" i="7"/>
  <c r="L389" i="7"/>
  <c r="H211" i="7"/>
  <c r="G718" i="7" s="1"/>
  <c r="H46" i="7"/>
  <c r="H556" i="7"/>
  <c r="G760" i="7" s="1"/>
  <c r="H376" i="7"/>
  <c r="J211" i="7"/>
  <c r="I718" i="7" s="1"/>
  <c r="J46" i="7"/>
  <c r="J376" i="7"/>
  <c r="J556" i="7"/>
  <c r="I760" i="7" s="1"/>
  <c r="J569" i="7"/>
  <c r="J389" i="7"/>
  <c r="J224" i="7"/>
  <c r="K224" i="7"/>
  <c r="K569" i="7"/>
  <c r="K389" i="7"/>
  <c r="K556" i="7"/>
  <c r="J760" i="7" s="1"/>
  <c r="K376" i="7"/>
  <c r="K211" i="7"/>
  <c r="J718" i="7" s="1"/>
  <c r="K46" i="7"/>
  <c r="G569" i="7"/>
  <c r="G389" i="7"/>
  <c r="G224" i="7"/>
  <c r="M96" i="3"/>
  <c r="K264" i="8" s="1"/>
  <c r="M59" i="3"/>
  <c r="K236" i="8" s="1"/>
  <c r="F569" i="7"/>
  <c r="F389" i="7"/>
  <c r="F224" i="7"/>
  <c r="H569" i="7"/>
  <c r="H389" i="7"/>
  <c r="H224" i="7"/>
  <c r="M52" i="3"/>
  <c r="K231" i="8" s="1"/>
  <c r="M47" i="3"/>
  <c r="O168" i="3"/>
  <c r="L376" i="7"/>
  <c r="L211" i="7"/>
  <c r="K718" i="7" s="1"/>
  <c r="L556" i="7"/>
  <c r="K760" i="7" s="1"/>
  <c r="L46" i="7"/>
  <c r="I376" i="7"/>
  <c r="I211" i="7"/>
  <c r="H718" i="7" s="1"/>
  <c r="I556" i="7"/>
  <c r="H760" i="7" s="1"/>
  <c r="F46" i="7"/>
  <c r="F376" i="7"/>
  <c r="E739" i="7" s="1"/>
  <c r="F211" i="7"/>
  <c r="E718" i="7" s="1"/>
  <c r="F556" i="7"/>
  <c r="M44" i="7"/>
  <c r="I569" i="7"/>
  <c r="I389" i="7"/>
  <c r="I224" i="7"/>
  <c r="M97" i="3"/>
  <c r="K265" i="8" s="1"/>
  <c r="G556" i="7"/>
  <c r="F760" i="7" s="1"/>
  <c r="G376" i="7"/>
  <c r="G46" i="7"/>
  <c r="G211" i="7"/>
  <c r="F718" i="7" s="1"/>
  <c r="O174" i="3"/>
  <c r="O176" i="3"/>
  <c r="O172" i="3"/>
  <c r="O158" i="3"/>
  <c r="O166" i="3"/>
  <c r="P192" i="3"/>
  <c r="O154" i="3"/>
  <c r="N161" i="7"/>
  <c r="O337" i="3"/>
  <c r="N284" i="7"/>
  <c r="O339" i="3"/>
  <c r="P209" i="7"/>
  <c r="O155" i="3"/>
  <c r="O320" i="3"/>
  <c r="N168" i="7"/>
  <c r="N160" i="7"/>
  <c r="O163" i="3"/>
  <c r="G278" i="8"/>
  <c r="O335" i="3"/>
  <c r="N294" i="7"/>
  <c r="L276" i="8"/>
  <c r="E278" i="8"/>
  <c r="N449" i="7"/>
  <c r="N629" i="7"/>
  <c r="O284" i="7"/>
  <c r="O162" i="3"/>
  <c r="O449" i="7"/>
  <c r="O148" i="3"/>
  <c r="O170" i="3"/>
  <c r="O140" i="3"/>
  <c r="H278" i="8"/>
  <c r="O141" i="3"/>
  <c r="M275" i="8"/>
  <c r="O164" i="3"/>
  <c r="D278" i="8"/>
  <c r="I278" i="8"/>
  <c r="J278" i="8"/>
  <c r="P323" i="3"/>
  <c r="F278" i="8"/>
  <c r="O319" i="3"/>
  <c r="N481" i="7"/>
  <c r="N661" i="7"/>
  <c r="N151" i="7"/>
  <c r="P374" i="7"/>
  <c r="N316" i="7"/>
  <c r="L54" i="7"/>
  <c r="L56" i="7"/>
  <c r="G54" i="7"/>
  <c r="G56" i="7"/>
  <c r="H54" i="7"/>
  <c r="H56" i="7"/>
  <c r="J54" i="7"/>
  <c r="J56" i="7"/>
  <c r="N604" i="7"/>
  <c r="N156" i="7"/>
  <c r="K54" i="7"/>
  <c r="K56" i="7"/>
  <c r="I54" i="7"/>
  <c r="I56" i="7"/>
  <c r="N177" i="7"/>
  <c r="F54" i="7"/>
  <c r="F56" i="7"/>
  <c r="F101" i="7"/>
  <c r="L101" i="7"/>
  <c r="N154" i="7"/>
  <c r="H217" i="7"/>
  <c r="H562" i="7"/>
  <c r="H382" i="7"/>
  <c r="J217" i="7"/>
  <c r="J382" i="7"/>
  <c r="J562" i="7"/>
  <c r="F562" i="7"/>
  <c r="F382" i="7"/>
  <c r="F217" i="7"/>
  <c r="K562" i="7"/>
  <c r="K382" i="7"/>
  <c r="K217" i="7"/>
  <c r="O153" i="3"/>
  <c r="M81" i="3"/>
  <c r="M51" i="3"/>
  <c r="K230" i="8" s="1"/>
  <c r="M117" i="3"/>
  <c r="K259" i="8"/>
  <c r="I382" i="7"/>
  <c r="I217" i="7"/>
  <c r="I562" i="7"/>
  <c r="L561" i="7"/>
  <c r="L381" i="7"/>
  <c r="L216" i="7"/>
  <c r="O115" i="3"/>
  <c r="M98" i="3"/>
  <c r="M66" i="3"/>
  <c r="K243" i="8" s="1"/>
  <c r="O45" i="3"/>
  <c r="L562" i="7"/>
  <c r="L382" i="7"/>
  <c r="L217" i="7"/>
  <c r="N424" i="7"/>
  <c r="G382" i="7"/>
  <c r="G217" i="7"/>
  <c r="G562" i="7"/>
  <c r="I215" i="7"/>
  <c r="I380" i="7"/>
  <c r="I560" i="7"/>
  <c r="M99" i="3"/>
  <c r="K266" i="8" s="1"/>
  <c r="K279" i="8" s="1"/>
  <c r="M65" i="3"/>
  <c r="K242" i="8" s="1"/>
  <c r="G215" i="7"/>
  <c r="G560" i="7"/>
  <c r="G380" i="7"/>
  <c r="J215" i="7"/>
  <c r="J560" i="7"/>
  <c r="J380" i="7"/>
  <c r="O472" i="7"/>
  <c r="H560" i="7"/>
  <c r="H380" i="7"/>
  <c r="H215" i="7"/>
  <c r="M118" i="3"/>
  <c r="K258" i="8"/>
  <c r="K215" i="7"/>
  <c r="K560" i="7"/>
  <c r="K380" i="7"/>
  <c r="N652" i="7"/>
  <c r="M82" i="3"/>
  <c r="K254" i="8" s="1"/>
  <c r="M50" i="3"/>
  <c r="K229" i="8" s="1"/>
  <c r="O78" i="3"/>
  <c r="M251" i="8" s="1"/>
  <c r="L560" i="7"/>
  <c r="L380" i="7"/>
  <c r="L215" i="7"/>
  <c r="F560" i="7"/>
  <c r="F380" i="7"/>
  <c r="F215" i="7"/>
  <c r="O352" i="7"/>
  <c r="O652" i="7"/>
  <c r="N221" i="7"/>
  <c r="N386" i="7"/>
  <c r="O475" i="7"/>
  <c r="P280" i="7"/>
  <c r="N566" i="7"/>
  <c r="O310" i="7"/>
  <c r="P445" i="7"/>
  <c r="N307" i="7"/>
  <c r="F83" i="7"/>
  <c r="N472" i="7"/>
  <c r="L75" i="7"/>
  <c r="L129" i="7"/>
  <c r="K126" i="7"/>
  <c r="K128" i="7"/>
  <c r="N413" i="7"/>
  <c r="O503" i="7"/>
  <c r="O611" i="7"/>
  <c r="O480" i="7"/>
  <c r="N174" i="7"/>
  <c r="P305" i="7"/>
  <c r="N504" i="7"/>
  <c r="P286" i="7"/>
  <c r="O407" i="7"/>
  <c r="P539" i="7"/>
  <c r="P403" i="7"/>
  <c r="N593" i="7"/>
  <c r="O315" i="7"/>
  <c r="O660" i="7"/>
  <c r="N150" i="7"/>
  <c r="N363" i="7"/>
  <c r="J99" i="7"/>
  <c r="J127" i="7"/>
  <c r="J126" i="7"/>
  <c r="N503" i="7"/>
  <c r="N159" i="7"/>
  <c r="K146" i="7"/>
  <c r="K145" i="7"/>
  <c r="L146" i="7"/>
  <c r="L145" i="7"/>
  <c r="N172" i="7"/>
  <c r="I146" i="7"/>
  <c r="I145" i="7"/>
  <c r="K99" i="7"/>
  <c r="J146" i="7"/>
  <c r="J145" i="7"/>
  <c r="I99" i="7"/>
  <c r="F129" i="7"/>
  <c r="G99" i="7"/>
  <c r="F128" i="7"/>
  <c r="H146" i="7"/>
  <c r="H145" i="7"/>
  <c r="I127" i="7"/>
  <c r="I126" i="7"/>
  <c r="N73" i="7"/>
  <c r="L128" i="7"/>
  <c r="G146" i="7"/>
  <c r="G145" i="7"/>
  <c r="F146" i="7"/>
  <c r="F145" i="7"/>
  <c r="N167" i="7"/>
  <c r="K127" i="7"/>
  <c r="I98" i="7"/>
  <c r="K98" i="7"/>
  <c r="I83" i="7"/>
  <c r="N176" i="7"/>
  <c r="G98" i="7"/>
  <c r="H127" i="7"/>
  <c r="F100" i="7"/>
  <c r="H98" i="7"/>
  <c r="G127" i="7"/>
  <c r="L127" i="7"/>
  <c r="F127" i="7"/>
  <c r="J98" i="7"/>
  <c r="L79" i="7"/>
  <c r="N543" i="7"/>
  <c r="J78" i="7"/>
  <c r="K77" i="7"/>
  <c r="G100" i="7"/>
  <c r="K378" i="7"/>
  <c r="K75" i="7"/>
  <c r="I100" i="7"/>
  <c r="G77" i="7"/>
  <c r="H101" i="7"/>
  <c r="G79" i="7"/>
  <c r="I79" i="7"/>
  <c r="F76" i="7"/>
  <c r="K100" i="7"/>
  <c r="F77" i="7"/>
  <c r="N173" i="7"/>
  <c r="I78" i="7"/>
  <c r="F79" i="7"/>
  <c r="H76" i="7"/>
  <c r="L78" i="7"/>
  <c r="I76" i="7"/>
  <c r="J101" i="7"/>
  <c r="G78" i="7"/>
  <c r="G101" i="7"/>
  <c r="K76" i="7"/>
  <c r="F123" i="7"/>
  <c r="L123" i="7"/>
  <c r="F122" i="7"/>
  <c r="H78" i="7"/>
  <c r="N166" i="7"/>
  <c r="N315" i="7"/>
  <c r="K78" i="7"/>
  <c r="F121" i="7"/>
  <c r="N152" i="7"/>
  <c r="N480" i="7"/>
  <c r="H79" i="7"/>
  <c r="J77" i="7"/>
  <c r="N660" i="7"/>
  <c r="K79" i="7"/>
  <c r="L77" i="7"/>
  <c r="H100" i="7"/>
  <c r="I77" i="7"/>
  <c r="N198" i="7"/>
  <c r="N144" i="7"/>
  <c r="H77" i="7"/>
  <c r="J100" i="7"/>
  <c r="I101" i="7"/>
  <c r="J79" i="7"/>
  <c r="J76" i="7"/>
  <c r="L76" i="7"/>
  <c r="G76" i="7"/>
  <c r="K101" i="7"/>
  <c r="F78" i="7"/>
  <c r="N405" i="7"/>
  <c r="N406" i="7"/>
  <c r="N567" i="7"/>
  <c r="O363" i="7"/>
  <c r="O198" i="7"/>
  <c r="N292" i="7"/>
  <c r="N143" i="7"/>
  <c r="M768" i="7"/>
  <c r="N308" i="7"/>
  <c r="N473" i="7"/>
  <c r="N240" i="7"/>
  <c r="N586" i="7"/>
  <c r="N585" i="7"/>
  <c r="O543" i="7"/>
  <c r="N496" i="7"/>
  <c r="O286" i="7"/>
  <c r="O451" i="7"/>
  <c r="N222" i="7"/>
  <c r="N293" i="7"/>
  <c r="O631" i="7"/>
  <c r="N387" i="7"/>
  <c r="N488" i="7"/>
  <c r="K213" i="7"/>
  <c r="N242" i="7"/>
  <c r="K48" i="7"/>
  <c r="O366" i="7"/>
  <c r="N407" i="7"/>
  <c r="K558" i="7"/>
  <c r="N366" i="7"/>
  <c r="K262" i="7"/>
  <c r="K97" i="7"/>
  <c r="K607" i="7"/>
  <c r="K427" i="7"/>
  <c r="L262" i="7"/>
  <c r="L607" i="7"/>
  <c r="L427" i="7"/>
  <c r="L97" i="7"/>
  <c r="G627" i="7"/>
  <c r="G447" i="7"/>
  <c r="G282" i="7"/>
  <c r="I628" i="7"/>
  <c r="I448" i="7"/>
  <c r="I283" i="7"/>
  <c r="G261" i="7"/>
  <c r="G96" i="7"/>
  <c r="G606" i="7"/>
  <c r="G426" i="7"/>
  <c r="L606" i="7"/>
  <c r="L426" i="7"/>
  <c r="L261" i="7"/>
  <c r="L96" i="7"/>
  <c r="H246" i="7"/>
  <c r="H81" i="7"/>
  <c r="H591" i="7"/>
  <c r="H411" i="7"/>
  <c r="J81" i="7"/>
  <c r="J591" i="7"/>
  <c r="J411" i="7"/>
  <c r="J246" i="7"/>
  <c r="F628" i="7"/>
  <c r="F448" i="7"/>
  <c r="F283" i="7"/>
  <c r="F606" i="7"/>
  <c r="F426" i="7"/>
  <c r="F96" i="7"/>
  <c r="F261" i="7"/>
  <c r="J592" i="7"/>
  <c r="J412" i="7"/>
  <c r="J247" i="7"/>
  <c r="J82" i="7"/>
  <c r="J628" i="7"/>
  <c r="J448" i="7"/>
  <c r="J283" i="7"/>
  <c r="F627" i="7"/>
  <c r="F447" i="7"/>
  <c r="F282" i="7"/>
  <c r="I607" i="7"/>
  <c r="I427" i="7"/>
  <c r="I262" i="7"/>
  <c r="I97" i="7"/>
  <c r="K627" i="7"/>
  <c r="K447" i="7"/>
  <c r="K282" i="7"/>
  <c r="I246" i="7"/>
  <c r="I81" i="7"/>
  <c r="I591" i="7"/>
  <c r="I411" i="7"/>
  <c r="L246" i="7"/>
  <c r="L81" i="7"/>
  <c r="L591" i="7"/>
  <c r="L411" i="7"/>
  <c r="J606" i="7"/>
  <c r="J426" i="7"/>
  <c r="J261" i="7"/>
  <c r="J96" i="7"/>
  <c r="F592" i="7"/>
  <c r="F82" i="7"/>
  <c r="F412" i="7"/>
  <c r="F247" i="7"/>
  <c r="K283" i="7"/>
  <c r="K628" i="7"/>
  <c r="K448" i="7"/>
  <c r="F591" i="7"/>
  <c r="F81" i="7"/>
  <c r="F411" i="7"/>
  <c r="F246" i="7"/>
  <c r="K81" i="7"/>
  <c r="K591" i="7"/>
  <c r="K411" i="7"/>
  <c r="K246" i="7"/>
  <c r="J607" i="7"/>
  <c r="J427" i="7"/>
  <c r="J262" i="7"/>
  <c r="J97" i="7"/>
  <c r="L627" i="7"/>
  <c r="L447" i="7"/>
  <c r="L282" i="7"/>
  <c r="G628" i="7"/>
  <c r="G448" i="7"/>
  <c r="G283" i="7"/>
  <c r="I592" i="7"/>
  <c r="I412" i="7"/>
  <c r="I247" i="7"/>
  <c r="I82" i="7"/>
  <c r="H627" i="7"/>
  <c r="H447" i="7"/>
  <c r="H282" i="7"/>
  <c r="G607" i="7"/>
  <c r="G427" i="7"/>
  <c r="G262" i="7"/>
  <c r="G97" i="7"/>
  <c r="I606" i="7"/>
  <c r="I426" i="7"/>
  <c r="I261" i="7"/>
  <c r="I96" i="7"/>
  <c r="K606" i="7"/>
  <c r="K426" i="7"/>
  <c r="K261" i="7"/>
  <c r="K96" i="7"/>
  <c r="L628" i="7"/>
  <c r="L448" i="7"/>
  <c r="L283" i="7"/>
  <c r="K592" i="7"/>
  <c r="K412" i="7"/>
  <c r="K247" i="7"/>
  <c r="K82" i="7"/>
  <c r="L263" i="7"/>
  <c r="L98" i="7"/>
  <c r="L608" i="7"/>
  <c r="L428" i="7"/>
  <c r="J627" i="7"/>
  <c r="J447" i="7"/>
  <c r="J282" i="7"/>
  <c r="F99" i="7"/>
  <c r="F429" i="7"/>
  <c r="F264" i="7"/>
  <c r="F609" i="7"/>
  <c r="G592" i="7"/>
  <c r="G412" i="7"/>
  <c r="G247" i="7"/>
  <c r="G82" i="7"/>
  <c r="H261" i="7"/>
  <c r="H96" i="7"/>
  <c r="H606" i="7"/>
  <c r="H426" i="7"/>
  <c r="L99" i="7"/>
  <c r="L609" i="7"/>
  <c r="L429" i="7"/>
  <c r="L264" i="7"/>
  <c r="F608" i="7"/>
  <c r="F98" i="7"/>
  <c r="F428" i="7"/>
  <c r="F263" i="7"/>
  <c r="I627" i="7"/>
  <c r="I282" i="7"/>
  <c r="I447" i="7"/>
  <c r="F607" i="7"/>
  <c r="F427" i="7"/>
  <c r="M128" i="7"/>
  <c r="F97" i="7"/>
  <c r="F262" i="7"/>
  <c r="G246" i="7"/>
  <c r="G81" i="7"/>
  <c r="G591" i="7"/>
  <c r="G411" i="7"/>
  <c r="H82" i="7"/>
  <c r="H592" i="7"/>
  <c r="H412" i="7"/>
  <c r="H247" i="7"/>
  <c r="H283" i="7"/>
  <c r="H628" i="7"/>
  <c r="H448" i="7"/>
  <c r="H97" i="7"/>
  <c r="H607" i="7"/>
  <c r="H427" i="7"/>
  <c r="H262" i="7"/>
  <c r="L592" i="7"/>
  <c r="L412" i="7"/>
  <c r="L247" i="7"/>
  <c r="L82" i="7"/>
  <c r="N544" i="7"/>
  <c r="N364" i="7"/>
  <c r="N199" i="7"/>
  <c r="N323" i="7"/>
  <c r="O585" i="7"/>
  <c r="O405" i="7"/>
  <c r="O240" i="7"/>
  <c r="N266" i="7"/>
  <c r="N232" i="7"/>
  <c r="N397" i="7"/>
  <c r="N577" i="7"/>
  <c r="N267" i="7"/>
  <c r="N432" i="7"/>
  <c r="D213" i="8"/>
  <c r="N431" i="7"/>
  <c r="N611" i="7"/>
  <c r="O266" i="7"/>
  <c r="O431" i="7"/>
  <c r="N268" i="7"/>
  <c r="N433" i="7"/>
  <c r="N613" i="7"/>
  <c r="D209" i="8"/>
  <c r="N201" i="8"/>
  <c r="P333" i="3"/>
  <c r="M184" i="8"/>
  <c r="G558" i="7"/>
  <c r="G378" i="7"/>
  <c r="G213" i="7"/>
  <c r="G48" i="7"/>
  <c r="L573" i="7"/>
  <c r="L393" i="7"/>
  <c r="L228" i="7"/>
  <c r="J559" i="7"/>
  <c r="J379" i="7"/>
  <c r="J214" i="7"/>
  <c r="J49" i="7"/>
  <c r="N206" i="8"/>
  <c r="P264" i="3"/>
  <c r="P40" i="3"/>
  <c r="P132" i="3"/>
  <c r="O299" i="3"/>
  <c r="N656" i="7"/>
  <c r="N476" i="7"/>
  <c r="N311" i="7"/>
  <c r="Q282" i="3"/>
  <c r="P208" i="3"/>
  <c r="F558" i="7"/>
  <c r="F378" i="7"/>
  <c r="F213" i="7"/>
  <c r="P284" i="3"/>
  <c r="P119" i="3"/>
  <c r="P115" i="3"/>
  <c r="O279" i="3"/>
  <c r="O114" i="3"/>
  <c r="O209" i="3"/>
  <c r="N373" i="3" s="1"/>
  <c r="O44" i="3"/>
  <c r="Q274" i="3"/>
  <c r="N198" i="8"/>
  <c r="P251" i="3"/>
  <c r="P311" i="3"/>
  <c r="P146" i="3"/>
  <c r="P198" i="3"/>
  <c r="P33" i="3"/>
  <c r="P312" i="3"/>
  <c r="P147" i="3"/>
  <c r="P101" i="3"/>
  <c r="N268" i="8" s="1"/>
  <c r="O263" i="3"/>
  <c r="M171" i="8"/>
  <c r="O217" i="3"/>
  <c r="N67" i="3"/>
  <c r="L244" i="8" s="1"/>
  <c r="K196" i="8"/>
  <c r="M249" i="3"/>
  <c r="M84" i="3"/>
  <c r="K256" i="8" s="1"/>
  <c r="O658" i="7"/>
  <c r="O478" i="7"/>
  <c r="O313" i="7"/>
  <c r="N175" i="8"/>
  <c r="P223" i="3"/>
  <c r="P308" i="3"/>
  <c r="M182" i="8"/>
  <c r="O230" i="3"/>
  <c r="O317" i="3"/>
  <c r="O152" i="3"/>
  <c r="P542" i="7"/>
  <c r="P362" i="7"/>
  <c r="P197" i="7"/>
  <c r="K559" i="7"/>
  <c r="K379" i="7"/>
  <c r="K214" i="7"/>
  <c r="K49" i="7"/>
  <c r="Q280" i="3"/>
  <c r="N207" i="8"/>
  <c r="P265" i="3"/>
  <c r="P100" i="3"/>
  <c r="N267" i="8" s="1"/>
  <c r="N598" i="7"/>
  <c r="N418" i="7"/>
  <c r="N253" i="7"/>
  <c r="P320" i="3"/>
  <c r="P43" i="3"/>
  <c r="O212" i="3"/>
  <c r="P318" i="3"/>
  <c r="K167" i="8"/>
  <c r="M213" i="3"/>
  <c r="M48" i="3"/>
  <c r="N46" i="3"/>
  <c r="N208" i="8"/>
  <c r="P266" i="3"/>
  <c r="P286" i="3"/>
  <c r="N177" i="8"/>
  <c r="P225" i="3"/>
  <c r="P273" i="3"/>
  <c r="N500" i="7"/>
  <c r="N170" i="7"/>
  <c r="N202" i="8"/>
  <c r="N262" i="8"/>
  <c r="P314" i="3"/>
  <c r="P186" i="3"/>
  <c r="Q323" i="3"/>
  <c r="P342" i="3"/>
  <c r="P177" i="3"/>
  <c r="N191" i="8"/>
  <c r="P243" i="3"/>
  <c r="P200" i="3"/>
  <c r="P35" i="3"/>
  <c r="Q244" i="3"/>
  <c r="P340" i="3"/>
  <c r="P175" i="3"/>
  <c r="P240" i="3"/>
  <c r="M176" i="8"/>
  <c r="O224" i="3"/>
  <c r="P321" i="3"/>
  <c r="P156" i="3"/>
  <c r="P211" i="3"/>
  <c r="O188" i="3"/>
  <c r="M172" i="8"/>
  <c r="O220" i="3"/>
  <c r="O55" i="3"/>
  <c r="M232" i="8" s="1"/>
  <c r="N189" i="8"/>
  <c r="P241" i="3"/>
  <c r="P76" i="3"/>
  <c r="N249" i="8" s="1"/>
  <c r="J574" i="7"/>
  <c r="J394" i="7"/>
  <c r="J229" i="7"/>
  <c r="L572" i="7"/>
  <c r="L392" i="7"/>
  <c r="L227" i="7"/>
  <c r="H594" i="7"/>
  <c r="H414" i="7"/>
  <c r="H249" i="7"/>
  <c r="H84" i="7"/>
  <c r="H558" i="7"/>
  <c r="H378" i="7"/>
  <c r="H48" i="7"/>
  <c r="H213" i="7"/>
  <c r="P300" i="3"/>
  <c r="F594" i="7"/>
  <c r="F414" i="7"/>
  <c r="F84" i="7"/>
  <c r="F249" i="7"/>
  <c r="O584" i="7"/>
  <c r="O404" i="7"/>
  <c r="O239" i="7"/>
  <c r="P336" i="3"/>
  <c r="F572" i="7"/>
  <c r="F392" i="7"/>
  <c r="F227" i="7"/>
  <c r="L558" i="7"/>
  <c r="L378" i="7"/>
  <c r="L213" i="7"/>
  <c r="L48" i="7"/>
  <c r="O194" i="3"/>
  <c r="O29" i="3"/>
  <c r="P319" i="3"/>
  <c r="P154" i="3"/>
  <c r="L594" i="7"/>
  <c r="L414" i="7"/>
  <c r="L249" i="7"/>
  <c r="L84" i="7"/>
  <c r="O285" i="3"/>
  <c r="O120" i="3"/>
  <c r="O649" i="7"/>
  <c r="O469" i="7"/>
  <c r="O304" i="7"/>
  <c r="P162" i="3"/>
  <c r="J558" i="7"/>
  <c r="J378" i="7"/>
  <c r="J48" i="7"/>
  <c r="J213" i="7"/>
  <c r="M214" i="3"/>
  <c r="K168" i="8"/>
  <c r="M49" i="3"/>
  <c r="K228" i="8" s="1"/>
  <c r="L559" i="7"/>
  <c r="L379" i="7"/>
  <c r="L214" i="7"/>
  <c r="L49" i="7"/>
  <c r="N349" i="7"/>
  <c r="P316" i="3"/>
  <c r="P151" i="3"/>
  <c r="N626" i="7"/>
  <c r="N446" i="7"/>
  <c r="N281" i="7"/>
  <c r="P298" i="3"/>
  <c r="P133" i="3"/>
  <c r="P306" i="3"/>
  <c r="P302" i="3"/>
  <c r="P137" i="3"/>
  <c r="N485" i="7"/>
  <c r="N320" i="7"/>
  <c r="N155" i="7"/>
  <c r="J573" i="7"/>
  <c r="J393" i="7"/>
  <c r="J228" i="7"/>
  <c r="J594" i="7"/>
  <c r="J414" i="7"/>
  <c r="J249" i="7"/>
  <c r="J84" i="7"/>
  <c r="O583" i="7"/>
  <c r="O403" i="7"/>
  <c r="O238" i="7"/>
  <c r="F573" i="7"/>
  <c r="F393" i="7"/>
  <c r="F228" i="7"/>
  <c r="N564" i="7"/>
  <c r="N384" i="7"/>
  <c r="N219" i="7"/>
  <c r="P324" i="3"/>
  <c r="P159" i="3"/>
  <c r="P267" i="3"/>
  <c r="O539" i="7"/>
  <c r="O359" i="7"/>
  <c r="O194" i="7"/>
  <c r="P164" i="3"/>
  <c r="O165" i="3"/>
  <c r="P322" i="3"/>
  <c r="P157" i="3"/>
  <c r="P337" i="3"/>
  <c r="P78" i="3"/>
  <c r="N251" i="8" s="1"/>
  <c r="M190" i="8"/>
  <c r="O77" i="3"/>
  <c r="M250" i="8" s="1"/>
  <c r="O242" i="3"/>
  <c r="O555" i="7"/>
  <c r="O375" i="7"/>
  <c r="O210" i="7"/>
  <c r="P160" i="3"/>
  <c r="N203" i="8"/>
  <c r="P260" i="3"/>
  <c r="P95" i="3"/>
  <c r="N263" i="8" s="1"/>
  <c r="O499" i="7"/>
  <c r="O169" i="7"/>
  <c r="P168" i="3"/>
  <c r="O167" i="3"/>
  <c r="H573" i="7"/>
  <c r="H393" i="7"/>
  <c r="H228" i="7"/>
  <c r="K594" i="7"/>
  <c r="K414" i="7"/>
  <c r="K249" i="7"/>
  <c r="K84" i="7"/>
  <c r="O309" i="3"/>
  <c r="O144" i="3"/>
  <c r="N194" i="8"/>
  <c r="P247" i="3"/>
  <c r="P102" i="3"/>
  <c r="O269" i="3"/>
  <c r="N376" i="3" s="1"/>
  <c r="P189" i="3"/>
  <c r="H572" i="7"/>
  <c r="H392" i="7"/>
  <c r="H227" i="7"/>
  <c r="P32" i="3"/>
  <c r="J214" i="8"/>
  <c r="I214" i="8"/>
  <c r="K180" i="8"/>
  <c r="M228" i="3"/>
  <c r="M63" i="3"/>
  <c r="K240" i="8" s="1"/>
  <c r="Q197" i="3"/>
  <c r="I558" i="7"/>
  <c r="I378" i="7"/>
  <c r="I48" i="7"/>
  <c r="I213" i="7"/>
  <c r="F559" i="7"/>
  <c r="F379" i="7"/>
  <c r="F49" i="7"/>
  <c r="F214" i="7"/>
  <c r="M75" i="7"/>
  <c r="O277" i="3"/>
  <c r="P268" i="3"/>
  <c r="P103" i="3"/>
  <c r="P163" i="3"/>
  <c r="N183" i="8"/>
  <c r="O54" i="3"/>
  <c r="O219" i="3"/>
  <c r="J572" i="7"/>
  <c r="J392" i="7"/>
  <c r="J227" i="7"/>
  <c r="P210" i="3"/>
  <c r="N590" i="7"/>
  <c r="N410" i="7"/>
  <c r="N245" i="7"/>
  <c r="M174" i="8"/>
  <c r="O222" i="3"/>
  <c r="O57" i="3"/>
  <c r="M234" i="8" s="1"/>
  <c r="K179" i="8"/>
  <c r="M227" i="3"/>
  <c r="M62" i="3"/>
  <c r="K239" i="8" s="1"/>
  <c r="P161" i="3"/>
  <c r="N328" i="7"/>
  <c r="M725" i="7" s="1"/>
  <c r="P305" i="3"/>
  <c r="P304" i="3"/>
  <c r="P139" i="3"/>
  <c r="M169" i="8"/>
  <c r="O215" i="3"/>
  <c r="P153" i="3"/>
  <c r="O315" i="3"/>
  <c r="O150" i="3"/>
  <c r="P301" i="3"/>
  <c r="P136" i="3"/>
  <c r="Q79" i="3"/>
  <c r="N193" i="8"/>
  <c r="P246" i="3"/>
  <c r="P259" i="3"/>
  <c r="G573" i="7"/>
  <c r="G393" i="7"/>
  <c r="G228" i="7"/>
  <c r="O541" i="7"/>
  <c r="O361" i="7"/>
  <c r="O196" i="7"/>
  <c r="K572" i="7"/>
  <c r="K392" i="7"/>
  <c r="K227" i="7"/>
  <c r="G594" i="7"/>
  <c r="G414" i="7"/>
  <c r="G249" i="7"/>
  <c r="G84" i="7"/>
  <c r="P334" i="3"/>
  <c r="P169" i="3"/>
  <c r="O193" i="3"/>
  <c r="N188" i="8"/>
  <c r="P239" i="3"/>
  <c r="P74" i="3"/>
  <c r="N248" i="8" s="1"/>
  <c r="I573" i="7"/>
  <c r="I393" i="7"/>
  <c r="I228" i="7"/>
  <c r="G559" i="7"/>
  <c r="G379" i="7"/>
  <c r="G49" i="7"/>
  <c r="G214" i="7"/>
  <c r="O651" i="7"/>
  <c r="O471" i="7"/>
  <c r="O306" i="7"/>
  <c r="Q270" i="3"/>
  <c r="P166" i="3"/>
  <c r="M204" i="8"/>
  <c r="O261" i="3"/>
  <c r="N195" i="8"/>
  <c r="P248" i="3"/>
  <c r="J213" i="8"/>
  <c r="J209" i="8"/>
  <c r="N290" i="7"/>
  <c r="P343" i="3"/>
  <c r="P178" i="3"/>
  <c r="N200" i="8"/>
  <c r="N584" i="7"/>
  <c r="N404" i="7"/>
  <c r="N239" i="7"/>
  <c r="N74" i="7"/>
  <c r="P283" i="3"/>
  <c r="N624" i="7"/>
  <c r="N444" i="7"/>
  <c r="N279" i="7"/>
  <c r="O187" i="3"/>
  <c r="N170" i="8"/>
  <c r="P216" i="3"/>
  <c r="P174" i="3"/>
  <c r="O338" i="3"/>
  <c r="O173" i="3"/>
  <c r="N199" i="8"/>
  <c r="P252" i="3"/>
  <c r="P310" i="3"/>
  <c r="N173" i="8"/>
  <c r="P56" i="3"/>
  <c r="N233" i="8" s="1"/>
  <c r="P221" i="3"/>
  <c r="P196" i="3"/>
  <c r="P31" i="3"/>
  <c r="P278" i="3"/>
  <c r="P276" i="3"/>
  <c r="N185" i="8"/>
  <c r="P313" i="3"/>
  <c r="P130" i="3"/>
  <c r="P303" i="3"/>
  <c r="P138" i="3"/>
  <c r="O201" i="3"/>
  <c r="O650" i="7"/>
  <c r="O470" i="7"/>
  <c r="O305" i="7"/>
  <c r="I594" i="7"/>
  <c r="I414" i="7"/>
  <c r="I249" i="7"/>
  <c r="I84" i="7"/>
  <c r="N295" i="7"/>
  <c r="N582" i="7"/>
  <c r="N402" i="7"/>
  <c r="N237" i="7"/>
  <c r="O73" i="7"/>
  <c r="P275" i="3"/>
  <c r="P335" i="3"/>
  <c r="N187" i="8"/>
  <c r="P238" i="3"/>
  <c r="P73" i="3"/>
  <c r="N247" i="8" s="1"/>
  <c r="H559" i="7"/>
  <c r="H379" i="7"/>
  <c r="H49" i="7"/>
  <c r="H214" i="7"/>
  <c r="O588" i="7"/>
  <c r="O408" i="7"/>
  <c r="O243" i="7"/>
  <c r="N603" i="7"/>
  <c r="N423" i="7"/>
  <c r="N258" i="7"/>
  <c r="N327" i="7"/>
  <c r="N162" i="7"/>
  <c r="I572" i="7"/>
  <c r="I392" i="7"/>
  <c r="I227" i="7"/>
  <c r="P281" i="3"/>
  <c r="P116" i="3"/>
  <c r="P553" i="7"/>
  <c r="P208" i="7"/>
  <c r="N601" i="7"/>
  <c r="N256" i="7"/>
  <c r="G572" i="7"/>
  <c r="G392" i="7"/>
  <c r="G227" i="7"/>
  <c r="N647" i="7"/>
  <c r="N467" i="7"/>
  <c r="N302" i="7"/>
  <c r="N297" i="7"/>
  <c r="P199" i="3"/>
  <c r="O307" i="3"/>
  <c r="O142" i="3"/>
  <c r="N289" i="7"/>
  <c r="O190" i="3"/>
  <c r="N508" i="7"/>
  <c r="N178" i="7"/>
  <c r="N589" i="7"/>
  <c r="N409" i="7"/>
  <c r="N244" i="7"/>
  <c r="N205" i="8"/>
  <c r="P262" i="3"/>
  <c r="N186" i="8"/>
  <c r="P237" i="3"/>
  <c r="P72" i="3"/>
  <c r="N246" i="8" s="1"/>
  <c r="K573" i="7"/>
  <c r="K393" i="7"/>
  <c r="K228" i="7"/>
  <c r="P155" i="3"/>
  <c r="O128" i="3"/>
  <c r="N192" i="8"/>
  <c r="P245" i="3"/>
  <c r="K178" i="8"/>
  <c r="M226" i="3"/>
  <c r="I213" i="8"/>
  <c r="H213" i="8"/>
  <c r="G213" i="8"/>
  <c r="F213" i="8"/>
  <c r="F209" i="8"/>
  <c r="E213" i="8"/>
  <c r="D529" i="7"/>
  <c r="D536" i="7"/>
  <c r="D537" i="7"/>
  <c r="D538" i="7"/>
  <c r="D539" i="7"/>
  <c r="D540" i="7"/>
  <c r="D541" i="7"/>
  <c r="D542" i="7"/>
  <c r="D543" i="7"/>
  <c r="D544" i="7"/>
  <c r="D545" i="7"/>
  <c r="D546" i="7"/>
  <c r="D548" i="7"/>
  <c r="D550" i="7"/>
  <c r="D552" i="7"/>
  <c r="D553" i="7"/>
  <c r="D554" i="7"/>
  <c r="D555" i="7"/>
  <c r="D556" i="7"/>
  <c r="D557" i="7"/>
  <c r="D564" i="7"/>
  <c r="D581" i="7"/>
  <c r="D585" i="7"/>
  <c r="D589" i="7"/>
  <c r="D604" i="7"/>
  <c r="D608"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349" i="7"/>
  <c r="D356" i="7"/>
  <c r="D357" i="7"/>
  <c r="D358" i="7"/>
  <c r="D359" i="7"/>
  <c r="D360" i="7"/>
  <c r="D361" i="7"/>
  <c r="D362" i="7"/>
  <c r="D363" i="7"/>
  <c r="D364" i="7"/>
  <c r="D365" i="7"/>
  <c r="D366" i="7"/>
  <c r="D368" i="7"/>
  <c r="D370" i="7"/>
  <c r="D372" i="7"/>
  <c r="D373" i="7"/>
  <c r="D374" i="7"/>
  <c r="D375" i="7"/>
  <c r="D376" i="7"/>
  <c r="D377" i="7"/>
  <c r="D384" i="7"/>
  <c r="D401" i="7"/>
  <c r="D405" i="7"/>
  <c r="D409" i="7"/>
  <c r="D424" i="7"/>
  <c r="D428"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19" i="5"/>
  <c r="D184" i="7"/>
  <c r="D19" i="7"/>
  <c r="D184" i="3"/>
  <c r="D19" i="3"/>
  <c r="C19" i="4"/>
  <c r="C196" i="4" s="1"/>
  <c r="J716" i="7" l="1"/>
  <c r="I695" i="7"/>
  <c r="Q166" i="5"/>
  <c r="P676" i="7" s="1"/>
  <c r="K377" i="7"/>
  <c r="N49" i="5"/>
  <c r="M31" i="7" s="1"/>
  <c r="K47" i="7"/>
  <c r="O335" i="7"/>
  <c r="Q158" i="5"/>
  <c r="P668" i="7" s="1"/>
  <c r="Q157" i="5"/>
  <c r="R157" i="5" s="1"/>
  <c r="O331" i="7"/>
  <c r="O496" i="7"/>
  <c r="Q164" i="5"/>
  <c r="R164" i="5" s="1"/>
  <c r="G758" i="7"/>
  <c r="M348" i="7"/>
  <c r="H209" i="8"/>
  <c r="G209" i="8"/>
  <c r="E209" i="8"/>
  <c r="I209" i="8"/>
  <c r="H758" i="7"/>
  <c r="O334" i="7"/>
  <c r="O329" i="7"/>
  <c r="O491" i="7"/>
  <c r="O671" i="7"/>
  <c r="O506" i="7"/>
  <c r="O686" i="7"/>
  <c r="O174" i="7"/>
  <c r="O684" i="7"/>
  <c r="R161" i="5"/>
  <c r="P671" i="7"/>
  <c r="N47" i="5"/>
  <c r="M29" i="7" s="1"/>
  <c r="Q165" i="5"/>
  <c r="P675" i="7" s="1"/>
  <c r="O675" i="7"/>
  <c r="N768" i="7" s="1"/>
  <c r="R162" i="5"/>
  <c r="Q672" i="7" s="1"/>
  <c r="P672" i="7"/>
  <c r="O326" i="7"/>
  <c r="O482" i="7"/>
  <c r="O662" i="7"/>
  <c r="O502" i="7"/>
  <c r="O682" i="7"/>
  <c r="Q153" i="5"/>
  <c r="P663" i="7" s="1"/>
  <c r="O663" i="7"/>
  <c r="O505" i="7"/>
  <c r="O685" i="7"/>
  <c r="Q160" i="5"/>
  <c r="P670" i="7" s="1"/>
  <c r="O670" i="7"/>
  <c r="O177" i="7"/>
  <c r="O687" i="7"/>
  <c r="F77" i="8"/>
  <c r="O507" i="7"/>
  <c r="L47" i="7"/>
  <c r="F47" i="7"/>
  <c r="O223" i="7"/>
  <c r="F557" i="7"/>
  <c r="O568" i="7"/>
  <c r="L212" i="7"/>
  <c r="J212" i="7"/>
  <c r="J377" i="7"/>
  <c r="J557" i="7"/>
  <c r="O504" i="7"/>
  <c r="J47" i="7"/>
  <c r="D85" i="8"/>
  <c r="F273" i="8"/>
  <c r="O84" i="5"/>
  <c r="O337" i="7"/>
  <c r="Q173" i="5"/>
  <c r="P683" i="7" s="1"/>
  <c r="O338" i="7"/>
  <c r="O173" i="7"/>
  <c r="O332" i="7"/>
  <c r="O333" i="7"/>
  <c r="O497" i="7"/>
  <c r="O330" i="7"/>
  <c r="N726" i="7" s="1"/>
  <c r="P334" i="7"/>
  <c r="Q167" i="5"/>
  <c r="P677" i="7" s="1"/>
  <c r="Q172" i="5"/>
  <c r="Q174" i="5"/>
  <c r="O339" i="7"/>
  <c r="O343" i="7"/>
  <c r="Q178" i="5"/>
  <c r="P688" i="7" s="1"/>
  <c r="P331" i="7"/>
  <c r="P335" i="7"/>
  <c r="O340" i="7"/>
  <c r="Q175" i="5"/>
  <c r="P685" i="7" s="1"/>
  <c r="Q171" i="5"/>
  <c r="P681" i="7" s="1"/>
  <c r="O336" i="7"/>
  <c r="Q176" i="5"/>
  <c r="P686" i="7" s="1"/>
  <c r="O341" i="7"/>
  <c r="O342" i="7"/>
  <c r="Q177" i="5"/>
  <c r="G273" i="8"/>
  <c r="D273" i="8"/>
  <c r="G47" i="7"/>
  <c r="G377" i="7"/>
  <c r="O63" i="5"/>
  <c r="N573" i="7" s="1"/>
  <c r="F758" i="7"/>
  <c r="K557" i="7"/>
  <c r="L377" i="7"/>
  <c r="L557" i="7"/>
  <c r="O81" i="5"/>
  <c r="N35" i="7" s="1"/>
  <c r="M35" i="7"/>
  <c r="K212" i="7"/>
  <c r="F212" i="7"/>
  <c r="F377" i="7"/>
  <c r="I214" i="7"/>
  <c r="I31" i="7"/>
  <c r="M45" i="7"/>
  <c r="P568" i="7"/>
  <c r="P40" i="7"/>
  <c r="O59" i="5"/>
  <c r="N41" i="7" s="1"/>
  <c r="M41" i="7"/>
  <c r="O388" i="7"/>
  <c r="O40" i="7"/>
  <c r="O50" i="5"/>
  <c r="N560" i="7" s="1"/>
  <c r="M32" i="7"/>
  <c r="H212" i="7"/>
  <c r="H29" i="7"/>
  <c r="Q55" i="5"/>
  <c r="P565" i="7" s="1"/>
  <c r="O52" i="5"/>
  <c r="M34" i="7"/>
  <c r="G212" i="7"/>
  <c r="G29" i="7"/>
  <c r="I47" i="7"/>
  <c r="I29" i="7"/>
  <c r="N85" i="2"/>
  <c r="N250" i="3" s="1"/>
  <c r="N39" i="5"/>
  <c r="M38" i="7" s="1"/>
  <c r="M39" i="3"/>
  <c r="O84" i="2"/>
  <c r="O38" i="5"/>
  <c r="N37" i="7" s="1"/>
  <c r="N38" i="3"/>
  <c r="G549" i="7"/>
  <c r="G204" i="7"/>
  <c r="G369" i="7"/>
  <c r="G39" i="7"/>
  <c r="F369" i="7"/>
  <c r="F549" i="7"/>
  <c r="F204" i="7"/>
  <c r="F39" i="7"/>
  <c r="J369" i="7"/>
  <c r="J549" i="7"/>
  <c r="J204" i="7"/>
  <c r="J39" i="7"/>
  <c r="H549" i="7"/>
  <c r="H204" i="7"/>
  <c r="H369" i="7"/>
  <c r="H39" i="7"/>
  <c r="N28" i="5"/>
  <c r="L350" i="3"/>
  <c r="M368" i="7"/>
  <c r="M548" i="7"/>
  <c r="M203" i="7"/>
  <c r="K204" i="7"/>
  <c r="K369" i="7"/>
  <c r="K549" i="7"/>
  <c r="K39" i="7"/>
  <c r="I204" i="7"/>
  <c r="I369" i="7"/>
  <c r="I549" i="7"/>
  <c r="I39" i="7"/>
  <c r="L549" i="7"/>
  <c r="L204" i="7"/>
  <c r="L369" i="7"/>
  <c r="L39" i="7"/>
  <c r="M357" i="7"/>
  <c r="J758" i="7"/>
  <c r="I758" i="7"/>
  <c r="H557" i="7"/>
  <c r="H377" i="7"/>
  <c r="H47" i="7"/>
  <c r="I557" i="7"/>
  <c r="O63" i="2"/>
  <c r="P63" i="2" s="1"/>
  <c r="Q63" i="2" s="1"/>
  <c r="R63" i="2" s="1"/>
  <c r="S63" i="2" s="1"/>
  <c r="T63" i="2" s="1"/>
  <c r="U63" i="2" s="1"/>
  <c r="V63" i="2" s="1"/>
  <c r="W63" i="2" s="1"/>
  <c r="X63" i="2" s="1"/>
  <c r="Y63" i="2" s="1"/>
  <c r="I379" i="7"/>
  <c r="I49" i="7"/>
  <c r="I212" i="7"/>
  <c r="I377" i="7"/>
  <c r="N64" i="2"/>
  <c r="L181" i="8" s="1"/>
  <c r="N26" i="5"/>
  <c r="M184" i="7" s="1"/>
  <c r="O25" i="5"/>
  <c r="M355" i="7"/>
  <c r="E356" i="3"/>
  <c r="O62" i="2"/>
  <c r="P62" i="2" s="1"/>
  <c r="Q62" i="2" s="1"/>
  <c r="R62" i="2" s="1"/>
  <c r="S62" i="2" s="1"/>
  <c r="T62" i="2" s="1"/>
  <c r="U62" i="2" s="1"/>
  <c r="V62" i="2" s="1"/>
  <c r="W62" i="2" s="1"/>
  <c r="X62" i="2" s="1"/>
  <c r="Y62" i="2" s="1"/>
  <c r="O24" i="5"/>
  <c r="O23" i="5"/>
  <c r="M353" i="7"/>
  <c r="P46" i="5"/>
  <c r="N372" i="3"/>
  <c r="N379" i="3"/>
  <c r="C85" i="8"/>
  <c r="L574" i="7"/>
  <c r="O279" i="7"/>
  <c r="O325" i="7"/>
  <c r="O624" i="7"/>
  <c r="O444" i="7"/>
  <c r="O314" i="7"/>
  <c r="O659" i="7"/>
  <c r="O490" i="7"/>
  <c r="Q154" i="5"/>
  <c r="P321" i="7"/>
  <c r="O319" i="7"/>
  <c r="P486" i="7"/>
  <c r="O484" i="7"/>
  <c r="O222" i="7"/>
  <c r="O567" i="7"/>
  <c r="O479" i="7"/>
  <c r="G229" i="7"/>
  <c r="L229" i="7"/>
  <c r="G394" i="7"/>
  <c r="O317" i="7"/>
  <c r="L250" i="7"/>
  <c r="O265" i="7"/>
  <c r="O430" i="7"/>
  <c r="O610" i="7"/>
  <c r="O501" i="7"/>
  <c r="U91" i="5"/>
  <c r="V91" i="5" s="1"/>
  <c r="T142" i="5"/>
  <c r="U142" i="5" s="1"/>
  <c r="V142" i="5" s="1"/>
  <c r="W142" i="5" s="1"/>
  <c r="L85" i="7"/>
  <c r="L415" i="7"/>
  <c r="Q57" i="5"/>
  <c r="P222" i="7" s="1"/>
  <c r="U139" i="5"/>
  <c r="V139" i="5" s="1"/>
  <c r="W139" i="5" s="1"/>
  <c r="X139" i="5" s="1"/>
  <c r="Y139" i="5" s="1"/>
  <c r="T74" i="5"/>
  <c r="S77" i="5"/>
  <c r="T77" i="5" s="1"/>
  <c r="R149" i="5"/>
  <c r="S149" i="5" s="1"/>
  <c r="P659" i="7"/>
  <c r="P479" i="7"/>
  <c r="P314" i="7"/>
  <c r="R151" i="5"/>
  <c r="S151" i="5" s="1"/>
  <c r="T73" i="5"/>
  <c r="U73" i="5" s="1"/>
  <c r="V73" i="5" s="1"/>
  <c r="O98" i="5"/>
  <c r="P98" i="5" s="1"/>
  <c r="T144" i="5"/>
  <c r="U144" i="5" s="1"/>
  <c r="O99" i="5"/>
  <c r="P99" i="5" s="1"/>
  <c r="O51" i="5"/>
  <c r="T115" i="5"/>
  <c r="U115" i="5" s="1"/>
  <c r="V115" i="5" s="1"/>
  <c r="U126" i="5"/>
  <c r="S148" i="5"/>
  <c r="T148" i="5" s="1"/>
  <c r="R116" i="5"/>
  <c r="S116" i="5" s="1"/>
  <c r="T116" i="5" s="1"/>
  <c r="U116" i="5" s="1"/>
  <c r="R138" i="5"/>
  <c r="S138" i="5" s="1"/>
  <c r="S114" i="5"/>
  <c r="T114" i="5" s="1"/>
  <c r="U114" i="5" s="1"/>
  <c r="U123" i="5"/>
  <c r="V123" i="5" s="1"/>
  <c r="W123" i="5" s="1"/>
  <c r="X123" i="5" s="1"/>
  <c r="Y123" i="5" s="1"/>
  <c r="Z123" i="5" s="1"/>
  <c r="R159" i="5"/>
  <c r="Q669" i="7" s="1"/>
  <c r="U125" i="5"/>
  <c r="V125" i="5" s="1"/>
  <c r="W125" i="5" s="1"/>
  <c r="X125" i="5" s="1"/>
  <c r="Y125" i="5" s="1"/>
  <c r="Z125" i="5" s="1"/>
  <c r="R100" i="5"/>
  <c r="S100" i="5" s="1"/>
  <c r="R141" i="5"/>
  <c r="F574" i="7"/>
  <c r="N64" i="5"/>
  <c r="Q95" i="5"/>
  <c r="S140" i="5"/>
  <c r="S128" i="5"/>
  <c r="P96" i="5"/>
  <c r="Q96" i="5" s="1"/>
  <c r="R96" i="5" s="1"/>
  <c r="S78" i="5"/>
  <c r="T78" i="5" s="1"/>
  <c r="U78" i="5" s="1"/>
  <c r="V78" i="5" s="1"/>
  <c r="W78" i="5" s="1"/>
  <c r="X78" i="5" s="1"/>
  <c r="Y78" i="5" s="1"/>
  <c r="Z78" i="5" s="1"/>
  <c r="T102" i="5"/>
  <c r="U102" i="5" s="1"/>
  <c r="V102" i="5" s="1"/>
  <c r="W102" i="5" s="1"/>
  <c r="W76" i="5"/>
  <c r="X76" i="5" s="1"/>
  <c r="Y76" i="5" s="1"/>
  <c r="V137" i="5"/>
  <c r="W137" i="5" s="1"/>
  <c r="T146" i="5"/>
  <c r="U146" i="5" s="1"/>
  <c r="V146" i="5" s="1"/>
  <c r="W146" i="5" s="1"/>
  <c r="X146" i="5" s="1"/>
  <c r="Y146" i="5" s="1"/>
  <c r="Z146" i="5" s="1"/>
  <c r="R170" i="5"/>
  <c r="Q680" i="7" s="1"/>
  <c r="U86" i="5"/>
  <c r="Q117" i="5"/>
  <c r="O48" i="5"/>
  <c r="F595" i="7"/>
  <c r="N85" i="5"/>
  <c r="R166" i="5"/>
  <c r="Q676" i="7" s="1"/>
  <c r="Q168" i="5"/>
  <c r="P678" i="7" s="1"/>
  <c r="U120" i="5"/>
  <c r="R94" i="5"/>
  <c r="S94" i="5" s="1"/>
  <c r="T94" i="5" s="1"/>
  <c r="U94" i="5" s="1"/>
  <c r="V94" i="5" s="1"/>
  <c r="W94" i="5" s="1"/>
  <c r="Q65" i="5"/>
  <c r="R65" i="5" s="1"/>
  <c r="S93" i="5"/>
  <c r="S87" i="5"/>
  <c r="R131" i="5"/>
  <c r="S131" i="5" s="1"/>
  <c r="T131" i="5" s="1"/>
  <c r="U131" i="5" s="1"/>
  <c r="Q83" i="5"/>
  <c r="R83" i="5" s="1"/>
  <c r="S83" i="5" s="1"/>
  <c r="O97" i="5"/>
  <c r="R79" i="5"/>
  <c r="S79" i="5" s="1"/>
  <c r="U66" i="5"/>
  <c r="V66" i="5" s="1"/>
  <c r="W66" i="5" s="1"/>
  <c r="X66" i="5" s="1"/>
  <c r="Y66" i="5" s="1"/>
  <c r="Z66" i="5" s="1"/>
  <c r="Q118" i="5"/>
  <c r="R118" i="5" s="1"/>
  <c r="S54" i="5"/>
  <c r="Q143" i="5"/>
  <c r="P473" i="7" s="1"/>
  <c r="Q163" i="5"/>
  <c r="P673" i="7" s="1"/>
  <c r="Z88" i="5"/>
  <c r="R80" i="5"/>
  <c r="S80" i="5" s="1"/>
  <c r="T80" i="5" s="1"/>
  <c r="O49" i="5"/>
  <c r="N31" i="7" s="1"/>
  <c r="O62" i="5"/>
  <c r="W101" i="5"/>
  <c r="Q67" i="5"/>
  <c r="R67" i="5" s="1"/>
  <c r="S67" i="5" s="1"/>
  <c r="S127" i="5"/>
  <c r="T127" i="5" s="1"/>
  <c r="U127" i="5" s="1"/>
  <c r="V127" i="5" s="1"/>
  <c r="W127" i="5" s="1"/>
  <c r="X127" i="5" s="1"/>
  <c r="Y127" i="5" s="1"/>
  <c r="Z127" i="5" s="1"/>
  <c r="T129" i="5"/>
  <c r="T121" i="5"/>
  <c r="U121" i="5" s="1"/>
  <c r="V121" i="5" s="1"/>
  <c r="U150" i="5"/>
  <c r="V150" i="5" s="1"/>
  <c r="W150" i="5" s="1"/>
  <c r="X150" i="5" s="1"/>
  <c r="O640" i="7"/>
  <c r="R169" i="5"/>
  <c r="Q679" i="7" s="1"/>
  <c r="R75" i="5"/>
  <c r="Q240" i="7" s="1"/>
  <c r="R132" i="5"/>
  <c r="Q462" i="7" s="1"/>
  <c r="R133" i="5"/>
  <c r="Q152" i="5"/>
  <c r="S147" i="5"/>
  <c r="Q103" i="5"/>
  <c r="Q155" i="5"/>
  <c r="S122" i="5"/>
  <c r="T122" i="5" s="1"/>
  <c r="U122" i="5" s="1"/>
  <c r="V122" i="5" s="1"/>
  <c r="W122" i="5" s="1"/>
  <c r="R156" i="5"/>
  <c r="O460" i="7"/>
  <c r="O605" i="7"/>
  <c r="O425" i="7"/>
  <c r="O260" i="7"/>
  <c r="R130" i="5"/>
  <c r="T124" i="5"/>
  <c r="U124" i="5" s="1"/>
  <c r="V124" i="5" s="1"/>
  <c r="W124" i="5" s="1"/>
  <c r="X124" i="5" s="1"/>
  <c r="R136" i="5"/>
  <c r="S136" i="5" s="1"/>
  <c r="T136" i="5" s="1"/>
  <c r="U136" i="5" s="1"/>
  <c r="V136" i="5" s="1"/>
  <c r="W136" i="5" s="1"/>
  <c r="X136" i="5" s="1"/>
  <c r="Y136" i="5" s="1"/>
  <c r="R58" i="5"/>
  <c r="Q40" i="7" s="1"/>
  <c r="U56" i="5"/>
  <c r="V56" i="5" s="1"/>
  <c r="W56" i="5" s="1"/>
  <c r="X56" i="5" s="1"/>
  <c r="Y56" i="5" s="1"/>
  <c r="Z56" i="5" s="1"/>
  <c r="Q72" i="5"/>
  <c r="P82" i="5"/>
  <c r="T145" i="5"/>
  <c r="U145" i="5" s="1"/>
  <c r="V145" i="5" s="1"/>
  <c r="S119" i="5"/>
  <c r="T119" i="5" s="1"/>
  <c r="U119" i="5" s="1"/>
  <c r="V119" i="5" s="1"/>
  <c r="W119" i="5" s="1"/>
  <c r="X119" i="5" s="1"/>
  <c r="Y119" i="5" s="1"/>
  <c r="G415" i="7"/>
  <c r="G595" i="7"/>
  <c r="G85" i="7"/>
  <c r="K229" i="7"/>
  <c r="K574" i="7"/>
  <c r="K394" i="7"/>
  <c r="F229" i="7"/>
  <c r="F394" i="7"/>
  <c r="I394" i="7"/>
  <c r="Y372" i="7"/>
  <c r="J85" i="7"/>
  <c r="F250" i="7"/>
  <c r="F85" i="7"/>
  <c r="F415" i="7"/>
  <c r="I229" i="7"/>
  <c r="H85" i="7"/>
  <c r="H250" i="7"/>
  <c r="H415" i="7"/>
  <c r="J250" i="7"/>
  <c r="J415" i="7"/>
  <c r="I250" i="7"/>
  <c r="K85" i="7"/>
  <c r="I415" i="7"/>
  <c r="K250" i="7"/>
  <c r="I595" i="7"/>
  <c r="K415" i="7"/>
  <c r="H229" i="7"/>
  <c r="H394" i="7"/>
  <c r="M64" i="3"/>
  <c r="K241" i="8" s="1"/>
  <c r="M229" i="3"/>
  <c r="L374" i="3" s="1"/>
  <c r="K181" i="8"/>
  <c r="M85" i="3"/>
  <c r="K257" i="8" s="1"/>
  <c r="M250" i="3"/>
  <c r="L375" i="3" s="1"/>
  <c r="K197" i="8"/>
  <c r="K217" i="8" s="1"/>
  <c r="M80" i="7"/>
  <c r="O167" i="7"/>
  <c r="Y420" i="7"/>
  <c r="Y600" i="7"/>
  <c r="Y255" i="7"/>
  <c r="O171" i="7"/>
  <c r="O421" i="7"/>
  <c r="O493" i="7"/>
  <c r="N746" i="7" s="1"/>
  <c r="K227" i="8"/>
  <c r="K273" i="8" s="1"/>
  <c r="O635" i="7"/>
  <c r="O455" i="7"/>
  <c r="P461" i="7"/>
  <c r="P641" i="7"/>
  <c r="P640" i="7"/>
  <c r="P460" i="7"/>
  <c r="P293" i="7"/>
  <c r="O638" i="7"/>
  <c r="O458" i="7"/>
  <c r="O634" i="7"/>
  <c r="O454" i="7"/>
  <c r="O639" i="7"/>
  <c r="O459" i="7"/>
  <c r="P294" i="7"/>
  <c r="P642" i="7"/>
  <c r="P462" i="7"/>
  <c r="O292" i="7"/>
  <c r="O637" i="7"/>
  <c r="O457" i="7"/>
  <c r="Q288" i="7"/>
  <c r="P453" i="7"/>
  <c r="P633" i="7"/>
  <c r="O456" i="7"/>
  <c r="O636" i="7"/>
  <c r="O291" i="7"/>
  <c r="K253" i="8"/>
  <c r="O423" i="7"/>
  <c r="O154" i="7"/>
  <c r="O492" i="7"/>
  <c r="Y205" i="7"/>
  <c r="Y370" i="7"/>
  <c r="Y550" i="7"/>
  <c r="O494" i="7"/>
  <c r="Y546" i="7"/>
  <c r="Y201" i="7"/>
  <c r="O601" i="7"/>
  <c r="M72" i="7"/>
  <c r="M55" i="7"/>
  <c r="O566" i="7"/>
  <c r="O244" i="7"/>
  <c r="O303" i="7"/>
  <c r="P301" i="7"/>
  <c r="O648" i="7"/>
  <c r="P466" i="7"/>
  <c r="O468" i="7"/>
  <c r="O612" i="7"/>
  <c r="O409" i="7"/>
  <c r="O589" i="7"/>
  <c r="X25" i="4"/>
  <c r="X24" i="4"/>
  <c r="X23" i="4"/>
  <c r="X21" i="4"/>
  <c r="X22" i="4"/>
  <c r="X20" i="4"/>
  <c r="W25" i="4"/>
  <c r="W24" i="4"/>
  <c r="W23" i="4"/>
  <c r="W22" i="4"/>
  <c r="T24" i="4"/>
  <c r="W21" i="4"/>
  <c r="T23" i="4"/>
  <c r="W20" i="4"/>
  <c r="O221" i="7"/>
  <c r="O603" i="7"/>
  <c r="O144" i="7"/>
  <c r="O258" i="7"/>
  <c r="P223" i="7"/>
  <c r="O309" i="7"/>
  <c r="P388" i="7"/>
  <c r="O474" i="7"/>
  <c r="O481" i="7"/>
  <c r="O316" i="7"/>
  <c r="O256" i="7"/>
  <c r="P505" i="7"/>
  <c r="O323" i="7"/>
  <c r="P652" i="7"/>
  <c r="P326" i="7"/>
  <c r="P491" i="7"/>
  <c r="O488" i="7"/>
  <c r="P661" i="7"/>
  <c r="P474" i="7"/>
  <c r="R280" i="7"/>
  <c r="O324" i="7"/>
  <c r="O489" i="7"/>
  <c r="O322" i="7"/>
  <c r="P312" i="7"/>
  <c r="O498" i="7"/>
  <c r="P477" i="7"/>
  <c r="O483" i="7"/>
  <c r="O318" i="7"/>
  <c r="P657" i="7"/>
  <c r="O298" i="7"/>
  <c r="O463" i="7"/>
  <c r="O643" i="7"/>
  <c r="O661" i="7"/>
  <c r="O487" i="7"/>
  <c r="O565" i="7"/>
  <c r="O385" i="7"/>
  <c r="O220" i="7"/>
  <c r="P566" i="7"/>
  <c r="P184" i="3"/>
  <c r="K278" i="8"/>
  <c r="O294" i="7"/>
  <c r="P171" i="3"/>
  <c r="P75" i="3"/>
  <c r="L260" i="8"/>
  <c r="N83" i="3"/>
  <c r="L255" i="8" s="1"/>
  <c r="N52" i="3"/>
  <c r="L231" i="8" s="1"/>
  <c r="N47" i="3"/>
  <c r="N96" i="3"/>
  <c r="L264" i="8" s="1"/>
  <c r="N59" i="3"/>
  <c r="L236" i="8" s="1"/>
  <c r="N97" i="3"/>
  <c r="L265" i="8" s="1"/>
  <c r="N44" i="7"/>
  <c r="M556" i="7"/>
  <c r="L760" i="7" s="1"/>
  <c r="M376" i="7"/>
  <c r="L739" i="7" s="1"/>
  <c r="M211" i="7"/>
  <c r="L718" i="7" s="1"/>
  <c r="P126" i="3"/>
  <c r="P45" i="3"/>
  <c r="N57" i="7"/>
  <c r="M389" i="7"/>
  <c r="M569" i="7"/>
  <c r="M224" i="7"/>
  <c r="N45" i="7"/>
  <c r="M377" i="7"/>
  <c r="M47" i="7"/>
  <c r="M557" i="7"/>
  <c r="M212" i="7"/>
  <c r="P341" i="3"/>
  <c r="P158" i="3"/>
  <c r="P284" i="7"/>
  <c r="Q280" i="7"/>
  <c r="Q209" i="7"/>
  <c r="O259" i="7"/>
  <c r="P449" i="7"/>
  <c r="Q445" i="7"/>
  <c r="Q554" i="7"/>
  <c r="O424" i="7"/>
  <c r="P629" i="7"/>
  <c r="Q625" i="7"/>
  <c r="P196" i="7"/>
  <c r="P541" i="7"/>
  <c r="P339" i="3"/>
  <c r="P267" i="7"/>
  <c r="O432" i="7"/>
  <c r="O267" i="7"/>
  <c r="M276" i="8"/>
  <c r="P140" i="3"/>
  <c r="P148" i="3"/>
  <c r="P141" i="3"/>
  <c r="P149" i="3"/>
  <c r="Q583" i="7"/>
  <c r="P361" i="7"/>
  <c r="N275" i="8"/>
  <c r="Q374" i="7"/>
  <c r="Q158" i="3"/>
  <c r="P172" i="3"/>
  <c r="P310" i="7"/>
  <c r="P352" i="7"/>
  <c r="P238" i="7"/>
  <c r="P655" i="7"/>
  <c r="P316" i="7"/>
  <c r="P472" i="7"/>
  <c r="P583" i="7"/>
  <c r="O308" i="7"/>
  <c r="P475" i="7"/>
  <c r="P307" i="7"/>
  <c r="Q307" i="7"/>
  <c r="P481" i="7"/>
  <c r="O467" i="7"/>
  <c r="P470" i="7"/>
  <c r="M54" i="7"/>
  <c r="M56" i="7"/>
  <c r="O156" i="7"/>
  <c r="P322" i="7"/>
  <c r="P487" i="7"/>
  <c r="N117" i="3"/>
  <c r="L259" i="8"/>
  <c r="M562" i="7"/>
  <c r="M382" i="7"/>
  <c r="M217" i="7"/>
  <c r="P145" i="3"/>
  <c r="N81" i="3"/>
  <c r="N51" i="3"/>
  <c r="L230" i="8" s="1"/>
  <c r="P131" i="3"/>
  <c r="P176" i="3"/>
  <c r="N98" i="3"/>
  <c r="N66" i="3"/>
  <c r="L243" i="8" s="1"/>
  <c r="P80" i="3"/>
  <c r="P34" i="3"/>
  <c r="P170" i="3"/>
  <c r="N82" i="3"/>
  <c r="L254" i="8" s="1"/>
  <c r="N50" i="3"/>
  <c r="L229" i="8" s="1"/>
  <c r="P129" i="3"/>
  <c r="P58" i="3"/>
  <c r="N235" i="8" s="1"/>
  <c r="N99" i="3"/>
  <c r="L266" i="8" s="1"/>
  <c r="L279" i="8" s="1"/>
  <c r="N65" i="3"/>
  <c r="L242" i="8" s="1"/>
  <c r="M380" i="7"/>
  <c r="M215" i="7"/>
  <c r="M560" i="7"/>
  <c r="P143" i="3"/>
  <c r="N118" i="3"/>
  <c r="L258" i="8"/>
  <c r="O473" i="7"/>
  <c r="P351" i="7"/>
  <c r="O653" i="7"/>
  <c r="G220" i="8"/>
  <c r="O587" i="7"/>
  <c r="O647" i="7"/>
  <c r="Q208" i="7"/>
  <c r="P587" i="7"/>
  <c r="O242" i="7"/>
  <c r="Q553" i="7"/>
  <c r="P650" i="7"/>
  <c r="P194" i="7"/>
  <c r="Q539" i="7"/>
  <c r="P359" i="7"/>
  <c r="Q650" i="7"/>
  <c r="S554" i="7"/>
  <c r="O161" i="7"/>
  <c r="P172" i="7"/>
  <c r="O149" i="7"/>
  <c r="P451" i="7"/>
  <c r="O172" i="7"/>
  <c r="O351" i="7"/>
  <c r="Q655" i="7"/>
  <c r="O74" i="7"/>
  <c r="O176" i="7"/>
  <c r="O166" i="7"/>
  <c r="Q480" i="7"/>
  <c r="P480" i="7"/>
  <c r="O168" i="7"/>
  <c r="O153" i="7"/>
  <c r="O175" i="7"/>
  <c r="P660" i="7"/>
  <c r="P313" i="7"/>
  <c r="P631" i="7"/>
  <c r="O593" i="7"/>
  <c r="P478" i="7"/>
  <c r="P658" i="7"/>
  <c r="O248" i="7"/>
  <c r="P150" i="7"/>
  <c r="O413" i="7"/>
  <c r="P315" i="7"/>
  <c r="O143" i="7"/>
  <c r="O159" i="7"/>
  <c r="M146" i="7"/>
  <c r="M145" i="7"/>
  <c r="M126" i="7"/>
  <c r="P431" i="7"/>
  <c r="P266" i="7"/>
  <c r="P611" i="7"/>
  <c r="O150" i="7"/>
  <c r="M129" i="7"/>
  <c r="O151" i="7"/>
  <c r="O160" i="7"/>
  <c r="M559" i="7"/>
  <c r="M83" i="7"/>
  <c r="P151" i="7"/>
  <c r="O152" i="7"/>
  <c r="M79" i="7"/>
  <c r="M78" i="7"/>
  <c r="P586" i="7"/>
  <c r="P363" i="7"/>
  <c r="M101" i="7"/>
  <c r="M76" i="7"/>
  <c r="O241" i="7"/>
  <c r="O544" i="7"/>
  <c r="O406" i="7"/>
  <c r="P244" i="7"/>
  <c r="M77" i="7"/>
  <c r="M100" i="7"/>
  <c r="O586" i="7"/>
  <c r="P198" i="7"/>
  <c r="O364" i="7"/>
  <c r="P496" i="7"/>
  <c r="P543" i="7"/>
  <c r="P366" i="7"/>
  <c r="O199" i="7"/>
  <c r="M628" i="7"/>
  <c r="M448" i="7"/>
  <c r="M283" i="7"/>
  <c r="M609" i="7"/>
  <c r="M429" i="7"/>
  <c r="M264" i="7"/>
  <c r="M99" i="7"/>
  <c r="M592" i="7"/>
  <c r="M412" i="7"/>
  <c r="M247" i="7"/>
  <c r="M82" i="7"/>
  <c r="N145" i="7"/>
  <c r="M447" i="7"/>
  <c r="M282" i="7"/>
  <c r="M627" i="7"/>
  <c r="M606" i="7"/>
  <c r="M426" i="7"/>
  <c r="M261" i="7"/>
  <c r="M96" i="7"/>
  <c r="M591" i="7"/>
  <c r="M411" i="7"/>
  <c r="M246" i="7"/>
  <c r="M81" i="7"/>
  <c r="M608" i="7"/>
  <c r="M428" i="7"/>
  <c r="M263" i="7"/>
  <c r="M98" i="7"/>
  <c r="M607" i="7"/>
  <c r="M427" i="7"/>
  <c r="M97" i="7"/>
  <c r="M262" i="7"/>
  <c r="P240" i="7"/>
  <c r="P405" i="7"/>
  <c r="P585" i="7"/>
  <c r="I220" i="8"/>
  <c r="Q310" i="7"/>
  <c r="Q475" i="7"/>
  <c r="D220" i="8"/>
  <c r="P589" i="7"/>
  <c r="O577" i="7"/>
  <c r="O397" i="7"/>
  <c r="O232" i="7"/>
  <c r="E220" i="8"/>
  <c r="P409" i="7"/>
  <c r="F220" i="8"/>
  <c r="O613" i="7"/>
  <c r="O433" i="7"/>
  <c r="O268" i="7"/>
  <c r="Q160" i="3"/>
  <c r="O207" i="8"/>
  <c r="Q265" i="3"/>
  <c r="Q542" i="7"/>
  <c r="Q362" i="7"/>
  <c r="Q197" i="7"/>
  <c r="O192" i="8"/>
  <c r="Q245" i="3"/>
  <c r="O508" i="7"/>
  <c r="O178" i="7"/>
  <c r="O327" i="7"/>
  <c r="O162" i="7"/>
  <c r="Q275" i="3"/>
  <c r="R270" i="3"/>
  <c r="P193" i="3"/>
  <c r="Q305" i="3"/>
  <c r="Q161" i="3"/>
  <c r="O183" i="8"/>
  <c r="Q32" i="3"/>
  <c r="P499" i="7"/>
  <c r="P165" i="3"/>
  <c r="L168" i="8"/>
  <c r="N214" i="3"/>
  <c r="N49" i="3"/>
  <c r="L228" i="8" s="1"/>
  <c r="P285" i="3"/>
  <c r="P120" i="3"/>
  <c r="P194" i="3"/>
  <c r="P29" i="3"/>
  <c r="Q300" i="3"/>
  <c r="P188" i="3"/>
  <c r="R323" i="3"/>
  <c r="O598" i="7"/>
  <c r="O418" i="7"/>
  <c r="O253" i="7"/>
  <c r="P263" i="3"/>
  <c r="Q311" i="3"/>
  <c r="Q146" i="3"/>
  <c r="O201" i="8"/>
  <c r="O205" i="8"/>
  <c r="Q262" i="3"/>
  <c r="O199" i="8"/>
  <c r="Q252" i="3"/>
  <c r="O590" i="7"/>
  <c r="O410" i="7"/>
  <c r="O245" i="7"/>
  <c r="Q337" i="3"/>
  <c r="Q303" i="3"/>
  <c r="Q138" i="3"/>
  <c r="O173" i="8"/>
  <c r="Q221" i="3"/>
  <c r="P651" i="7"/>
  <c r="P471" i="7"/>
  <c r="P306" i="7"/>
  <c r="P649" i="7"/>
  <c r="P469" i="7"/>
  <c r="P304" i="7"/>
  <c r="Q148" i="3"/>
  <c r="P315" i="3"/>
  <c r="P150" i="3"/>
  <c r="N767" i="7"/>
  <c r="O328" i="7"/>
  <c r="N725" i="7" s="1"/>
  <c r="L179" i="8"/>
  <c r="N62" i="3"/>
  <c r="L239" i="8" s="1"/>
  <c r="N227" i="3"/>
  <c r="Q210" i="3"/>
  <c r="P277" i="3"/>
  <c r="R197" i="3"/>
  <c r="Q324" i="3"/>
  <c r="Q159" i="3"/>
  <c r="Q306" i="3"/>
  <c r="O349" i="7"/>
  <c r="Q162" i="3"/>
  <c r="M594" i="7"/>
  <c r="M414" i="7"/>
  <c r="M249" i="7"/>
  <c r="M84" i="7"/>
  <c r="R244" i="3"/>
  <c r="Q200" i="3"/>
  <c r="Q35" i="3"/>
  <c r="Q318" i="3"/>
  <c r="Q153" i="3"/>
  <c r="Q308" i="3"/>
  <c r="N171" i="8"/>
  <c r="P217" i="3"/>
  <c r="R282" i="3"/>
  <c r="N184" i="8"/>
  <c r="P624" i="7"/>
  <c r="P444" i="7"/>
  <c r="P279" i="7"/>
  <c r="P588" i="7"/>
  <c r="P408" i="7"/>
  <c r="P243" i="7"/>
  <c r="O187" i="8"/>
  <c r="Q238" i="3"/>
  <c r="Q73" i="3"/>
  <c r="O247" i="8" s="1"/>
  <c r="P648" i="7"/>
  <c r="P468" i="7"/>
  <c r="P303" i="7"/>
  <c r="Q278" i="3"/>
  <c r="Q174" i="3"/>
  <c r="P338" i="3"/>
  <c r="P173" i="3"/>
  <c r="Q343" i="3"/>
  <c r="Q178" i="3"/>
  <c r="J220" i="8"/>
  <c r="O195" i="8"/>
  <c r="Q248" i="3"/>
  <c r="Q657" i="7"/>
  <c r="Q477" i="7"/>
  <c r="Q312" i="7"/>
  <c r="O194" i="8"/>
  <c r="Q247" i="3"/>
  <c r="O564" i="7"/>
  <c r="O384" i="7"/>
  <c r="O219" i="7"/>
  <c r="Q302" i="3"/>
  <c r="M572" i="7"/>
  <c r="M392" i="7"/>
  <c r="M227" i="7"/>
  <c r="Q336" i="3"/>
  <c r="O189" i="8"/>
  <c r="Q241" i="3"/>
  <c r="Q76" i="3"/>
  <c r="O249" i="8" s="1"/>
  <c r="N176" i="8"/>
  <c r="P224" i="3"/>
  <c r="O191" i="8"/>
  <c r="Q243" i="3"/>
  <c r="Q314" i="3"/>
  <c r="Q149" i="3"/>
  <c r="Q286" i="3"/>
  <c r="O208" i="8"/>
  <c r="Q266" i="3"/>
  <c r="Q101" i="3"/>
  <c r="O268" i="8" s="1"/>
  <c r="R280" i="3"/>
  <c r="Q154" i="3"/>
  <c r="P317" i="3"/>
  <c r="P152" i="3"/>
  <c r="O67" i="3"/>
  <c r="M244" i="8" s="1"/>
  <c r="P209" i="3"/>
  <c r="O373" i="3" s="1"/>
  <c r="P44" i="3"/>
  <c r="Q132" i="3"/>
  <c r="P299" i="3"/>
  <c r="Q658" i="7"/>
  <c r="Q478" i="7"/>
  <c r="Q313" i="7"/>
  <c r="R553" i="7"/>
  <c r="R208" i="7"/>
  <c r="O177" i="8"/>
  <c r="Q225" i="3"/>
  <c r="Q320" i="3"/>
  <c r="Q155" i="3"/>
  <c r="Q129" i="3"/>
  <c r="P128" i="3"/>
  <c r="O186" i="8"/>
  <c r="Q237" i="3"/>
  <c r="O297" i="7"/>
  <c r="Q313" i="3"/>
  <c r="P187" i="3"/>
  <c r="O290" i="7"/>
  <c r="Q334" i="3"/>
  <c r="Q169" i="3"/>
  <c r="O193" i="8"/>
  <c r="Q246" i="3"/>
  <c r="L180" i="8"/>
  <c r="N228" i="3"/>
  <c r="N63" i="3"/>
  <c r="L240" i="8" s="1"/>
  <c r="Q189" i="3"/>
  <c r="Q319" i="3"/>
  <c r="Q211" i="3"/>
  <c r="O46" i="3"/>
  <c r="L167" i="8"/>
  <c r="N213" i="3"/>
  <c r="N48" i="3"/>
  <c r="Q312" i="3"/>
  <c r="O198" i="8"/>
  <c r="Q251" i="3"/>
  <c r="Q284" i="3"/>
  <c r="Q119" i="3"/>
  <c r="P584" i="7"/>
  <c r="P404" i="7"/>
  <c r="P239" i="7"/>
  <c r="O500" i="7"/>
  <c r="O170" i="7"/>
  <c r="Q541" i="7"/>
  <c r="Q361" i="7"/>
  <c r="Q196" i="7"/>
  <c r="H220" i="8"/>
  <c r="P190" i="3"/>
  <c r="Q199" i="3"/>
  <c r="Q341" i="3"/>
  <c r="Q176" i="3"/>
  <c r="O295" i="7"/>
  <c r="Q130" i="3"/>
  <c r="O185" i="8"/>
  <c r="Q310" i="3"/>
  <c r="N174" i="8"/>
  <c r="P222" i="3"/>
  <c r="P57" i="3"/>
  <c r="N234" i="8" s="1"/>
  <c r="P219" i="3"/>
  <c r="P54" i="3"/>
  <c r="M558" i="7"/>
  <c r="M378" i="7"/>
  <c r="M213" i="7"/>
  <c r="M48" i="7"/>
  <c r="O203" i="8"/>
  <c r="Q260" i="3"/>
  <c r="Q95" i="3"/>
  <c r="O263" i="8" s="1"/>
  <c r="P555" i="7"/>
  <c r="P375" i="7"/>
  <c r="P210" i="7"/>
  <c r="N190" i="8"/>
  <c r="P77" i="3"/>
  <c r="N250" i="8" s="1"/>
  <c r="N276" i="8" s="1"/>
  <c r="P242" i="3"/>
  <c r="Q267" i="3"/>
  <c r="M573" i="7"/>
  <c r="M393" i="7"/>
  <c r="M228" i="7"/>
  <c r="Q298" i="3"/>
  <c r="Q133" i="3"/>
  <c r="Q316" i="3"/>
  <c r="Q80" i="3"/>
  <c r="P212" i="3"/>
  <c r="O175" i="8"/>
  <c r="Q223" i="3"/>
  <c r="O656" i="7"/>
  <c r="O476" i="7"/>
  <c r="O311" i="7"/>
  <c r="O206" i="8"/>
  <c r="Q264" i="3"/>
  <c r="Q333" i="3"/>
  <c r="O582" i="7"/>
  <c r="O402" i="7"/>
  <c r="O237" i="7"/>
  <c r="Q276" i="3"/>
  <c r="Q259" i="3"/>
  <c r="Q186" i="3"/>
  <c r="L178" i="8"/>
  <c r="N226" i="3"/>
  <c r="O289" i="7"/>
  <c r="Q335" i="3"/>
  <c r="Q170" i="3"/>
  <c r="Q196" i="3"/>
  <c r="Q31" i="3"/>
  <c r="N169" i="8"/>
  <c r="P215" i="3"/>
  <c r="Q304" i="3"/>
  <c r="Q139" i="3"/>
  <c r="R554" i="7"/>
  <c r="R374" i="7"/>
  <c r="R209" i="7"/>
  <c r="Q145" i="3"/>
  <c r="P309" i="3"/>
  <c r="P144" i="3"/>
  <c r="Q168" i="3"/>
  <c r="P167" i="3"/>
  <c r="Q322" i="3"/>
  <c r="Q157" i="3"/>
  <c r="P156" i="7"/>
  <c r="O485" i="7"/>
  <c r="O320" i="7"/>
  <c r="O155" i="7"/>
  <c r="O626" i="7"/>
  <c r="O446" i="7"/>
  <c r="O281" i="7"/>
  <c r="Q240" i="3"/>
  <c r="Q342" i="3"/>
  <c r="Q177" i="3"/>
  <c r="Q198" i="3"/>
  <c r="Q33" i="3"/>
  <c r="Q115" i="3"/>
  <c r="P279" i="3"/>
  <c r="P114" i="3"/>
  <c r="O200" i="8"/>
  <c r="Q171" i="3"/>
  <c r="P307" i="3"/>
  <c r="P142" i="3"/>
  <c r="Q281" i="3"/>
  <c r="Q116" i="3"/>
  <c r="P73" i="7"/>
  <c r="Q72" i="3"/>
  <c r="O246" i="8" s="1"/>
  <c r="P201" i="3"/>
  <c r="O170" i="8"/>
  <c r="Q216" i="3"/>
  <c r="Q283" i="3"/>
  <c r="N204" i="8"/>
  <c r="P261" i="3"/>
  <c r="O188" i="8"/>
  <c r="Q239" i="3"/>
  <c r="Q74" i="3"/>
  <c r="O248" i="8" s="1"/>
  <c r="Q301" i="3"/>
  <c r="Q136" i="3"/>
  <c r="Q268" i="3"/>
  <c r="Q103" i="3"/>
  <c r="Q102" i="3"/>
  <c r="P269" i="3"/>
  <c r="O376" i="3" s="1"/>
  <c r="N172" i="8"/>
  <c r="P220" i="3"/>
  <c r="P55" i="3"/>
  <c r="N232" i="8" s="1"/>
  <c r="Q321" i="3"/>
  <c r="Q156" i="3"/>
  <c r="Q340" i="3"/>
  <c r="Q175" i="3"/>
  <c r="O202" i="8"/>
  <c r="O262" i="8"/>
  <c r="Q273" i="3"/>
  <c r="Q100" i="3"/>
  <c r="O267" i="8" s="1"/>
  <c r="N182" i="8"/>
  <c r="P230" i="3"/>
  <c r="Q629" i="7"/>
  <c r="Q449" i="7"/>
  <c r="Q284" i="7"/>
  <c r="L196" i="8"/>
  <c r="N249" i="3"/>
  <c r="N84" i="3"/>
  <c r="L256" i="8" s="1"/>
  <c r="R274" i="3"/>
  <c r="Q131" i="3"/>
  <c r="R158" i="3"/>
  <c r="Q208" i="3"/>
  <c r="P610" i="7"/>
  <c r="P430" i="7"/>
  <c r="P265" i="7"/>
  <c r="Q40" i="3"/>
  <c r="M379" i="7"/>
  <c r="M214" i="7"/>
  <c r="M49" i="7"/>
  <c r="P488" i="7" l="1"/>
  <c r="R158" i="5"/>
  <c r="Q668" i="7" s="1"/>
  <c r="P323" i="7"/>
  <c r="M18" i="7"/>
  <c r="M358" i="7"/>
  <c r="M193" i="7"/>
  <c r="L716" i="7" s="1"/>
  <c r="M28" i="7"/>
  <c r="S162" i="5"/>
  <c r="T162" i="5" s="1"/>
  <c r="P497" i="7"/>
  <c r="P325" i="7"/>
  <c r="P490" i="7"/>
  <c r="L197" i="8"/>
  <c r="P667" i="7"/>
  <c r="P674" i="7"/>
  <c r="P329" i="7"/>
  <c r="R160" i="5"/>
  <c r="Q670" i="7" s="1"/>
  <c r="Q674" i="7"/>
  <c r="S164" i="5"/>
  <c r="R674" i="7" s="1"/>
  <c r="Q329" i="7"/>
  <c r="P330" i="7"/>
  <c r="O726" i="7" s="1"/>
  <c r="P318" i="7"/>
  <c r="P483" i="7"/>
  <c r="P503" i="7"/>
  <c r="N348" i="7"/>
  <c r="P385" i="7"/>
  <c r="P220" i="7"/>
  <c r="P84" i="5"/>
  <c r="Q84" i="5" s="1"/>
  <c r="P63" i="5"/>
  <c r="Q63" i="5" s="1"/>
  <c r="R63" i="5" s="1"/>
  <c r="P171" i="7"/>
  <c r="R153" i="5"/>
  <c r="Q663" i="7" s="1"/>
  <c r="P501" i="7"/>
  <c r="P317" i="7"/>
  <c r="P662" i="7"/>
  <c r="S157" i="5"/>
  <c r="Q667" i="7"/>
  <c r="S161" i="5"/>
  <c r="R326" i="7" s="1"/>
  <c r="Q671" i="7"/>
  <c r="P507" i="7"/>
  <c r="P687" i="7"/>
  <c r="R174" i="5"/>
  <c r="Q684" i="7" s="1"/>
  <c r="P684" i="7"/>
  <c r="R165" i="5"/>
  <c r="Q675" i="7" s="1"/>
  <c r="P768" i="7" s="1"/>
  <c r="S156" i="5"/>
  <c r="R666" i="7" s="1"/>
  <c r="Q666" i="7"/>
  <c r="O47" i="5"/>
  <c r="N29" i="7" s="1"/>
  <c r="P502" i="7"/>
  <c r="P682" i="7"/>
  <c r="R155" i="5"/>
  <c r="Q665" i="7" s="1"/>
  <c r="P665" i="7"/>
  <c r="P484" i="7"/>
  <c r="P664" i="7"/>
  <c r="O27" i="5"/>
  <c r="P27" i="5" s="1"/>
  <c r="N85" i="3"/>
  <c r="L257" i="8" s="1"/>
  <c r="P504" i="7"/>
  <c r="P174" i="7"/>
  <c r="N64" i="3"/>
  <c r="L241" i="8" s="1"/>
  <c r="N229" i="3"/>
  <c r="M374" i="3" s="1"/>
  <c r="P177" i="7"/>
  <c r="R171" i="5"/>
  <c r="P336" i="7"/>
  <c r="P339" i="7"/>
  <c r="S170" i="5"/>
  <c r="R680" i="7" s="1"/>
  <c r="Q335" i="7"/>
  <c r="P341" i="7"/>
  <c r="P506" i="7"/>
  <c r="R175" i="5"/>
  <c r="P340" i="7"/>
  <c r="R172" i="5"/>
  <c r="Q682" i="7" s="1"/>
  <c r="P337" i="7"/>
  <c r="R168" i="5"/>
  <c r="P333" i="7"/>
  <c r="L695" i="7"/>
  <c r="R178" i="5"/>
  <c r="Q688" i="7" s="1"/>
  <c r="P343" i="7"/>
  <c r="R167" i="5"/>
  <c r="P332" i="7"/>
  <c r="R173" i="5"/>
  <c r="Q683" i="7" s="1"/>
  <c r="P338" i="7"/>
  <c r="R163" i="5"/>
  <c r="Q496" i="7"/>
  <c r="Q331" i="7"/>
  <c r="S169" i="5"/>
  <c r="R679" i="7" s="1"/>
  <c r="Q334" i="7"/>
  <c r="R177" i="5"/>
  <c r="P342" i="7"/>
  <c r="R176" i="5"/>
  <c r="Q686" i="7" s="1"/>
  <c r="N215" i="7"/>
  <c r="N380" i="7"/>
  <c r="O64" i="5"/>
  <c r="M538" i="7"/>
  <c r="P81" i="5"/>
  <c r="P59" i="5"/>
  <c r="Q59" i="5" s="1"/>
  <c r="R55" i="5"/>
  <c r="Q220" i="7" s="1"/>
  <c r="M46" i="7"/>
  <c r="P51" i="5"/>
  <c r="O33" i="7" s="1"/>
  <c r="N33" i="7"/>
  <c r="O85" i="5"/>
  <c r="N85" i="7" s="1"/>
  <c r="P50" i="5"/>
  <c r="O380" i="7" s="1"/>
  <c r="N32" i="7"/>
  <c r="O41" i="7"/>
  <c r="P52" i="5"/>
  <c r="N34" i="7"/>
  <c r="P38" i="5"/>
  <c r="O37" i="7" s="1"/>
  <c r="N203" i="7"/>
  <c r="N38" i="7"/>
  <c r="N368" i="7"/>
  <c r="N548" i="7"/>
  <c r="P84" i="2"/>
  <c r="O38" i="3"/>
  <c r="O39" i="5"/>
  <c r="M204" i="7"/>
  <c r="M39" i="7"/>
  <c r="M369" i="7"/>
  <c r="M549" i="7"/>
  <c r="M350" i="3"/>
  <c r="O85" i="2"/>
  <c r="O85" i="3" s="1"/>
  <c r="M257" i="8" s="1"/>
  <c r="N39" i="3"/>
  <c r="O64" i="2"/>
  <c r="M181" i="8" s="1"/>
  <c r="O28" i="5"/>
  <c r="M528" i="7"/>
  <c r="Q46" i="5"/>
  <c r="R46" i="5" s="1"/>
  <c r="S46" i="5" s="1"/>
  <c r="T46" i="5" s="1"/>
  <c r="U46" i="5" s="1"/>
  <c r="N353" i="7"/>
  <c r="P24" i="5"/>
  <c r="N354" i="7"/>
  <c r="P25" i="5"/>
  <c r="N355" i="7"/>
  <c r="P23" i="5"/>
  <c r="O26" i="5"/>
  <c r="M375" i="3"/>
  <c r="O372" i="3"/>
  <c r="O379" i="3"/>
  <c r="Q659" i="7"/>
  <c r="Q314" i="7"/>
  <c r="Q479" i="7"/>
  <c r="P567" i="7"/>
  <c r="R154" i="5"/>
  <c r="Q664" i="7" s="1"/>
  <c r="P319" i="7"/>
  <c r="P653" i="7"/>
  <c r="P482" i="7"/>
  <c r="P152" i="7"/>
  <c r="P308" i="7"/>
  <c r="W115" i="5"/>
  <c r="X115" i="5" s="1"/>
  <c r="Y115" i="5" s="1"/>
  <c r="Z115" i="5" s="1"/>
  <c r="X142" i="5"/>
  <c r="Y142" i="5" s="1"/>
  <c r="R478" i="7"/>
  <c r="P498" i="7"/>
  <c r="Q98" i="5"/>
  <c r="R98" i="5" s="1"/>
  <c r="Q486" i="7"/>
  <c r="R57" i="5"/>
  <c r="S57" i="5" s="1"/>
  <c r="P387" i="7"/>
  <c r="M229" i="7"/>
  <c r="Z139" i="5"/>
  <c r="U77" i="5"/>
  <c r="V77" i="5" s="1"/>
  <c r="W77" i="5" s="1"/>
  <c r="X77" i="5" s="1"/>
  <c r="U74" i="5"/>
  <c r="S65" i="5"/>
  <c r="T65" i="5" s="1"/>
  <c r="T138" i="5"/>
  <c r="U138" i="5" s="1"/>
  <c r="P413" i="7"/>
  <c r="T151" i="5"/>
  <c r="U151" i="5" s="1"/>
  <c r="V151" i="5" s="1"/>
  <c r="W151" i="5" s="1"/>
  <c r="X151" i="5" s="1"/>
  <c r="Y151" i="5" s="1"/>
  <c r="Z151" i="5" s="1"/>
  <c r="W73" i="5"/>
  <c r="X73" i="5" s="1"/>
  <c r="Y73" i="5" s="1"/>
  <c r="Z73" i="5" s="1"/>
  <c r="Q321" i="7"/>
  <c r="Q301" i="7"/>
  <c r="U148" i="5"/>
  <c r="V148" i="5" s="1"/>
  <c r="Q99" i="5"/>
  <c r="R99" i="5" s="1"/>
  <c r="V144" i="5"/>
  <c r="W144" i="5" s="1"/>
  <c r="X137" i="5"/>
  <c r="Y137" i="5" s="1"/>
  <c r="Z137" i="5" s="1"/>
  <c r="R72" i="5"/>
  <c r="S72" i="5" s="1"/>
  <c r="T72" i="5" s="1"/>
  <c r="U72" i="5" s="1"/>
  <c r="V72" i="5" s="1"/>
  <c r="W72" i="5" s="1"/>
  <c r="V114" i="5"/>
  <c r="W114" i="5" s="1"/>
  <c r="X114" i="5" s="1"/>
  <c r="Y114" i="5" s="1"/>
  <c r="Z114" i="5" s="1"/>
  <c r="V126" i="5"/>
  <c r="W126" i="5" s="1"/>
  <c r="V116" i="5"/>
  <c r="W116" i="5" s="1"/>
  <c r="Y150" i="5"/>
  <c r="Z150" i="5" s="1"/>
  <c r="T83" i="5"/>
  <c r="U83" i="5" s="1"/>
  <c r="V120" i="5"/>
  <c r="W120" i="5" s="1"/>
  <c r="X120" i="5" s="1"/>
  <c r="Y120" i="5" s="1"/>
  <c r="Z120" i="5" s="1"/>
  <c r="P605" i="7"/>
  <c r="P425" i="7"/>
  <c r="P260" i="7"/>
  <c r="R152" i="5"/>
  <c r="Q82" i="5"/>
  <c r="R82" i="5" s="1"/>
  <c r="S82" i="5" s="1"/>
  <c r="P48" i="5"/>
  <c r="Q48" i="5" s="1"/>
  <c r="T87" i="5"/>
  <c r="R95" i="5"/>
  <c r="S95" i="5" s="1"/>
  <c r="T79" i="5"/>
  <c r="U79" i="5" s="1"/>
  <c r="Y124" i="5"/>
  <c r="Z124" i="5" s="1"/>
  <c r="R143" i="5"/>
  <c r="S143" i="5" s="1"/>
  <c r="T143" i="5" s="1"/>
  <c r="U143" i="5" s="1"/>
  <c r="V143" i="5" s="1"/>
  <c r="W143" i="5" s="1"/>
  <c r="X143" i="5" s="1"/>
  <c r="Y143" i="5" s="1"/>
  <c r="Z143" i="5" s="1"/>
  <c r="R117" i="5"/>
  <c r="S117" i="5" s="1"/>
  <c r="S158" i="5"/>
  <c r="S141" i="5"/>
  <c r="P62" i="5"/>
  <c r="O572" i="7" s="1"/>
  <c r="U80" i="5"/>
  <c r="V80" i="5" s="1"/>
  <c r="T54" i="5"/>
  <c r="U54" i="5" s="1"/>
  <c r="V54" i="5" s="1"/>
  <c r="W54" i="5" s="1"/>
  <c r="X54" i="5" s="1"/>
  <c r="Y54" i="5" s="1"/>
  <c r="Z54" i="5" s="1"/>
  <c r="S133" i="5"/>
  <c r="T133" i="5" s="1"/>
  <c r="U133" i="5" s="1"/>
  <c r="V133" i="5" s="1"/>
  <c r="W133" i="5" s="1"/>
  <c r="X133" i="5" s="1"/>
  <c r="Y133" i="5" s="1"/>
  <c r="Z133" i="5" s="1"/>
  <c r="S166" i="5"/>
  <c r="R676" i="7" s="1"/>
  <c r="T140" i="5"/>
  <c r="U140" i="5" s="1"/>
  <c r="V140" i="5" s="1"/>
  <c r="W140" i="5" s="1"/>
  <c r="X122" i="5"/>
  <c r="Y122" i="5" s="1"/>
  <c r="Z122" i="5" s="1"/>
  <c r="S132" i="5"/>
  <c r="T132" i="5" s="1"/>
  <c r="W121" i="5"/>
  <c r="X121" i="5" s="1"/>
  <c r="Y121" i="5" s="1"/>
  <c r="Z121" i="5" s="1"/>
  <c r="T149" i="5"/>
  <c r="U149" i="5" s="1"/>
  <c r="V149" i="5" s="1"/>
  <c r="W149" i="5" s="1"/>
  <c r="X149" i="5" s="1"/>
  <c r="Y149" i="5" s="1"/>
  <c r="Z149" i="5" s="1"/>
  <c r="T67" i="5"/>
  <c r="U67" i="5" s="1"/>
  <c r="V67" i="5" s="1"/>
  <c r="W67" i="5" s="1"/>
  <c r="X67" i="5" s="1"/>
  <c r="Y67" i="5" s="1"/>
  <c r="Z67" i="5" s="1"/>
  <c r="P49" i="5"/>
  <c r="V86" i="5"/>
  <c r="W86" i="5" s="1"/>
  <c r="X86" i="5" s="1"/>
  <c r="Y86" i="5" s="1"/>
  <c r="Z86" i="5" s="1"/>
  <c r="W91" i="5"/>
  <c r="X91" i="5" s="1"/>
  <c r="Y91" i="5" s="1"/>
  <c r="Z91" i="5" s="1"/>
  <c r="T100" i="5"/>
  <c r="U100" i="5" s="1"/>
  <c r="V100" i="5" s="1"/>
  <c r="W100" i="5" s="1"/>
  <c r="X100" i="5" s="1"/>
  <c r="S118" i="5"/>
  <c r="T147" i="5"/>
  <c r="U147" i="5" s="1"/>
  <c r="V147" i="5" s="1"/>
  <c r="W147" i="5" s="1"/>
  <c r="X147" i="5" s="1"/>
  <c r="Y147" i="5" s="1"/>
  <c r="Z147" i="5" s="1"/>
  <c r="P47" i="5"/>
  <c r="S130" i="5"/>
  <c r="R103" i="5"/>
  <c r="S103" i="5" s="1"/>
  <c r="U129" i="5"/>
  <c r="V129" i="5" s="1"/>
  <c r="W129" i="5" s="1"/>
  <c r="P493" i="7"/>
  <c r="O746" i="7" s="1"/>
  <c r="T93" i="5"/>
  <c r="X94" i="5"/>
  <c r="Y94" i="5" s="1"/>
  <c r="Z94" i="5" s="1"/>
  <c r="S58" i="5"/>
  <c r="T128" i="5"/>
  <c r="U128" i="5" s="1"/>
  <c r="V128" i="5" s="1"/>
  <c r="W128" i="5" s="1"/>
  <c r="X128" i="5" s="1"/>
  <c r="Y128" i="5" s="1"/>
  <c r="Z128" i="5" s="1"/>
  <c r="Z136" i="5"/>
  <c r="S75" i="5"/>
  <c r="T75" i="5" s="1"/>
  <c r="U75" i="5" s="1"/>
  <c r="V75" i="5" s="1"/>
  <c r="W75" i="5" s="1"/>
  <c r="X75" i="5" s="1"/>
  <c r="Y75" i="5" s="1"/>
  <c r="Z75" i="5" s="1"/>
  <c r="X101" i="5"/>
  <c r="Y101" i="5" s="1"/>
  <c r="Z101" i="5" s="1"/>
  <c r="P97" i="5"/>
  <c r="X102" i="5"/>
  <c r="Q642" i="7"/>
  <c r="W145" i="5"/>
  <c r="X145" i="5" s="1"/>
  <c r="Y145" i="5" s="1"/>
  <c r="Z145" i="5" s="1"/>
  <c r="V131" i="5"/>
  <c r="W131" i="5" s="1"/>
  <c r="Z76" i="5"/>
  <c r="Z119" i="5"/>
  <c r="S159" i="5"/>
  <c r="S96" i="5"/>
  <c r="T96" i="5" s="1"/>
  <c r="M394" i="7"/>
  <c r="M574" i="7"/>
  <c r="M85" i="7"/>
  <c r="M250" i="7"/>
  <c r="M415" i="7"/>
  <c r="M595" i="7"/>
  <c r="P167" i="7"/>
  <c r="R577" i="7"/>
  <c r="P421" i="7"/>
  <c r="P253" i="7"/>
  <c r="Q296" i="7"/>
  <c r="Q641" i="7"/>
  <c r="L227" i="8"/>
  <c r="L273" i="8" s="1"/>
  <c r="Q461" i="7"/>
  <c r="Q636" i="7"/>
  <c r="Q456" i="7"/>
  <c r="Q291" i="7"/>
  <c r="S641" i="7"/>
  <c r="S461" i="7"/>
  <c r="Q635" i="7"/>
  <c r="Q455" i="7"/>
  <c r="P638" i="7"/>
  <c r="P458" i="7"/>
  <c r="P635" i="7"/>
  <c r="P455" i="7"/>
  <c r="P457" i="7"/>
  <c r="P637" i="7"/>
  <c r="P636" i="7"/>
  <c r="P456" i="7"/>
  <c r="P291" i="7"/>
  <c r="P634" i="7"/>
  <c r="P454" i="7"/>
  <c r="Q604" i="7"/>
  <c r="Q640" i="7"/>
  <c r="Q460" i="7"/>
  <c r="Q294" i="7"/>
  <c r="P639" i="7"/>
  <c r="P459" i="7"/>
  <c r="Q293" i="7"/>
  <c r="Q633" i="7"/>
  <c r="Q453" i="7"/>
  <c r="R641" i="7"/>
  <c r="R461" i="7"/>
  <c r="O252" i="8"/>
  <c r="L253" i="8"/>
  <c r="N252" i="8"/>
  <c r="P601" i="7"/>
  <c r="O768" i="7"/>
  <c r="P494" i="7"/>
  <c r="P492" i="7"/>
  <c r="P495" i="7"/>
  <c r="O747" i="7" s="1"/>
  <c r="N72" i="7"/>
  <c r="P74" i="7"/>
  <c r="N55" i="7"/>
  <c r="P149" i="7"/>
  <c r="P256" i="7"/>
  <c r="P423" i="7"/>
  <c r="Q223" i="7"/>
  <c r="P309" i="7"/>
  <c r="P603" i="7"/>
  <c r="P258" i="7"/>
  <c r="P221" i="7"/>
  <c r="Q388" i="7"/>
  <c r="Q568" i="7"/>
  <c r="N392" i="7"/>
  <c r="Q326" i="7"/>
  <c r="R625" i="7"/>
  <c r="P386" i="7"/>
  <c r="Q324" i="7"/>
  <c r="Q489" i="7"/>
  <c r="Q386" i="7"/>
  <c r="Q466" i="7"/>
  <c r="Q463" i="7"/>
  <c r="Q298" i="7"/>
  <c r="Q643" i="7"/>
  <c r="S445" i="7"/>
  <c r="R445" i="7"/>
  <c r="Q491" i="7"/>
  <c r="R657" i="7"/>
  <c r="P643" i="7"/>
  <c r="P463" i="7"/>
  <c r="P298" i="7"/>
  <c r="R301" i="7"/>
  <c r="Q646" i="7"/>
  <c r="P489" i="7"/>
  <c r="P324" i="7"/>
  <c r="P654" i="7"/>
  <c r="Q184" i="3"/>
  <c r="R79" i="3"/>
  <c r="O376" i="7"/>
  <c r="N739" i="7" s="1"/>
  <c r="L278" i="8"/>
  <c r="N80" i="7"/>
  <c r="N128" i="7"/>
  <c r="N126" i="7"/>
  <c r="P259" i="7"/>
  <c r="N557" i="7"/>
  <c r="N377" i="7"/>
  <c r="N212" i="7"/>
  <c r="O45" i="7"/>
  <c r="N47" i="7"/>
  <c r="P424" i="7"/>
  <c r="O97" i="3"/>
  <c r="M265" i="8" s="1"/>
  <c r="R296" i="7"/>
  <c r="P604" i="7"/>
  <c r="O52" i="3"/>
  <c r="M231" i="8" s="1"/>
  <c r="O47" i="3"/>
  <c r="Q75" i="3"/>
  <c r="N556" i="7"/>
  <c r="M760" i="7" s="1"/>
  <c r="N376" i="7"/>
  <c r="M739" i="7" s="1"/>
  <c r="N211" i="7"/>
  <c r="M718" i="7" s="1"/>
  <c r="N46" i="7"/>
  <c r="Q126" i="3"/>
  <c r="Q305" i="7"/>
  <c r="N224" i="7"/>
  <c r="N389" i="7"/>
  <c r="N569" i="7"/>
  <c r="Q470" i="7"/>
  <c r="P418" i="7"/>
  <c r="M260" i="8"/>
  <c r="O83" i="3"/>
  <c r="M255" i="8" s="1"/>
  <c r="O96" i="3"/>
  <c r="M264" i="8" s="1"/>
  <c r="O59" i="3"/>
  <c r="M236" i="8" s="1"/>
  <c r="P242" i="7"/>
  <c r="P432" i="7"/>
  <c r="Q192" i="3"/>
  <c r="Q587" i="7"/>
  <c r="P154" i="7"/>
  <c r="Q339" i="3"/>
  <c r="Q238" i="7"/>
  <c r="Q403" i="7"/>
  <c r="P612" i="7"/>
  <c r="R658" i="7"/>
  <c r="Q612" i="7"/>
  <c r="P407" i="7"/>
  <c r="Q316" i="7"/>
  <c r="Q481" i="7"/>
  <c r="Q661" i="7"/>
  <c r="Q472" i="7"/>
  <c r="Q164" i="3"/>
  <c r="Q140" i="3"/>
  <c r="O275" i="8"/>
  <c r="Q143" i="3"/>
  <c r="Q163" i="3"/>
  <c r="Q141" i="3"/>
  <c r="Q151" i="3"/>
  <c r="Q172" i="3"/>
  <c r="Q166" i="3"/>
  <c r="S658" i="7"/>
  <c r="R313" i="7"/>
  <c r="Q652" i="7"/>
  <c r="P173" i="7"/>
  <c r="N54" i="7"/>
  <c r="N56" i="7"/>
  <c r="N101" i="7"/>
  <c r="P598" i="7"/>
  <c r="Q315" i="7"/>
  <c r="Q660" i="7"/>
  <c r="N227" i="7"/>
  <c r="N98" i="7"/>
  <c r="Q34" i="3"/>
  <c r="O81" i="3"/>
  <c r="O51" i="3"/>
  <c r="M230" i="8" s="1"/>
  <c r="N562" i="7"/>
  <c r="N382" i="7"/>
  <c r="N217" i="7"/>
  <c r="Q137" i="3"/>
  <c r="O98" i="3"/>
  <c r="O66" i="3"/>
  <c r="M243" i="8" s="1"/>
  <c r="Q45" i="3"/>
  <c r="O117" i="3"/>
  <c r="M259" i="8"/>
  <c r="Q147" i="3"/>
  <c r="N572" i="7"/>
  <c r="Q58" i="3"/>
  <c r="O235" i="8" s="1"/>
  <c r="Q78" i="3"/>
  <c r="O251" i="8" s="1"/>
  <c r="Q43" i="3"/>
  <c r="N393" i="7"/>
  <c r="O118" i="3"/>
  <c r="M258" i="8"/>
  <c r="P248" i="7"/>
  <c r="O99" i="3"/>
  <c r="M266" i="8" s="1"/>
  <c r="M279" i="8" s="1"/>
  <c r="O65" i="3"/>
  <c r="M242" i="8" s="1"/>
  <c r="Q56" i="3"/>
  <c r="O233" i="8" s="1"/>
  <c r="O82" i="3"/>
  <c r="M254" i="8" s="1"/>
  <c r="O50" i="3"/>
  <c r="M229" i="8" s="1"/>
  <c r="R312" i="7"/>
  <c r="Q194" i="7"/>
  <c r="R477" i="7"/>
  <c r="Q359" i="7"/>
  <c r="N228" i="7"/>
  <c r="P292" i="7"/>
  <c r="Q266" i="7"/>
  <c r="Q611" i="7"/>
  <c r="Q431" i="7"/>
  <c r="Q585" i="7"/>
  <c r="R286" i="7"/>
  <c r="R451" i="7"/>
  <c r="S209" i="7"/>
  <c r="S374" i="7"/>
  <c r="Q589" i="7"/>
  <c r="Q577" i="7"/>
  <c r="P647" i="7"/>
  <c r="P467" i="7"/>
  <c r="P302" i="7"/>
  <c r="P161" i="7"/>
  <c r="Q322" i="7"/>
  <c r="Q487" i="7"/>
  <c r="Q232" i="7"/>
  <c r="P159" i="7"/>
  <c r="Q405" i="7"/>
  <c r="Q397" i="7"/>
  <c r="R543" i="7"/>
  <c r="Q363" i="7"/>
  <c r="Q543" i="7"/>
  <c r="Q198" i="7"/>
  <c r="Q78" i="7"/>
  <c r="Q488" i="7"/>
  <c r="Q323" i="7"/>
  <c r="P168" i="7"/>
  <c r="R655" i="7"/>
  <c r="Q586" i="7"/>
  <c r="R366" i="7"/>
  <c r="R631" i="7"/>
  <c r="P397" i="7"/>
  <c r="N84" i="7"/>
  <c r="P577" i="7"/>
  <c r="S362" i="7"/>
  <c r="P144" i="7"/>
  <c r="P169" i="7"/>
  <c r="T541" i="7"/>
  <c r="T611" i="7"/>
  <c r="Q286" i="7"/>
  <c r="Q631" i="7"/>
  <c r="Q451" i="7"/>
  <c r="P232" i="7"/>
  <c r="P593" i="7"/>
  <c r="Q366" i="7"/>
  <c r="Q244" i="7"/>
  <c r="Q409" i="7"/>
  <c r="S655" i="7"/>
  <c r="P406" i="7"/>
  <c r="N96" i="7"/>
  <c r="P241" i="7"/>
  <c r="P153" i="7"/>
  <c r="N249" i="7"/>
  <c r="N414" i="7"/>
  <c r="P175" i="7"/>
  <c r="N129" i="7"/>
  <c r="N83" i="7"/>
  <c r="P143" i="7"/>
  <c r="P160" i="7"/>
  <c r="N146" i="7"/>
  <c r="N606" i="7"/>
  <c r="N428" i="7"/>
  <c r="Q151" i="7"/>
  <c r="P176" i="7"/>
  <c r="N100" i="7"/>
  <c r="N594" i="7"/>
  <c r="N608" i="7"/>
  <c r="N78" i="7"/>
  <c r="N75" i="7"/>
  <c r="N79" i="7"/>
  <c r="N76" i="7"/>
  <c r="N77" i="7"/>
  <c r="N263" i="7"/>
  <c r="O101" i="7"/>
  <c r="O77" i="7"/>
  <c r="N261" i="7"/>
  <c r="P166" i="7"/>
  <c r="N426" i="7"/>
  <c r="O78" i="7"/>
  <c r="R431" i="7"/>
  <c r="P544" i="7"/>
  <c r="P364" i="7"/>
  <c r="P199" i="7"/>
  <c r="N627" i="7"/>
  <c r="N447" i="7"/>
  <c r="N282" i="7"/>
  <c r="N628" i="7"/>
  <c r="N448" i="7"/>
  <c r="N283" i="7"/>
  <c r="N592" i="7"/>
  <c r="N412" i="7"/>
  <c r="N247" i="7"/>
  <c r="N82" i="7"/>
  <c r="O80" i="7"/>
  <c r="N411" i="7"/>
  <c r="N246" i="7"/>
  <c r="N81" i="7"/>
  <c r="N591" i="7"/>
  <c r="N262" i="7"/>
  <c r="N97" i="7"/>
  <c r="N607" i="7"/>
  <c r="N427" i="7"/>
  <c r="N99" i="7"/>
  <c r="N609" i="7"/>
  <c r="N429" i="7"/>
  <c r="N264" i="7"/>
  <c r="R310" i="7"/>
  <c r="R475" i="7"/>
  <c r="R266" i="7"/>
  <c r="R611" i="7"/>
  <c r="P613" i="7"/>
  <c r="P433" i="7"/>
  <c r="P268" i="7"/>
  <c r="R303" i="3"/>
  <c r="R138" i="3"/>
  <c r="O172" i="8"/>
  <c r="Q220" i="3"/>
  <c r="Q55" i="3"/>
  <c r="O232" i="8" s="1"/>
  <c r="R281" i="3"/>
  <c r="R116" i="3"/>
  <c r="Q352" i="7"/>
  <c r="O169" i="8"/>
  <c r="Q215" i="3"/>
  <c r="M178" i="8"/>
  <c r="O226" i="3"/>
  <c r="P656" i="7"/>
  <c r="P476" i="7"/>
  <c r="P311" i="7"/>
  <c r="P175" i="8"/>
  <c r="R223" i="3"/>
  <c r="R316" i="3"/>
  <c r="Q555" i="7"/>
  <c r="Q375" i="7"/>
  <c r="Q210" i="7"/>
  <c r="P203" i="8"/>
  <c r="R260" i="3"/>
  <c r="R95" i="3"/>
  <c r="P263" i="8" s="1"/>
  <c r="P185" i="8"/>
  <c r="R541" i="7"/>
  <c r="R361" i="7"/>
  <c r="R196" i="7"/>
  <c r="Q584" i="7"/>
  <c r="Q404" i="7"/>
  <c r="Q239" i="7"/>
  <c r="Q74" i="7"/>
  <c r="R284" i="3"/>
  <c r="R119" i="3"/>
  <c r="M180" i="8"/>
  <c r="O228" i="3"/>
  <c r="O63" i="3"/>
  <c r="M240" i="8" s="1"/>
  <c r="R324" i="3"/>
  <c r="R159" i="3"/>
  <c r="Q499" i="7"/>
  <c r="O204" i="8"/>
  <c r="Q261" i="3"/>
  <c r="R132" i="3"/>
  <c r="Q299" i="3"/>
  <c r="P195" i="8"/>
  <c r="R248" i="3"/>
  <c r="R162" i="3"/>
  <c r="Q165" i="3"/>
  <c r="R340" i="3"/>
  <c r="R175" i="3"/>
  <c r="Q201" i="3"/>
  <c r="P564" i="7"/>
  <c r="P384" i="7"/>
  <c r="P219" i="7"/>
  <c r="R115" i="3"/>
  <c r="Q279" i="3"/>
  <c r="Q114" i="3"/>
  <c r="P485" i="7"/>
  <c r="P320" i="7"/>
  <c r="P155" i="7"/>
  <c r="P590" i="7"/>
  <c r="P410" i="7"/>
  <c r="P245" i="7"/>
  <c r="R259" i="3"/>
  <c r="Q624" i="7"/>
  <c r="Q444" i="7"/>
  <c r="Q279" i="7"/>
  <c r="P206" i="8"/>
  <c r="R264" i="3"/>
  <c r="P290" i="7"/>
  <c r="R130" i="3"/>
  <c r="Q187" i="3"/>
  <c r="R155" i="3"/>
  <c r="Q128" i="3"/>
  <c r="R320" i="3"/>
  <c r="P67" i="3"/>
  <c r="N244" i="8" s="1"/>
  <c r="P208" i="8"/>
  <c r="R266" i="3"/>
  <c r="P189" i="8"/>
  <c r="R76" i="3"/>
  <c r="P249" i="8" s="1"/>
  <c r="R241" i="3"/>
  <c r="R336" i="3"/>
  <c r="R302" i="3"/>
  <c r="R137" i="3"/>
  <c r="R278" i="3"/>
  <c r="Q588" i="7"/>
  <c r="Q408" i="7"/>
  <c r="Q243" i="7"/>
  <c r="O171" i="8"/>
  <c r="Q217" i="3"/>
  <c r="R318" i="3"/>
  <c r="P349" i="7"/>
  <c r="Q277" i="3"/>
  <c r="R129" i="3"/>
  <c r="Q194" i="3"/>
  <c r="Q29" i="3"/>
  <c r="R305" i="3"/>
  <c r="P192" i="8"/>
  <c r="R245" i="3"/>
  <c r="R166" i="3"/>
  <c r="Q167" i="3"/>
  <c r="O190" i="8"/>
  <c r="Q242" i="3"/>
  <c r="Q77" i="3"/>
  <c r="O250" i="8" s="1"/>
  <c r="M168" i="8"/>
  <c r="O49" i="3"/>
  <c r="M228" i="8" s="1"/>
  <c r="O214" i="3"/>
  <c r="R659" i="7"/>
  <c r="R479" i="7"/>
  <c r="R314" i="7"/>
  <c r="R238" i="7"/>
  <c r="N559" i="7"/>
  <c r="S274" i="3"/>
  <c r="R273" i="3"/>
  <c r="R268" i="3"/>
  <c r="R103" i="3"/>
  <c r="R301" i="3"/>
  <c r="R136" i="3"/>
  <c r="R283" i="3"/>
  <c r="P582" i="7"/>
  <c r="P402" i="7"/>
  <c r="P237" i="7"/>
  <c r="Q307" i="3"/>
  <c r="Q142" i="3"/>
  <c r="R240" i="3"/>
  <c r="Q309" i="3"/>
  <c r="Q144" i="3"/>
  <c r="R335" i="3"/>
  <c r="P500" i="7"/>
  <c r="P170" i="7"/>
  <c r="R211" i="3"/>
  <c r="Q209" i="3"/>
  <c r="P373" i="3" s="1"/>
  <c r="Q44" i="3"/>
  <c r="Q648" i="7"/>
  <c r="Q468" i="7"/>
  <c r="Q303" i="7"/>
  <c r="O184" i="8"/>
  <c r="S244" i="3"/>
  <c r="R149" i="3"/>
  <c r="Q315" i="3"/>
  <c r="Q150" i="3"/>
  <c r="P199" i="8"/>
  <c r="R252" i="3"/>
  <c r="S323" i="3"/>
  <c r="R300" i="3"/>
  <c r="S270" i="3"/>
  <c r="R275" i="3"/>
  <c r="R160" i="3"/>
  <c r="O182" i="8"/>
  <c r="Q230" i="3"/>
  <c r="R314" i="3"/>
  <c r="Q188" i="3"/>
  <c r="Q193" i="3"/>
  <c r="M196" i="8"/>
  <c r="O249" i="3"/>
  <c r="O84" i="3"/>
  <c r="M256" i="8" s="1"/>
  <c r="P200" i="8"/>
  <c r="P626" i="7"/>
  <c r="P446" i="7"/>
  <c r="P281" i="7"/>
  <c r="R298" i="3"/>
  <c r="R133" i="3"/>
  <c r="R267" i="3"/>
  <c r="N558" i="7"/>
  <c r="N378" i="7"/>
  <c r="N213" i="7"/>
  <c r="N48" i="7"/>
  <c r="O46" i="7"/>
  <c r="O84" i="7"/>
  <c r="R163" i="3"/>
  <c r="S280" i="3"/>
  <c r="P191" i="8"/>
  <c r="R243" i="3"/>
  <c r="R78" i="3"/>
  <c r="P251" i="8" s="1"/>
  <c r="R343" i="3"/>
  <c r="R178" i="3"/>
  <c r="P187" i="8"/>
  <c r="R238" i="3"/>
  <c r="R73" i="3"/>
  <c r="P247" i="8" s="1"/>
  <c r="Q649" i="7"/>
  <c r="Q469" i="7"/>
  <c r="Q304" i="7"/>
  <c r="R661" i="7"/>
  <c r="R481" i="7"/>
  <c r="R316" i="7"/>
  <c r="P205" i="8"/>
  <c r="R262" i="3"/>
  <c r="R311" i="3"/>
  <c r="R146" i="3"/>
  <c r="P183" i="8"/>
  <c r="P327" i="7"/>
  <c r="P162" i="7"/>
  <c r="R342" i="3"/>
  <c r="R177" i="3"/>
  <c r="R313" i="3"/>
  <c r="R200" i="3"/>
  <c r="R35" i="3"/>
  <c r="R40" i="3"/>
  <c r="R208" i="3"/>
  <c r="R43" i="3"/>
  <c r="R321" i="3"/>
  <c r="R156" i="3"/>
  <c r="R102" i="3"/>
  <c r="Q269" i="3"/>
  <c r="P376" i="3" s="1"/>
  <c r="R198" i="3"/>
  <c r="R33" i="3"/>
  <c r="Q156" i="7"/>
  <c r="R322" i="3"/>
  <c r="R157" i="3"/>
  <c r="R304" i="3"/>
  <c r="R139" i="3"/>
  <c r="P289" i="7"/>
  <c r="R276" i="3"/>
  <c r="R80" i="3"/>
  <c r="Q212" i="3"/>
  <c r="R58" i="3"/>
  <c r="P235" i="8" s="1"/>
  <c r="O174" i="8"/>
  <c r="Q222" i="3"/>
  <c r="Q57" i="3"/>
  <c r="O234" i="8" s="1"/>
  <c r="R310" i="3"/>
  <c r="R199" i="3"/>
  <c r="P198" i="8"/>
  <c r="R251" i="3"/>
  <c r="P46" i="3"/>
  <c r="M167" i="8"/>
  <c r="O213" i="3"/>
  <c r="O48" i="3"/>
  <c r="R189" i="3"/>
  <c r="R153" i="3"/>
  <c r="Q317" i="3"/>
  <c r="Q152" i="3"/>
  <c r="R286" i="3"/>
  <c r="S313" i="7"/>
  <c r="R210" i="3"/>
  <c r="Q651" i="7"/>
  <c r="Q471" i="7"/>
  <c r="Q306" i="7"/>
  <c r="P173" i="8"/>
  <c r="R221" i="3"/>
  <c r="R56" i="3"/>
  <c r="P233" i="8" s="1"/>
  <c r="R337" i="3"/>
  <c r="Q285" i="3"/>
  <c r="Q120" i="3"/>
  <c r="P207" i="8"/>
  <c r="R265" i="3"/>
  <c r="R100" i="3"/>
  <c r="P267" i="8" s="1"/>
  <c r="R196" i="3"/>
  <c r="R31" i="3"/>
  <c r="Q166" i="7"/>
  <c r="O767" i="7"/>
  <c r="P328" i="7"/>
  <c r="O725" i="7" s="1"/>
  <c r="R32" i="3"/>
  <c r="Q610" i="7"/>
  <c r="Q430" i="7"/>
  <c r="Q265" i="7"/>
  <c r="R131" i="3"/>
  <c r="R192" i="3"/>
  <c r="R333" i="3"/>
  <c r="R341" i="3"/>
  <c r="S296" i="7"/>
  <c r="P177" i="8"/>
  <c r="R225" i="3"/>
  <c r="R164" i="3"/>
  <c r="O176" i="8"/>
  <c r="Q224" i="3"/>
  <c r="S282" i="3"/>
  <c r="R308" i="3"/>
  <c r="R143" i="3"/>
  <c r="R306" i="3"/>
  <c r="R141" i="3"/>
  <c r="M179" i="8"/>
  <c r="O62" i="3"/>
  <c r="M239" i="8" s="1"/>
  <c r="O227" i="3"/>
  <c r="P201" i="8"/>
  <c r="P508" i="7"/>
  <c r="P178" i="7"/>
  <c r="Q73" i="7"/>
  <c r="R629" i="7"/>
  <c r="R449" i="7"/>
  <c r="R284" i="7"/>
  <c r="S553" i="7"/>
  <c r="S208" i="7"/>
  <c r="R312" i="3"/>
  <c r="R147" i="3"/>
  <c r="P193" i="8"/>
  <c r="R246" i="3"/>
  <c r="R542" i="7"/>
  <c r="R362" i="7"/>
  <c r="R197" i="7"/>
  <c r="R650" i="7"/>
  <c r="R470" i="7"/>
  <c r="R305" i="7"/>
  <c r="P202" i="8"/>
  <c r="P262" i="8"/>
  <c r="P188" i="8"/>
  <c r="R239" i="3"/>
  <c r="R74" i="3"/>
  <c r="P248" i="8" s="1"/>
  <c r="P170" i="8"/>
  <c r="R216" i="3"/>
  <c r="R186" i="3"/>
  <c r="Q219" i="3"/>
  <c r="Q54" i="3"/>
  <c r="P295" i="7"/>
  <c r="Q190" i="3"/>
  <c r="R319" i="3"/>
  <c r="R334" i="3"/>
  <c r="R169" i="3"/>
  <c r="P297" i="7"/>
  <c r="P186" i="8"/>
  <c r="R237" i="3"/>
  <c r="R72" i="3"/>
  <c r="P246" i="8" s="1"/>
  <c r="P194" i="8"/>
  <c r="R247" i="3"/>
  <c r="R174" i="3"/>
  <c r="Q338" i="3"/>
  <c r="Q173" i="3"/>
  <c r="S197" i="3"/>
  <c r="R101" i="3"/>
  <c r="P268" i="8" s="1"/>
  <c r="Q263" i="3"/>
  <c r="R161" i="3"/>
  <c r="N379" i="7"/>
  <c r="N214" i="7"/>
  <c r="N49" i="7"/>
  <c r="Q325" i="7" l="1"/>
  <c r="R672" i="7"/>
  <c r="N184" i="7"/>
  <c r="N18" i="7"/>
  <c r="N193" i="7"/>
  <c r="N28" i="7"/>
  <c r="M695" i="7" s="1"/>
  <c r="S153" i="5"/>
  <c r="R663" i="7" s="1"/>
  <c r="R491" i="7"/>
  <c r="Q318" i="7"/>
  <c r="Q483" i="7"/>
  <c r="O250" i="3"/>
  <c r="N375" i="3" s="1"/>
  <c r="M197" i="8"/>
  <c r="Q490" i="7"/>
  <c r="S160" i="5"/>
  <c r="R490" i="7" s="1"/>
  <c r="O414" i="7"/>
  <c r="O249" i="7"/>
  <c r="O594" i="7"/>
  <c r="R329" i="7"/>
  <c r="T164" i="5"/>
  <c r="S674" i="7" s="1"/>
  <c r="R321" i="7"/>
  <c r="R486" i="7"/>
  <c r="T156" i="5"/>
  <c r="S666" i="7" s="1"/>
  <c r="Q172" i="7"/>
  <c r="O348" i="7"/>
  <c r="S155" i="5"/>
  <c r="R665" i="7" s="1"/>
  <c r="Q503" i="7"/>
  <c r="Q339" i="7"/>
  <c r="Q504" i="7"/>
  <c r="P64" i="5"/>
  <c r="O574" i="7" s="1"/>
  <c r="S165" i="5"/>
  <c r="R675" i="7" s="1"/>
  <c r="S174" i="5"/>
  <c r="R684" i="7" s="1"/>
  <c r="Q174" i="7"/>
  <c r="N357" i="7"/>
  <c r="Q177" i="7"/>
  <c r="Q687" i="7"/>
  <c r="Q330" i="7"/>
  <c r="P726" i="7" s="1"/>
  <c r="R671" i="7"/>
  <c r="T161" i="5"/>
  <c r="S326" i="7" s="1"/>
  <c r="Q482" i="7"/>
  <c r="Q662" i="7"/>
  <c r="Q498" i="7"/>
  <c r="Q678" i="7"/>
  <c r="R667" i="7"/>
  <c r="T157" i="5"/>
  <c r="T159" i="5"/>
  <c r="S669" i="7" s="1"/>
  <c r="R669" i="7"/>
  <c r="T158" i="5"/>
  <c r="R668" i="7"/>
  <c r="T153" i="5"/>
  <c r="S663" i="7" s="1"/>
  <c r="Q167" i="7"/>
  <c r="Q677" i="7"/>
  <c r="U162" i="5"/>
  <c r="S672" i="7"/>
  <c r="Q493" i="7"/>
  <c r="P746" i="7" s="1"/>
  <c r="Q673" i="7"/>
  <c r="S175" i="5"/>
  <c r="T175" i="5" s="1"/>
  <c r="Q685" i="7"/>
  <c r="Q501" i="7"/>
  <c r="Q681" i="7"/>
  <c r="O215" i="7"/>
  <c r="O560" i="7"/>
  <c r="Q171" i="7"/>
  <c r="Q507" i="7"/>
  <c r="P372" i="3"/>
  <c r="L758" i="7"/>
  <c r="O64" i="3"/>
  <c r="M241" i="8" s="1"/>
  <c r="O229" i="3"/>
  <c r="N374" i="3" s="1"/>
  <c r="Q565" i="7"/>
  <c r="T166" i="5"/>
  <c r="R331" i="7"/>
  <c r="S176" i="5"/>
  <c r="R686" i="7" s="1"/>
  <c r="Q341" i="7"/>
  <c r="Q506" i="7"/>
  <c r="Q343" i="7"/>
  <c r="T170" i="5"/>
  <c r="S680" i="7" s="1"/>
  <c r="R335" i="7"/>
  <c r="S177" i="5"/>
  <c r="R687" i="7" s="1"/>
  <c r="Q342" i="7"/>
  <c r="S163" i="5"/>
  <c r="Q340" i="7"/>
  <c r="Q505" i="7"/>
  <c r="Q332" i="7"/>
  <c r="S167" i="5"/>
  <c r="Q497" i="7"/>
  <c r="S168" i="5"/>
  <c r="R678" i="7" s="1"/>
  <c r="Q333" i="7"/>
  <c r="S178" i="5"/>
  <c r="R688" i="7" s="1"/>
  <c r="T169" i="5"/>
  <c r="R334" i="7"/>
  <c r="Q338" i="7"/>
  <c r="S173" i="5"/>
  <c r="Q337" i="7"/>
  <c r="S172" i="5"/>
  <c r="R682" i="7" s="1"/>
  <c r="Q502" i="7"/>
  <c r="Q336" i="7"/>
  <c r="S171" i="5"/>
  <c r="P85" i="5"/>
  <c r="N250" i="7"/>
  <c r="N415" i="7"/>
  <c r="N595" i="7"/>
  <c r="Q38" i="5"/>
  <c r="P37" i="7" s="1"/>
  <c r="Q51" i="5"/>
  <c r="P33" i="7" s="1"/>
  <c r="Q81" i="5"/>
  <c r="O35" i="7"/>
  <c r="Q50" i="5"/>
  <c r="P560" i="7" s="1"/>
  <c r="O32" i="7"/>
  <c r="T58" i="5"/>
  <c r="S568" i="7" s="1"/>
  <c r="R40" i="7"/>
  <c r="Q49" i="5"/>
  <c r="P31" i="7" s="1"/>
  <c r="O31" i="7"/>
  <c r="Q52" i="5"/>
  <c r="O34" i="7"/>
  <c r="Q47" i="5"/>
  <c r="P29" i="7" s="1"/>
  <c r="O29" i="7"/>
  <c r="R59" i="5"/>
  <c r="P41" i="7"/>
  <c r="S55" i="5"/>
  <c r="R385" i="7" s="1"/>
  <c r="Q385" i="7"/>
  <c r="P64" i="2"/>
  <c r="N350" i="3"/>
  <c r="P39" i="5"/>
  <c r="Q39" i="5" s="1"/>
  <c r="N369" i="7"/>
  <c r="N39" i="7"/>
  <c r="N204" i="7"/>
  <c r="N549" i="7"/>
  <c r="P85" i="2"/>
  <c r="P250" i="3" s="1"/>
  <c r="O39" i="3"/>
  <c r="Q84" i="2"/>
  <c r="R84" i="5" s="1"/>
  <c r="S84" i="5" s="1"/>
  <c r="P38" i="3"/>
  <c r="O368" i="7"/>
  <c r="O548" i="7"/>
  <c r="O203" i="7"/>
  <c r="O38" i="7"/>
  <c r="N538" i="7"/>
  <c r="N358" i="7"/>
  <c r="P28" i="5"/>
  <c r="Q27" i="5"/>
  <c r="O357" i="7"/>
  <c r="P26" i="5"/>
  <c r="O184" i="7" s="1"/>
  <c r="V46" i="5"/>
  <c r="W46" i="5" s="1"/>
  <c r="X46" i="5" s="1"/>
  <c r="Q24" i="5"/>
  <c r="O354" i="7"/>
  <c r="N528" i="7"/>
  <c r="Q23" i="5"/>
  <c r="O353" i="7"/>
  <c r="Q25" i="5"/>
  <c r="P355" i="7" s="1"/>
  <c r="O355" i="7"/>
  <c r="P379" i="3"/>
  <c r="Q317" i="7"/>
  <c r="Z142" i="5"/>
  <c r="R318" i="7"/>
  <c r="R483" i="7"/>
  <c r="Q308" i="7"/>
  <c r="Q473" i="7"/>
  <c r="Q653" i="7"/>
  <c r="S154" i="5"/>
  <c r="R664" i="7" s="1"/>
  <c r="Q484" i="7"/>
  <c r="Q319" i="7"/>
  <c r="R496" i="7"/>
  <c r="S661" i="7"/>
  <c r="R462" i="7"/>
  <c r="U65" i="5"/>
  <c r="V65" i="5" s="1"/>
  <c r="W65" i="5" s="1"/>
  <c r="Q387" i="7"/>
  <c r="R642" i="7"/>
  <c r="R568" i="7"/>
  <c r="Q222" i="7"/>
  <c r="Q567" i="7"/>
  <c r="V79" i="5"/>
  <c r="W79" i="5" s="1"/>
  <c r="X79" i="5" s="1"/>
  <c r="Y79" i="5" s="1"/>
  <c r="Z79" i="5" s="1"/>
  <c r="S98" i="5"/>
  <c r="T98" i="5" s="1"/>
  <c r="U98" i="5" s="1"/>
  <c r="V98" i="5" s="1"/>
  <c r="W98" i="5" s="1"/>
  <c r="X98" i="5" s="1"/>
  <c r="Y98" i="5" s="1"/>
  <c r="Z98" i="5" s="1"/>
  <c r="T57" i="5"/>
  <c r="U57" i="5" s="1"/>
  <c r="V57" i="5" s="1"/>
  <c r="W57" i="5" s="1"/>
  <c r="X57" i="5" s="1"/>
  <c r="Y57" i="5" s="1"/>
  <c r="Z57" i="5" s="1"/>
  <c r="R222" i="7"/>
  <c r="R567" i="7"/>
  <c r="R387" i="7"/>
  <c r="R223" i="7"/>
  <c r="R388" i="7"/>
  <c r="V138" i="5"/>
  <c r="W138" i="5" s="1"/>
  <c r="X138" i="5" s="1"/>
  <c r="Y138" i="5" s="1"/>
  <c r="Z138" i="5" s="1"/>
  <c r="Y77" i="5"/>
  <c r="Z77" i="5" s="1"/>
  <c r="U132" i="5"/>
  <c r="V132" i="5" s="1"/>
  <c r="W132" i="5" s="1"/>
  <c r="X132" i="5" s="1"/>
  <c r="Y132" i="5" s="1"/>
  <c r="Z132" i="5" s="1"/>
  <c r="S657" i="7"/>
  <c r="V74" i="5"/>
  <c r="W74" i="5" s="1"/>
  <c r="X74" i="5" s="1"/>
  <c r="Y74" i="5" s="1"/>
  <c r="Z74" i="5" s="1"/>
  <c r="W148" i="5"/>
  <c r="X148" i="5" s="1"/>
  <c r="X126" i="5"/>
  <c r="Y126" i="5" s="1"/>
  <c r="Z126" i="5" s="1"/>
  <c r="X116" i="5"/>
  <c r="Y116" i="5" s="1"/>
  <c r="Z116" i="5" s="1"/>
  <c r="S99" i="5"/>
  <c r="T99" i="5" s="1"/>
  <c r="W80" i="5"/>
  <c r="X80" i="5" s="1"/>
  <c r="Y80" i="5" s="1"/>
  <c r="Z80" i="5" s="1"/>
  <c r="X72" i="5"/>
  <c r="Y72" i="5" s="1"/>
  <c r="Z72" i="5" s="1"/>
  <c r="Q97" i="5"/>
  <c r="R97" i="5" s="1"/>
  <c r="X140" i="5"/>
  <c r="Y140" i="5" s="1"/>
  <c r="Z140" i="5" s="1"/>
  <c r="X144" i="5"/>
  <c r="Y144" i="5" s="1"/>
  <c r="T117" i="5"/>
  <c r="U117" i="5" s="1"/>
  <c r="Y100" i="5"/>
  <c r="Z100" i="5" s="1"/>
  <c r="R260" i="7"/>
  <c r="T95" i="5"/>
  <c r="R425" i="7"/>
  <c r="R605" i="7"/>
  <c r="U96" i="5"/>
  <c r="V96" i="5" s="1"/>
  <c r="W96" i="5" s="1"/>
  <c r="X96" i="5" s="1"/>
  <c r="Y96" i="5" s="1"/>
  <c r="Z96" i="5" s="1"/>
  <c r="T103" i="5"/>
  <c r="U103" i="5" s="1"/>
  <c r="V103" i="5" s="1"/>
  <c r="W103" i="5" s="1"/>
  <c r="X103" i="5" s="1"/>
  <c r="Y103" i="5" s="1"/>
  <c r="Z103" i="5" s="1"/>
  <c r="S152" i="5"/>
  <c r="R405" i="7"/>
  <c r="T141" i="5"/>
  <c r="U141" i="5" s="1"/>
  <c r="V141" i="5" s="1"/>
  <c r="U93" i="5"/>
  <c r="V93" i="5" s="1"/>
  <c r="W93" i="5" s="1"/>
  <c r="X93" i="5" s="1"/>
  <c r="Y93" i="5" s="1"/>
  <c r="Z93" i="5" s="1"/>
  <c r="Y102" i="5"/>
  <c r="Z102" i="5" s="1"/>
  <c r="R48" i="5"/>
  <c r="S48" i="5" s="1"/>
  <c r="U87" i="5"/>
  <c r="V87" i="5" s="1"/>
  <c r="W87" i="5" s="1"/>
  <c r="X87" i="5" s="1"/>
  <c r="Y87" i="5" s="1"/>
  <c r="Z87" i="5" s="1"/>
  <c r="Q62" i="5"/>
  <c r="P572" i="7" s="1"/>
  <c r="S63" i="5"/>
  <c r="T63" i="5" s="1"/>
  <c r="U63" i="5" s="1"/>
  <c r="V63" i="5" s="1"/>
  <c r="W63" i="5" s="1"/>
  <c r="T82" i="5"/>
  <c r="T118" i="5"/>
  <c r="X131" i="5"/>
  <c r="Y131" i="5" s="1"/>
  <c r="Z131" i="5" s="1"/>
  <c r="X129" i="5"/>
  <c r="Y129" i="5" s="1"/>
  <c r="Z129" i="5" s="1"/>
  <c r="T130" i="5"/>
  <c r="U130" i="5" s="1"/>
  <c r="V130" i="5" s="1"/>
  <c r="W130" i="5" s="1"/>
  <c r="X130" i="5" s="1"/>
  <c r="Y130" i="5" s="1"/>
  <c r="Z130" i="5" s="1"/>
  <c r="Q605" i="7"/>
  <c r="Q425" i="7"/>
  <c r="Q260" i="7"/>
  <c r="V83" i="5"/>
  <c r="W83" i="5" s="1"/>
  <c r="X83" i="5" s="1"/>
  <c r="Y83" i="5" s="1"/>
  <c r="Z83" i="5" s="1"/>
  <c r="N229" i="7"/>
  <c r="N394" i="7"/>
  <c r="N574" i="7"/>
  <c r="Q418" i="7"/>
  <c r="Q253" i="7"/>
  <c r="Q421" i="7"/>
  <c r="Q259" i="7"/>
  <c r="Q424" i="7"/>
  <c r="M227" i="8"/>
  <c r="M273" i="8" s="1"/>
  <c r="Q423" i="7"/>
  <c r="Q258" i="7"/>
  <c r="Q603" i="7"/>
  <c r="R640" i="7"/>
  <c r="R460" i="7"/>
  <c r="R636" i="7"/>
  <c r="R456" i="7"/>
  <c r="R291" i="7"/>
  <c r="R292" i="7"/>
  <c r="Q637" i="7"/>
  <c r="Q457" i="7"/>
  <c r="R455" i="7"/>
  <c r="R635" i="7"/>
  <c r="R604" i="7"/>
  <c r="Q639" i="7"/>
  <c r="Q459" i="7"/>
  <c r="R633" i="7"/>
  <c r="R453" i="7"/>
  <c r="R288" i="7"/>
  <c r="R634" i="7"/>
  <c r="R454" i="7"/>
  <c r="U296" i="7"/>
  <c r="T461" i="7"/>
  <c r="T641" i="7"/>
  <c r="S635" i="7"/>
  <c r="S455" i="7"/>
  <c r="S642" i="7"/>
  <c r="S462" i="7"/>
  <c r="Q458" i="7"/>
  <c r="Q638" i="7"/>
  <c r="Q454" i="7"/>
  <c r="Q634" i="7"/>
  <c r="R294" i="7"/>
  <c r="Q256" i="7"/>
  <c r="Q601" i="7"/>
  <c r="P252" i="8"/>
  <c r="M253" i="8"/>
  <c r="R492" i="7"/>
  <c r="Q492" i="7"/>
  <c r="R494" i="7"/>
  <c r="Q494" i="7"/>
  <c r="Q495" i="7"/>
  <c r="P747" i="7" s="1"/>
  <c r="O72" i="7"/>
  <c r="Q150" i="7"/>
  <c r="O57" i="7"/>
  <c r="O56" i="7"/>
  <c r="Q149" i="7"/>
  <c r="O54" i="7"/>
  <c r="O217" i="7"/>
  <c r="O562" i="7"/>
  <c r="R386" i="7"/>
  <c r="Q566" i="7"/>
  <c r="Q221" i="7"/>
  <c r="O382" i="7"/>
  <c r="Q309" i="7"/>
  <c r="R323" i="7"/>
  <c r="S625" i="7"/>
  <c r="Q654" i="7"/>
  <c r="Q474" i="7"/>
  <c r="R324" i="7"/>
  <c r="R489" i="7"/>
  <c r="R466" i="7"/>
  <c r="T309" i="7"/>
  <c r="S280" i="7"/>
  <c r="R646" i="7"/>
  <c r="R298" i="7"/>
  <c r="R643" i="7"/>
  <c r="R463" i="7"/>
  <c r="O211" i="7"/>
  <c r="N718" i="7" s="1"/>
  <c r="Q267" i="7"/>
  <c r="M278" i="8"/>
  <c r="Q241" i="7"/>
  <c r="Q211" i="7"/>
  <c r="P718" i="7" s="1"/>
  <c r="R184" i="3"/>
  <c r="R583" i="7"/>
  <c r="R403" i="7"/>
  <c r="O556" i="7"/>
  <c r="N760" i="7" s="1"/>
  <c r="O44" i="7"/>
  <c r="S477" i="7"/>
  <c r="T658" i="7"/>
  <c r="R148" i="3"/>
  <c r="S542" i="7"/>
  <c r="O224" i="7"/>
  <c r="O569" i="7"/>
  <c r="O389" i="7"/>
  <c r="N260" i="8"/>
  <c r="P83" i="3"/>
  <c r="N255" i="8" s="1"/>
  <c r="P97" i="3"/>
  <c r="N265" i="8" s="1"/>
  <c r="R75" i="3"/>
  <c r="R126" i="3"/>
  <c r="P52" i="3"/>
  <c r="N231" i="8" s="1"/>
  <c r="P47" i="3"/>
  <c r="P96" i="3"/>
  <c r="N264" i="8" s="1"/>
  <c r="P59" i="3"/>
  <c r="N236" i="8" s="1"/>
  <c r="O212" i="7"/>
  <c r="O377" i="7"/>
  <c r="O557" i="7"/>
  <c r="O47" i="7"/>
  <c r="P556" i="7"/>
  <c r="O760" i="7" s="1"/>
  <c r="P211" i="7"/>
  <c r="O718" i="7" s="1"/>
  <c r="P45" i="7"/>
  <c r="Q242" i="7"/>
  <c r="R587" i="7"/>
  <c r="Q407" i="7"/>
  <c r="Q432" i="7"/>
  <c r="Q154" i="7"/>
  <c r="R339" i="3"/>
  <c r="O227" i="7"/>
  <c r="S478" i="7"/>
  <c r="S312" i="7"/>
  <c r="S305" i="7"/>
  <c r="R194" i="7"/>
  <c r="R359" i="7"/>
  <c r="R168" i="3"/>
  <c r="S361" i="7"/>
  <c r="O276" i="8"/>
  <c r="Q598" i="7"/>
  <c r="Q406" i="7"/>
  <c r="O393" i="7"/>
  <c r="R363" i="7"/>
  <c r="R140" i="3"/>
  <c r="S197" i="7"/>
  <c r="T197" i="7"/>
  <c r="R170" i="3"/>
  <c r="R198" i="7"/>
  <c r="R171" i="3"/>
  <c r="R151" i="3"/>
  <c r="R172" i="3"/>
  <c r="P275" i="8"/>
  <c r="S541" i="7"/>
  <c r="O573" i="7"/>
  <c r="R652" i="7"/>
  <c r="R307" i="7"/>
  <c r="R472" i="7"/>
  <c r="O392" i="7"/>
  <c r="T196" i="7"/>
  <c r="T361" i="7"/>
  <c r="S316" i="7"/>
  <c r="S196" i="7"/>
  <c r="O228" i="7"/>
  <c r="O55" i="7"/>
  <c r="Q31" i="7"/>
  <c r="Q173" i="7"/>
  <c r="S470" i="7"/>
  <c r="S481" i="7"/>
  <c r="S650" i="7"/>
  <c r="Q292" i="7"/>
  <c r="R488" i="7"/>
  <c r="R145" i="3"/>
  <c r="P98" i="3"/>
  <c r="P66" i="3"/>
  <c r="N243" i="8" s="1"/>
  <c r="R154" i="3"/>
  <c r="R176" i="3"/>
  <c r="P81" i="3"/>
  <c r="P51" i="3"/>
  <c r="N230" i="8" s="1"/>
  <c r="P117" i="3"/>
  <c r="N259" i="8"/>
  <c r="R34" i="3"/>
  <c r="R45" i="3"/>
  <c r="S79" i="3"/>
  <c r="R507" i="7"/>
  <c r="S194" i="7"/>
  <c r="V194" i="7"/>
  <c r="R539" i="7"/>
  <c r="T310" i="7"/>
  <c r="P99" i="3"/>
  <c r="N266" i="8" s="1"/>
  <c r="N279" i="8" s="1"/>
  <c r="P65" i="3"/>
  <c r="N242" i="8" s="1"/>
  <c r="S310" i="7"/>
  <c r="P82" i="3"/>
  <c r="N254" i="8" s="1"/>
  <c r="P50" i="3"/>
  <c r="N229" i="8" s="1"/>
  <c r="P118" i="3"/>
  <c r="N258" i="8"/>
  <c r="S475" i="7"/>
  <c r="S158" i="3"/>
  <c r="T296" i="7"/>
  <c r="Q351" i="7"/>
  <c r="Q295" i="7"/>
  <c r="R589" i="7"/>
  <c r="S266" i="7"/>
  <c r="Q245" i="7"/>
  <c r="Q590" i="7"/>
  <c r="Q410" i="7"/>
  <c r="S431" i="7"/>
  <c r="R410" i="7"/>
  <c r="S611" i="7"/>
  <c r="R232" i="7"/>
  <c r="R397" i="7"/>
  <c r="S359" i="7"/>
  <c r="Q169" i="7"/>
  <c r="S309" i="7"/>
  <c r="R660" i="7"/>
  <c r="R315" i="7"/>
  <c r="R480" i="7"/>
  <c r="Q168" i="7"/>
  <c r="O75" i="7"/>
  <c r="S539" i="7"/>
  <c r="S474" i="7"/>
  <c r="R409" i="7"/>
  <c r="R474" i="7"/>
  <c r="R309" i="7"/>
  <c r="R654" i="7"/>
  <c r="Q176" i="7"/>
  <c r="Q153" i="7"/>
  <c r="S654" i="7"/>
  <c r="P573" i="7"/>
  <c r="Q647" i="7"/>
  <c r="Q302" i="7"/>
  <c r="Q467" i="7"/>
  <c r="O100" i="7"/>
  <c r="T653" i="7"/>
  <c r="R240" i="7"/>
  <c r="O261" i="7"/>
  <c r="R248" i="7"/>
  <c r="R487" i="7"/>
  <c r="R322" i="7"/>
  <c r="Q161" i="7"/>
  <c r="T209" i="7"/>
  <c r="T554" i="7"/>
  <c r="T374" i="7"/>
  <c r="Q159" i="7"/>
  <c r="Q144" i="7"/>
  <c r="R433" i="7"/>
  <c r="R585" i="7"/>
  <c r="S451" i="7"/>
  <c r="S286" i="7"/>
  <c r="S631" i="7"/>
  <c r="R352" i="7"/>
  <c r="S352" i="7"/>
  <c r="O128" i="7"/>
  <c r="Q248" i="7"/>
  <c r="O426" i="7"/>
  <c r="Q413" i="7"/>
  <c r="Q593" i="7"/>
  <c r="R244" i="7"/>
  <c r="P228" i="7"/>
  <c r="P393" i="7"/>
  <c r="O81" i="7"/>
  <c r="Q29" i="7"/>
  <c r="R150" i="7"/>
  <c r="R151" i="7"/>
  <c r="Q152" i="7"/>
  <c r="O96" i="7"/>
  <c r="O146" i="7"/>
  <c r="O145" i="7"/>
  <c r="O129" i="7"/>
  <c r="O126" i="7"/>
  <c r="O606" i="7"/>
  <c r="P80" i="7"/>
  <c r="Q143" i="7"/>
  <c r="Q160" i="7"/>
  <c r="O559" i="7"/>
  <c r="O83" i="7"/>
  <c r="P77" i="7"/>
  <c r="O263" i="7"/>
  <c r="O246" i="7"/>
  <c r="P78" i="7"/>
  <c r="O79" i="7"/>
  <c r="O428" i="7"/>
  <c r="O627" i="7"/>
  <c r="O411" i="7"/>
  <c r="O608" i="7"/>
  <c r="P447" i="7"/>
  <c r="O591" i="7"/>
  <c r="O76" i="7"/>
  <c r="T266" i="7"/>
  <c r="Q33" i="7"/>
  <c r="Q175" i="7"/>
  <c r="O282" i="7"/>
  <c r="O98" i="7"/>
  <c r="O447" i="7"/>
  <c r="R149" i="7"/>
  <c r="O628" i="7"/>
  <c r="Q544" i="7"/>
  <c r="Q364" i="7"/>
  <c r="Q199" i="7"/>
  <c r="O283" i="7"/>
  <c r="O448" i="7"/>
  <c r="O609" i="7"/>
  <c r="O429" i="7"/>
  <c r="O264" i="7"/>
  <c r="O99" i="7"/>
  <c r="O607" i="7"/>
  <c r="O427" i="7"/>
  <c r="O262" i="7"/>
  <c r="O97" i="7"/>
  <c r="O247" i="7"/>
  <c r="O82" i="7"/>
  <c r="O592" i="7"/>
  <c r="O412" i="7"/>
  <c r="T431" i="7"/>
  <c r="Q613" i="7"/>
  <c r="Q433" i="7"/>
  <c r="Q268" i="7"/>
  <c r="T629" i="7"/>
  <c r="T449" i="7"/>
  <c r="T284" i="7"/>
  <c r="Q289" i="7"/>
  <c r="S132" i="3"/>
  <c r="R299" i="3"/>
  <c r="P172" i="8"/>
  <c r="R220" i="3"/>
  <c r="R55" i="3"/>
  <c r="P232" i="8" s="1"/>
  <c r="R263" i="3"/>
  <c r="T197" i="3"/>
  <c r="Q297" i="7"/>
  <c r="S186" i="3"/>
  <c r="Q193" i="8"/>
  <c r="S246" i="3"/>
  <c r="T553" i="7"/>
  <c r="T208" i="7"/>
  <c r="N179" i="8"/>
  <c r="P227" i="3"/>
  <c r="P62" i="3"/>
  <c r="N239" i="8" s="1"/>
  <c r="S298" i="3"/>
  <c r="S133" i="3"/>
  <c r="S80" i="3"/>
  <c r="P190" i="8"/>
  <c r="R242" i="3"/>
  <c r="R77" i="3"/>
  <c r="P250" i="8" s="1"/>
  <c r="P276" i="8" s="1"/>
  <c r="R194" i="3"/>
  <c r="R29" i="3"/>
  <c r="Q349" i="7"/>
  <c r="Q189" i="8"/>
  <c r="S76" i="3"/>
  <c r="Q249" i="8" s="1"/>
  <c r="S241" i="3"/>
  <c r="Q67" i="3"/>
  <c r="O244" i="8" s="1"/>
  <c r="R187" i="3"/>
  <c r="Q564" i="7"/>
  <c r="Q384" i="7"/>
  <c r="Q219" i="7"/>
  <c r="S162" i="3"/>
  <c r="R165" i="3"/>
  <c r="R612" i="7"/>
  <c r="R432" i="7"/>
  <c r="R267" i="7"/>
  <c r="R499" i="7"/>
  <c r="R169" i="7"/>
  <c r="Q175" i="8"/>
  <c r="S58" i="3"/>
  <c r="Q235" i="8" s="1"/>
  <c r="S223" i="3"/>
  <c r="U650" i="7"/>
  <c r="U470" i="7"/>
  <c r="U305" i="7"/>
  <c r="T650" i="7"/>
  <c r="T470" i="7"/>
  <c r="T305" i="7"/>
  <c r="R190" i="3"/>
  <c r="Q170" i="8"/>
  <c r="S216" i="3"/>
  <c r="Q202" i="8"/>
  <c r="Q262" i="8"/>
  <c r="S629" i="7"/>
  <c r="S449" i="7"/>
  <c r="S284" i="7"/>
  <c r="Q508" i="7"/>
  <c r="Q178" i="7"/>
  <c r="T282" i="3"/>
  <c r="Q177" i="8"/>
  <c r="S225" i="3"/>
  <c r="S192" i="3"/>
  <c r="R610" i="7"/>
  <c r="R430" i="7"/>
  <c r="R265" i="7"/>
  <c r="P767" i="7"/>
  <c r="Q328" i="7"/>
  <c r="P725" i="7" s="1"/>
  <c r="S310" i="3"/>
  <c r="R212" i="3"/>
  <c r="S198" i="3"/>
  <c r="S33" i="3"/>
  <c r="S102" i="3"/>
  <c r="R269" i="3"/>
  <c r="Q376" i="3" s="1"/>
  <c r="Q183" i="8"/>
  <c r="T280" i="3"/>
  <c r="Q200" i="8"/>
  <c r="N196" i="8"/>
  <c r="P249" i="3"/>
  <c r="P84" i="3"/>
  <c r="N256" i="8" s="1"/>
  <c r="S275" i="3"/>
  <c r="R315" i="3"/>
  <c r="R150" i="3"/>
  <c r="S335" i="3"/>
  <c r="S283" i="3"/>
  <c r="S318" i="3"/>
  <c r="S302" i="3"/>
  <c r="S137" i="3"/>
  <c r="R584" i="7"/>
  <c r="R404" i="7"/>
  <c r="R239" i="7"/>
  <c r="R653" i="7"/>
  <c r="R473" i="7"/>
  <c r="R308" i="7"/>
  <c r="R143" i="7"/>
  <c r="S284" i="3"/>
  <c r="S119" i="3"/>
  <c r="S583" i="7"/>
  <c r="S403" i="7"/>
  <c r="S238" i="7"/>
  <c r="S300" i="3"/>
  <c r="R209" i="3"/>
  <c r="Q373" i="3" s="1"/>
  <c r="R44" i="3"/>
  <c r="S318" i="7"/>
  <c r="O49" i="7"/>
  <c r="Q194" i="8"/>
  <c r="S247" i="3"/>
  <c r="Q186" i="8"/>
  <c r="S237" i="3"/>
  <c r="R295" i="7"/>
  <c r="Q626" i="7"/>
  <c r="Q446" i="7"/>
  <c r="Q281" i="7"/>
  <c r="R317" i="3"/>
  <c r="R152" i="3"/>
  <c r="S304" i="3"/>
  <c r="S139" i="3"/>
  <c r="S40" i="3"/>
  <c r="S200" i="3"/>
  <c r="S35" i="3"/>
  <c r="S311" i="3"/>
  <c r="S146" i="3"/>
  <c r="S343" i="3"/>
  <c r="S178" i="3"/>
  <c r="S659" i="7"/>
  <c r="S479" i="7"/>
  <c r="S314" i="7"/>
  <c r="T323" i="3"/>
  <c r="T244" i="3"/>
  <c r="S211" i="3"/>
  <c r="S140" i="3"/>
  <c r="R307" i="3"/>
  <c r="R142" i="3"/>
  <c r="S273" i="3"/>
  <c r="Q192" i="8"/>
  <c r="S245" i="3"/>
  <c r="Q185" i="8"/>
  <c r="R73" i="7"/>
  <c r="Q582" i="7"/>
  <c r="Q402" i="7"/>
  <c r="Q237" i="7"/>
  <c r="R648" i="7"/>
  <c r="R468" i="7"/>
  <c r="R303" i="7"/>
  <c r="R277" i="3"/>
  <c r="R279" i="3"/>
  <c r="R114" i="3"/>
  <c r="S303" i="3"/>
  <c r="S138" i="3"/>
  <c r="O379" i="7"/>
  <c r="S334" i="3"/>
  <c r="S169" i="3"/>
  <c r="S312" i="3"/>
  <c r="S147" i="3"/>
  <c r="S306" i="3"/>
  <c r="S141" i="3"/>
  <c r="S32" i="3"/>
  <c r="Q173" i="8"/>
  <c r="S221" i="3"/>
  <c r="R651" i="7"/>
  <c r="R471" i="7"/>
  <c r="R306" i="7"/>
  <c r="Q198" i="8"/>
  <c r="S251" i="3"/>
  <c r="S313" i="3"/>
  <c r="S160" i="3"/>
  <c r="R167" i="3"/>
  <c r="R588" i="7"/>
  <c r="R408" i="7"/>
  <c r="R243" i="7"/>
  <c r="R78" i="7"/>
  <c r="S320" i="3"/>
  <c r="P204" i="8"/>
  <c r="R261" i="3"/>
  <c r="Q203" i="8"/>
  <c r="S260" i="3"/>
  <c r="S95" i="3"/>
  <c r="Q263" i="8" s="1"/>
  <c r="S316" i="3"/>
  <c r="S281" i="3"/>
  <c r="S116" i="3"/>
  <c r="S337" i="3"/>
  <c r="S208" i="3"/>
  <c r="R188" i="3"/>
  <c r="S268" i="3"/>
  <c r="S103" i="3"/>
  <c r="O214" i="7"/>
  <c r="Q201" i="8"/>
  <c r="S196" i="3"/>
  <c r="S31" i="3"/>
  <c r="S148" i="3"/>
  <c r="R285" i="3"/>
  <c r="R120" i="3"/>
  <c r="S210" i="3"/>
  <c r="S276" i="3"/>
  <c r="S321" i="3"/>
  <c r="S156" i="3"/>
  <c r="R649" i="7"/>
  <c r="R469" i="7"/>
  <c r="R304" i="7"/>
  <c r="Q290" i="7"/>
  <c r="T270" i="3"/>
  <c r="P184" i="8"/>
  <c r="R309" i="3"/>
  <c r="R144" i="3"/>
  <c r="S301" i="3"/>
  <c r="S136" i="3"/>
  <c r="R166" i="7"/>
  <c r="S336" i="3"/>
  <c r="Q208" i="8"/>
  <c r="S266" i="3"/>
  <c r="S101" i="3"/>
  <c r="Q268" i="8" s="1"/>
  <c r="S130" i="3"/>
  <c r="Q195" i="8"/>
  <c r="S248" i="3"/>
  <c r="R555" i="7"/>
  <c r="R375" i="7"/>
  <c r="R210" i="7"/>
  <c r="S189" i="3"/>
  <c r="S163" i="3"/>
  <c r="S240" i="3"/>
  <c r="S589" i="7"/>
  <c r="S409" i="7"/>
  <c r="S244" i="7"/>
  <c r="S161" i="3"/>
  <c r="Q188" i="8"/>
  <c r="S239" i="3"/>
  <c r="S74" i="3"/>
  <c r="Q248" i="8" s="1"/>
  <c r="P176" i="8"/>
  <c r="R224" i="3"/>
  <c r="S164" i="3"/>
  <c r="Q207" i="8"/>
  <c r="S265" i="3"/>
  <c r="S286" i="3"/>
  <c r="P174" i="8"/>
  <c r="R222" i="3"/>
  <c r="R57" i="3"/>
  <c r="P234" i="8" s="1"/>
  <c r="S322" i="3"/>
  <c r="S157" i="3"/>
  <c r="Q327" i="7"/>
  <c r="Q162" i="7"/>
  <c r="S267" i="3"/>
  <c r="R193" i="3"/>
  <c r="S314" i="3"/>
  <c r="S149" i="3"/>
  <c r="Q199" i="8"/>
  <c r="S252" i="3"/>
  <c r="Q500" i="7"/>
  <c r="Q170" i="7"/>
  <c r="T274" i="3"/>
  <c r="S305" i="3"/>
  <c r="P171" i="8"/>
  <c r="R217" i="3"/>
  <c r="Q206" i="8"/>
  <c r="S264" i="3"/>
  <c r="S259" i="3"/>
  <c r="Q656" i="7"/>
  <c r="Q476" i="7"/>
  <c r="Q311" i="7"/>
  <c r="N178" i="8"/>
  <c r="P226" i="3"/>
  <c r="T657" i="7"/>
  <c r="T477" i="7"/>
  <c r="T312" i="7"/>
  <c r="S100" i="3"/>
  <c r="Q267" i="8" s="1"/>
  <c r="P182" i="8"/>
  <c r="R230" i="3"/>
  <c r="U196" i="7"/>
  <c r="R338" i="3"/>
  <c r="R173" i="3"/>
  <c r="S319" i="3"/>
  <c r="S154" i="3"/>
  <c r="R219" i="3"/>
  <c r="R54" i="3"/>
  <c r="S308" i="3"/>
  <c r="S341" i="3"/>
  <c r="S333" i="3"/>
  <c r="S168" i="3"/>
  <c r="Q46" i="3"/>
  <c r="N167" i="8"/>
  <c r="P48" i="3"/>
  <c r="P213" i="3"/>
  <c r="S199" i="3"/>
  <c r="R156" i="7"/>
  <c r="Q485" i="7"/>
  <c r="Q320" i="7"/>
  <c r="Q155" i="7"/>
  <c r="S342" i="3"/>
  <c r="S177" i="3"/>
  <c r="Q205" i="8"/>
  <c r="S262" i="3"/>
  <c r="Q187" i="8"/>
  <c r="S238" i="3"/>
  <c r="S73" i="3"/>
  <c r="Q247" i="8" s="1"/>
  <c r="Q191" i="8"/>
  <c r="S243" i="3"/>
  <c r="S78" i="3"/>
  <c r="Q251" i="8" s="1"/>
  <c r="P594" i="7"/>
  <c r="P414" i="7"/>
  <c r="P249" i="7"/>
  <c r="P84" i="7"/>
  <c r="P46" i="7"/>
  <c r="O558" i="7"/>
  <c r="O378" i="7"/>
  <c r="O213" i="7"/>
  <c r="O48" i="7"/>
  <c r="N168" i="8"/>
  <c r="P49" i="3"/>
  <c r="N228" i="8" s="1"/>
  <c r="P214" i="3"/>
  <c r="S278" i="3"/>
  <c r="S155" i="3"/>
  <c r="R128" i="3"/>
  <c r="R624" i="7"/>
  <c r="R444" i="7"/>
  <c r="R279" i="7"/>
  <c r="S72" i="3"/>
  <c r="Q246" i="8" s="1"/>
  <c r="R201" i="3"/>
  <c r="S340" i="3"/>
  <c r="S175" i="3"/>
  <c r="S126" i="3"/>
  <c r="S324" i="3"/>
  <c r="S159" i="3"/>
  <c r="N180" i="8"/>
  <c r="P228" i="3"/>
  <c r="P63" i="3"/>
  <c r="N240" i="8" s="1"/>
  <c r="P169" i="8"/>
  <c r="R215" i="3"/>
  <c r="M716" i="7" l="1"/>
  <c r="U164" i="5"/>
  <c r="T674" i="7" s="1"/>
  <c r="O18" i="7"/>
  <c r="O193" i="7"/>
  <c r="O28" i="7"/>
  <c r="R670" i="7"/>
  <c r="T155" i="5"/>
  <c r="S665" i="7" s="1"/>
  <c r="T160" i="5"/>
  <c r="S670" i="7" s="1"/>
  <c r="R325" i="7"/>
  <c r="S489" i="7"/>
  <c r="O229" i="7"/>
  <c r="U153" i="5"/>
  <c r="V153" i="5" s="1"/>
  <c r="S321" i="7"/>
  <c r="O394" i="7"/>
  <c r="S486" i="7"/>
  <c r="S483" i="7"/>
  <c r="U156" i="5"/>
  <c r="T321" i="7" s="1"/>
  <c r="S329" i="7"/>
  <c r="S324" i="7"/>
  <c r="U159" i="5"/>
  <c r="T489" i="7" s="1"/>
  <c r="R174" i="7"/>
  <c r="S685" i="7"/>
  <c r="S505" i="7"/>
  <c r="R340" i="7"/>
  <c r="R177" i="7"/>
  <c r="R339" i="7"/>
  <c r="T174" i="5"/>
  <c r="S504" i="7" s="1"/>
  <c r="T165" i="5"/>
  <c r="S675" i="7" s="1"/>
  <c r="R768" i="7" s="1"/>
  <c r="R23" i="5"/>
  <c r="P348" i="7"/>
  <c r="S223" i="7"/>
  <c r="S388" i="7"/>
  <c r="R330" i="7"/>
  <c r="Q726" i="7" s="1"/>
  <c r="Q85" i="5"/>
  <c r="P85" i="7" s="1"/>
  <c r="N181" i="8"/>
  <c r="Q64" i="5"/>
  <c r="P394" i="7" s="1"/>
  <c r="R504" i="7"/>
  <c r="R493" i="7"/>
  <c r="Q746" i="7" s="1"/>
  <c r="R673" i="7"/>
  <c r="Q767" i="7" s="1"/>
  <c r="S496" i="7"/>
  <c r="S676" i="7"/>
  <c r="R505" i="7"/>
  <c r="R685" i="7"/>
  <c r="R503" i="7"/>
  <c r="R683" i="7"/>
  <c r="U158" i="5"/>
  <c r="S668" i="7"/>
  <c r="R501" i="7"/>
  <c r="R681" i="7"/>
  <c r="R167" i="7"/>
  <c r="R677" i="7"/>
  <c r="T672" i="7"/>
  <c r="V162" i="5"/>
  <c r="S499" i="7"/>
  <c r="S679" i="7"/>
  <c r="U157" i="5"/>
  <c r="S667" i="7"/>
  <c r="T152" i="5"/>
  <c r="S152" i="7" s="1"/>
  <c r="R662" i="7"/>
  <c r="S671" i="7"/>
  <c r="S491" i="7"/>
  <c r="U161" i="5"/>
  <c r="T326" i="7" s="1"/>
  <c r="R220" i="7"/>
  <c r="R49" i="5"/>
  <c r="S49" i="5" s="1"/>
  <c r="T49" i="5" s="1"/>
  <c r="U49" i="5" s="1"/>
  <c r="V49" i="5" s="1"/>
  <c r="W49" i="5" s="1"/>
  <c r="X49" i="5" s="1"/>
  <c r="Y49" i="5" s="1"/>
  <c r="Z49" i="5" s="1"/>
  <c r="R565" i="7"/>
  <c r="P38" i="7"/>
  <c r="R171" i="7"/>
  <c r="O415" i="7"/>
  <c r="P380" i="7"/>
  <c r="O85" i="7"/>
  <c r="P215" i="7"/>
  <c r="O595" i="7"/>
  <c r="O250" i="7"/>
  <c r="R47" i="5"/>
  <c r="S47" i="5" s="1"/>
  <c r="R51" i="5"/>
  <c r="S51" i="5" s="1"/>
  <c r="N197" i="8"/>
  <c r="P64" i="3"/>
  <c r="N241" i="8" s="1"/>
  <c r="R38" i="5"/>
  <c r="Q37" i="7" s="1"/>
  <c r="U169" i="5"/>
  <c r="T679" i="7" s="1"/>
  <c r="S334" i="7"/>
  <c r="R333" i="7"/>
  <c r="T168" i="5"/>
  <c r="S678" i="7" s="1"/>
  <c r="R498" i="7"/>
  <c r="T171" i="5"/>
  <c r="R336" i="7"/>
  <c r="T163" i="5"/>
  <c r="S673" i="7" s="1"/>
  <c r="T167" i="5"/>
  <c r="R332" i="7"/>
  <c r="R497" i="7"/>
  <c r="R342" i="7"/>
  <c r="T177" i="5"/>
  <c r="T176" i="5"/>
  <c r="S686" i="7" s="1"/>
  <c r="R341" i="7"/>
  <c r="R506" i="7"/>
  <c r="N695" i="7"/>
  <c r="T173" i="5"/>
  <c r="S683" i="7" s="1"/>
  <c r="R338" i="7"/>
  <c r="U174" i="5"/>
  <c r="V164" i="5"/>
  <c r="U674" i="7" s="1"/>
  <c r="T329" i="7"/>
  <c r="U175" i="5"/>
  <c r="T685" i="7" s="1"/>
  <c r="S340" i="7"/>
  <c r="T172" i="5"/>
  <c r="S682" i="7" s="1"/>
  <c r="R337" i="7"/>
  <c r="R502" i="7"/>
  <c r="R172" i="7"/>
  <c r="T178" i="5"/>
  <c r="R343" i="7"/>
  <c r="S335" i="7"/>
  <c r="U170" i="5"/>
  <c r="T680" i="7" s="1"/>
  <c r="U166" i="5"/>
  <c r="S331" i="7"/>
  <c r="P548" i="7"/>
  <c r="P368" i="7"/>
  <c r="P85" i="3"/>
  <c r="N257" i="8" s="1"/>
  <c r="P229" i="3"/>
  <c r="O374" i="3" s="1"/>
  <c r="P203" i="7"/>
  <c r="M758" i="7"/>
  <c r="P35" i="7"/>
  <c r="R81" i="5"/>
  <c r="Q246" i="7" s="1"/>
  <c r="T55" i="5"/>
  <c r="S385" i="7" s="1"/>
  <c r="P34" i="7"/>
  <c r="R52" i="5"/>
  <c r="P44" i="7"/>
  <c r="Q41" i="7"/>
  <c r="S59" i="5"/>
  <c r="U58" i="5"/>
  <c r="S40" i="7"/>
  <c r="R50" i="5"/>
  <c r="P32" i="7"/>
  <c r="Q85" i="2"/>
  <c r="Q250" i="3" s="1"/>
  <c r="P39" i="3"/>
  <c r="R39" i="5"/>
  <c r="P369" i="7"/>
  <c r="P39" i="7"/>
  <c r="P549" i="7"/>
  <c r="P204" i="7"/>
  <c r="O369" i="7"/>
  <c r="O204" i="7"/>
  <c r="O39" i="7"/>
  <c r="O549" i="7"/>
  <c r="R84" i="2"/>
  <c r="Q38" i="3"/>
  <c r="Q64" i="2"/>
  <c r="Q229" i="3" s="1"/>
  <c r="O350" i="3"/>
  <c r="N716" i="7"/>
  <c r="O528" i="7"/>
  <c r="Q26" i="5"/>
  <c r="R26" i="5" s="1"/>
  <c r="S26" i="5" s="1"/>
  <c r="T26" i="5" s="1"/>
  <c r="U26" i="5" s="1"/>
  <c r="V26" i="5" s="1"/>
  <c r="W26" i="5" s="1"/>
  <c r="X26" i="5" s="1"/>
  <c r="Y26" i="5" s="1"/>
  <c r="Z26" i="5" s="1"/>
  <c r="P357" i="7"/>
  <c r="R27" i="5"/>
  <c r="Q28" i="5"/>
  <c r="O538" i="7"/>
  <c r="O358" i="7"/>
  <c r="Y46" i="5"/>
  <c r="Z46" i="5" s="1"/>
  <c r="R24" i="5"/>
  <c r="P354" i="7"/>
  <c r="P353" i="7"/>
  <c r="R25" i="5"/>
  <c r="Q355" i="7" s="1"/>
  <c r="O375" i="3"/>
  <c r="Q379" i="3"/>
  <c r="Q372" i="3"/>
  <c r="X65" i="5"/>
  <c r="Y65" i="5" s="1"/>
  <c r="Z65" i="5" s="1"/>
  <c r="R484" i="7"/>
  <c r="R319" i="7"/>
  <c r="T154" i="5"/>
  <c r="S664" i="7" s="1"/>
  <c r="R482" i="7"/>
  <c r="S567" i="7"/>
  <c r="S222" i="7"/>
  <c r="V117" i="5"/>
  <c r="W117" i="5" s="1"/>
  <c r="S387" i="7"/>
  <c r="R152" i="7"/>
  <c r="R317" i="7"/>
  <c r="Z144" i="5"/>
  <c r="S97" i="5"/>
  <c r="Y148" i="5"/>
  <c r="Z148" i="5" s="1"/>
  <c r="W141" i="5"/>
  <c r="X141" i="5" s="1"/>
  <c r="Y141" i="5" s="1"/>
  <c r="Z141" i="5" s="1"/>
  <c r="U99" i="5"/>
  <c r="V99" i="5" s="1"/>
  <c r="T48" i="5"/>
  <c r="U48" i="5" s="1"/>
  <c r="V48" i="5" s="1"/>
  <c r="W48" i="5" s="1"/>
  <c r="X48" i="5" s="1"/>
  <c r="Y48" i="5" s="1"/>
  <c r="Z48" i="5" s="1"/>
  <c r="U82" i="5"/>
  <c r="V82" i="5" s="1"/>
  <c r="U118" i="5"/>
  <c r="V118" i="5" s="1"/>
  <c r="W118" i="5" s="1"/>
  <c r="X118" i="5" s="1"/>
  <c r="R62" i="5"/>
  <c r="X63" i="5"/>
  <c r="Y63" i="5" s="1"/>
  <c r="Z63" i="5" s="1"/>
  <c r="T84" i="5"/>
  <c r="U84" i="5" s="1"/>
  <c r="V84" i="5" s="1"/>
  <c r="U95" i="5"/>
  <c r="S425" i="7"/>
  <c r="S260" i="7"/>
  <c r="S605" i="7"/>
  <c r="R598" i="7"/>
  <c r="R258" i="7"/>
  <c r="R603" i="7"/>
  <c r="R421" i="7"/>
  <c r="R423" i="7"/>
  <c r="N227" i="8"/>
  <c r="N273" i="8" s="1"/>
  <c r="R256" i="7"/>
  <c r="R259" i="7"/>
  <c r="R424" i="7"/>
  <c r="R637" i="7"/>
  <c r="R457" i="7"/>
  <c r="R638" i="7"/>
  <c r="R458" i="7"/>
  <c r="R293" i="7"/>
  <c r="T635" i="7"/>
  <c r="T455" i="7"/>
  <c r="U642" i="7"/>
  <c r="U462" i="7"/>
  <c r="U635" i="7"/>
  <c r="U455" i="7"/>
  <c r="S294" i="7"/>
  <c r="R459" i="7"/>
  <c r="R639" i="7"/>
  <c r="S424" i="7"/>
  <c r="V296" i="7"/>
  <c r="U641" i="7"/>
  <c r="U461" i="7"/>
  <c r="S633" i="7"/>
  <c r="S453" i="7"/>
  <c r="S288" i="7"/>
  <c r="S460" i="7"/>
  <c r="S640" i="7"/>
  <c r="T642" i="7"/>
  <c r="T462" i="7"/>
  <c r="S456" i="7"/>
  <c r="S636" i="7"/>
  <c r="S291" i="7"/>
  <c r="S634" i="7"/>
  <c r="S454" i="7"/>
  <c r="N253" i="8"/>
  <c r="Q252" i="8"/>
  <c r="P562" i="7"/>
  <c r="Q768" i="7"/>
  <c r="S494" i="7"/>
  <c r="R495" i="7"/>
  <c r="Q747" i="7" s="1"/>
  <c r="S492" i="7"/>
  <c r="R601" i="7"/>
  <c r="P217" i="7"/>
  <c r="P382" i="7"/>
  <c r="P72" i="7"/>
  <c r="P56" i="7"/>
  <c r="P55" i="7"/>
  <c r="Q56" i="7"/>
  <c r="P54" i="7"/>
  <c r="S466" i="7"/>
  <c r="R221" i="7"/>
  <c r="R566" i="7"/>
  <c r="S301" i="7"/>
  <c r="S646" i="7"/>
  <c r="T474" i="7"/>
  <c r="T301" i="7"/>
  <c r="T466" i="7"/>
  <c r="T280" i="7"/>
  <c r="T625" i="7"/>
  <c r="T445" i="7"/>
  <c r="V625" i="7"/>
  <c r="U625" i="7"/>
  <c r="U445" i="7"/>
  <c r="U280" i="7"/>
  <c r="T654" i="7"/>
  <c r="U474" i="7"/>
  <c r="S298" i="7"/>
  <c r="S643" i="7"/>
  <c r="S463" i="7"/>
  <c r="T646" i="7"/>
  <c r="Q84" i="7"/>
  <c r="R418" i="7"/>
  <c r="R556" i="7"/>
  <c r="Q760" i="7" s="1"/>
  <c r="Q376" i="7"/>
  <c r="P739" i="7" s="1"/>
  <c r="Q556" i="7"/>
  <c r="P760" i="7" s="1"/>
  <c r="P376" i="7"/>
  <c r="O739" i="7" s="1"/>
  <c r="R253" i="7"/>
  <c r="R407" i="7"/>
  <c r="S184" i="3"/>
  <c r="T313" i="7"/>
  <c r="T478" i="7"/>
  <c r="N278" i="8"/>
  <c r="Q57" i="7"/>
  <c r="P57" i="7"/>
  <c r="Q45" i="7"/>
  <c r="R242" i="7"/>
  <c r="S587" i="7"/>
  <c r="P224" i="7"/>
  <c r="P569" i="7"/>
  <c r="P389" i="7"/>
  <c r="Q96" i="3"/>
  <c r="O264" i="8" s="1"/>
  <c r="Q59" i="3"/>
  <c r="O236" i="8" s="1"/>
  <c r="S75" i="3"/>
  <c r="O260" i="8"/>
  <c r="Q83" i="3"/>
  <c r="O255" i="8" s="1"/>
  <c r="Q97" i="3"/>
  <c r="O265" i="8" s="1"/>
  <c r="P212" i="7"/>
  <c r="P557" i="7"/>
  <c r="P377" i="7"/>
  <c r="P47" i="7"/>
  <c r="Q52" i="3"/>
  <c r="O231" i="8" s="1"/>
  <c r="Q47" i="3"/>
  <c r="U539" i="7"/>
  <c r="S34" i="3"/>
  <c r="T359" i="7"/>
  <c r="S430" i="7"/>
  <c r="S610" i="7"/>
  <c r="U361" i="7"/>
  <c r="U541" i="7"/>
  <c r="S174" i="3"/>
  <c r="U655" i="7"/>
  <c r="T481" i="7"/>
  <c r="P392" i="7"/>
  <c r="P227" i="7"/>
  <c r="T316" i="7"/>
  <c r="T661" i="7"/>
  <c r="R154" i="7"/>
  <c r="S339" i="3"/>
  <c r="T362" i="7"/>
  <c r="R590" i="7"/>
  <c r="Q393" i="7"/>
  <c r="T542" i="7"/>
  <c r="U197" i="7"/>
  <c r="S143" i="7"/>
  <c r="T366" i="7"/>
  <c r="S366" i="7"/>
  <c r="S308" i="7"/>
  <c r="S473" i="7"/>
  <c r="S653" i="7"/>
  <c r="T308" i="7"/>
  <c r="T473" i="7"/>
  <c r="T194" i="7"/>
  <c r="T539" i="7"/>
  <c r="U194" i="7"/>
  <c r="U359" i="7"/>
  <c r="S170" i="3"/>
  <c r="S143" i="3"/>
  <c r="S151" i="3"/>
  <c r="Q275" i="8"/>
  <c r="S171" i="3"/>
  <c r="S172" i="3"/>
  <c r="S166" i="3"/>
  <c r="T652" i="7"/>
  <c r="T472" i="7"/>
  <c r="T307" i="7"/>
  <c r="T475" i="7"/>
  <c r="T655" i="7"/>
  <c r="S652" i="7"/>
  <c r="S307" i="7"/>
  <c r="S472" i="7"/>
  <c r="R31" i="7"/>
  <c r="R173" i="7"/>
  <c r="P379" i="7"/>
  <c r="Q573" i="7"/>
  <c r="Q228" i="7"/>
  <c r="Q81" i="3"/>
  <c r="Q51" i="3"/>
  <c r="O230" i="8" s="1"/>
  <c r="S131" i="3"/>
  <c r="S145" i="3"/>
  <c r="S56" i="3"/>
  <c r="Q233" i="8" s="1"/>
  <c r="T158" i="3"/>
  <c r="S45" i="3"/>
  <c r="Q117" i="3"/>
  <c r="O259" i="8"/>
  <c r="S176" i="3"/>
  <c r="S115" i="3"/>
  <c r="S153" i="3"/>
  <c r="Q98" i="3"/>
  <c r="Q66" i="3"/>
  <c r="O243" i="8" s="1"/>
  <c r="Q99" i="3"/>
  <c r="O266" i="8" s="1"/>
  <c r="O279" i="8" s="1"/>
  <c r="Q65" i="3"/>
  <c r="O242" i="8" s="1"/>
  <c r="T79" i="3"/>
  <c r="Q82" i="3"/>
  <c r="O254" i="8" s="1"/>
  <c r="Q50" i="3"/>
  <c r="O229" i="8" s="1"/>
  <c r="S43" i="3"/>
  <c r="S129" i="3"/>
  <c r="Q118" i="3"/>
  <c r="O258" i="8"/>
  <c r="U653" i="7"/>
  <c r="R351" i="7"/>
  <c r="S351" i="7"/>
  <c r="T590" i="7"/>
  <c r="R245" i="7"/>
  <c r="T588" i="7"/>
  <c r="S265" i="7"/>
  <c r="T613" i="7"/>
  <c r="R268" i="7"/>
  <c r="R613" i="7"/>
  <c r="S243" i="7"/>
  <c r="S408" i="7"/>
  <c r="S588" i="7"/>
  <c r="S253" i="7"/>
  <c r="S418" i="7"/>
  <c r="S598" i="7"/>
  <c r="T451" i="7"/>
  <c r="T286" i="7"/>
  <c r="T631" i="7"/>
  <c r="T314" i="7"/>
  <c r="S150" i="7"/>
  <c r="T479" i="7"/>
  <c r="T659" i="7"/>
  <c r="S593" i="7"/>
  <c r="R593" i="7"/>
  <c r="R413" i="7"/>
  <c r="W539" i="7"/>
  <c r="V539" i="7"/>
  <c r="V359" i="7"/>
  <c r="T222" i="7"/>
  <c r="T567" i="7"/>
  <c r="T387" i="7"/>
  <c r="R500" i="7"/>
  <c r="R170" i="7"/>
  <c r="S166" i="7"/>
  <c r="P128" i="7"/>
  <c r="U554" i="7"/>
  <c r="U209" i="7"/>
  <c r="U374" i="7"/>
  <c r="R586" i="7"/>
  <c r="R406" i="7"/>
  <c r="R241" i="7"/>
  <c r="R656" i="7"/>
  <c r="S585" i="7"/>
  <c r="S405" i="7"/>
  <c r="S240" i="7"/>
  <c r="S397" i="7"/>
  <c r="S232" i="7"/>
  <c r="S577" i="7"/>
  <c r="V611" i="7"/>
  <c r="S323" i="7"/>
  <c r="S488" i="7"/>
  <c r="S480" i="7"/>
  <c r="S315" i="7"/>
  <c r="S660" i="7"/>
  <c r="V481" i="7"/>
  <c r="R159" i="7"/>
  <c r="U431" i="7"/>
  <c r="V554" i="7"/>
  <c r="V374" i="7"/>
  <c r="V209" i="7"/>
  <c r="P49" i="7"/>
  <c r="S487" i="7"/>
  <c r="S322" i="7"/>
  <c r="S543" i="7"/>
  <c r="S363" i="7"/>
  <c r="S198" i="7"/>
  <c r="P145" i="7"/>
  <c r="R467" i="7"/>
  <c r="R647" i="7"/>
  <c r="R302" i="7"/>
  <c r="P101" i="7"/>
  <c r="R162" i="7"/>
  <c r="R327" i="7"/>
  <c r="S407" i="7"/>
  <c r="P98" i="7"/>
  <c r="U611" i="7"/>
  <c r="P412" i="7"/>
  <c r="P247" i="7"/>
  <c r="P82" i="7"/>
  <c r="P263" i="7"/>
  <c r="P627" i="7"/>
  <c r="P282" i="7"/>
  <c r="P81" i="7"/>
  <c r="Q282" i="7"/>
  <c r="U266" i="7"/>
  <c r="P411" i="7"/>
  <c r="P591" i="7"/>
  <c r="P246" i="7"/>
  <c r="Q145" i="7"/>
  <c r="P96" i="7"/>
  <c r="R175" i="7"/>
  <c r="R161" i="7"/>
  <c r="R144" i="7"/>
  <c r="R74" i="7"/>
  <c r="R311" i="7"/>
  <c r="R476" i="7"/>
  <c r="P126" i="7"/>
  <c r="S311" i="7"/>
  <c r="P129" i="7"/>
  <c r="R160" i="7"/>
  <c r="S153" i="7"/>
  <c r="R153" i="7"/>
  <c r="P146" i="7"/>
  <c r="P76" i="7"/>
  <c r="P83" i="7"/>
  <c r="P428" i="7"/>
  <c r="P592" i="7"/>
  <c r="P608" i="7"/>
  <c r="P100" i="7"/>
  <c r="Q76" i="7"/>
  <c r="S175" i="7"/>
  <c r="S169" i="7"/>
  <c r="R290" i="7"/>
  <c r="Q77" i="7"/>
  <c r="R33" i="7"/>
  <c r="R77" i="7"/>
  <c r="P75" i="7"/>
  <c r="S151" i="7"/>
  <c r="S156" i="7"/>
  <c r="R168" i="7"/>
  <c r="P559" i="7"/>
  <c r="P606" i="7"/>
  <c r="P261" i="7"/>
  <c r="P426" i="7"/>
  <c r="P79" i="7"/>
  <c r="R176" i="7"/>
  <c r="R29" i="7"/>
  <c r="P448" i="7"/>
  <c r="P283" i="7"/>
  <c r="P628" i="7"/>
  <c r="R544" i="7"/>
  <c r="R364" i="7"/>
  <c r="R199" i="7"/>
  <c r="P427" i="7"/>
  <c r="P262" i="7"/>
  <c r="P97" i="7"/>
  <c r="P607" i="7"/>
  <c r="P609" i="7"/>
  <c r="P429" i="7"/>
  <c r="P264" i="7"/>
  <c r="P99" i="7"/>
  <c r="P214" i="7"/>
  <c r="R573" i="7"/>
  <c r="R228" i="7"/>
  <c r="R393" i="7"/>
  <c r="T584" i="7"/>
  <c r="T404" i="7"/>
  <c r="T239" i="7"/>
  <c r="S295" i="7"/>
  <c r="T486" i="7"/>
  <c r="Q169" i="8"/>
  <c r="S215" i="3"/>
  <c r="T624" i="7"/>
  <c r="T444" i="7"/>
  <c r="T279" i="7"/>
  <c r="Q594" i="7"/>
  <c r="Q414" i="7"/>
  <c r="Q249" i="7"/>
  <c r="R187" i="8"/>
  <c r="T238" i="3"/>
  <c r="T73" i="3"/>
  <c r="R247" i="8" s="1"/>
  <c r="R46" i="3"/>
  <c r="O167" i="8"/>
  <c r="Q48" i="3"/>
  <c r="Q213" i="3"/>
  <c r="T341" i="3"/>
  <c r="Q182" i="8"/>
  <c r="S230" i="3"/>
  <c r="O178" i="8"/>
  <c r="Q226" i="3"/>
  <c r="T305" i="3"/>
  <c r="R199" i="8"/>
  <c r="T252" i="3"/>
  <c r="S193" i="3"/>
  <c r="T130" i="3"/>
  <c r="R328" i="7"/>
  <c r="Q725" i="7" s="1"/>
  <c r="S649" i="7"/>
  <c r="S469" i="7"/>
  <c r="S304" i="7"/>
  <c r="U658" i="7"/>
  <c r="U478" i="7"/>
  <c r="U313" i="7"/>
  <c r="T268" i="3"/>
  <c r="T103" i="3"/>
  <c r="T316" i="3"/>
  <c r="Q204" i="8"/>
  <c r="S261" i="3"/>
  <c r="S277" i="3"/>
  <c r="T273" i="3"/>
  <c r="T40" i="3"/>
  <c r="U661" i="7"/>
  <c r="U316" i="7"/>
  <c r="U481" i="7"/>
  <c r="T283" i="3"/>
  <c r="O196" i="8"/>
  <c r="Q249" i="3"/>
  <c r="Q84" i="3"/>
  <c r="O256" i="8" s="1"/>
  <c r="R67" i="3"/>
  <c r="P244" i="8" s="1"/>
  <c r="R207" i="8"/>
  <c r="T265" i="3"/>
  <c r="T100" i="3"/>
  <c r="R267" i="8" s="1"/>
  <c r="T208" i="3"/>
  <c r="T43" i="3"/>
  <c r="R186" i="8"/>
  <c r="T237" i="3"/>
  <c r="T300" i="3"/>
  <c r="V650" i="7"/>
  <c r="V470" i="7"/>
  <c r="V305" i="7"/>
  <c r="T278" i="3"/>
  <c r="T319" i="3"/>
  <c r="R206" i="8"/>
  <c r="T264" i="3"/>
  <c r="R198" i="8"/>
  <c r="T251" i="3"/>
  <c r="T306" i="3"/>
  <c r="T200" i="3"/>
  <c r="T35" i="3"/>
  <c r="T284" i="3"/>
  <c r="T119" i="3"/>
  <c r="U280" i="3"/>
  <c r="R177" i="8"/>
  <c r="T225" i="3"/>
  <c r="R508" i="7"/>
  <c r="R178" i="7"/>
  <c r="R170" i="8"/>
  <c r="T216" i="3"/>
  <c r="S194" i="3"/>
  <c r="S29" i="3"/>
  <c r="T342" i="3"/>
  <c r="T177" i="3"/>
  <c r="T275" i="3"/>
  <c r="R193" i="8"/>
  <c r="T246" i="3"/>
  <c r="P558" i="7"/>
  <c r="P378" i="7"/>
  <c r="P48" i="7"/>
  <c r="P213" i="7"/>
  <c r="S651" i="7"/>
  <c r="S306" i="7"/>
  <c r="S471" i="7"/>
  <c r="T308" i="3"/>
  <c r="U629" i="7"/>
  <c r="U449" i="7"/>
  <c r="U284" i="7"/>
  <c r="T322" i="3"/>
  <c r="T157" i="3"/>
  <c r="S648" i="7"/>
  <c r="S468" i="7"/>
  <c r="S303" i="7"/>
  <c r="S285" i="3"/>
  <c r="S120" i="3"/>
  <c r="T337" i="3"/>
  <c r="T160" i="3"/>
  <c r="R173" i="8"/>
  <c r="T221" i="3"/>
  <c r="T303" i="3"/>
  <c r="T138" i="3"/>
  <c r="U244" i="3"/>
  <c r="T311" i="3"/>
  <c r="T146" i="3"/>
  <c r="T583" i="7"/>
  <c r="T403" i="7"/>
  <c r="T238" i="7"/>
  <c r="T302" i="3"/>
  <c r="T310" i="3"/>
  <c r="R289" i="7"/>
  <c r="T186" i="3"/>
  <c r="U197" i="3"/>
  <c r="T210" i="3"/>
  <c r="T166" i="3"/>
  <c r="S167" i="3"/>
  <c r="S212" i="3"/>
  <c r="W541" i="7"/>
  <c r="W361" i="7"/>
  <c r="W196" i="7"/>
  <c r="T340" i="3"/>
  <c r="T175" i="3"/>
  <c r="Q176" i="8"/>
  <c r="S224" i="3"/>
  <c r="S555" i="7"/>
  <c r="S375" i="7"/>
  <c r="S210" i="7"/>
  <c r="R195" i="8"/>
  <c r="T248" i="3"/>
  <c r="T301" i="3"/>
  <c r="T136" i="3"/>
  <c r="U270" i="3"/>
  <c r="R185" i="8"/>
  <c r="S307" i="3"/>
  <c r="S142" i="3"/>
  <c r="R194" i="8"/>
  <c r="T247" i="3"/>
  <c r="T335" i="3"/>
  <c r="R175" i="8"/>
  <c r="T223" i="3"/>
  <c r="T58" i="3"/>
  <c r="R235" i="8" s="1"/>
  <c r="Q172" i="8"/>
  <c r="S55" i="3"/>
  <c r="Q232" i="8" s="1"/>
  <c r="S220" i="3"/>
  <c r="S612" i="7"/>
  <c r="S432" i="7"/>
  <c r="S267" i="7"/>
  <c r="T336" i="3"/>
  <c r="T276" i="3"/>
  <c r="S584" i="7"/>
  <c r="S404" i="7"/>
  <c r="S239" i="7"/>
  <c r="S74" i="7"/>
  <c r="R191" i="8"/>
  <c r="T78" i="3"/>
  <c r="R251" i="8" s="1"/>
  <c r="T243" i="3"/>
  <c r="R205" i="8"/>
  <c r="T262" i="3"/>
  <c r="T199" i="3"/>
  <c r="S338" i="3"/>
  <c r="S173" i="3"/>
  <c r="T267" i="3"/>
  <c r="T286" i="3"/>
  <c r="T161" i="3"/>
  <c r="T240" i="3"/>
  <c r="R208" i="8"/>
  <c r="T266" i="3"/>
  <c r="T321" i="3"/>
  <c r="T156" i="3"/>
  <c r="S188" i="3"/>
  <c r="R203" i="8"/>
  <c r="T260" i="3"/>
  <c r="T95" i="3"/>
  <c r="R263" i="8" s="1"/>
  <c r="T320" i="3"/>
  <c r="T313" i="3"/>
  <c r="T312" i="3"/>
  <c r="T343" i="3"/>
  <c r="T178" i="3"/>
  <c r="S209" i="3"/>
  <c r="R373" i="3" s="1"/>
  <c r="S44" i="3"/>
  <c r="T148" i="3"/>
  <c r="S315" i="3"/>
  <c r="S150" i="3"/>
  <c r="R200" i="8"/>
  <c r="S269" i="3"/>
  <c r="R376" i="3" s="1"/>
  <c r="U282" i="3"/>
  <c r="S190" i="3"/>
  <c r="S187" i="3"/>
  <c r="R189" i="8"/>
  <c r="T241" i="3"/>
  <c r="T76" i="3"/>
  <c r="R249" i="8" s="1"/>
  <c r="O179" i="8"/>
  <c r="Q227" i="3"/>
  <c r="Q62" i="3"/>
  <c r="O239" i="8" s="1"/>
  <c r="T132" i="3"/>
  <c r="S299" i="3"/>
  <c r="R188" i="8"/>
  <c r="T239" i="3"/>
  <c r="T74" i="3"/>
  <c r="R248" i="8" s="1"/>
  <c r="T304" i="3"/>
  <c r="T139" i="3"/>
  <c r="T610" i="7"/>
  <c r="T430" i="7"/>
  <c r="T265" i="7"/>
  <c r="U362" i="7"/>
  <c r="O180" i="8"/>
  <c r="Q228" i="3"/>
  <c r="Q63" i="3"/>
  <c r="O240" i="8" s="1"/>
  <c r="U158" i="3"/>
  <c r="T324" i="3"/>
  <c r="T159" i="3"/>
  <c r="Q46" i="7"/>
  <c r="R485" i="7"/>
  <c r="R320" i="7"/>
  <c r="R155" i="7"/>
  <c r="T333" i="3"/>
  <c r="V541" i="7"/>
  <c r="V361" i="7"/>
  <c r="V196" i="7"/>
  <c r="T259" i="3"/>
  <c r="Q171" i="8"/>
  <c r="S217" i="3"/>
  <c r="U274" i="3"/>
  <c r="T589" i="7"/>
  <c r="T409" i="7"/>
  <c r="T244" i="7"/>
  <c r="T196" i="3"/>
  <c r="T31" i="3"/>
  <c r="R201" i="8"/>
  <c r="T281" i="3"/>
  <c r="T116" i="3"/>
  <c r="T32" i="3"/>
  <c r="T334" i="3"/>
  <c r="T169" i="3"/>
  <c r="T115" i="3"/>
  <c r="S279" i="3"/>
  <c r="S114" i="3"/>
  <c r="R582" i="7"/>
  <c r="R402" i="7"/>
  <c r="R237" i="7"/>
  <c r="R192" i="8"/>
  <c r="T245" i="3"/>
  <c r="U323" i="3"/>
  <c r="T154" i="3"/>
  <c r="S317" i="3"/>
  <c r="S152" i="3"/>
  <c r="U553" i="7"/>
  <c r="U208" i="7"/>
  <c r="R564" i="7"/>
  <c r="R384" i="7"/>
  <c r="R219" i="7"/>
  <c r="T318" i="3"/>
  <c r="T153" i="3"/>
  <c r="R183" i="8"/>
  <c r="T192" i="3"/>
  <c r="R202" i="8"/>
  <c r="R262" i="8"/>
  <c r="R349" i="7"/>
  <c r="Q190" i="8"/>
  <c r="S242" i="3"/>
  <c r="S77" i="3"/>
  <c r="Q250" i="8" s="1"/>
  <c r="Q276" i="8" s="1"/>
  <c r="T101" i="3"/>
  <c r="R268" i="8" s="1"/>
  <c r="S263" i="3"/>
  <c r="T33" i="3"/>
  <c r="T198" i="3"/>
  <c r="T72" i="3"/>
  <c r="R246" i="8" s="1"/>
  <c r="S201" i="3"/>
  <c r="S624" i="7"/>
  <c r="S444" i="7"/>
  <c r="S279" i="7"/>
  <c r="T155" i="3"/>
  <c r="S128" i="3"/>
  <c r="O168" i="8"/>
  <c r="Q49" i="3"/>
  <c r="O228" i="8" s="1"/>
  <c r="Q214" i="3"/>
  <c r="S219" i="3"/>
  <c r="S54" i="3"/>
  <c r="U657" i="7"/>
  <c r="U477" i="7"/>
  <c r="U312" i="7"/>
  <c r="T314" i="3"/>
  <c r="T149" i="3"/>
  <c r="Q174" i="8"/>
  <c r="S222" i="3"/>
  <c r="S57" i="3"/>
  <c r="Q234" i="8" s="1"/>
  <c r="T189" i="3"/>
  <c r="T145" i="3"/>
  <c r="S309" i="3"/>
  <c r="S144" i="3"/>
  <c r="Q184" i="8"/>
  <c r="T75" i="3"/>
  <c r="R297" i="7"/>
  <c r="U79" i="3"/>
  <c r="T211" i="3"/>
  <c r="R626" i="7"/>
  <c r="R446" i="7"/>
  <c r="R281" i="7"/>
  <c r="S482" i="7"/>
  <c r="S317" i="7"/>
  <c r="T164" i="3"/>
  <c r="S165" i="3"/>
  <c r="T298" i="3"/>
  <c r="T133" i="3"/>
  <c r="D191" i="7"/>
  <c r="D192" i="7"/>
  <c r="D193" i="7"/>
  <c r="D194" i="7"/>
  <c r="D195" i="7"/>
  <c r="D196" i="7"/>
  <c r="D197" i="7"/>
  <c r="D198" i="7"/>
  <c r="D199" i="7"/>
  <c r="D200" i="7"/>
  <c r="D201" i="7"/>
  <c r="D203" i="7"/>
  <c r="D205" i="7"/>
  <c r="D207" i="7"/>
  <c r="D208" i="7"/>
  <c r="D209" i="7"/>
  <c r="D210" i="7"/>
  <c r="D211" i="7"/>
  <c r="D212" i="7"/>
  <c r="D219" i="7"/>
  <c r="D236" i="7"/>
  <c r="D240" i="7"/>
  <c r="D244" i="7"/>
  <c r="D259" i="7"/>
  <c r="D263"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183" i="7"/>
  <c r="D18" i="7"/>
  <c r="D27" i="7"/>
  <c r="D28" i="7"/>
  <c r="D29" i="7"/>
  <c r="D30" i="7"/>
  <c r="D31" i="7"/>
  <c r="D32" i="7"/>
  <c r="D33" i="7"/>
  <c r="D34" i="7"/>
  <c r="D35" i="7"/>
  <c r="D36" i="7"/>
  <c r="D38" i="7"/>
  <c r="D40" i="7"/>
  <c r="D42" i="7"/>
  <c r="D43" i="7"/>
  <c r="D44" i="7"/>
  <c r="D45" i="7"/>
  <c r="D108" i="7"/>
  <c r="D112" i="7"/>
  <c r="D124" i="7"/>
  <c r="D128"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U160" i="5" l="1"/>
  <c r="T490" i="7" s="1"/>
  <c r="S23" i="5"/>
  <c r="R353" i="7" s="1"/>
  <c r="Q184" i="7"/>
  <c r="Q18" i="7"/>
  <c r="P18" i="7"/>
  <c r="P184" i="7"/>
  <c r="O716" i="7" s="1"/>
  <c r="P193" i="7"/>
  <c r="P28" i="7"/>
  <c r="S174" i="7"/>
  <c r="U155" i="5"/>
  <c r="U318" i="7"/>
  <c r="U483" i="7"/>
  <c r="T669" i="7"/>
  <c r="T324" i="7"/>
  <c r="U165" i="5"/>
  <c r="T675" i="7" s="1"/>
  <c r="V159" i="5"/>
  <c r="U324" i="7" s="1"/>
  <c r="T318" i="7"/>
  <c r="T663" i="7"/>
  <c r="T483" i="7"/>
  <c r="P229" i="7"/>
  <c r="S490" i="7"/>
  <c r="S325" i="7"/>
  <c r="T505" i="7"/>
  <c r="T666" i="7"/>
  <c r="V156" i="5"/>
  <c r="U666" i="7" s="1"/>
  <c r="T491" i="7"/>
  <c r="P250" i="7"/>
  <c r="P415" i="7"/>
  <c r="P595" i="7"/>
  <c r="S330" i="7"/>
  <c r="R726" i="7" s="1"/>
  <c r="S684" i="7"/>
  <c r="S339" i="7"/>
  <c r="P574" i="7"/>
  <c r="Q353" i="7"/>
  <c r="Q348" i="7"/>
  <c r="R85" i="5"/>
  <c r="S85" i="5" s="1"/>
  <c r="R64" i="5"/>
  <c r="Q229" i="7" s="1"/>
  <c r="S501" i="7"/>
  <c r="S681" i="7"/>
  <c r="V157" i="5"/>
  <c r="T667" i="7"/>
  <c r="T496" i="7"/>
  <c r="T676" i="7"/>
  <c r="V161" i="5"/>
  <c r="T671" i="7"/>
  <c r="S167" i="7"/>
  <c r="S677" i="7"/>
  <c r="W162" i="5"/>
  <c r="U672" i="7"/>
  <c r="W153" i="5"/>
  <c r="U663" i="7"/>
  <c r="S508" i="7"/>
  <c r="S688" i="7"/>
  <c r="U152" i="5"/>
  <c r="T317" i="7" s="1"/>
  <c r="S662" i="7"/>
  <c r="V160" i="5"/>
  <c r="W160" i="5" s="1"/>
  <c r="T670" i="7"/>
  <c r="T504" i="7"/>
  <c r="T684" i="7"/>
  <c r="S507" i="7"/>
  <c r="S687" i="7"/>
  <c r="V158" i="5"/>
  <c r="U323" i="7" s="1"/>
  <c r="T668" i="7"/>
  <c r="T51" i="5"/>
  <c r="U51" i="5" s="1"/>
  <c r="V51" i="5" s="1"/>
  <c r="T47" i="5"/>
  <c r="U47" i="5" s="1"/>
  <c r="V47" i="5" s="1"/>
  <c r="W47" i="5" s="1"/>
  <c r="X47" i="5" s="1"/>
  <c r="Y47" i="5" s="1"/>
  <c r="Z47" i="5" s="1"/>
  <c r="T174" i="7"/>
  <c r="U55" i="5"/>
  <c r="T220" i="7" s="1"/>
  <c r="S38" i="5"/>
  <c r="R37" i="7" s="1"/>
  <c r="Q38" i="7"/>
  <c r="Q203" i="7"/>
  <c r="Q85" i="3"/>
  <c r="O257" i="8" s="1"/>
  <c r="Q64" i="3"/>
  <c r="O241" i="8" s="1"/>
  <c r="O197" i="8"/>
  <c r="O181" i="8"/>
  <c r="Q548" i="7"/>
  <c r="W164" i="5"/>
  <c r="V674" i="7" s="1"/>
  <c r="U329" i="7"/>
  <c r="V174" i="5"/>
  <c r="T339" i="7"/>
  <c r="U167" i="5"/>
  <c r="T677" i="7" s="1"/>
  <c r="S332" i="7"/>
  <c r="S497" i="7"/>
  <c r="V169" i="5"/>
  <c r="T334" i="7"/>
  <c r="U172" i="5"/>
  <c r="T682" i="7" s="1"/>
  <c r="S337" i="7"/>
  <c r="S502" i="7"/>
  <c r="S172" i="7"/>
  <c r="S341" i="7"/>
  <c r="S506" i="7"/>
  <c r="U176" i="5"/>
  <c r="S336" i="7"/>
  <c r="U177" i="5"/>
  <c r="T687" i="7" s="1"/>
  <c r="S342" i="7"/>
  <c r="U178" i="5"/>
  <c r="T688" i="7" s="1"/>
  <c r="S343" i="7"/>
  <c r="S338" i="7"/>
  <c r="U173" i="5"/>
  <c r="T683" i="7" s="1"/>
  <c r="S503" i="7"/>
  <c r="U168" i="5"/>
  <c r="T678" i="7" s="1"/>
  <c r="S333" i="7"/>
  <c r="S498" i="7"/>
  <c r="V175" i="5"/>
  <c r="U175" i="7" s="1"/>
  <c r="T340" i="7"/>
  <c r="U163" i="5"/>
  <c r="T673" i="7" s="1"/>
  <c r="R767" i="7"/>
  <c r="S493" i="7"/>
  <c r="R746" i="7" s="1"/>
  <c r="V166" i="5"/>
  <c r="T331" i="7"/>
  <c r="Q368" i="7"/>
  <c r="V170" i="5"/>
  <c r="U680" i="7" s="1"/>
  <c r="T335" i="7"/>
  <c r="U171" i="5"/>
  <c r="T681" i="7" s="1"/>
  <c r="Q35" i="7"/>
  <c r="S81" i="5"/>
  <c r="S565" i="7"/>
  <c r="S220" i="7"/>
  <c r="T59" i="5"/>
  <c r="U59" i="5" s="1"/>
  <c r="R41" i="7"/>
  <c r="S50" i="5"/>
  <c r="T50" i="5" s="1"/>
  <c r="Q560" i="7"/>
  <c r="Q32" i="7"/>
  <c r="Q380" i="7"/>
  <c r="Q215" i="7"/>
  <c r="S62" i="5"/>
  <c r="R392" i="7" s="1"/>
  <c r="Q44" i="7"/>
  <c r="N758" i="7"/>
  <c r="V58" i="5"/>
  <c r="W58" i="5" s="1"/>
  <c r="T40" i="7"/>
  <c r="T223" i="7"/>
  <c r="T568" i="7"/>
  <c r="T388" i="7"/>
  <c r="Q34" i="7"/>
  <c r="S52" i="5"/>
  <c r="S84" i="2"/>
  <c r="R38" i="3"/>
  <c r="S39" i="5"/>
  <c r="Q369" i="7"/>
  <c r="Q39" i="7"/>
  <c r="Q549" i="7"/>
  <c r="Q204" i="7"/>
  <c r="R85" i="2"/>
  <c r="P197" i="8" s="1"/>
  <c r="Q39" i="3"/>
  <c r="R64" i="2"/>
  <c r="P181" i="8" s="1"/>
  <c r="P350" i="3"/>
  <c r="R28" i="5"/>
  <c r="P528" i="7"/>
  <c r="P538" i="7"/>
  <c r="P358" i="7"/>
  <c r="S27" i="5"/>
  <c r="R357" i="7" s="1"/>
  <c r="Q357" i="7"/>
  <c r="S25" i="5"/>
  <c r="T23" i="5"/>
  <c r="S353" i="7" s="1"/>
  <c r="S24" i="5"/>
  <c r="Q354" i="7"/>
  <c r="R379" i="3"/>
  <c r="P374" i="3"/>
  <c r="R372" i="3"/>
  <c r="P375" i="3"/>
  <c r="U154" i="5"/>
  <c r="T664" i="7" s="1"/>
  <c r="S319" i="7"/>
  <c r="S484" i="7"/>
  <c r="X117" i="5"/>
  <c r="Y117" i="5" s="1"/>
  <c r="Z117" i="5" s="1"/>
  <c r="Q572" i="7"/>
  <c r="W82" i="5"/>
  <c r="X82" i="5" s="1"/>
  <c r="Y82" i="5" s="1"/>
  <c r="Z82" i="5" s="1"/>
  <c r="W99" i="5"/>
  <c r="X99" i="5" s="1"/>
  <c r="Y99" i="5" s="1"/>
  <c r="Z99" i="5" s="1"/>
  <c r="T97" i="5"/>
  <c r="U97" i="5" s="1"/>
  <c r="V97" i="5" s="1"/>
  <c r="Y118" i="5"/>
  <c r="Z118" i="5" s="1"/>
  <c r="V95" i="5"/>
  <c r="T260" i="7"/>
  <c r="T425" i="7"/>
  <c r="T605" i="7"/>
  <c r="W84" i="5"/>
  <c r="X84" i="5" s="1"/>
  <c r="S604" i="7"/>
  <c r="T418" i="7"/>
  <c r="T598" i="7"/>
  <c r="T253" i="7"/>
  <c r="S421" i="7"/>
  <c r="S259" i="7"/>
  <c r="S292" i="7"/>
  <c r="S258" i="7"/>
  <c r="S423" i="7"/>
  <c r="S603" i="7"/>
  <c r="O227" i="8"/>
  <c r="O273" i="8" s="1"/>
  <c r="T637" i="7"/>
  <c r="T457" i="7"/>
  <c r="V642" i="7"/>
  <c r="V462" i="7"/>
  <c r="T634" i="7"/>
  <c r="T454" i="7"/>
  <c r="T636" i="7"/>
  <c r="T456" i="7"/>
  <c r="T291" i="7"/>
  <c r="T453" i="7"/>
  <c r="T633" i="7"/>
  <c r="T288" i="7"/>
  <c r="T294" i="7"/>
  <c r="S639" i="7"/>
  <c r="S459" i="7"/>
  <c r="S637" i="7"/>
  <c r="S457" i="7"/>
  <c r="S638" i="7"/>
  <c r="S458" i="7"/>
  <c r="S293" i="7"/>
  <c r="T640" i="7"/>
  <c r="T460" i="7"/>
  <c r="W296" i="7"/>
  <c r="V641" i="7"/>
  <c r="V461" i="7"/>
  <c r="V455" i="7"/>
  <c r="V635" i="7"/>
  <c r="T259" i="7"/>
  <c r="O253" i="8"/>
  <c r="U423" i="7"/>
  <c r="S601" i="7"/>
  <c r="U492" i="7"/>
  <c r="T492" i="7"/>
  <c r="T494" i="7"/>
  <c r="S495" i="7"/>
  <c r="R747" i="7" s="1"/>
  <c r="S256" i="7"/>
  <c r="Q382" i="7"/>
  <c r="Q217" i="7"/>
  <c r="Q562" i="7"/>
  <c r="Q72" i="7"/>
  <c r="R56" i="7"/>
  <c r="Q54" i="7"/>
  <c r="S386" i="7"/>
  <c r="T221" i="7"/>
  <c r="U309" i="7"/>
  <c r="S221" i="7"/>
  <c r="S566" i="7"/>
  <c r="V445" i="7"/>
  <c r="V301" i="7"/>
  <c r="U466" i="7"/>
  <c r="V466" i="7"/>
  <c r="V646" i="7"/>
  <c r="U646" i="7"/>
  <c r="X466" i="7"/>
  <c r="U301" i="7"/>
  <c r="T626" i="7"/>
  <c r="T463" i="7"/>
  <c r="T298" i="7"/>
  <c r="T643" i="7"/>
  <c r="U654" i="7"/>
  <c r="W280" i="7"/>
  <c r="V280" i="7"/>
  <c r="U310" i="7"/>
  <c r="U475" i="7"/>
  <c r="R211" i="7"/>
  <c r="Q718" i="7" s="1"/>
  <c r="R376" i="7"/>
  <c r="Q739" i="7" s="1"/>
  <c r="S211" i="7"/>
  <c r="R718" i="7" s="1"/>
  <c r="S376" i="7"/>
  <c r="O278" i="8"/>
  <c r="Q569" i="7"/>
  <c r="T184" i="3"/>
  <c r="S78" i="7"/>
  <c r="R389" i="7"/>
  <c r="T102" i="3"/>
  <c r="T34" i="3"/>
  <c r="T150" i="7"/>
  <c r="Q592" i="7"/>
  <c r="Q80" i="7"/>
  <c r="Q389" i="7"/>
  <c r="Q224" i="7"/>
  <c r="R557" i="7"/>
  <c r="S176" i="7"/>
  <c r="S144" i="7"/>
  <c r="Q557" i="7"/>
  <c r="Q377" i="7"/>
  <c r="Q212" i="7"/>
  <c r="Q47" i="7"/>
  <c r="P260" i="8"/>
  <c r="R83" i="3"/>
  <c r="P255" i="8" s="1"/>
  <c r="T242" i="7"/>
  <c r="S242" i="7"/>
  <c r="Q392" i="7"/>
  <c r="R52" i="3"/>
  <c r="P231" i="8" s="1"/>
  <c r="R47" i="3"/>
  <c r="R97" i="3"/>
  <c r="P265" i="8" s="1"/>
  <c r="R96" i="3"/>
  <c r="P264" i="8" s="1"/>
  <c r="R59" i="3"/>
  <c r="P236" i="8" s="1"/>
  <c r="T126" i="3"/>
  <c r="V655" i="7"/>
  <c r="T174" i="3"/>
  <c r="X646" i="7"/>
  <c r="W646" i="7"/>
  <c r="Q227" i="7"/>
  <c r="S590" i="7"/>
  <c r="S245" i="7"/>
  <c r="V661" i="7"/>
  <c r="U542" i="7"/>
  <c r="S413" i="7"/>
  <c r="S154" i="7"/>
  <c r="S248" i="7"/>
  <c r="W301" i="7"/>
  <c r="X301" i="7"/>
  <c r="W466" i="7"/>
  <c r="S281" i="7"/>
  <c r="T339" i="3"/>
  <c r="S328" i="7"/>
  <c r="R725" i="7" s="1"/>
  <c r="U366" i="7"/>
  <c r="T446" i="7"/>
  <c r="S626" i="7"/>
  <c r="T281" i="7"/>
  <c r="S446" i="7"/>
  <c r="T499" i="7"/>
  <c r="V316" i="7"/>
  <c r="U626" i="7"/>
  <c r="U307" i="7"/>
  <c r="U472" i="7"/>
  <c r="S433" i="7"/>
  <c r="U652" i="7"/>
  <c r="U314" i="7"/>
  <c r="S177" i="7"/>
  <c r="Q49" i="7"/>
  <c r="T245" i="7"/>
  <c r="T410" i="7"/>
  <c r="U410" i="7"/>
  <c r="S410" i="7"/>
  <c r="S162" i="7"/>
  <c r="T163" i="3"/>
  <c r="U418" i="7"/>
  <c r="R275" i="8"/>
  <c r="T170" i="3"/>
  <c r="T162" i="3"/>
  <c r="T140" i="3"/>
  <c r="T171" i="3"/>
  <c r="T143" i="3"/>
  <c r="T141" i="3"/>
  <c r="T151" i="3"/>
  <c r="Q627" i="7"/>
  <c r="T172" i="3"/>
  <c r="Y466" i="7"/>
  <c r="Q263" i="7"/>
  <c r="Q101" i="7"/>
  <c r="T468" i="7"/>
  <c r="U479" i="7"/>
  <c r="S171" i="7"/>
  <c r="S173" i="7"/>
  <c r="T386" i="7"/>
  <c r="T303" i="7"/>
  <c r="U659" i="7"/>
  <c r="X196" i="7"/>
  <c r="S149" i="7"/>
  <c r="Q55" i="7"/>
  <c r="T648" i="7"/>
  <c r="X361" i="7"/>
  <c r="X541" i="7"/>
  <c r="T166" i="7"/>
  <c r="Q100" i="7"/>
  <c r="S31" i="7"/>
  <c r="S327" i="7"/>
  <c r="Q559" i="7"/>
  <c r="Q214" i="7"/>
  <c r="S73" i="7"/>
  <c r="Q379" i="7"/>
  <c r="T31" i="7"/>
  <c r="R98" i="3"/>
  <c r="R66" i="3"/>
  <c r="P243" i="8" s="1"/>
  <c r="T168" i="3"/>
  <c r="R117" i="3"/>
  <c r="P259" i="8"/>
  <c r="U308" i="7"/>
  <c r="T147" i="3"/>
  <c r="R81" i="3"/>
  <c r="R51" i="3"/>
  <c r="P230" i="8" s="1"/>
  <c r="U473" i="7"/>
  <c r="T80" i="3"/>
  <c r="S178" i="7"/>
  <c r="T137" i="3"/>
  <c r="W359" i="7"/>
  <c r="T176" i="3"/>
  <c r="S573" i="7"/>
  <c r="T131" i="3"/>
  <c r="T45" i="3"/>
  <c r="R82" i="3"/>
  <c r="P254" i="8" s="1"/>
  <c r="R50" i="3"/>
  <c r="P229" i="8" s="1"/>
  <c r="T56" i="3"/>
  <c r="R233" i="8" s="1"/>
  <c r="T268" i="7"/>
  <c r="S268" i="7"/>
  <c r="T433" i="7"/>
  <c r="S613" i="7"/>
  <c r="R118" i="3"/>
  <c r="P258" i="8"/>
  <c r="R99" i="3"/>
  <c r="P266" i="8" s="1"/>
  <c r="P279" i="8" s="1"/>
  <c r="R65" i="3"/>
  <c r="P242" i="8" s="1"/>
  <c r="W194" i="7"/>
  <c r="T352" i="7"/>
  <c r="T129" i="3"/>
  <c r="T566" i="7"/>
  <c r="T243" i="7"/>
  <c r="T408" i="7"/>
  <c r="U566" i="7"/>
  <c r="S228" i="7"/>
  <c r="U253" i="7"/>
  <c r="U598" i="7"/>
  <c r="S237" i="7"/>
  <c r="S402" i="7"/>
  <c r="S582" i="7"/>
  <c r="U286" i="7"/>
  <c r="U451" i="7"/>
  <c r="U631" i="7"/>
  <c r="V266" i="7"/>
  <c r="R608" i="7"/>
  <c r="V431" i="7"/>
  <c r="Q428" i="7"/>
  <c r="Q608" i="7"/>
  <c r="Q98" i="7"/>
  <c r="S168" i="7"/>
  <c r="T159" i="7"/>
  <c r="T543" i="7"/>
  <c r="T198" i="7"/>
  <c r="T363" i="7"/>
  <c r="S170" i="7"/>
  <c r="Q83" i="7"/>
  <c r="S586" i="7"/>
  <c r="S406" i="7"/>
  <c r="S241" i="7"/>
  <c r="T577" i="7"/>
  <c r="T397" i="7"/>
  <c r="T232" i="7"/>
  <c r="V366" i="7"/>
  <c r="S647" i="7"/>
  <c r="S467" i="7"/>
  <c r="S302" i="7"/>
  <c r="W554" i="7"/>
  <c r="W209" i="7"/>
  <c r="W374" i="7"/>
  <c r="T487" i="7"/>
  <c r="T322" i="7"/>
  <c r="S500" i="7"/>
  <c r="Q129" i="7"/>
  <c r="T656" i="7"/>
  <c r="T480" i="7"/>
  <c r="T660" i="7"/>
  <c r="T315" i="7"/>
  <c r="T585" i="7"/>
  <c r="T405" i="7"/>
  <c r="T240" i="7"/>
  <c r="U567" i="7"/>
  <c r="U387" i="7"/>
  <c r="U222" i="7"/>
  <c r="T169" i="7"/>
  <c r="S564" i="7"/>
  <c r="Q82" i="7"/>
  <c r="S656" i="7"/>
  <c r="Q411" i="7"/>
  <c r="Q128" i="7"/>
  <c r="W661" i="7"/>
  <c r="T488" i="7"/>
  <c r="T323" i="7"/>
  <c r="T210" i="7"/>
  <c r="S54" i="7"/>
  <c r="S384" i="7"/>
  <c r="R282" i="7"/>
  <c r="S476" i="7"/>
  <c r="S289" i="7"/>
  <c r="Q447" i="7"/>
  <c r="T375" i="7"/>
  <c r="T555" i="7"/>
  <c r="Q247" i="7"/>
  <c r="Q412" i="7"/>
  <c r="Q591" i="7"/>
  <c r="S290" i="7"/>
  <c r="S393" i="7"/>
  <c r="T29" i="7"/>
  <c r="Q146" i="7"/>
  <c r="S160" i="7"/>
  <c r="S159" i="7"/>
  <c r="R146" i="7"/>
  <c r="Q81" i="7"/>
  <c r="R145" i="7"/>
  <c r="Q96" i="7"/>
  <c r="S29" i="7"/>
  <c r="Q126" i="7"/>
  <c r="S161" i="7"/>
  <c r="S297" i="7"/>
  <c r="T573" i="7"/>
  <c r="T175" i="7"/>
  <c r="Q448" i="7"/>
  <c r="T143" i="7"/>
  <c r="T160" i="7"/>
  <c r="S320" i="7"/>
  <c r="S485" i="7"/>
  <c r="R76" i="7"/>
  <c r="Q75" i="7"/>
  <c r="T151" i="7"/>
  <c r="S33" i="7"/>
  <c r="T149" i="7"/>
  <c r="S155" i="7"/>
  <c r="T78" i="7"/>
  <c r="U352" i="7"/>
  <c r="U31" i="7"/>
  <c r="Q283" i="7"/>
  <c r="Q628" i="7"/>
  <c r="S77" i="7"/>
  <c r="U303" i="7"/>
  <c r="Q79" i="7"/>
  <c r="S219" i="7"/>
  <c r="Q606" i="7"/>
  <c r="Q426" i="7"/>
  <c r="Q261" i="7"/>
  <c r="V657" i="7"/>
  <c r="S199" i="7"/>
  <c r="S544" i="7"/>
  <c r="S364" i="7"/>
  <c r="Q99" i="7"/>
  <c r="Q609" i="7"/>
  <c r="Q429" i="7"/>
  <c r="Q264" i="7"/>
  <c r="Q262" i="7"/>
  <c r="Q97" i="7"/>
  <c r="Q607" i="7"/>
  <c r="Q427" i="7"/>
  <c r="V312" i="7"/>
  <c r="V477" i="7"/>
  <c r="W657" i="7"/>
  <c r="W477" i="7"/>
  <c r="W312" i="7"/>
  <c r="R174" i="8"/>
  <c r="T222" i="3"/>
  <c r="T57" i="3"/>
  <c r="R234" i="8" s="1"/>
  <c r="U343" i="3"/>
  <c r="U178" i="3"/>
  <c r="U267" i="3"/>
  <c r="T165" i="3"/>
  <c r="P168" i="8"/>
  <c r="R49" i="3"/>
  <c r="P228" i="8" s="1"/>
  <c r="R214" i="3"/>
  <c r="U33" i="3"/>
  <c r="U198" i="3"/>
  <c r="S349" i="7"/>
  <c r="U32" i="3"/>
  <c r="U196" i="3"/>
  <c r="U31" i="3"/>
  <c r="R171" i="8"/>
  <c r="T217" i="3"/>
  <c r="T44" i="3"/>
  <c r="T209" i="3"/>
  <c r="S373" i="3" s="1"/>
  <c r="U335" i="3"/>
  <c r="U210" i="3"/>
  <c r="U45" i="3"/>
  <c r="U310" i="3"/>
  <c r="U583" i="7"/>
  <c r="U403" i="7"/>
  <c r="U238" i="7"/>
  <c r="U308" i="3"/>
  <c r="U275" i="3"/>
  <c r="U342" i="3"/>
  <c r="U177" i="3"/>
  <c r="S67" i="3"/>
  <c r="Q244" i="8" s="1"/>
  <c r="T193" i="3"/>
  <c r="V652" i="7"/>
  <c r="V472" i="7"/>
  <c r="V307" i="7"/>
  <c r="U333" i="3"/>
  <c r="U321" i="3"/>
  <c r="U156" i="3"/>
  <c r="U130" i="3"/>
  <c r="R182" i="8"/>
  <c r="T230" i="3"/>
  <c r="V483" i="7"/>
  <c r="V318" i="7"/>
  <c r="U147" i="3"/>
  <c r="T309" i="3"/>
  <c r="T144" i="3"/>
  <c r="V629" i="7"/>
  <c r="V449" i="7"/>
  <c r="V284" i="7"/>
  <c r="T263" i="3"/>
  <c r="W553" i="7"/>
  <c r="W208" i="7"/>
  <c r="U115" i="3"/>
  <c r="T279" i="3"/>
  <c r="T114" i="3"/>
  <c r="U589" i="7"/>
  <c r="U409" i="7"/>
  <c r="U244" i="7"/>
  <c r="P180" i="8"/>
  <c r="R228" i="3"/>
  <c r="R63" i="3"/>
  <c r="P240" i="8" s="1"/>
  <c r="U304" i="3"/>
  <c r="U139" i="3"/>
  <c r="S188" i="8"/>
  <c r="U239" i="3"/>
  <c r="U74" i="3"/>
  <c r="S248" i="8" s="1"/>
  <c r="S189" i="8"/>
  <c r="U241" i="3"/>
  <c r="U76" i="3"/>
  <c r="S249" i="8" s="1"/>
  <c r="S200" i="8"/>
  <c r="U162" i="3"/>
  <c r="U584" i="7"/>
  <c r="U404" i="7"/>
  <c r="U239" i="7"/>
  <c r="U276" i="3"/>
  <c r="S195" i="8"/>
  <c r="U248" i="3"/>
  <c r="T212" i="3"/>
  <c r="S193" i="8"/>
  <c r="U246" i="3"/>
  <c r="U200" i="3"/>
  <c r="U35" i="3"/>
  <c r="U306" i="3"/>
  <c r="U319" i="3"/>
  <c r="S186" i="8"/>
  <c r="U237" i="3"/>
  <c r="U72" i="3"/>
  <c r="S246" i="8" s="1"/>
  <c r="U316" i="3"/>
  <c r="U151" i="3"/>
  <c r="U199" i="3"/>
  <c r="V658" i="7"/>
  <c r="V313" i="7"/>
  <c r="V478" i="7"/>
  <c r="U211" i="3"/>
  <c r="S183" i="8"/>
  <c r="U153" i="3"/>
  <c r="T317" i="3"/>
  <c r="T152" i="3"/>
  <c r="S192" i="8"/>
  <c r="U245" i="3"/>
  <c r="U80" i="3"/>
  <c r="U610" i="7"/>
  <c r="U430" i="7"/>
  <c r="U265" i="7"/>
  <c r="V282" i="3"/>
  <c r="U148" i="3"/>
  <c r="T315" i="3"/>
  <c r="T150" i="3"/>
  <c r="U312" i="3"/>
  <c r="U240" i="3"/>
  <c r="V270" i="3"/>
  <c r="U340" i="3"/>
  <c r="U175" i="3"/>
  <c r="U160" i="3"/>
  <c r="S207" i="8"/>
  <c r="U265" i="3"/>
  <c r="U100" i="3"/>
  <c r="S267" i="8" s="1"/>
  <c r="U341" i="3"/>
  <c r="U176" i="3"/>
  <c r="S187" i="8"/>
  <c r="U238" i="3"/>
  <c r="U73" i="3"/>
  <c r="S247" i="8" s="1"/>
  <c r="T295" i="7"/>
  <c r="U78" i="3"/>
  <c r="S251" i="8" s="1"/>
  <c r="R190" i="8"/>
  <c r="T242" i="3"/>
  <c r="T77" i="3"/>
  <c r="R250" i="8" s="1"/>
  <c r="R276" i="8" s="1"/>
  <c r="T651" i="7"/>
  <c r="T471" i="7"/>
  <c r="T306" i="7"/>
  <c r="U305" i="3"/>
  <c r="X650" i="7"/>
  <c r="X470" i="7"/>
  <c r="X305" i="7"/>
  <c r="U298" i="3"/>
  <c r="U133" i="3"/>
  <c r="U189" i="3"/>
  <c r="S202" i="8"/>
  <c r="S262" i="8"/>
  <c r="U318" i="3"/>
  <c r="U259" i="3"/>
  <c r="T187" i="3"/>
  <c r="U129" i="3"/>
  <c r="S208" i="8"/>
  <c r="U266" i="3"/>
  <c r="U101" i="3"/>
  <c r="S268" i="8" s="1"/>
  <c r="S205" i="8"/>
  <c r="U262" i="3"/>
  <c r="R172" i="8"/>
  <c r="T55" i="3"/>
  <c r="R232" i="8" s="1"/>
  <c r="T220" i="3"/>
  <c r="U164" i="3"/>
  <c r="U302" i="3"/>
  <c r="U137" i="3"/>
  <c r="S170" i="8"/>
  <c r="U216" i="3"/>
  <c r="S177" i="8"/>
  <c r="U225" i="3"/>
  <c r="P196" i="8"/>
  <c r="R249" i="3"/>
  <c r="R84" i="3"/>
  <c r="P256" i="8" s="1"/>
  <c r="U40" i="3"/>
  <c r="P178" i="8"/>
  <c r="R226" i="3"/>
  <c r="R169" i="8"/>
  <c r="T215" i="3"/>
  <c r="T128" i="3"/>
  <c r="T201" i="3"/>
  <c r="V274" i="3"/>
  <c r="U163" i="3"/>
  <c r="T299" i="3"/>
  <c r="T188" i="3"/>
  <c r="U286" i="3"/>
  <c r="U174" i="3"/>
  <c r="T338" i="3"/>
  <c r="T173" i="3"/>
  <c r="U336" i="3"/>
  <c r="S194" i="8"/>
  <c r="U247" i="3"/>
  <c r="U171" i="3"/>
  <c r="T307" i="3"/>
  <c r="T142" i="3"/>
  <c r="S185" i="8"/>
  <c r="R176" i="8"/>
  <c r="T224" i="3"/>
  <c r="V197" i="3"/>
  <c r="U311" i="3"/>
  <c r="U146" i="3"/>
  <c r="U303" i="3"/>
  <c r="U138" i="3"/>
  <c r="T285" i="3"/>
  <c r="T120" i="3"/>
  <c r="U278" i="3"/>
  <c r="U131" i="3"/>
  <c r="U268" i="3"/>
  <c r="U103" i="3"/>
  <c r="T649" i="7"/>
  <c r="T469" i="7"/>
  <c r="T304" i="7"/>
  <c r="S199" i="8"/>
  <c r="U252" i="3"/>
  <c r="T219" i="3"/>
  <c r="T54" i="3"/>
  <c r="U334" i="3"/>
  <c r="U169" i="3"/>
  <c r="U281" i="3"/>
  <c r="U116" i="3"/>
  <c r="S201" i="8"/>
  <c r="R46" i="7"/>
  <c r="Q558" i="7"/>
  <c r="Q378" i="7"/>
  <c r="Q48" i="7"/>
  <c r="Q213" i="7"/>
  <c r="U324" i="3"/>
  <c r="U159" i="3"/>
  <c r="P179" i="8"/>
  <c r="R227" i="3"/>
  <c r="R62" i="3"/>
  <c r="P239" i="8" s="1"/>
  <c r="T327" i="7"/>
  <c r="T162" i="7"/>
  <c r="T269" i="3"/>
  <c r="S376" i="3" s="1"/>
  <c r="U313" i="3"/>
  <c r="U161" i="3"/>
  <c r="S175" i="8"/>
  <c r="U223" i="3"/>
  <c r="U301" i="3"/>
  <c r="U136" i="3"/>
  <c r="T292" i="7"/>
  <c r="T167" i="3"/>
  <c r="U337" i="3"/>
  <c r="U322" i="3"/>
  <c r="U157" i="3"/>
  <c r="Y541" i="7"/>
  <c r="Y361" i="7"/>
  <c r="Y196" i="7"/>
  <c r="U284" i="3"/>
  <c r="U119" i="3"/>
  <c r="S198" i="8"/>
  <c r="U251" i="3"/>
  <c r="U624" i="7"/>
  <c r="U444" i="7"/>
  <c r="U279" i="7"/>
  <c r="U300" i="3"/>
  <c r="T277" i="3"/>
  <c r="R594" i="7"/>
  <c r="R414" i="7"/>
  <c r="R249" i="7"/>
  <c r="R84" i="7"/>
  <c r="S191" i="8"/>
  <c r="U243" i="3"/>
  <c r="T612" i="7"/>
  <c r="T432" i="7"/>
  <c r="T267" i="7"/>
  <c r="V244" i="3"/>
  <c r="V659" i="7"/>
  <c r="V479" i="7"/>
  <c r="V314" i="7"/>
  <c r="R184" i="8"/>
  <c r="U314" i="3"/>
  <c r="U149" i="3"/>
  <c r="U192" i="3"/>
  <c r="V553" i="7"/>
  <c r="V208" i="7"/>
  <c r="V323" i="3"/>
  <c r="T593" i="7"/>
  <c r="T603" i="7"/>
  <c r="T423" i="7"/>
  <c r="T258" i="7"/>
  <c r="T190" i="3"/>
  <c r="U320" i="3"/>
  <c r="U155" i="3"/>
  <c r="S203" i="8"/>
  <c r="U260" i="3"/>
  <c r="U95" i="3"/>
  <c r="S263" i="8" s="1"/>
  <c r="U186" i="3"/>
  <c r="S173" i="8"/>
  <c r="U221" i="3"/>
  <c r="U56" i="3"/>
  <c r="S233" i="8" s="1"/>
  <c r="T194" i="3"/>
  <c r="T29" i="3"/>
  <c r="V280" i="3"/>
  <c r="S206" i="8"/>
  <c r="U264" i="3"/>
  <c r="W650" i="7"/>
  <c r="W470" i="7"/>
  <c r="W305" i="7"/>
  <c r="U208" i="3"/>
  <c r="U43" i="3"/>
  <c r="U283" i="3"/>
  <c r="U273" i="3"/>
  <c r="R204" i="8"/>
  <c r="T261" i="3"/>
  <c r="S46" i="3"/>
  <c r="P167" i="8"/>
  <c r="R213" i="3"/>
  <c r="R48" i="3"/>
  <c r="O695" i="7" l="1"/>
  <c r="T325" i="7"/>
  <c r="T177" i="7"/>
  <c r="R184" i="7"/>
  <c r="R18" i="7"/>
  <c r="Q538" i="7"/>
  <c r="Q193" i="7"/>
  <c r="Q28" i="7"/>
  <c r="Q394" i="7"/>
  <c r="T507" i="7"/>
  <c r="U669" i="7"/>
  <c r="W159" i="5"/>
  <c r="V324" i="7" s="1"/>
  <c r="U489" i="7"/>
  <c r="V155" i="5"/>
  <c r="T665" i="7"/>
  <c r="U321" i="7"/>
  <c r="Q574" i="7"/>
  <c r="U486" i="7"/>
  <c r="V165" i="5"/>
  <c r="U675" i="7" s="1"/>
  <c r="T330" i="7"/>
  <c r="S726" i="7" s="1"/>
  <c r="W156" i="5"/>
  <c r="V666" i="7" s="1"/>
  <c r="Q595" i="7"/>
  <c r="U488" i="7"/>
  <c r="Q85" i="7"/>
  <c r="Q250" i="7"/>
  <c r="Q415" i="7"/>
  <c r="T501" i="7"/>
  <c r="T482" i="7"/>
  <c r="T152" i="7"/>
  <c r="W51" i="5"/>
  <c r="X51" i="5" s="1"/>
  <c r="Y51" i="5" s="1"/>
  <c r="Z51" i="5" s="1"/>
  <c r="T85" i="5"/>
  <c r="U85" i="5" s="1"/>
  <c r="V85" i="5" s="1"/>
  <c r="W85" i="5" s="1"/>
  <c r="X85" i="5" s="1"/>
  <c r="Y85" i="5" s="1"/>
  <c r="Z85" i="5" s="1"/>
  <c r="R348" i="7"/>
  <c r="T565" i="7"/>
  <c r="S64" i="5"/>
  <c r="T64" i="5" s="1"/>
  <c r="X160" i="5"/>
  <c r="Y160" i="5" s="1"/>
  <c r="V670" i="7"/>
  <c r="V325" i="7"/>
  <c r="V490" i="7"/>
  <c r="T385" i="7"/>
  <c r="U505" i="7"/>
  <c r="U685" i="7"/>
  <c r="V669" i="7"/>
  <c r="W161" i="5"/>
  <c r="U671" i="7"/>
  <c r="U491" i="7"/>
  <c r="U326" i="7"/>
  <c r="U504" i="7"/>
  <c r="U684" i="7"/>
  <c r="U496" i="7"/>
  <c r="U676" i="7"/>
  <c r="U670" i="7"/>
  <c r="U490" i="7"/>
  <c r="U325" i="7"/>
  <c r="X153" i="5"/>
  <c r="W483" i="7" s="1"/>
  <c r="V663" i="7"/>
  <c r="T176" i="7"/>
  <c r="T686" i="7"/>
  <c r="U499" i="7"/>
  <c r="U679" i="7"/>
  <c r="V152" i="5"/>
  <c r="U482" i="7" s="1"/>
  <c r="T662" i="7"/>
  <c r="X162" i="5"/>
  <c r="V672" i="7"/>
  <c r="W157" i="5"/>
  <c r="V667" i="7" s="1"/>
  <c r="U667" i="7"/>
  <c r="W158" i="5"/>
  <c r="U668" i="7"/>
  <c r="T493" i="7"/>
  <c r="S746" i="7" s="1"/>
  <c r="U174" i="7"/>
  <c r="R368" i="7"/>
  <c r="R38" i="7"/>
  <c r="R548" i="7"/>
  <c r="T38" i="5"/>
  <c r="S37" i="7" s="1"/>
  <c r="R203" i="7"/>
  <c r="V55" i="5"/>
  <c r="U220" i="7" s="1"/>
  <c r="R229" i="3"/>
  <c r="Q374" i="3" s="1"/>
  <c r="R85" i="3"/>
  <c r="P257" i="8" s="1"/>
  <c r="R250" i="3"/>
  <c r="Q375" i="3" s="1"/>
  <c r="R64" i="3"/>
  <c r="P241" i="8" s="1"/>
  <c r="V163" i="5"/>
  <c r="U328" i="7" s="1"/>
  <c r="T725" i="7" s="1"/>
  <c r="W165" i="5"/>
  <c r="V675" i="7" s="1"/>
  <c r="V168" i="5"/>
  <c r="U678" i="7" s="1"/>
  <c r="T333" i="7"/>
  <c r="T498" i="7"/>
  <c r="V171" i="5"/>
  <c r="U681" i="7" s="1"/>
  <c r="T336" i="7"/>
  <c r="V178" i="5"/>
  <c r="T343" i="7"/>
  <c r="W174" i="5"/>
  <c r="V684" i="7" s="1"/>
  <c r="U339" i="7"/>
  <c r="W169" i="5"/>
  <c r="U334" i="7"/>
  <c r="P695" i="7"/>
  <c r="W175" i="5"/>
  <c r="V685" i="7" s="1"/>
  <c r="U340" i="7"/>
  <c r="V173" i="5"/>
  <c r="U683" i="7" s="1"/>
  <c r="T338" i="7"/>
  <c r="T503" i="7"/>
  <c r="V177" i="5"/>
  <c r="U687" i="7" s="1"/>
  <c r="T342" i="7"/>
  <c r="W170" i="5"/>
  <c r="V680" i="7" s="1"/>
  <c r="U335" i="7"/>
  <c r="W166" i="5"/>
  <c r="V676" i="7" s="1"/>
  <c r="U331" i="7"/>
  <c r="V167" i="5"/>
  <c r="U677" i="7" s="1"/>
  <c r="T332" i="7"/>
  <c r="T497" i="7"/>
  <c r="X164" i="5"/>
  <c r="W674" i="7" s="1"/>
  <c r="V329" i="7"/>
  <c r="V176" i="5"/>
  <c r="U686" i="7" s="1"/>
  <c r="T341" i="7"/>
  <c r="T506" i="7"/>
  <c r="V172" i="5"/>
  <c r="U682" i="7" s="1"/>
  <c r="T337" i="7"/>
  <c r="T172" i="7"/>
  <c r="T502" i="7"/>
  <c r="T81" i="5"/>
  <c r="S35" i="7" s="1"/>
  <c r="R35" i="7"/>
  <c r="U50" i="5"/>
  <c r="V50" i="5" s="1"/>
  <c r="W50" i="5" s="1"/>
  <c r="X50" i="5" s="1"/>
  <c r="Y50" i="5" s="1"/>
  <c r="Z50" i="5" s="1"/>
  <c r="S32" i="7"/>
  <c r="S380" i="7"/>
  <c r="S560" i="7"/>
  <c r="S215" i="7"/>
  <c r="V59" i="5"/>
  <c r="U41" i="7" s="1"/>
  <c r="T41" i="7"/>
  <c r="X58" i="5"/>
  <c r="V40" i="7"/>
  <c r="V568" i="7"/>
  <c r="V388" i="7"/>
  <c r="V223" i="7"/>
  <c r="P716" i="7"/>
  <c r="U40" i="7"/>
  <c r="U388" i="7"/>
  <c r="U568" i="7"/>
  <c r="U223" i="7"/>
  <c r="R32" i="7"/>
  <c r="R215" i="7"/>
  <c r="R560" i="7"/>
  <c r="R380" i="7"/>
  <c r="Q528" i="7"/>
  <c r="T62" i="5"/>
  <c r="R44" i="7"/>
  <c r="T52" i="5"/>
  <c r="R34" i="7"/>
  <c r="S41" i="7"/>
  <c r="S28" i="5"/>
  <c r="T18" i="5"/>
  <c r="R204" i="7"/>
  <c r="R369" i="7"/>
  <c r="R549" i="7"/>
  <c r="R39" i="7"/>
  <c r="T39" i="5"/>
  <c r="O758" i="7"/>
  <c r="S64" i="2"/>
  <c r="Q181" i="8" s="1"/>
  <c r="Q350" i="3"/>
  <c r="S85" i="2"/>
  <c r="S85" i="3" s="1"/>
  <c r="Q257" i="8" s="1"/>
  <c r="R39" i="3"/>
  <c r="T84" i="2"/>
  <c r="S38" i="3"/>
  <c r="Q358" i="7"/>
  <c r="T27" i="5"/>
  <c r="T25" i="5"/>
  <c r="R355" i="7"/>
  <c r="U23" i="5"/>
  <c r="T353" i="7" s="1"/>
  <c r="T24" i="5"/>
  <c r="R354" i="7"/>
  <c r="S379" i="3"/>
  <c r="R739" i="7"/>
  <c r="S372" i="3"/>
  <c r="V154" i="5"/>
  <c r="T319" i="7"/>
  <c r="T484" i="7"/>
  <c r="W97" i="5"/>
  <c r="X97" i="5" s="1"/>
  <c r="Y97" i="5" s="1"/>
  <c r="Z97" i="5" s="1"/>
  <c r="Y84" i="5"/>
  <c r="Z84" i="5" s="1"/>
  <c r="W95" i="5"/>
  <c r="U425" i="7"/>
  <c r="U605" i="7"/>
  <c r="U260" i="7"/>
  <c r="V598" i="7"/>
  <c r="V418" i="7"/>
  <c r="V253" i="7"/>
  <c r="T424" i="7"/>
  <c r="U495" i="7"/>
  <c r="T747" i="7" s="1"/>
  <c r="T167" i="7"/>
  <c r="V232" i="7"/>
  <c r="U603" i="7"/>
  <c r="P227" i="8"/>
  <c r="P273" i="8" s="1"/>
  <c r="T604" i="7"/>
  <c r="U258" i="7"/>
  <c r="U636" i="7"/>
  <c r="U456" i="7"/>
  <c r="U291" i="7"/>
  <c r="X296" i="7"/>
  <c r="W641" i="7"/>
  <c r="W461" i="7"/>
  <c r="U604" i="7"/>
  <c r="T638" i="7"/>
  <c r="T458" i="7"/>
  <c r="T293" i="7"/>
  <c r="U633" i="7"/>
  <c r="U453" i="7"/>
  <c r="U288" i="7"/>
  <c r="U454" i="7"/>
  <c r="U634" i="7"/>
  <c r="U640" i="7"/>
  <c r="U460" i="7"/>
  <c r="V295" i="7"/>
  <c r="U637" i="7"/>
  <c r="U457" i="7"/>
  <c r="W635" i="7"/>
  <c r="W455" i="7"/>
  <c r="T639" i="7"/>
  <c r="T459" i="7"/>
  <c r="W642" i="7"/>
  <c r="W462" i="7"/>
  <c r="R252" i="8"/>
  <c r="T601" i="7"/>
  <c r="T421" i="7"/>
  <c r="S252" i="8"/>
  <c r="P253" i="8"/>
  <c r="T256" i="7"/>
  <c r="V603" i="7"/>
  <c r="V492" i="7"/>
  <c r="U494" i="7"/>
  <c r="T495" i="7"/>
  <c r="S747" i="7" s="1"/>
  <c r="S768" i="7"/>
  <c r="R562" i="7"/>
  <c r="R217" i="7"/>
  <c r="R72" i="7"/>
  <c r="R382" i="7"/>
  <c r="R54" i="7"/>
  <c r="W625" i="7"/>
  <c r="Y474" i="7"/>
  <c r="V309" i="7"/>
  <c r="V474" i="7"/>
  <c r="W445" i="7"/>
  <c r="U298" i="7"/>
  <c r="U643" i="7"/>
  <c r="U463" i="7"/>
  <c r="V654" i="7"/>
  <c r="S556" i="7"/>
  <c r="R760" i="7" s="1"/>
  <c r="R377" i="7"/>
  <c r="R212" i="7"/>
  <c r="S45" i="7"/>
  <c r="R224" i="7"/>
  <c r="T349" i="7"/>
  <c r="U184" i="3"/>
  <c r="T74" i="7"/>
  <c r="R569" i="7"/>
  <c r="R57" i="7"/>
  <c r="U126" i="3"/>
  <c r="U75" i="3"/>
  <c r="U102" i="3"/>
  <c r="P278" i="8"/>
  <c r="T153" i="7"/>
  <c r="R47" i="7"/>
  <c r="R45" i="7"/>
  <c r="S80" i="7"/>
  <c r="R80" i="7"/>
  <c r="T248" i="7"/>
  <c r="T413" i="7"/>
  <c r="R263" i="7"/>
  <c r="S96" i="3"/>
  <c r="Q264" i="8" s="1"/>
  <c r="S59" i="3"/>
  <c r="Q236" i="8" s="1"/>
  <c r="S212" i="7"/>
  <c r="T407" i="7"/>
  <c r="S97" i="3"/>
  <c r="Q265" i="8" s="1"/>
  <c r="T587" i="7"/>
  <c r="U132" i="3"/>
  <c r="Q260" i="8"/>
  <c r="S83" i="3"/>
  <c r="Q255" i="8" s="1"/>
  <c r="S52" i="3"/>
  <c r="Q231" i="8" s="1"/>
  <c r="S47" i="3"/>
  <c r="V79" i="3"/>
  <c r="W655" i="7"/>
  <c r="U243" i="7"/>
  <c r="V310" i="7"/>
  <c r="U408" i="7"/>
  <c r="V475" i="7"/>
  <c r="U588" i="7"/>
  <c r="V362" i="7"/>
  <c r="V542" i="7"/>
  <c r="V197" i="7"/>
  <c r="R98" i="7"/>
  <c r="S767" i="7"/>
  <c r="U281" i="7"/>
  <c r="U446" i="7"/>
  <c r="W626" i="7"/>
  <c r="R227" i="7"/>
  <c r="V308" i="7"/>
  <c r="R214" i="7"/>
  <c r="V473" i="7"/>
  <c r="V653" i="7"/>
  <c r="T328" i="7"/>
  <c r="S725" i="7" s="1"/>
  <c r="R572" i="7"/>
  <c r="U555" i="7"/>
  <c r="U433" i="7"/>
  <c r="Y301" i="7"/>
  <c r="T168" i="7"/>
  <c r="Y646" i="7"/>
  <c r="U613" i="7"/>
  <c r="U162" i="7"/>
  <c r="T154" i="7"/>
  <c r="U268" i="7"/>
  <c r="U172" i="3"/>
  <c r="S55" i="7"/>
  <c r="U339" i="3"/>
  <c r="T155" i="7"/>
  <c r="W310" i="7"/>
  <c r="U210" i="7"/>
  <c r="U375" i="7"/>
  <c r="U413" i="7"/>
  <c r="U593" i="7"/>
  <c r="U245" i="7"/>
  <c r="V590" i="7"/>
  <c r="T144" i="7"/>
  <c r="U590" i="7"/>
  <c r="T485" i="7"/>
  <c r="T320" i="7"/>
  <c r="U140" i="3"/>
  <c r="T178" i="7"/>
  <c r="T508" i="7"/>
  <c r="R559" i="7"/>
  <c r="R379" i="7"/>
  <c r="R49" i="7"/>
  <c r="U141" i="3"/>
  <c r="U166" i="3"/>
  <c r="S275" i="8"/>
  <c r="T173" i="7"/>
  <c r="R55" i="7"/>
  <c r="V543" i="7"/>
  <c r="T161" i="7"/>
  <c r="R83" i="7"/>
  <c r="T171" i="7"/>
  <c r="T156" i="7"/>
  <c r="T73" i="7"/>
  <c r="V158" i="3"/>
  <c r="S117" i="3"/>
  <c r="Q259" i="8"/>
  <c r="T237" i="7"/>
  <c r="S98" i="3"/>
  <c r="S66" i="3"/>
  <c r="Q243" i="8" s="1"/>
  <c r="S81" i="3"/>
  <c r="S51" i="3"/>
  <c r="Q230" i="8" s="1"/>
  <c r="U58" i="3"/>
  <c r="S235" i="8" s="1"/>
  <c r="T582" i="7"/>
  <c r="U168" i="3"/>
  <c r="U154" i="3"/>
  <c r="U145" i="3"/>
  <c r="U170" i="3"/>
  <c r="T402" i="7"/>
  <c r="T289" i="7"/>
  <c r="W316" i="7"/>
  <c r="U34" i="3"/>
  <c r="W481" i="7"/>
  <c r="U143" i="3"/>
  <c r="S99" i="3"/>
  <c r="Q266" i="8" s="1"/>
  <c r="Q279" i="8" s="1"/>
  <c r="S65" i="3"/>
  <c r="Q242" i="8" s="1"/>
  <c r="S118" i="3"/>
  <c r="Q258" i="8"/>
  <c r="S82" i="3"/>
  <c r="Q254" i="8" s="1"/>
  <c r="S50" i="3"/>
  <c r="Q229" i="8" s="1"/>
  <c r="V265" i="7"/>
  <c r="U221" i="7"/>
  <c r="V430" i="7"/>
  <c r="V610" i="7"/>
  <c r="U386" i="7"/>
  <c r="W266" i="7"/>
  <c r="T311" i="7"/>
  <c r="T170" i="7"/>
  <c r="V444" i="7"/>
  <c r="W431" i="7"/>
  <c r="T476" i="7"/>
  <c r="T500" i="7"/>
  <c r="V624" i="7"/>
  <c r="W611" i="7"/>
  <c r="V626" i="7"/>
  <c r="T351" i="7"/>
  <c r="V279" i="7"/>
  <c r="T297" i="7"/>
  <c r="R428" i="7"/>
  <c r="S101" i="7"/>
  <c r="U248" i="7"/>
  <c r="R627" i="7"/>
  <c r="R592" i="7"/>
  <c r="V150" i="7"/>
  <c r="W567" i="7"/>
  <c r="V488" i="7"/>
  <c r="W366" i="7"/>
  <c r="V323" i="7"/>
  <c r="V631" i="7"/>
  <c r="V286" i="7"/>
  <c r="V451" i="7"/>
  <c r="Y539" i="7"/>
  <c r="Y359" i="7"/>
  <c r="Y194" i="7"/>
  <c r="U156" i="7"/>
  <c r="R411" i="7"/>
  <c r="U585" i="7"/>
  <c r="U405" i="7"/>
  <c r="U240" i="7"/>
  <c r="X651" i="7"/>
  <c r="W387" i="7"/>
  <c r="U166" i="7"/>
  <c r="T586" i="7"/>
  <c r="T406" i="7"/>
  <c r="T241" i="7"/>
  <c r="W222" i="7"/>
  <c r="U159" i="7"/>
  <c r="R128" i="7"/>
  <c r="X554" i="7"/>
  <c r="X374" i="7"/>
  <c r="X209" i="7"/>
  <c r="U543" i="7"/>
  <c r="U363" i="7"/>
  <c r="U198" i="7"/>
  <c r="V567" i="7"/>
  <c r="V387" i="7"/>
  <c r="V222" i="7"/>
  <c r="T647" i="7"/>
  <c r="T467" i="7"/>
  <c r="T302" i="7"/>
  <c r="X539" i="7"/>
  <c r="X359" i="7"/>
  <c r="X194" i="7"/>
  <c r="R96" i="7"/>
  <c r="U612" i="7"/>
  <c r="V267" i="7"/>
  <c r="R100" i="7"/>
  <c r="U487" i="7"/>
  <c r="U322" i="7"/>
  <c r="R247" i="7"/>
  <c r="R412" i="7"/>
  <c r="U660" i="7"/>
  <c r="U480" i="7"/>
  <c r="U315" i="7"/>
  <c r="U150" i="7"/>
  <c r="U232" i="7"/>
  <c r="U577" i="7"/>
  <c r="U397" i="7"/>
  <c r="V156" i="7"/>
  <c r="U295" i="7"/>
  <c r="R129" i="7"/>
  <c r="R101" i="7"/>
  <c r="R415" i="7"/>
  <c r="R85" i="7"/>
  <c r="S83" i="7"/>
  <c r="R595" i="7"/>
  <c r="R250" i="7"/>
  <c r="S282" i="7"/>
  <c r="T54" i="7"/>
  <c r="R447" i="7"/>
  <c r="T393" i="7"/>
  <c r="T32" i="7"/>
  <c r="T228" i="7"/>
  <c r="U267" i="7"/>
  <c r="U432" i="7"/>
  <c r="R591" i="7"/>
  <c r="R246" i="7"/>
  <c r="R283" i="7"/>
  <c r="R628" i="7"/>
  <c r="R448" i="7"/>
  <c r="U29" i="7"/>
  <c r="U74" i="7"/>
  <c r="R82" i="7"/>
  <c r="R81" i="7"/>
  <c r="U145" i="7"/>
  <c r="U161" i="7"/>
  <c r="R126" i="7"/>
  <c r="S145" i="7"/>
  <c r="T146" i="7"/>
  <c r="U143" i="7"/>
  <c r="U160" i="7"/>
  <c r="U306" i="7"/>
  <c r="T564" i="7"/>
  <c r="U169" i="7"/>
  <c r="U471" i="7"/>
  <c r="T219" i="7"/>
  <c r="U651" i="7"/>
  <c r="T45" i="7"/>
  <c r="U292" i="7"/>
  <c r="U648" i="7"/>
  <c r="S76" i="7"/>
  <c r="U468" i="7"/>
  <c r="S146" i="7"/>
  <c r="S79" i="7"/>
  <c r="T77" i="7"/>
  <c r="U587" i="7"/>
  <c r="U407" i="7"/>
  <c r="U242" i="7"/>
  <c r="R75" i="7"/>
  <c r="T290" i="7"/>
  <c r="T33" i="7"/>
  <c r="U153" i="7"/>
  <c r="R79" i="7"/>
  <c r="U78" i="7"/>
  <c r="V352" i="7"/>
  <c r="V31" i="7"/>
  <c r="V210" i="7"/>
  <c r="U151" i="7"/>
  <c r="T384" i="7"/>
  <c r="V375" i="7"/>
  <c r="V555" i="7"/>
  <c r="X314" i="7"/>
  <c r="R606" i="7"/>
  <c r="R426" i="7"/>
  <c r="R261" i="7"/>
  <c r="S628" i="7"/>
  <c r="S448" i="7"/>
  <c r="S283" i="7"/>
  <c r="T364" i="7"/>
  <c r="T199" i="7"/>
  <c r="T544" i="7"/>
  <c r="S128" i="7"/>
  <c r="R607" i="7"/>
  <c r="R427" i="7"/>
  <c r="R262" i="7"/>
  <c r="R97" i="7"/>
  <c r="R609" i="7"/>
  <c r="R429" i="7"/>
  <c r="R264" i="7"/>
  <c r="R99" i="7"/>
  <c r="Y657" i="7"/>
  <c r="Y477" i="7"/>
  <c r="Y312" i="7"/>
  <c r="X657" i="7"/>
  <c r="X477" i="7"/>
  <c r="X312" i="7"/>
  <c r="V613" i="7"/>
  <c r="V433" i="7"/>
  <c r="V268" i="7"/>
  <c r="V131" i="3"/>
  <c r="T205" i="8"/>
  <c r="V262" i="3"/>
  <c r="T187" i="8"/>
  <c r="V238" i="3"/>
  <c r="V73" i="3"/>
  <c r="T247" i="8" s="1"/>
  <c r="S594" i="7"/>
  <c r="S414" i="7"/>
  <c r="S249" i="7"/>
  <c r="V186" i="3"/>
  <c r="U219" i="3"/>
  <c r="U54" i="3"/>
  <c r="U338" i="3"/>
  <c r="U173" i="3"/>
  <c r="Q178" i="8"/>
  <c r="S226" i="3"/>
  <c r="U187" i="3"/>
  <c r="V298" i="3"/>
  <c r="V133" i="3"/>
  <c r="W270" i="3"/>
  <c r="W610" i="7"/>
  <c r="W430" i="7"/>
  <c r="W265" i="7"/>
  <c r="V199" i="3"/>
  <c r="T195" i="8"/>
  <c r="V248" i="3"/>
  <c r="T200" i="8"/>
  <c r="V321" i="3"/>
  <c r="V156" i="3"/>
  <c r="V308" i="3"/>
  <c r="U209" i="3"/>
  <c r="T373" i="3" s="1"/>
  <c r="U44" i="3"/>
  <c r="V31" i="3"/>
  <c r="V196" i="3"/>
  <c r="V311" i="3"/>
  <c r="V146" i="3"/>
  <c r="V283" i="3"/>
  <c r="W280" i="3"/>
  <c r="T203" i="8"/>
  <c r="V260" i="3"/>
  <c r="V95" i="3"/>
  <c r="T263" i="8" s="1"/>
  <c r="W653" i="7"/>
  <c r="W473" i="7"/>
  <c r="W308" i="7"/>
  <c r="S184" i="8"/>
  <c r="U277" i="3"/>
  <c r="V102" i="3"/>
  <c r="U269" i="3"/>
  <c r="T376" i="3" s="1"/>
  <c r="U285" i="3"/>
  <c r="U120" i="3"/>
  <c r="V143" i="3"/>
  <c r="U307" i="3"/>
  <c r="U142" i="3"/>
  <c r="V137" i="3"/>
  <c r="U299" i="3"/>
  <c r="V340" i="3"/>
  <c r="V175" i="3"/>
  <c r="T183" i="8"/>
  <c r="V316" i="3"/>
  <c r="T186" i="8"/>
  <c r="V237" i="3"/>
  <c r="V304" i="3"/>
  <c r="V139" i="3"/>
  <c r="Q180" i="8"/>
  <c r="S63" i="3"/>
  <c r="Q240" i="8" s="1"/>
  <c r="S228" i="3"/>
  <c r="V310" i="3"/>
  <c r="V56" i="3"/>
  <c r="T233" i="8" s="1"/>
  <c r="S171" i="8"/>
  <c r="U217" i="3"/>
  <c r="V198" i="3"/>
  <c r="V33" i="3"/>
  <c r="U165" i="3"/>
  <c r="X611" i="7"/>
  <c r="X431" i="7"/>
  <c r="X266" i="7"/>
  <c r="V300" i="3"/>
  <c r="V337" i="3"/>
  <c r="T175" i="8"/>
  <c r="V223" i="3"/>
  <c r="U327" i="7"/>
  <c r="Q179" i="8"/>
  <c r="S227" i="3"/>
  <c r="S62" i="3"/>
  <c r="Q239" i="8" s="1"/>
  <c r="V324" i="3"/>
  <c r="V159" i="3"/>
  <c r="S176" i="8"/>
  <c r="U224" i="3"/>
  <c r="V72" i="3"/>
  <c r="T246" i="8" s="1"/>
  <c r="U201" i="3"/>
  <c r="Q196" i="8"/>
  <c r="S84" i="3"/>
  <c r="Q256" i="8" s="1"/>
  <c r="S249" i="3"/>
  <c r="T170" i="8"/>
  <c r="V216" i="3"/>
  <c r="Y650" i="7"/>
  <c r="Y470" i="7"/>
  <c r="Y305" i="7"/>
  <c r="V341" i="3"/>
  <c r="V312" i="3"/>
  <c r="W282" i="3"/>
  <c r="W658" i="7"/>
  <c r="W478" i="7"/>
  <c r="W313" i="7"/>
  <c r="V486" i="7"/>
  <c r="V321" i="7"/>
  <c r="V306" i="3"/>
  <c r="V141" i="3"/>
  <c r="V589" i="7"/>
  <c r="V409" i="7"/>
  <c r="V244" i="7"/>
  <c r="W629" i="7"/>
  <c r="W449" i="7"/>
  <c r="W284" i="7"/>
  <c r="V147" i="3"/>
  <c r="U309" i="3"/>
  <c r="U144" i="3"/>
  <c r="S182" i="8"/>
  <c r="U230" i="3"/>
  <c r="V342" i="3"/>
  <c r="V177" i="3"/>
  <c r="V583" i="7"/>
  <c r="V403" i="7"/>
  <c r="V238" i="7"/>
  <c r="V267" i="3"/>
  <c r="S172" i="8"/>
  <c r="U220" i="3"/>
  <c r="U55" i="3"/>
  <c r="S232" i="8" s="1"/>
  <c r="X366" i="7"/>
  <c r="S204" i="8"/>
  <c r="U261" i="3"/>
  <c r="V192" i="3"/>
  <c r="W659" i="7"/>
  <c r="W479" i="7"/>
  <c r="W314" i="7"/>
  <c r="W624" i="7"/>
  <c r="W444" i="7"/>
  <c r="W279" i="7"/>
  <c r="V168" i="3"/>
  <c r="U167" i="3"/>
  <c r="V161" i="3"/>
  <c r="T201" i="8"/>
  <c r="T199" i="8"/>
  <c r="V252" i="3"/>
  <c r="V268" i="3"/>
  <c r="V103" i="3"/>
  <c r="V286" i="3"/>
  <c r="V302" i="3"/>
  <c r="T208" i="8"/>
  <c r="V266" i="3"/>
  <c r="V101" i="3"/>
  <c r="T268" i="8" s="1"/>
  <c r="V318" i="3"/>
  <c r="T202" i="8"/>
  <c r="T262" i="8"/>
  <c r="T207" i="8"/>
  <c r="V265" i="3"/>
  <c r="V100" i="3"/>
  <c r="T267" i="8" s="1"/>
  <c r="V45" i="3"/>
  <c r="U212" i="3"/>
  <c r="V333" i="3"/>
  <c r="U193" i="3"/>
  <c r="T67" i="3"/>
  <c r="R244" i="8" s="1"/>
  <c r="V32" i="3"/>
  <c r="R558" i="7"/>
  <c r="R378" i="7"/>
  <c r="R48" i="7"/>
  <c r="R213" i="7"/>
  <c r="S46" i="7"/>
  <c r="V151" i="3"/>
  <c r="U315" i="3"/>
  <c r="U150" i="3"/>
  <c r="T46" i="3"/>
  <c r="Q167" i="8"/>
  <c r="S213" i="3"/>
  <c r="S48" i="3"/>
  <c r="V208" i="3"/>
  <c r="V43" i="3"/>
  <c r="U194" i="3"/>
  <c r="U29" i="3"/>
  <c r="V320" i="3"/>
  <c r="W323" i="3"/>
  <c r="W244" i="3"/>
  <c r="T198" i="8"/>
  <c r="V251" i="3"/>
  <c r="W584" i="7"/>
  <c r="W404" i="7"/>
  <c r="W239" i="7"/>
  <c r="U649" i="7"/>
  <c r="U469" i="7"/>
  <c r="U304" i="7"/>
  <c r="V303" i="3"/>
  <c r="V138" i="3"/>
  <c r="V160" i="3"/>
  <c r="V240" i="3"/>
  <c r="V211" i="3"/>
  <c r="V319" i="3"/>
  <c r="V154" i="3"/>
  <c r="V584" i="7"/>
  <c r="V404" i="7"/>
  <c r="V239" i="7"/>
  <c r="V162" i="3"/>
  <c r="T189" i="8"/>
  <c r="V241" i="3"/>
  <c r="V76" i="3"/>
  <c r="T249" i="8" s="1"/>
  <c r="U263" i="3"/>
  <c r="V210" i="3"/>
  <c r="Q168" i="8"/>
  <c r="S49" i="3"/>
  <c r="Q228" i="8" s="1"/>
  <c r="S214" i="3"/>
  <c r="T191" i="8"/>
  <c r="V243" i="3"/>
  <c r="V284" i="3"/>
  <c r="V119" i="3"/>
  <c r="V278" i="3"/>
  <c r="V276" i="3"/>
  <c r="W542" i="7"/>
  <c r="W362" i="7"/>
  <c r="W197" i="7"/>
  <c r="T206" i="8"/>
  <c r="V264" i="3"/>
  <c r="X553" i="7"/>
  <c r="X208" i="7"/>
  <c r="V314" i="3"/>
  <c r="V334" i="3"/>
  <c r="V169" i="3"/>
  <c r="T194" i="8"/>
  <c r="V247" i="3"/>
  <c r="V336" i="3"/>
  <c r="V171" i="3"/>
  <c r="U188" i="3"/>
  <c r="V155" i="3"/>
  <c r="U128" i="3"/>
  <c r="V189" i="3"/>
  <c r="V305" i="3"/>
  <c r="V163" i="3"/>
  <c r="V153" i="3"/>
  <c r="U317" i="3"/>
  <c r="U152" i="3"/>
  <c r="V35" i="3"/>
  <c r="V200" i="3"/>
  <c r="T193" i="8"/>
  <c r="V246" i="3"/>
  <c r="U279" i="3"/>
  <c r="U114" i="3"/>
  <c r="V130" i="3"/>
  <c r="V275" i="3"/>
  <c r="U349" i="7"/>
  <c r="V343" i="3"/>
  <c r="V178" i="3"/>
  <c r="W158" i="3"/>
  <c r="V322" i="3"/>
  <c r="V157" i="3"/>
  <c r="V259" i="3"/>
  <c r="T192" i="8"/>
  <c r="V245" i="3"/>
  <c r="V335" i="3"/>
  <c r="W652" i="7"/>
  <c r="W472" i="7"/>
  <c r="W307" i="7"/>
  <c r="V273" i="3"/>
  <c r="T173" i="8"/>
  <c r="V221" i="3"/>
  <c r="U190" i="3"/>
  <c r="V301" i="3"/>
  <c r="V136" i="3"/>
  <c r="V313" i="3"/>
  <c r="V281" i="3"/>
  <c r="V116" i="3"/>
  <c r="V588" i="7"/>
  <c r="V408" i="7"/>
  <c r="V243" i="7"/>
  <c r="V78" i="7"/>
  <c r="W197" i="3"/>
  <c r="T185" i="8"/>
  <c r="W274" i="3"/>
  <c r="S169" i="8"/>
  <c r="U215" i="3"/>
  <c r="V40" i="3"/>
  <c r="T177" i="8"/>
  <c r="V225" i="3"/>
  <c r="V164" i="3"/>
  <c r="W598" i="7"/>
  <c r="W418" i="7"/>
  <c r="W253" i="7"/>
  <c r="V75" i="3"/>
  <c r="S190" i="8"/>
  <c r="U242" i="3"/>
  <c r="U77" i="3"/>
  <c r="S250" i="8" s="1"/>
  <c r="S276" i="8" s="1"/>
  <c r="V593" i="7"/>
  <c r="V413" i="7"/>
  <c r="V248" i="7"/>
  <c r="T188" i="8"/>
  <c r="V239" i="3"/>
  <c r="V74" i="3"/>
  <c r="T248" i="8" s="1"/>
  <c r="S174" i="8"/>
  <c r="U222" i="3"/>
  <c r="U57" i="3"/>
  <c r="S234" i="8" s="1"/>
  <c r="L218" i="8"/>
  <c r="L216" i="8"/>
  <c r="L219" i="8"/>
  <c r="L215" i="8"/>
  <c r="S161" i="4"/>
  <c r="S122" i="4"/>
  <c r="S118" i="4"/>
  <c r="S111" i="4"/>
  <c r="S43" i="4"/>
  <c r="S38" i="4"/>
  <c r="S35" i="4"/>
  <c r="S34" i="4"/>
  <c r="T36" i="3" s="1"/>
  <c r="R161" i="4"/>
  <c r="R122" i="4"/>
  <c r="R118" i="4"/>
  <c r="R111" i="4"/>
  <c r="R43" i="4"/>
  <c r="R38" i="4"/>
  <c r="R35" i="4"/>
  <c r="R34" i="4"/>
  <c r="Q161" i="4"/>
  <c r="Q122" i="4"/>
  <c r="Q118" i="4"/>
  <c r="Q111" i="4"/>
  <c r="R216" i="7"/>
  <c r="Q43" i="4"/>
  <c r="Q38" i="4"/>
  <c r="Q35" i="4"/>
  <c r="Q34" i="4"/>
  <c r="D27" i="5"/>
  <c r="D28" i="5"/>
  <c r="D29" i="5"/>
  <c r="D30" i="5"/>
  <c r="D31" i="5"/>
  <c r="D32" i="5"/>
  <c r="D33" i="5"/>
  <c r="D34" i="5"/>
  <c r="D35" i="5"/>
  <c r="D36" i="5"/>
  <c r="D37" i="5"/>
  <c r="D38" i="5"/>
  <c r="P758" i="7" l="1"/>
  <c r="X156" i="5"/>
  <c r="X159" i="5"/>
  <c r="W324" i="7" s="1"/>
  <c r="S184" i="7"/>
  <c r="S18" i="7"/>
  <c r="U330" i="7"/>
  <c r="T28" i="5"/>
  <c r="S528" i="7" s="1"/>
  <c r="R193" i="7"/>
  <c r="R28" i="7"/>
  <c r="Q695" i="7" s="1"/>
  <c r="V504" i="7"/>
  <c r="V489" i="7"/>
  <c r="W155" i="5"/>
  <c r="U665" i="7"/>
  <c r="R394" i="7"/>
  <c r="R574" i="7"/>
  <c r="R229" i="7"/>
  <c r="Q197" i="8"/>
  <c r="S250" i="3"/>
  <c r="R375" i="3" s="1"/>
  <c r="S64" i="3"/>
  <c r="Q241" i="8" s="1"/>
  <c r="U501" i="7"/>
  <c r="U171" i="7"/>
  <c r="S348" i="7"/>
  <c r="U317" i="7"/>
  <c r="W318" i="7"/>
  <c r="U152" i="7"/>
  <c r="U64" i="5"/>
  <c r="V64" i="5" s="1"/>
  <c r="W64" i="5" s="1"/>
  <c r="Z160" i="5"/>
  <c r="X670" i="7"/>
  <c r="X325" i="7"/>
  <c r="X490" i="7"/>
  <c r="X157" i="5"/>
  <c r="W487" i="7" s="1"/>
  <c r="U508" i="7"/>
  <c r="U688" i="7"/>
  <c r="U493" i="7"/>
  <c r="T746" i="7" s="1"/>
  <c r="U673" i="7"/>
  <c r="X161" i="5"/>
  <c r="V671" i="7"/>
  <c r="V491" i="7"/>
  <c r="V326" i="7"/>
  <c r="U154" i="7"/>
  <c r="U664" i="7"/>
  <c r="Y162" i="5"/>
  <c r="W672" i="7"/>
  <c r="V499" i="7"/>
  <c r="V679" i="7"/>
  <c r="W669" i="7"/>
  <c r="X158" i="5"/>
  <c r="W668" i="7" s="1"/>
  <c r="V668" i="7"/>
  <c r="W152" i="5"/>
  <c r="V152" i="7" s="1"/>
  <c r="U662" i="7"/>
  <c r="Y153" i="5"/>
  <c r="X483" i="7" s="1"/>
  <c r="W663" i="7"/>
  <c r="Y156" i="5"/>
  <c r="W666" i="7"/>
  <c r="W670" i="7"/>
  <c r="W325" i="7"/>
  <c r="W490" i="7"/>
  <c r="S229" i="3"/>
  <c r="R374" i="3" s="1"/>
  <c r="U38" i="5"/>
  <c r="T37" i="7" s="1"/>
  <c r="S203" i="7"/>
  <c r="S368" i="7"/>
  <c r="U565" i="7"/>
  <c r="U385" i="7"/>
  <c r="W55" i="5"/>
  <c r="V220" i="7" s="1"/>
  <c r="T380" i="7"/>
  <c r="T215" i="7"/>
  <c r="S38" i="7"/>
  <c r="S548" i="7"/>
  <c r="W163" i="5"/>
  <c r="V493" i="7" s="1"/>
  <c r="U746" i="7" s="1"/>
  <c r="T560" i="7"/>
  <c r="U178" i="7"/>
  <c r="T767" i="7"/>
  <c r="W176" i="5"/>
  <c r="V686" i="7" s="1"/>
  <c r="U341" i="7"/>
  <c r="U506" i="7"/>
  <c r="U176" i="7"/>
  <c r="X170" i="5"/>
  <c r="W680" i="7" s="1"/>
  <c r="V335" i="7"/>
  <c r="W171" i="5"/>
  <c r="U336" i="7"/>
  <c r="W167" i="5"/>
  <c r="U332" i="7"/>
  <c r="U497" i="7"/>
  <c r="X175" i="5"/>
  <c r="V340" i="7"/>
  <c r="V505" i="7"/>
  <c r="X174" i="5"/>
  <c r="V339" i="7"/>
  <c r="U342" i="7"/>
  <c r="W177" i="5"/>
  <c r="U507" i="7"/>
  <c r="U177" i="7"/>
  <c r="W172" i="5"/>
  <c r="V682" i="7" s="1"/>
  <c r="U337" i="7"/>
  <c r="U502" i="7"/>
  <c r="U172" i="7"/>
  <c r="W168" i="5"/>
  <c r="V678" i="7" s="1"/>
  <c r="U333" i="7"/>
  <c r="U498" i="7"/>
  <c r="W329" i="7"/>
  <c r="Y164" i="5"/>
  <c r="X674" i="7" s="1"/>
  <c r="X166" i="5"/>
  <c r="V331" i="7"/>
  <c r="V496" i="7"/>
  <c r="W178" i="5"/>
  <c r="U343" i="7"/>
  <c r="X169" i="5"/>
  <c r="W679" i="7" s="1"/>
  <c r="V334" i="7"/>
  <c r="W173" i="5"/>
  <c r="V683" i="7" s="1"/>
  <c r="U338" i="7"/>
  <c r="U503" i="7"/>
  <c r="X165" i="5"/>
  <c r="W675" i="7" s="1"/>
  <c r="V330" i="7"/>
  <c r="R528" i="7"/>
  <c r="U81" i="5"/>
  <c r="R358" i="7"/>
  <c r="U52" i="5"/>
  <c r="T34" i="7" s="1"/>
  <c r="S34" i="7"/>
  <c r="Y58" i="5"/>
  <c r="W40" i="7"/>
  <c r="W568" i="7"/>
  <c r="W388" i="7"/>
  <c r="W223" i="7"/>
  <c r="Q716" i="7"/>
  <c r="U62" i="5"/>
  <c r="S44" i="7"/>
  <c r="R538" i="7"/>
  <c r="W59" i="5"/>
  <c r="U39" i="5"/>
  <c r="V39" i="5" s="1"/>
  <c r="S369" i="7"/>
  <c r="S549" i="7"/>
  <c r="S204" i="7"/>
  <c r="S39" i="7"/>
  <c r="U84" i="2"/>
  <c r="T38" i="3"/>
  <c r="T85" i="2"/>
  <c r="R197" i="8" s="1"/>
  <c r="S39" i="3"/>
  <c r="U18" i="5"/>
  <c r="T64" i="2"/>
  <c r="T64" i="3" s="1"/>
  <c r="R241" i="8" s="1"/>
  <c r="R350" i="3"/>
  <c r="U27" i="5"/>
  <c r="S357" i="7"/>
  <c r="S538" i="7"/>
  <c r="S358" i="7"/>
  <c r="U28" i="5"/>
  <c r="U25" i="5"/>
  <c r="S355" i="7"/>
  <c r="U24" i="5"/>
  <c r="S354" i="7"/>
  <c r="V23" i="5"/>
  <c r="U353" i="7" s="1"/>
  <c r="T372" i="3"/>
  <c r="T379" i="3"/>
  <c r="W154" i="5"/>
  <c r="U484" i="7"/>
  <c r="U319" i="7"/>
  <c r="X95" i="5"/>
  <c r="V260" i="7"/>
  <c r="V425" i="7"/>
  <c r="V605" i="7"/>
  <c r="V577" i="7"/>
  <c r="S545" i="7"/>
  <c r="S200" i="7"/>
  <c r="S365" i="7"/>
  <c r="R365" i="7"/>
  <c r="Q738" i="7" s="1"/>
  <c r="R545" i="7"/>
  <c r="R200" i="7"/>
  <c r="T200" i="7"/>
  <c r="T545" i="7"/>
  <c r="T365" i="7"/>
  <c r="V397" i="7"/>
  <c r="U168" i="7"/>
  <c r="T726" i="7"/>
  <c r="V166" i="7"/>
  <c r="U167" i="7"/>
  <c r="T768" i="7"/>
  <c r="W397" i="7"/>
  <c r="Q227" i="8"/>
  <c r="Q273" i="8" s="1"/>
  <c r="U294" i="7"/>
  <c r="U259" i="7"/>
  <c r="U424" i="7"/>
  <c r="X635" i="7"/>
  <c r="X455" i="7"/>
  <c r="V637" i="7"/>
  <c r="V457" i="7"/>
  <c r="X642" i="7"/>
  <c r="X462" i="7"/>
  <c r="V636" i="7"/>
  <c r="V456" i="7"/>
  <c r="V291" i="7"/>
  <c r="V639" i="7"/>
  <c r="V459" i="7"/>
  <c r="W295" i="7"/>
  <c r="V640" i="7"/>
  <c r="V460" i="7"/>
  <c r="U458" i="7"/>
  <c r="U638" i="7"/>
  <c r="U293" i="7"/>
  <c r="X641" i="7"/>
  <c r="X461" i="7"/>
  <c r="V633" i="7"/>
  <c r="V453" i="7"/>
  <c r="V288" i="7"/>
  <c r="U639" i="7"/>
  <c r="U459" i="7"/>
  <c r="R127" i="3"/>
  <c r="Q360" i="3" s="1"/>
  <c r="R287" i="3"/>
  <c r="Q377" i="3" s="1"/>
  <c r="R632" i="7"/>
  <c r="Q764" i="7" s="1"/>
  <c r="R452" i="7"/>
  <c r="Q743" i="7" s="1"/>
  <c r="S127" i="3"/>
  <c r="R360" i="3" s="1"/>
  <c r="S287" i="3"/>
  <c r="R377" i="3" s="1"/>
  <c r="S452" i="7"/>
  <c r="R743" i="7" s="1"/>
  <c r="S632" i="7"/>
  <c r="R764" i="7" s="1"/>
  <c r="T127" i="3"/>
  <c r="S360" i="3" s="1"/>
  <c r="T287" i="3"/>
  <c r="S377" i="3" s="1"/>
  <c r="T632" i="7"/>
  <c r="S764" i="7" s="1"/>
  <c r="T452" i="7"/>
  <c r="S743" i="7" s="1"/>
  <c r="V634" i="7"/>
  <c r="V454" i="7"/>
  <c r="V604" i="7"/>
  <c r="U256" i="7"/>
  <c r="Q253" i="8"/>
  <c r="U601" i="7"/>
  <c r="U421" i="7"/>
  <c r="W603" i="7"/>
  <c r="V258" i="7"/>
  <c r="V423" i="7"/>
  <c r="V494" i="7"/>
  <c r="S72" i="7"/>
  <c r="S562" i="7"/>
  <c r="S217" i="7"/>
  <c r="S382" i="7"/>
  <c r="S412" i="7"/>
  <c r="S56" i="7"/>
  <c r="R561" i="7"/>
  <c r="R576" i="7"/>
  <c r="R231" i="7"/>
  <c r="R396" i="7"/>
  <c r="S396" i="7"/>
  <c r="S576" i="7"/>
  <c r="S231" i="7"/>
  <c r="T231" i="7"/>
  <c r="T396" i="7"/>
  <c r="T576" i="7"/>
  <c r="R596" i="7"/>
  <c r="R416" i="7"/>
  <c r="R251" i="7"/>
  <c r="T596" i="7"/>
  <c r="T416" i="7"/>
  <c r="T251" i="7"/>
  <c r="R127" i="7"/>
  <c r="S596" i="7"/>
  <c r="S416" i="7"/>
  <c r="S251" i="7"/>
  <c r="R417" i="7"/>
  <c r="R597" i="7"/>
  <c r="R252" i="7"/>
  <c r="S597" i="7"/>
  <c r="S417" i="7"/>
  <c r="S252" i="7"/>
  <c r="T597" i="7"/>
  <c r="T417" i="7"/>
  <c r="T252" i="7"/>
  <c r="R381" i="7"/>
  <c r="R123" i="3"/>
  <c r="S123" i="3"/>
  <c r="T123" i="3"/>
  <c r="T124" i="7"/>
  <c r="R575" i="7"/>
  <c r="R395" i="7"/>
  <c r="R230" i="7"/>
  <c r="S575" i="7"/>
  <c r="S395" i="7"/>
  <c r="S230" i="7"/>
  <c r="R123" i="7"/>
  <c r="X309" i="7"/>
  <c r="X625" i="7"/>
  <c r="W309" i="7"/>
  <c r="X280" i="7"/>
  <c r="X445" i="7"/>
  <c r="W474" i="7"/>
  <c r="X474" i="7"/>
  <c r="W654" i="7"/>
  <c r="X654" i="7"/>
  <c r="V643" i="7"/>
  <c r="V463" i="7"/>
  <c r="V298" i="7"/>
  <c r="T556" i="7"/>
  <c r="S760" i="7" s="1"/>
  <c r="T211" i="7"/>
  <c r="S718" i="7" s="1"/>
  <c r="T376" i="7"/>
  <c r="S739" i="7" s="1"/>
  <c r="T212" i="7"/>
  <c r="S381" i="7"/>
  <c r="S557" i="7"/>
  <c r="S377" i="7"/>
  <c r="V184" i="3"/>
  <c r="V349" i="7"/>
  <c r="T224" i="7"/>
  <c r="T389" i="7"/>
  <c r="T569" i="7"/>
  <c r="T57" i="7"/>
  <c r="S569" i="7"/>
  <c r="S224" i="7"/>
  <c r="S57" i="7"/>
  <c r="S389" i="7"/>
  <c r="T55" i="7"/>
  <c r="V126" i="3"/>
  <c r="Q278" i="8"/>
  <c r="R36" i="3"/>
  <c r="R36" i="7"/>
  <c r="S36" i="3"/>
  <c r="S36" i="7"/>
  <c r="T36" i="7"/>
  <c r="Q261" i="8"/>
  <c r="R261" i="8"/>
  <c r="R124" i="3"/>
  <c r="R124" i="7"/>
  <c r="S124" i="3"/>
  <c r="S124" i="7"/>
  <c r="T124" i="3"/>
  <c r="S96" i="7"/>
  <c r="S47" i="7"/>
  <c r="U32" i="7"/>
  <c r="S247" i="7"/>
  <c r="S592" i="7"/>
  <c r="R260" i="8"/>
  <c r="T83" i="3"/>
  <c r="R255" i="8" s="1"/>
  <c r="T377" i="7"/>
  <c r="T557" i="7"/>
  <c r="T97" i="3"/>
  <c r="R265" i="8" s="1"/>
  <c r="V132" i="3"/>
  <c r="V140" i="3"/>
  <c r="T52" i="3"/>
  <c r="R231" i="8" s="1"/>
  <c r="T47" i="3"/>
  <c r="T96" i="3"/>
  <c r="R264" i="8" s="1"/>
  <c r="T59" i="3"/>
  <c r="R236" i="8" s="1"/>
  <c r="S214" i="7"/>
  <c r="S379" i="7"/>
  <c r="S559" i="7"/>
  <c r="W475" i="7"/>
  <c r="V446" i="7"/>
  <c r="W281" i="7"/>
  <c r="W446" i="7"/>
  <c r="V281" i="7"/>
  <c r="V174" i="3"/>
  <c r="S227" i="7"/>
  <c r="S392" i="7"/>
  <c r="S572" i="7"/>
  <c r="U320" i="7"/>
  <c r="S561" i="7"/>
  <c r="S216" i="7"/>
  <c r="W613" i="7"/>
  <c r="V162" i="7"/>
  <c r="V339" i="3"/>
  <c r="V245" i="7"/>
  <c r="X590" i="7"/>
  <c r="V410" i="7"/>
  <c r="U485" i="7"/>
  <c r="U155" i="7"/>
  <c r="W268" i="7"/>
  <c r="V306" i="7"/>
  <c r="V471" i="7"/>
  <c r="U289" i="7"/>
  <c r="V651" i="7"/>
  <c r="W433" i="7"/>
  <c r="U311" i="7"/>
  <c r="U144" i="7"/>
  <c r="V169" i="7"/>
  <c r="U170" i="7"/>
  <c r="W543" i="7"/>
  <c r="V198" i="7"/>
  <c r="V363" i="7"/>
  <c r="V221" i="7"/>
  <c r="V566" i="7"/>
  <c r="V148" i="3"/>
  <c r="V149" i="3"/>
  <c r="T275" i="8"/>
  <c r="X316" i="7"/>
  <c r="X661" i="7"/>
  <c r="V172" i="3"/>
  <c r="V166" i="3"/>
  <c r="U149" i="7"/>
  <c r="T263" i="7"/>
  <c r="S428" i="7"/>
  <c r="U173" i="7"/>
  <c r="S263" i="7"/>
  <c r="U56" i="7"/>
  <c r="T56" i="7"/>
  <c r="S49" i="7"/>
  <c r="S129" i="7"/>
  <c r="U500" i="7"/>
  <c r="V174" i="7"/>
  <c r="S84" i="7"/>
  <c r="S608" i="7"/>
  <c r="U384" i="7"/>
  <c r="S394" i="7"/>
  <c r="U237" i="7"/>
  <c r="U582" i="7"/>
  <c r="U73" i="7"/>
  <c r="U402" i="7"/>
  <c r="S98" i="7"/>
  <c r="X308" i="7"/>
  <c r="X473" i="7"/>
  <c r="S100" i="7"/>
  <c r="X653" i="7"/>
  <c r="X481" i="7"/>
  <c r="V386" i="7"/>
  <c r="V145" i="3"/>
  <c r="V660" i="7"/>
  <c r="V80" i="3"/>
  <c r="V170" i="3"/>
  <c r="T117" i="3"/>
  <c r="R259" i="8"/>
  <c r="V34" i="3"/>
  <c r="T98" i="3"/>
  <c r="T66" i="3"/>
  <c r="R243" i="8" s="1"/>
  <c r="V115" i="3"/>
  <c r="T81" i="3"/>
  <c r="T51" i="3"/>
  <c r="R230" i="8" s="1"/>
  <c r="V176" i="3"/>
  <c r="W79" i="3"/>
  <c r="T99" i="3"/>
  <c r="R266" i="8" s="1"/>
  <c r="R279" i="8" s="1"/>
  <c r="T65" i="3"/>
  <c r="R242" i="8" s="1"/>
  <c r="V129" i="3"/>
  <c r="T82" i="3"/>
  <c r="R254" i="8" s="1"/>
  <c r="T50" i="3"/>
  <c r="R229" i="8" s="1"/>
  <c r="V58" i="3"/>
  <c r="T235" i="8" s="1"/>
  <c r="T118" i="3"/>
  <c r="R258" i="8"/>
  <c r="V315" i="7"/>
  <c r="U560" i="7"/>
  <c r="U215" i="7"/>
  <c r="U380" i="7"/>
  <c r="V78" i="3"/>
  <c r="T251" i="8" s="1"/>
  <c r="V480" i="7"/>
  <c r="X222" i="7"/>
  <c r="X387" i="7"/>
  <c r="X567" i="7"/>
  <c r="S287" i="7"/>
  <c r="R722" i="7" s="1"/>
  <c r="U656" i="7"/>
  <c r="U476" i="7"/>
  <c r="Y654" i="7"/>
  <c r="V144" i="7"/>
  <c r="V351" i="7"/>
  <c r="T287" i="7"/>
  <c r="S722" i="7" s="1"/>
  <c r="U351" i="7"/>
  <c r="R287" i="7"/>
  <c r="Q722" i="7" s="1"/>
  <c r="S574" i="7"/>
  <c r="U297" i="7"/>
  <c r="Y306" i="7"/>
  <c r="W306" i="7"/>
  <c r="V432" i="7"/>
  <c r="W471" i="7"/>
  <c r="V612" i="7"/>
  <c r="W651" i="7"/>
  <c r="Y309" i="7"/>
  <c r="W451" i="7"/>
  <c r="W631" i="7"/>
  <c r="W286" i="7"/>
  <c r="W302" i="7"/>
  <c r="Y567" i="7"/>
  <c r="Y387" i="7"/>
  <c r="Y222" i="7"/>
  <c r="U406" i="7"/>
  <c r="U241" i="7"/>
  <c r="U586" i="7"/>
  <c r="X281" i="7"/>
  <c r="V487" i="7"/>
  <c r="V322" i="7"/>
  <c r="V405" i="7"/>
  <c r="V585" i="7"/>
  <c r="V240" i="7"/>
  <c r="X446" i="7"/>
  <c r="U564" i="7"/>
  <c r="W156" i="7"/>
  <c r="Y554" i="7"/>
  <c r="Y374" i="7"/>
  <c r="Y209" i="7"/>
  <c r="U573" i="7"/>
  <c r="U393" i="7"/>
  <c r="U228" i="7"/>
  <c r="Y625" i="7"/>
  <c r="Y445" i="7"/>
  <c r="Y280" i="7"/>
  <c r="U219" i="7"/>
  <c r="U647" i="7"/>
  <c r="U302" i="7"/>
  <c r="U467" i="7"/>
  <c r="V647" i="7"/>
  <c r="V467" i="7"/>
  <c r="V302" i="7"/>
  <c r="S229" i="7"/>
  <c r="X479" i="7"/>
  <c r="X659" i="7"/>
  <c r="T101" i="7"/>
  <c r="S447" i="7"/>
  <c r="S595" i="7"/>
  <c r="S415" i="7"/>
  <c r="S250" i="7"/>
  <c r="S85" i="7"/>
  <c r="U54" i="7"/>
  <c r="S627" i="7"/>
  <c r="S411" i="7"/>
  <c r="S591" i="7"/>
  <c r="S246" i="7"/>
  <c r="V292" i="7"/>
  <c r="W210" i="7"/>
  <c r="V160" i="7"/>
  <c r="V159" i="7"/>
  <c r="V29" i="7"/>
  <c r="U146" i="7"/>
  <c r="V74" i="7"/>
  <c r="T100" i="7"/>
  <c r="S82" i="7"/>
  <c r="S81" i="7"/>
  <c r="S127" i="7"/>
  <c r="S126" i="7"/>
  <c r="V161" i="7"/>
  <c r="V648" i="7"/>
  <c r="V468" i="7"/>
  <c r="V303" i="7"/>
  <c r="T76" i="7"/>
  <c r="U33" i="7"/>
  <c r="Y478" i="7"/>
  <c r="U45" i="7"/>
  <c r="U290" i="7"/>
  <c r="S123" i="7"/>
  <c r="W555" i="7"/>
  <c r="W352" i="7"/>
  <c r="S75" i="7"/>
  <c r="V151" i="7"/>
  <c r="V587" i="7"/>
  <c r="V407" i="7"/>
  <c r="V242" i="7"/>
  <c r="X352" i="7"/>
  <c r="W159" i="7"/>
  <c r="V143" i="7"/>
  <c r="V175" i="7"/>
  <c r="S261" i="7"/>
  <c r="S426" i="7"/>
  <c r="S606" i="7"/>
  <c r="U77" i="7"/>
  <c r="T79" i="7"/>
  <c r="W375" i="7"/>
  <c r="T628" i="7"/>
  <c r="T448" i="7"/>
  <c r="T283" i="7"/>
  <c r="U544" i="7"/>
  <c r="U364" i="7"/>
  <c r="U199" i="7"/>
  <c r="U34" i="7"/>
  <c r="S607" i="7"/>
  <c r="S427" i="7"/>
  <c r="S262" i="7"/>
  <c r="S97" i="7"/>
  <c r="S264" i="7"/>
  <c r="S99" i="7"/>
  <c r="S429" i="7"/>
  <c r="S609" i="7"/>
  <c r="X306" i="7"/>
  <c r="X471" i="7"/>
  <c r="X613" i="7"/>
  <c r="X433" i="7"/>
  <c r="X268" i="7"/>
  <c r="X274" i="3"/>
  <c r="U207" i="8"/>
  <c r="W265" i="3"/>
  <c r="W302" i="3"/>
  <c r="U203" i="8"/>
  <c r="W260" i="3"/>
  <c r="W95" i="3"/>
  <c r="U263" i="8" s="1"/>
  <c r="W199" i="3"/>
  <c r="V294" i="7"/>
  <c r="W335" i="3"/>
  <c r="W336" i="3"/>
  <c r="U46" i="3"/>
  <c r="R167" i="8"/>
  <c r="T213" i="3"/>
  <c r="T48" i="3"/>
  <c r="W333" i="3"/>
  <c r="X610" i="7"/>
  <c r="X430" i="7"/>
  <c r="X265" i="7"/>
  <c r="W318" i="3"/>
  <c r="X624" i="7"/>
  <c r="X444" i="7"/>
  <c r="X279" i="7"/>
  <c r="W589" i="7"/>
  <c r="W409" i="7"/>
  <c r="W244" i="7"/>
  <c r="W306" i="3"/>
  <c r="R180" i="8"/>
  <c r="T63" i="3"/>
  <c r="R240" i="8" s="1"/>
  <c r="T228" i="3"/>
  <c r="U183" i="8"/>
  <c r="W283" i="3"/>
  <c r="U195" i="8"/>
  <c r="W248" i="3"/>
  <c r="W136" i="3"/>
  <c r="W301" i="3"/>
  <c r="T594" i="7"/>
  <c r="T414" i="7"/>
  <c r="T249" i="7"/>
  <c r="T84" i="7"/>
  <c r="X629" i="7"/>
  <c r="X449" i="7"/>
  <c r="X284" i="7"/>
  <c r="W337" i="3"/>
  <c r="W198" i="3"/>
  <c r="W33" i="3"/>
  <c r="R178" i="8"/>
  <c r="T226" i="3"/>
  <c r="T169" i="8"/>
  <c r="V215" i="3"/>
  <c r="W281" i="3"/>
  <c r="W116" i="3"/>
  <c r="W130" i="3"/>
  <c r="W334" i="3"/>
  <c r="W169" i="3"/>
  <c r="W314" i="3"/>
  <c r="U191" i="8"/>
  <c r="W243" i="3"/>
  <c r="W240" i="3"/>
  <c r="V194" i="3"/>
  <c r="V29" i="3"/>
  <c r="U199" i="8"/>
  <c r="W252" i="3"/>
  <c r="U201" i="8"/>
  <c r="T172" i="8"/>
  <c r="V220" i="3"/>
  <c r="V55" i="3"/>
  <c r="T232" i="8" s="1"/>
  <c r="W486" i="7"/>
  <c r="W321" i="7"/>
  <c r="W140" i="3"/>
  <c r="V307" i="3"/>
  <c r="V142" i="3"/>
  <c r="V269" i="3"/>
  <c r="U376" i="3" s="1"/>
  <c r="W308" i="3"/>
  <c r="W298" i="3"/>
  <c r="W133" i="3"/>
  <c r="U187" i="8"/>
  <c r="W238" i="3"/>
  <c r="W73" i="3"/>
  <c r="U247" i="8" s="1"/>
  <c r="X542" i="7"/>
  <c r="X362" i="7"/>
  <c r="X197" i="7"/>
  <c r="V212" i="3"/>
  <c r="W267" i="3"/>
  <c r="W312" i="3"/>
  <c r="W147" i="3"/>
  <c r="U186" i="8"/>
  <c r="W237" i="3"/>
  <c r="U177" i="8"/>
  <c r="W225" i="3"/>
  <c r="V279" i="3"/>
  <c r="V114" i="3"/>
  <c r="W278" i="3"/>
  <c r="R168" i="8"/>
  <c r="T49" i="3"/>
  <c r="R228" i="8" s="1"/>
  <c r="T214" i="3"/>
  <c r="W101" i="3"/>
  <c r="U268" i="8" s="1"/>
  <c r="V263" i="3"/>
  <c r="X584" i="7"/>
  <c r="X404" i="7"/>
  <c r="X239" i="7"/>
  <c r="U198" i="8"/>
  <c r="W251" i="3"/>
  <c r="W286" i="3"/>
  <c r="W161" i="3"/>
  <c r="W342" i="3"/>
  <c r="W177" i="3"/>
  <c r="X658" i="7"/>
  <c r="X478" i="7"/>
  <c r="X313" i="7"/>
  <c r="W341" i="3"/>
  <c r="W176" i="3"/>
  <c r="R196" i="8"/>
  <c r="T249" i="3"/>
  <c r="T84" i="3"/>
  <c r="R256" i="8" s="1"/>
  <c r="W72" i="3"/>
  <c r="U246" i="8" s="1"/>
  <c r="V201" i="3"/>
  <c r="R179" i="8"/>
  <c r="T227" i="3"/>
  <c r="T62" i="3"/>
  <c r="R239" i="8" s="1"/>
  <c r="Y611" i="7"/>
  <c r="Y431" i="7"/>
  <c r="Y266" i="7"/>
  <c r="W316" i="3"/>
  <c r="T184" i="8"/>
  <c r="X555" i="7"/>
  <c r="X375" i="7"/>
  <c r="X210" i="7"/>
  <c r="V485" i="7"/>
  <c r="V320" i="7"/>
  <c r="V155" i="7"/>
  <c r="V54" i="3"/>
  <c r="V219" i="3"/>
  <c r="W273" i="3"/>
  <c r="Y629" i="7"/>
  <c r="Y449" i="7"/>
  <c r="Y284" i="7"/>
  <c r="W131" i="3"/>
  <c r="V128" i="3"/>
  <c r="W129" i="3"/>
  <c r="U185" i="8"/>
  <c r="W588" i="7"/>
  <c r="W408" i="7"/>
  <c r="W243" i="7"/>
  <c r="V190" i="3"/>
  <c r="U192" i="8"/>
  <c r="W245" i="3"/>
  <c r="W343" i="3"/>
  <c r="W178" i="3"/>
  <c r="U193" i="8"/>
  <c r="W246" i="3"/>
  <c r="W153" i="3"/>
  <c r="V317" i="3"/>
  <c r="V152" i="3"/>
  <c r="W210" i="3"/>
  <c r="Y661" i="7"/>
  <c r="Y481" i="7"/>
  <c r="Y316" i="7"/>
  <c r="X244" i="3"/>
  <c r="Y653" i="7"/>
  <c r="Y473" i="7"/>
  <c r="Y308" i="7"/>
  <c r="U67" i="3"/>
  <c r="S244" i="8" s="1"/>
  <c r="Y624" i="7"/>
  <c r="Y444" i="7"/>
  <c r="Y279" i="7"/>
  <c r="W583" i="7"/>
  <c r="W403" i="7"/>
  <c r="W238" i="7"/>
  <c r="T171" i="8"/>
  <c r="V217" i="3"/>
  <c r="W310" i="3"/>
  <c r="W304" i="3"/>
  <c r="W139" i="3"/>
  <c r="W196" i="3"/>
  <c r="W31" i="3"/>
  <c r="V187" i="3"/>
  <c r="U188" i="8"/>
  <c r="W239" i="3"/>
  <c r="W74" i="3"/>
  <c r="U248" i="8" s="1"/>
  <c r="X598" i="7"/>
  <c r="X418" i="7"/>
  <c r="X253" i="7"/>
  <c r="W313" i="3"/>
  <c r="W189" i="3"/>
  <c r="U194" i="8"/>
  <c r="W247" i="3"/>
  <c r="W160" i="3"/>
  <c r="W208" i="3"/>
  <c r="W32" i="3"/>
  <c r="U208" i="8"/>
  <c r="W266" i="3"/>
  <c r="Y366" i="7"/>
  <c r="X282" i="3"/>
  <c r="V327" i="7"/>
  <c r="U175" i="8"/>
  <c r="W223" i="3"/>
  <c r="W58" i="3"/>
  <c r="U235" i="8" s="1"/>
  <c r="V289" i="7"/>
  <c r="V165" i="3"/>
  <c r="W340" i="3"/>
  <c r="W175" i="3"/>
  <c r="V285" i="3"/>
  <c r="V120" i="3"/>
  <c r="V277" i="3"/>
  <c r="W321" i="3"/>
  <c r="W156" i="3"/>
  <c r="U200" i="8"/>
  <c r="V338" i="3"/>
  <c r="V173" i="3"/>
  <c r="W186" i="3"/>
  <c r="W78" i="7"/>
  <c r="W566" i="7"/>
  <c r="W386" i="7"/>
  <c r="W221" i="7"/>
  <c r="W593" i="7"/>
  <c r="W413" i="7"/>
  <c r="W248" i="7"/>
  <c r="W40" i="3"/>
  <c r="X652" i="7"/>
  <c r="X472" i="7"/>
  <c r="X307" i="7"/>
  <c r="W322" i="3"/>
  <c r="W157" i="3"/>
  <c r="V188" i="3"/>
  <c r="W284" i="3"/>
  <c r="W119" i="3"/>
  <c r="V649" i="7"/>
  <c r="V469" i="7"/>
  <c r="V304" i="7"/>
  <c r="V193" i="3"/>
  <c r="U202" i="8"/>
  <c r="U262" i="8"/>
  <c r="W268" i="3"/>
  <c r="W103" i="3"/>
  <c r="W170" i="3"/>
  <c r="V167" i="3"/>
  <c r="W300" i="3"/>
  <c r="Y626" i="7"/>
  <c r="Y446" i="7"/>
  <c r="Y281" i="7"/>
  <c r="X280" i="3"/>
  <c r="W311" i="3"/>
  <c r="W146" i="3"/>
  <c r="U205" i="8"/>
  <c r="W262" i="3"/>
  <c r="U173" i="8"/>
  <c r="W221" i="3"/>
  <c r="W56" i="3"/>
  <c r="U233" i="8" s="1"/>
  <c r="W276" i="3"/>
  <c r="W319" i="3"/>
  <c r="W126" i="3"/>
  <c r="T204" i="8"/>
  <c r="V261" i="3"/>
  <c r="Y652" i="7"/>
  <c r="Y472" i="7"/>
  <c r="Y307" i="7"/>
  <c r="T174" i="8"/>
  <c r="V57" i="3"/>
  <c r="T234" i="8" s="1"/>
  <c r="V222" i="3"/>
  <c r="W78" i="3"/>
  <c r="U251" i="8" s="1"/>
  <c r="T190" i="8"/>
  <c r="V242" i="3"/>
  <c r="V77" i="3"/>
  <c r="T250" i="8" s="1"/>
  <c r="W164" i="3"/>
  <c r="X197" i="3"/>
  <c r="W259" i="3"/>
  <c r="W275" i="3"/>
  <c r="W200" i="3"/>
  <c r="W35" i="3"/>
  <c r="W305" i="3"/>
  <c r="Y553" i="7"/>
  <c r="Y208" i="7"/>
  <c r="U206" i="8"/>
  <c r="W264" i="3"/>
  <c r="U189" i="8"/>
  <c r="W241" i="3"/>
  <c r="W76" i="3"/>
  <c r="U249" i="8" s="1"/>
  <c r="W211" i="3"/>
  <c r="W303" i="3"/>
  <c r="W138" i="3"/>
  <c r="X323" i="3"/>
  <c r="W320" i="3"/>
  <c r="W155" i="3"/>
  <c r="W151" i="3"/>
  <c r="V315" i="3"/>
  <c r="V150" i="3"/>
  <c r="S558" i="7"/>
  <c r="S378" i="7"/>
  <c r="S48" i="7"/>
  <c r="S213" i="7"/>
  <c r="W192" i="3"/>
  <c r="W100" i="3"/>
  <c r="U267" i="8" s="1"/>
  <c r="T182" i="8"/>
  <c r="V230" i="3"/>
  <c r="W145" i="3"/>
  <c r="V309" i="3"/>
  <c r="V144" i="3"/>
  <c r="U170" i="8"/>
  <c r="W216" i="3"/>
  <c r="T176" i="8"/>
  <c r="V224" i="3"/>
  <c r="W324" i="3"/>
  <c r="W159" i="3"/>
  <c r="W163" i="3"/>
  <c r="V299" i="3"/>
  <c r="W45" i="3"/>
  <c r="V209" i="3"/>
  <c r="U373" i="3" s="1"/>
  <c r="V44" i="3"/>
  <c r="X270" i="3"/>
  <c r="M216" i="8"/>
  <c r="M218" i="8"/>
  <c r="M219" i="8"/>
  <c r="M215" i="8"/>
  <c r="Y159" i="5" l="1"/>
  <c r="X489" i="7" s="1"/>
  <c r="W489" i="7"/>
  <c r="T184" i="7"/>
  <c r="T18" i="7"/>
  <c r="T193" i="7"/>
  <c r="T28" i="7"/>
  <c r="S193" i="7"/>
  <c r="R716" i="7" s="1"/>
  <c r="S28" i="7"/>
  <c r="R695" i="7" s="1"/>
  <c r="V665" i="7"/>
  <c r="X155" i="5"/>
  <c r="W322" i="7"/>
  <c r="T217" i="7"/>
  <c r="W323" i="7"/>
  <c r="T382" i="7"/>
  <c r="W488" i="7"/>
  <c r="T562" i="7"/>
  <c r="X318" i="7"/>
  <c r="T368" i="7"/>
  <c r="T348" i="7"/>
  <c r="X64" i="5"/>
  <c r="Y64" i="5" s="1"/>
  <c r="Z64" i="5" s="1"/>
  <c r="V38" i="5"/>
  <c r="U37" i="7" s="1"/>
  <c r="W175" i="7"/>
  <c r="W685" i="7"/>
  <c r="V328" i="7"/>
  <c r="U725" i="7" s="1"/>
  <c r="V673" i="7"/>
  <c r="U767" i="7" s="1"/>
  <c r="Z156" i="5"/>
  <c r="Y666" i="7" s="1"/>
  <c r="X666" i="7"/>
  <c r="Z159" i="5"/>
  <c r="X669" i="7"/>
  <c r="X324" i="7"/>
  <c r="V177" i="7"/>
  <c r="V687" i="7"/>
  <c r="Y157" i="5"/>
  <c r="X322" i="7" s="1"/>
  <c r="W667" i="7"/>
  <c r="V508" i="7"/>
  <c r="V688" i="7"/>
  <c r="Z153" i="5"/>
  <c r="Y663" i="7" s="1"/>
  <c r="X663" i="7"/>
  <c r="X154" i="5"/>
  <c r="W664" i="7" s="1"/>
  <c r="V664" i="7"/>
  <c r="V167" i="7"/>
  <c r="V677" i="7"/>
  <c r="X152" i="5"/>
  <c r="W152" i="7" s="1"/>
  <c r="V662" i="7"/>
  <c r="V482" i="7"/>
  <c r="V317" i="7"/>
  <c r="Y161" i="5"/>
  <c r="W671" i="7"/>
  <c r="W326" i="7"/>
  <c r="W491" i="7"/>
  <c r="Y166" i="5"/>
  <c r="X676" i="7" s="1"/>
  <c r="W676" i="7"/>
  <c r="W504" i="7"/>
  <c r="W684" i="7"/>
  <c r="Y670" i="7"/>
  <c r="Y325" i="7"/>
  <c r="Y490" i="7"/>
  <c r="V501" i="7"/>
  <c r="V681" i="7"/>
  <c r="Z162" i="5"/>
  <c r="Y672" i="7" s="1"/>
  <c r="X672" i="7"/>
  <c r="Y158" i="5"/>
  <c r="X488" i="7" s="1"/>
  <c r="V55" i="7"/>
  <c r="T548" i="7"/>
  <c r="T85" i="3"/>
  <c r="R257" i="8" s="1"/>
  <c r="T250" i="3"/>
  <c r="V178" i="7"/>
  <c r="V385" i="7"/>
  <c r="R181" i="8"/>
  <c r="T229" i="3"/>
  <c r="S374" i="3" s="1"/>
  <c r="T203" i="7"/>
  <c r="X55" i="5"/>
  <c r="W220" i="7" s="1"/>
  <c r="V565" i="7"/>
  <c r="X163" i="5"/>
  <c r="Q758" i="7"/>
  <c r="Y174" i="5"/>
  <c r="X173" i="5"/>
  <c r="V338" i="7"/>
  <c r="V173" i="7"/>
  <c r="V503" i="7"/>
  <c r="X172" i="5"/>
  <c r="W682" i="7" s="1"/>
  <c r="V337" i="7"/>
  <c r="V502" i="7"/>
  <c r="V172" i="7"/>
  <c r="W339" i="7"/>
  <c r="X168" i="5"/>
  <c r="W678" i="7" s="1"/>
  <c r="V333" i="7"/>
  <c r="V498" i="7"/>
  <c r="Y170" i="5"/>
  <c r="X680" i="7" s="1"/>
  <c r="W335" i="7"/>
  <c r="Y165" i="5"/>
  <c r="X675" i="7" s="1"/>
  <c r="W330" i="7"/>
  <c r="V726" i="7" s="1"/>
  <c r="V768" i="7"/>
  <c r="Y169" i="5"/>
  <c r="X679" i="7" s="1"/>
  <c r="W334" i="7"/>
  <c r="W499" i="7"/>
  <c r="W331" i="7"/>
  <c r="W496" i="7"/>
  <c r="X177" i="5"/>
  <c r="V342" i="7"/>
  <c r="V507" i="7"/>
  <c r="Z164" i="5"/>
  <c r="Y674" i="7" s="1"/>
  <c r="X329" i="7"/>
  <c r="X167" i="5"/>
  <c r="W677" i="7" s="1"/>
  <c r="V332" i="7"/>
  <c r="V497" i="7"/>
  <c r="Y175" i="5"/>
  <c r="X685" i="7" s="1"/>
  <c r="W340" i="7"/>
  <c r="W505" i="7"/>
  <c r="X178" i="5"/>
  <c r="W688" i="7" s="1"/>
  <c r="V343" i="7"/>
  <c r="X171" i="5"/>
  <c r="V336" i="7"/>
  <c r="V171" i="7"/>
  <c r="X176" i="5"/>
  <c r="W686" i="7" s="1"/>
  <c r="V341" i="7"/>
  <c r="V176" i="7"/>
  <c r="V506" i="7"/>
  <c r="V52" i="5"/>
  <c r="W52" i="5" s="1"/>
  <c r="X52" i="5" s="1"/>
  <c r="Y52" i="5" s="1"/>
  <c r="Z52" i="5" s="1"/>
  <c r="V153" i="7"/>
  <c r="T38" i="7"/>
  <c r="R758" i="7"/>
  <c r="V81" i="5"/>
  <c r="U80" i="7" s="1"/>
  <c r="T35" i="7"/>
  <c r="R738" i="7"/>
  <c r="X59" i="5"/>
  <c r="V41" i="7"/>
  <c r="Z58" i="5"/>
  <c r="X40" i="7"/>
  <c r="X568" i="7"/>
  <c r="X388" i="7"/>
  <c r="X223" i="7"/>
  <c r="V62" i="5"/>
  <c r="T44" i="7"/>
  <c r="V84" i="2"/>
  <c r="U38" i="3"/>
  <c r="W39" i="5"/>
  <c r="U549" i="7"/>
  <c r="U369" i="7"/>
  <c r="U204" i="7"/>
  <c r="U39" i="7"/>
  <c r="V18" i="5"/>
  <c r="U64" i="2"/>
  <c r="S181" i="8" s="1"/>
  <c r="S350" i="3"/>
  <c r="U85" i="2"/>
  <c r="U85" i="3" s="1"/>
  <c r="S257" i="8" s="1"/>
  <c r="T39" i="3"/>
  <c r="T204" i="7"/>
  <c r="T549" i="7"/>
  <c r="T369" i="7"/>
  <c r="T39" i="7"/>
  <c r="V28" i="5"/>
  <c r="T358" i="7"/>
  <c r="T538" i="7"/>
  <c r="V27" i="5"/>
  <c r="T357" i="7"/>
  <c r="S716" i="7"/>
  <c r="T528" i="7"/>
  <c r="V25" i="5"/>
  <c r="T355" i="7"/>
  <c r="T354" i="7"/>
  <c r="V24" i="5"/>
  <c r="W23" i="5"/>
  <c r="V353" i="7" s="1"/>
  <c r="Q720" i="7"/>
  <c r="U379" i="3"/>
  <c r="R762" i="7"/>
  <c r="Q762" i="7"/>
  <c r="S375" i="3"/>
  <c r="Q741" i="7"/>
  <c r="R741" i="7"/>
  <c r="U372" i="3"/>
  <c r="R720" i="7"/>
  <c r="V154" i="7"/>
  <c r="V319" i="7"/>
  <c r="V484" i="7"/>
  <c r="Y95" i="5"/>
  <c r="W605" i="7"/>
  <c r="W425" i="7"/>
  <c r="W260" i="7"/>
  <c r="W384" i="7"/>
  <c r="Y253" i="7"/>
  <c r="V256" i="7"/>
  <c r="U726" i="7"/>
  <c r="U768" i="7"/>
  <c r="V495" i="7"/>
  <c r="U747" i="7" s="1"/>
  <c r="V601" i="7"/>
  <c r="W232" i="7"/>
  <c r="W577" i="7"/>
  <c r="V421" i="7"/>
  <c r="V259" i="7"/>
  <c r="V424" i="7"/>
  <c r="R227" i="8"/>
  <c r="R273" i="8" s="1"/>
  <c r="W492" i="7"/>
  <c r="Q277" i="8"/>
  <c r="V638" i="7"/>
  <c r="V458" i="7"/>
  <c r="V293" i="7"/>
  <c r="X457" i="7"/>
  <c r="X637" i="7"/>
  <c r="W633" i="7"/>
  <c r="W453" i="7"/>
  <c r="W288" i="7"/>
  <c r="W639" i="7"/>
  <c r="W459" i="7"/>
  <c r="W637" i="7"/>
  <c r="W457" i="7"/>
  <c r="W634" i="7"/>
  <c r="W454" i="7"/>
  <c r="Y641" i="7"/>
  <c r="Y461" i="7"/>
  <c r="Y296" i="7"/>
  <c r="Y462" i="7"/>
  <c r="Y642" i="7"/>
  <c r="W456" i="7"/>
  <c r="W636" i="7"/>
  <c r="W291" i="7"/>
  <c r="X295" i="7"/>
  <c r="W460" i="7"/>
  <c r="W640" i="7"/>
  <c r="Y635" i="7"/>
  <c r="Y455" i="7"/>
  <c r="R253" i="8"/>
  <c r="T252" i="8"/>
  <c r="W258" i="7"/>
  <c r="W423" i="7"/>
  <c r="X603" i="7"/>
  <c r="X492" i="7"/>
  <c r="W494" i="7"/>
  <c r="W495" i="7"/>
  <c r="V747" i="7" s="1"/>
  <c r="V56" i="7"/>
  <c r="T72" i="7"/>
  <c r="T575" i="7"/>
  <c r="T230" i="7"/>
  <c r="T395" i="7"/>
  <c r="T412" i="7"/>
  <c r="T592" i="7"/>
  <c r="W298" i="7"/>
  <c r="W643" i="7"/>
  <c r="W463" i="7"/>
  <c r="U211" i="7"/>
  <c r="T718" i="7" s="1"/>
  <c r="U556" i="7"/>
  <c r="T760" i="7" s="1"/>
  <c r="U376" i="7"/>
  <c r="T739" i="7" s="1"/>
  <c r="X626" i="7"/>
  <c r="T561" i="7"/>
  <c r="W349" i="7"/>
  <c r="W184" i="3"/>
  <c r="T83" i="7"/>
  <c r="U55" i="7"/>
  <c r="T381" i="7"/>
  <c r="T216" i="7"/>
  <c r="U569" i="7"/>
  <c r="U224" i="7"/>
  <c r="U389" i="7"/>
  <c r="U57" i="7"/>
  <c r="W75" i="3"/>
  <c r="P261" i="8"/>
  <c r="R278" i="8"/>
  <c r="T559" i="7"/>
  <c r="T47" i="7"/>
  <c r="T247" i="7"/>
  <c r="T80" i="7"/>
  <c r="T46" i="7"/>
  <c r="U96" i="3"/>
  <c r="S264" i="8" s="1"/>
  <c r="U59" i="3"/>
  <c r="S236" i="8" s="1"/>
  <c r="W132" i="3"/>
  <c r="U52" i="3"/>
  <c r="S231" i="8" s="1"/>
  <c r="U47" i="3"/>
  <c r="U379" i="7"/>
  <c r="T214" i="7"/>
  <c r="U97" i="3"/>
  <c r="S265" i="8" s="1"/>
  <c r="S260" i="8"/>
  <c r="U83" i="3"/>
  <c r="S255" i="8" s="1"/>
  <c r="T49" i="7"/>
  <c r="W102" i="3"/>
  <c r="U557" i="7"/>
  <c r="U212" i="7"/>
  <c r="U377" i="7"/>
  <c r="V45" i="7"/>
  <c r="T379" i="7"/>
  <c r="X655" i="7"/>
  <c r="X475" i="7"/>
  <c r="X310" i="7"/>
  <c r="X543" i="7"/>
  <c r="W410" i="7"/>
  <c r="X245" i="7"/>
  <c r="T98" i="7"/>
  <c r="W363" i="7"/>
  <c r="Y245" i="7"/>
  <c r="T392" i="7"/>
  <c r="T572" i="7"/>
  <c r="T227" i="7"/>
  <c r="W174" i="3"/>
  <c r="W170" i="7"/>
  <c r="V168" i="7"/>
  <c r="W339" i="3"/>
  <c r="V500" i="7"/>
  <c r="V170" i="7"/>
  <c r="X410" i="7"/>
  <c r="W590" i="7"/>
  <c r="W245" i="7"/>
  <c r="U608" i="7"/>
  <c r="T428" i="7"/>
  <c r="U562" i="7"/>
  <c r="W168" i="3"/>
  <c r="W198" i="7"/>
  <c r="W148" i="3"/>
  <c r="W162" i="3"/>
  <c r="T394" i="7"/>
  <c r="W166" i="3"/>
  <c r="T608" i="7"/>
  <c r="V217" i="7"/>
  <c r="T229" i="7"/>
  <c r="T276" i="8"/>
  <c r="W143" i="3"/>
  <c r="W171" i="3"/>
  <c r="W141" i="3"/>
  <c r="W149" i="3"/>
  <c r="U217" i="7"/>
  <c r="U275" i="8"/>
  <c r="W172" i="3"/>
  <c r="W476" i="7"/>
  <c r="V149" i="7"/>
  <c r="Y302" i="7"/>
  <c r="V656" i="7"/>
  <c r="V476" i="7"/>
  <c r="W174" i="7"/>
  <c r="V57" i="7"/>
  <c r="U101" i="7"/>
  <c r="W73" i="7"/>
  <c r="W467" i="7"/>
  <c r="V311" i="7"/>
  <c r="W31" i="7"/>
  <c r="V582" i="7"/>
  <c r="V402" i="7"/>
  <c r="V73" i="7"/>
  <c r="V237" i="7"/>
  <c r="X612" i="7"/>
  <c r="X158" i="3"/>
  <c r="W115" i="3"/>
  <c r="W137" i="3"/>
  <c r="U81" i="3"/>
  <c r="U51" i="3"/>
  <c r="S230" i="8" s="1"/>
  <c r="T595" i="7"/>
  <c r="U98" i="3"/>
  <c r="U66" i="3"/>
  <c r="S243" i="8" s="1"/>
  <c r="T250" i="7"/>
  <c r="W80" i="3"/>
  <c r="U117" i="3"/>
  <c r="S259" i="8"/>
  <c r="W34" i="3"/>
  <c r="W154" i="3"/>
  <c r="U99" i="3"/>
  <c r="S266" i="8" s="1"/>
  <c r="S279" i="8" s="1"/>
  <c r="U65" i="3"/>
  <c r="S242" i="8" s="1"/>
  <c r="X79" i="3"/>
  <c r="V215" i="7"/>
  <c r="V560" i="7"/>
  <c r="V380" i="7"/>
  <c r="W43" i="3"/>
  <c r="U118" i="3"/>
  <c r="S258" i="8"/>
  <c r="U82" i="3"/>
  <c r="S254" i="8" s="1"/>
  <c r="U50" i="3"/>
  <c r="S229" i="8" s="1"/>
  <c r="W647" i="7"/>
  <c r="T574" i="7"/>
  <c r="V297" i="7"/>
  <c r="U428" i="7"/>
  <c r="T85" i="7"/>
  <c r="T415" i="7"/>
  <c r="W315" i="7"/>
  <c r="W150" i="7"/>
  <c r="W480" i="7"/>
  <c r="W660" i="7"/>
  <c r="W267" i="7"/>
  <c r="Y590" i="7"/>
  <c r="W432" i="7"/>
  <c r="W612" i="7"/>
  <c r="X631" i="7"/>
  <c r="X451" i="7"/>
  <c r="X286" i="7"/>
  <c r="W406" i="7"/>
  <c r="W241" i="7"/>
  <c r="W586" i="7"/>
  <c r="X585" i="7"/>
  <c r="X405" i="7"/>
  <c r="X240" i="7"/>
  <c r="T129" i="7"/>
  <c r="V241" i="7"/>
  <c r="V586" i="7"/>
  <c r="V406" i="7"/>
  <c r="W405" i="7"/>
  <c r="W240" i="7"/>
  <c r="W585" i="7"/>
  <c r="X198" i="7"/>
  <c r="T128" i="7"/>
  <c r="T96" i="7"/>
  <c r="V228" i="7"/>
  <c r="V573" i="7"/>
  <c r="V393" i="7"/>
  <c r="V219" i="7"/>
  <c r="W219" i="7"/>
  <c r="W564" i="7"/>
  <c r="V290" i="7"/>
  <c r="Y651" i="7"/>
  <c r="V54" i="7"/>
  <c r="V564" i="7"/>
  <c r="V384" i="7"/>
  <c r="T145" i="7"/>
  <c r="T627" i="7"/>
  <c r="T447" i="7"/>
  <c r="T282" i="7"/>
  <c r="W649" i="7"/>
  <c r="V32" i="7"/>
  <c r="T411" i="7"/>
  <c r="T591" i="7"/>
  <c r="T246" i="7"/>
  <c r="W304" i="7"/>
  <c r="W469" i="7"/>
  <c r="W297" i="7"/>
  <c r="W289" i="7"/>
  <c r="W327" i="7"/>
  <c r="X74" i="7"/>
  <c r="T82" i="7"/>
  <c r="T81" i="7"/>
  <c r="Y313" i="7"/>
  <c r="T127" i="7"/>
  <c r="T126" i="7"/>
  <c r="Y658" i="7"/>
  <c r="W292" i="7"/>
  <c r="W145" i="7"/>
  <c r="W161" i="7"/>
  <c r="V145" i="7"/>
  <c r="W74" i="7"/>
  <c r="Y471" i="7"/>
  <c r="W153" i="7"/>
  <c r="W143" i="7"/>
  <c r="W160" i="7"/>
  <c r="W162" i="7"/>
  <c r="U76" i="7"/>
  <c r="W648" i="7"/>
  <c r="W468" i="7"/>
  <c r="W303" i="7"/>
  <c r="W169" i="7"/>
  <c r="V33" i="7"/>
  <c r="T75" i="7"/>
  <c r="W166" i="7"/>
  <c r="X649" i="7"/>
  <c r="W151" i="7"/>
  <c r="T123" i="7"/>
  <c r="W407" i="7"/>
  <c r="W242" i="7"/>
  <c r="W587" i="7"/>
  <c r="Y479" i="7"/>
  <c r="Y659" i="7"/>
  <c r="Y314" i="7"/>
  <c r="Y418" i="7"/>
  <c r="W29" i="7"/>
  <c r="Y598" i="7"/>
  <c r="T426" i="7"/>
  <c r="T261" i="7"/>
  <c r="T606" i="7"/>
  <c r="Y352" i="7"/>
  <c r="V77" i="7"/>
  <c r="X143" i="7"/>
  <c r="U628" i="7"/>
  <c r="U448" i="7"/>
  <c r="U283" i="7"/>
  <c r="V146" i="7"/>
  <c r="V544" i="7"/>
  <c r="V364" i="7"/>
  <c r="V199" i="7"/>
  <c r="V34" i="7"/>
  <c r="T607" i="7"/>
  <c r="T427" i="7"/>
  <c r="T262" i="7"/>
  <c r="T97" i="7"/>
  <c r="T264" i="7"/>
  <c r="T99" i="7"/>
  <c r="T609" i="7"/>
  <c r="T429" i="7"/>
  <c r="Y613" i="7"/>
  <c r="Y268" i="7"/>
  <c r="Y433" i="7"/>
  <c r="Y593" i="7"/>
  <c r="Y413" i="7"/>
  <c r="Y248" i="7"/>
  <c r="V205" i="8"/>
  <c r="X262" i="3"/>
  <c r="X268" i="3"/>
  <c r="X103" i="3"/>
  <c r="W309" i="3"/>
  <c r="W144" i="3"/>
  <c r="X320" i="3"/>
  <c r="V189" i="8"/>
  <c r="X241" i="3"/>
  <c r="X76" i="3"/>
  <c r="V249" i="8" s="1"/>
  <c r="X305" i="3"/>
  <c r="U174" i="8"/>
  <c r="W222" i="3"/>
  <c r="W57" i="3"/>
  <c r="U234" i="8" s="1"/>
  <c r="U204" i="8"/>
  <c r="W261" i="3"/>
  <c r="V173" i="8"/>
  <c r="X221" i="3"/>
  <c r="X311" i="3"/>
  <c r="X146" i="3"/>
  <c r="X284" i="3"/>
  <c r="X119" i="3"/>
  <c r="X174" i="3"/>
  <c r="W338" i="3"/>
  <c r="W173" i="3"/>
  <c r="X321" i="3"/>
  <c r="X156" i="3"/>
  <c r="W277" i="3"/>
  <c r="X304" i="3"/>
  <c r="X139" i="3"/>
  <c r="W290" i="7"/>
  <c r="Y555" i="7"/>
  <c r="Y375" i="7"/>
  <c r="Y210" i="7"/>
  <c r="V198" i="8"/>
  <c r="X251" i="3"/>
  <c r="S168" i="8"/>
  <c r="U214" i="3"/>
  <c r="U49" i="3"/>
  <c r="S228" i="8" s="1"/>
  <c r="X115" i="3"/>
  <c r="W279" i="3"/>
  <c r="W114" i="3"/>
  <c r="Y542" i="7"/>
  <c r="Y362" i="7"/>
  <c r="Y197" i="7"/>
  <c r="S180" i="8"/>
  <c r="U228" i="3"/>
  <c r="U63" i="3"/>
  <c r="S240" i="8" s="1"/>
  <c r="X306" i="3"/>
  <c r="V46" i="3"/>
  <c r="S167" i="8"/>
  <c r="U213" i="3"/>
  <c r="U48" i="3"/>
  <c r="V207" i="8"/>
  <c r="X265" i="3"/>
  <c r="V201" i="8"/>
  <c r="X199" i="3"/>
  <c r="Y566" i="7"/>
  <c r="Y386" i="7"/>
  <c r="Y221" i="7"/>
  <c r="U176" i="8"/>
  <c r="W224" i="3"/>
  <c r="X303" i="3"/>
  <c r="X138" i="3"/>
  <c r="V206" i="8"/>
  <c r="X264" i="3"/>
  <c r="X259" i="3"/>
  <c r="X276" i="3"/>
  <c r="X43" i="3"/>
  <c r="X40" i="3"/>
  <c r="W165" i="3"/>
  <c r="V175" i="8"/>
  <c r="X223" i="3"/>
  <c r="Y282" i="3"/>
  <c r="V208" i="8"/>
  <c r="X266" i="3"/>
  <c r="X101" i="3"/>
  <c r="V268" i="8" s="1"/>
  <c r="Y244" i="3"/>
  <c r="X210" i="3"/>
  <c r="X312" i="3"/>
  <c r="X147" i="3"/>
  <c r="X298" i="3"/>
  <c r="X133" i="3"/>
  <c r="X314" i="3"/>
  <c r="X198" i="3"/>
  <c r="X33" i="3"/>
  <c r="Y610" i="7"/>
  <c r="Y430" i="7"/>
  <c r="Y265" i="7"/>
  <c r="X153" i="7"/>
  <c r="Y280" i="3"/>
  <c r="W194" i="3"/>
  <c r="W29" i="3"/>
  <c r="T558" i="7"/>
  <c r="T378" i="7"/>
  <c r="T213" i="7"/>
  <c r="T48" i="7"/>
  <c r="X275" i="3"/>
  <c r="W193" i="3"/>
  <c r="W188" i="3"/>
  <c r="X327" i="7"/>
  <c r="W187" i="3"/>
  <c r="V192" i="8"/>
  <c r="X245" i="3"/>
  <c r="X588" i="7"/>
  <c r="X408" i="7"/>
  <c r="X243" i="7"/>
  <c r="X78" i="7"/>
  <c r="S196" i="8"/>
  <c r="U249" i="3"/>
  <c r="U84" i="3"/>
  <c r="S256" i="8" s="1"/>
  <c r="W269" i="3"/>
  <c r="V376" i="3" s="1"/>
  <c r="X162" i="3"/>
  <c r="U169" i="8"/>
  <c r="W215" i="3"/>
  <c r="W294" i="7"/>
  <c r="X316" i="3"/>
  <c r="X137" i="3"/>
  <c r="W299" i="3"/>
  <c r="Y323" i="3"/>
  <c r="X200" i="3"/>
  <c r="X35" i="3"/>
  <c r="U594" i="7"/>
  <c r="U414" i="7"/>
  <c r="U249" i="7"/>
  <c r="U84" i="7"/>
  <c r="V202" i="8"/>
  <c r="V262" i="8"/>
  <c r="X566" i="7"/>
  <c r="X386" i="7"/>
  <c r="X221" i="7"/>
  <c r="W285" i="3"/>
  <c r="W120" i="3"/>
  <c r="V188" i="8"/>
  <c r="X74" i="3"/>
  <c r="V248" i="8" s="1"/>
  <c r="X239" i="3"/>
  <c r="X310" i="3"/>
  <c r="X583" i="7"/>
  <c r="X403" i="7"/>
  <c r="X238" i="7"/>
  <c r="X73" i="7"/>
  <c r="V193" i="8"/>
  <c r="X246" i="3"/>
  <c r="W54" i="3"/>
  <c r="W219" i="3"/>
  <c r="S179" i="8"/>
  <c r="U227" i="3"/>
  <c r="U62" i="3"/>
  <c r="S239" i="8" s="1"/>
  <c r="X286" i="3"/>
  <c r="Y584" i="7"/>
  <c r="Y404" i="7"/>
  <c r="Y239" i="7"/>
  <c r="V177" i="8"/>
  <c r="X225" i="3"/>
  <c r="W212" i="3"/>
  <c r="X486" i="7"/>
  <c r="X321" i="7"/>
  <c r="X156" i="7"/>
  <c r="X58" i="3"/>
  <c r="V235" i="8" s="1"/>
  <c r="U172" i="8"/>
  <c r="W220" i="3"/>
  <c r="W55" i="3"/>
  <c r="U232" i="8" s="1"/>
  <c r="V199" i="8"/>
  <c r="X252" i="3"/>
  <c r="V195" i="8"/>
  <c r="X248" i="3"/>
  <c r="V203" i="8"/>
  <c r="X260" i="3"/>
  <c r="X95" i="3"/>
  <c r="V263" i="8" s="1"/>
  <c r="X240" i="3"/>
  <c r="X100" i="3"/>
  <c r="V267" i="8" s="1"/>
  <c r="U182" i="8"/>
  <c r="W230" i="3"/>
  <c r="X211" i="3"/>
  <c r="X75" i="3"/>
  <c r="U190" i="8"/>
  <c r="W77" i="3"/>
  <c r="U250" i="8" s="1"/>
  <c r="U276" i="8" s="1"/>
  <c r="W242" i="3"/>
  <c r="W485" i="7"/>
  <c r="W320" i="7"/>
  <c r="W155" i="7"/>
  <c r="X166" i="3"/>
  <c r="W167" i="3"/>
  <c r="X32" i="3"/>
  <c r="V194" i="8"/>
  <c r="X247" i="3"/>
  <c r="X163" i="3"/>
  <c r="W190" i="3"/>
  <c r="X273" i="3"/>
  <c r="X102" i="3"/>
  <c r="U184" i="8"/>
  <c r="X342" i="3"/>
  <c r="X177" i="3"/>
  <c r="X267" i="3"/>
  <c r="X334" i="3"/>
  <c r="X169" i="3"/>
  <c r="X337" i="3"/>
  <c r="X172" i="3"/>
  <c r="V183" i="8"/>
  <c r="X333" i="3"/>
  <c r="X302" i="3"/>
  <c r="X160" i="3"/>
  <c r="X56" i="3"/>
  <c r="V233" i="8" s="1"/>
  <c r="U171" i="8"/>
  <c r="W217" i="3"/>
  <c r="X161" i="3"/>
  <c r="X308" i="3"/>
  <c r="X143" i="3"/>
  <c r="X301" i="3"/>
  <c r="X136" i="3"/>
  <c r="X318" i="3"/>
  <c r="W209" i="3"/>
  <c r="V373" i="3" s="1"/>
  <c r="W44" i="3"/>
  <c r="V170" i="8"/>
  <c r="X216" i="3"/>
  <c r="X148" i="3"/>
  <c r="W315" i="3"/>
  <c r="W150" i="3"/>
  <c r="Y197" i="3"/>
  <c r="X322" i="3"/>
  <c r="X157" i="3"/>
  <c r="Y186" i="3"/>
  <c r="X186" i="3"/>
  <c r="V200" i="8"/>
  <c r="X313" i="3"/>
  <c r="X196" i="3"/>
  <c r="X31" i="3"/>
  <c r="X155" i="3"/>
  <c r="W128" i="3"/>
  <c r="X341" i="3"/>
  <c r="X176" i="3"/>
  <c r="X278" i="3"/>
  <c r="V187" i="8"/>
  <c r="X238" i="3"/>
  <c r="X73" i="3"/>
  <c r="V247" i="8" s="1"/>
  <c r="W307" i="3"/>
  <c r="W142" i="3"/>
  <c r="X589" i="7"/>
  <c r="X409" i="7"/>
  <c r="X244" i="7"/>
  <c r="X132" i="3"/>
  <c r="X336" i="3"/>
  <c r="X335" i="3"/>
  <c r="X170" i="3"/>
  <c r="Y274" i="3"/>
  <c r="X208" i="3"/>
  <c r="W317" i="3"/>
  <c r="W152" i="3"/>
  <c r="Y270" i="3"/>
  <c r="X324" i="3"/>
  <c r="X159" i="3"/>
  <c r="Y192" i="3"/>
  <c r="X192" i="3"/>
  <c r="X319" i="3"/>
  <c r="X154" i="3"/>
  <c r="X300" i="3"/>
  <c r="X593" i="7"/>
  <c r="X413" i="7"/>
  <c r="X248" i="7"/>
  <c r="X340" i="3"/>
  <c r="X175" i="3"/>
  <c r="Y189" i="3"/>
  <c r="X189" i="3"/>
  <c r="V67" i="3"/>
  <c r="T244" i="8" s="1"/>
  <c r="X343" i="3"/>
  <c r="X178" i="3"/>
  <c r="V185" i="8"/>
  <c r="X34" i="3"/>
  <c r="W201" i="3"/>
  <c r="W263" i="3"/>
  <c r="V186" i="8"/>
  <c r="X237" i="3"/>
  <c r="V191" i="8"/>
  <c r="X243" i="3"/>
  <c r="X78" i="3"/>
  <c r="V251" i="8" s="1"/>
  <c r="X130" i="3"/>
  <c r="X281" i="3"/>
  <c r="X116" i="3"/>
  <c r="S178" i="8"/>
  <c r="U226" i="3"/>
  <c r="X283" i="3"/>
  <c r="N219" i="8"/>
  <c r="N216" i="8"/>
  <c r="N218" i="8"/>
  <c r="N215" i="8"/>
  <c r="C32" i="4"/>
  <c r="C209" i="4" s="1"/>
  <c r="S695" i="7" l="1"/>
  <c r="U382" i="7"/>
  <c r="U548" i="7"/>
  <c r="U184" i="7"/>
  <c r="U18" i="7"/>
  <c r="U193" i="7"/>
  <c r="U28" i="7"/>
  <c r="U368" i="7"/>
  <c r="Y155" i="5"/>
  <c r="W665" i="7"/>
  <c r="X323" i="7"/>
  <c r="X487" i="7"/>
  <c r="U38" i="7"/>
  <c r="W38" i="5"/>
  <c r="V37" i="7" s="1"/>
  <c r="U348" i="7"/>
  <c r="Y492" i="7"/>
  <c r="W484" i="7"/>
  <c r="Y318" i="7"/>
  <c r="W154" i="7"/>
  <c r="Y483" i="7"/>
  <c r="Z166" i="5"/>
  <c r="Y676" i="7" s="1"/>
  <c r="Y154" i="5"/>
  <c r="X664" i="7" s="1"/>
  <c r="W319" i="7"/>
  <c r="U203" i="7"/>
  <c r="W177" i="7"/>
  <c r="W687" i="7"/>
  <c r="X331" i="7"/>
  <c r="Y669" i="7"/>
  <c r="Y489" i="7"/>
  <c r="Y324" i="7"/>
  <c r="Z161" i="5"/>
  <c r="X671" i="7"/>
  <c r="X491" i="7"/>
  <c r="X326" i="7"/>
  <c r="Z157" i="5"/>
  <c r="X667" i="7"/>
  <c r="X339" i="7"/>
  <c r="X684" i="7"/>
  <c r="Z158" i="5"/>
  <c r="Y668" i="7" s="1"/>
  <c r="X668" i="7"/>
  <c r="W501" i="7"/>
  <c r="W681" i="7"/>
  <c r="W673" i="7"/>
  <c r="V767" i="7" s="1"/>
  <c r="W173" i="7"/>
  <c r="W683" i="7"/>
  <c r="X496" i="7"/>
  <c r="Y152" i="5"/>
  <c r="Z152" i="5" s="1"/>
  <c r="W662" i="7"/>
  <c r="W317" i="7"/>
  <c r="W482" i="7"/>
  <c r="X504" i="7"/>
  <c r="X174" i="7"/>
  <c r="W385" i="7"/>
  <c r="W565" i="7"/>
  <c r="Y55" i="5"/>
  <c r="X565" i="7" s="1"/>
  <c r="W171" i="7"/>
  <c r="U250" i="3"/>
  <c r="S197" i="8"/>
  <c r="W328" i="7"/>
  <c r="V725" i="7" s="1"/>
  <c r="W493" i="7"/>
  <c r="V746" i="7" s="1"/>
  <c r="Y163" i="5"/>
  <c r="Z163" i="5" s="1"/>
  <c r="Y673" i="7" s="1"/>
  <c r="Z174" i="5"/>
  <c r="Y684" i="7" s="1"/>
  <c r="U64" i="3"/>
  <c r="S241" i="8" s="1"/>
  <c r="U229" i="3"/>
  <c r="T374" i="3" s="1"/>
  <c r="T375" i="3"/>
  <c r="Z170" i="5"/>
  <c r="Y680" i="7" s="1"/>
  <c r="X335" i="7"/>
  <c r="Y178" i="5"/>
  <c r="X688" i="7" s="1"/>
  <c r="W343" i="7"/>
  <c r="W178" i="7"/>
  <c r="W508" i="7"/>
  <c r="Y167" i="5"/>
  <c r="W332" i="7"/>
  <c r="W497" i="7"/>
  <c r="W167" i="7"/>
  <c r="Y176" i="5"/>
  <c r="X686" i="7" s="1"/>
  <c r="W341" i="7"/>
  <c r="W176" i="7"/>
  <c r="W506" i="7"/>
  <c r="Z169" i="5"/>
  <c r="Y679" i="7" s="1"/>
  <c r="X334" i="7"/>
  <c r="X499" i="7"/>
  <c r="Y173" i="5"/>
  <c r="W338" i="7"/>
  <c r="W503" i="7"/>
  <c r="Y177" i="5"/>
  <c r="X687" i="7" s="1"/>
  <c r="W342" i="7"/>
  <c r="W507" i="7"/>
  <c r="T695" i="7"/>
  <c r="Y329" i="7"/>
  <c r="Y168" i="5"/>
  <c r="W333" i="7"/>
  <c r="W498" i="7"/>
  <c r="Z175" i="5"/>
  <c r="Y685" i="7" s="1"/>
  <c r="X340" i="7"/>
  <c r="X175" i="7"/>
  <c r="X505" i="7"/>
  <c r="Z165" i="5"/>
  <c r="Y675" i="7" s="1"/>
  <c r="X330" i="7"/>
  <c r="W726" i="7" s="1"/>
  <c r="W768" i="7"/>
  <c r="W337" i="7"/>
  <c r="Y172" i="5"/>
  <c r="X682" i="7" s="1"/>
  <c r="W502" i="7"/>
  <c r="W172" i="7"/>
  <c r="Y171" i="5"/>
  <c r="X681" i="7" s="1"/>
  <c r="W336" i="7"/>
  <c r="W81" i="5"/>
  <c r="U35" i="7"/>
  <c r="Y59" i="5"/>
  <c r="W41" i="7"/>
  <c r="W62" i="5"/>
  <c r="U44" i="7"/>
  <c r="Y40" i="7"/>
  <c r="Y568" i="7"/>
  <c r="Y388" i="7"/>
  <c r="Y223" i="7"/>
  <c r="W18" i="5"/>
  <c r="V85" i="2"/>
  <c r="T197" i="8" s="1"/>
  <c r="U39" i="3"/>
  <c r="V64" i="2"/>
  <c r="V229" i="3" s="1"/>
  <c r="T350" i="3"/>
  <c r="V369" i="7"/>
  <c r="V549" i="7"/>
  <c r="V204" i="7"/>
  <c r="V39" i="7"/>
  <c r="W84" i="2"/>
  <c r="V38" i="3"/>
  <c r="S758" i="7"/>
  <c r="X39" i="5"/>
  <c r="W27" i="5"/>
  <c r="U357" i="7"/>
  <c r="W28" i="5"/>
  <c r="U538" i="7"/>
  <c r="U358" i="7"/>
  <c r="W25" i="5"/>
  <c r="U355" i="7"/>
  <c r="T716" i="7"/>
  <c r="X23" i="5"/>
  <c r="W353" i="7" s="1"/>
  <c r="W24" i="5"/>
  <c r="U354" i="7"/>
  <c r="U528" i="7"/>
  <c r="T758" i="7" s="1"/>
  <c r="S741" i="7"/>
  <c r="V372" i="3"/>
  <c r="V379" i="3"/>
  <c r="S720" i="7"/>
  <c r="S762" i="7"/>
  <c r="Z95" i="5"/>
  <c r="X605" i="7"/>
  <c r="X425" i="7"/>
  <c r="X260" i="7"/>
  <c r="W256" i="7"/>
  <c r="W601" i="7"/>
  <c r="X577" i="7"/>
  <c r="X397" i="7"/>
  <c r="X232" i="7"/>
  <c r="W421" i="7"/>
  <c r="W424" i="7"/>
  <c r="W604" i="7"/>
  <c r="W259" i="7"/>
  <c r="R277" i="8"/>
  <c r="S227" i="8"/>
  <c r="S273" i="8" s="1"/>
  <c r="W638" i="7"/>
  <c r="W458" i="7"/>
  <c r="W293" i="7"/>
  <c r="X636" i="7"/>
  <c r="X456" i="7"/>
  <c r="X291" i="7"/>
  <c r="X453" i="7"/>
  <c r="X633" i="7"/>
  <c r="X288" i="7"/>
  <c r="Y289" i="7"/>
  <c r="X634" i="7"/>
  <c r="X454" i="7"/>
  <c r="X639" i="7"/>
  <c r="X459" i="7"/>
  <c r="Y637" i="7"/>
  <c r="Y457" i="7"/>
  <c r="X640" i="7"/>
  <c r="X460" i="7"/>
  <c r="X604" i="7"/>
  <c r="S253" i="8"/>
  <c r="U252" i="8"/>
  <c r="X258" i="7"/>
  <c r="X423" i="7"/>
  <c r="S278" i="8"/>
  <c r="Y494" i="7"/>
  <c r="X494" i="7"/>
  <c r="X495" i="7"/>
  <c r="W747" i="7" s="1"/>
  <c r="Y74" i="7"/>
  <c r="U72" i="7"/>
  <c r="V412" i="7"/>
  <c r="U412" i="7"/>
  <c r="U247" i="7"/>
  <c r="U592" i="7"/>
  <c r="X643" i="7"/>
  <c r="X463" i="7"/>
  <c r="X298" i="7"/>
  <c r="X363" i="7"/>
  <c r="Y410" i="7"/>
  <c r="V556" i="7"/>
  <c r="U760" i="7" s="1"/>
  <c r="V376" i="7"/>
  <c r="U739" i="7" s="1"/>
  <c r="V211" i="7"/>
  <c r="U718" i="7" s="1"/>
  <c r="X349" i="7"/>
  <c r="X184" i="3"/>
  <c r="U79" i="7"/>
  <c r="V224" i="7"/>
  <c r="V569" i="7"/>
  <c r="V389" i="7"/>
  <c r="X171" i="3"/>
  <c r="U85" i="7"/>
  <c r="P277" i="8"/>
  <c r="V47" i="7"/>
  <c r="U47" i="7"/>
  <c r="U46" i="7"/>
  <c r="U128" i="7"/>
  <c r="W500" i="7"/>
  <c r="U83" i="7"/>
  <c r="V80" i="7"/>
  <c r="W32" i="7"/>
  <c r="V96" i="3"/>
  <c r="T264" i="8" s="1"/>
  <c r="V59" i="3"/>
  <c r="T236" i="8" s="1"/>
  <c r="X45" i="3"/>
  <c r="U559" i="7"/>
  <c r="V97" i="3"/>
  <c r="T265" i="8" s="1"/>
  <c r="V52" i="3"/>
  <c r="T231" i="8" s="1"/>
  <c r="V47" i="3"/>
  <c r="X126" i="3"/>
  <c r="W45" i="7"/>
  <c r="V557" i="7"/>
  <c r="V377" i="7"/>
  <c r="V212" i="7"/>
  <c r="U49" i="7"/>
  <c r="T260" i="8"/>
  <c r="V83" i="3"/>
  <c r="T255" i="8" s="1"/>
  <c r="U263" i="7"/>
  <c r="U214" i="7"/>
  <c r="W656" i="7"/>
  <c r="Y310" i="7"/>
  <c r="Y475" i="7"/>
  <c r="Y655" i="7"/>
  <c r="Y543" i="7"/>
  <c r="W311" i="7"/>
  <c r="U572" i="7"/>
  <c r="U392" i="7"/>
  <c r="U227" i="7"/>
  <c r="W168" i="7"/>
  <c r="V382" i="7"/>
  <c r="X339" i="3"/>
  <c r="Y339" i="3"/>
  <c r="V562" i="7"/>
  <c r="W56" i="7"/>
  <c r="X168" i="3"/>
  <c r="W149" i="7"/>
  <c r="W144" i="7"/>
  <c r="X267" i="7"/>
  <c r="X647" i="7"/>
  <c r="X432" i="7"/>
  <c r="X140" i="3"/>
  <c r="Y467" i="7"/>
  <c r="Y647" i="7"/>
  <c r="X302" i="7"/>
  <c r="X467" i="7"/>
  <c r="X151" i="3"/>
  <c r="X141" i="3"/>
  <c r="X149" i="3"/>
  <c r="X164" i="3"/>
  <c r="W402" i="7"/>
  <c r="W237" i="7"/>
  <c r="X237" i="7"/>
  <c r="W582" i="7"/>
  <c r="U100" i="7"/>
  <c r="U595" i="7"/>
  <c r="U574" i="7"/>
  <c r="U415" i="7"/>
  <c r="X149" i="7"/>
  <c r="X500" i="7"/>
  <c r="V608" i="7"/>
  <c r="V101" i="7"/>
  <c r="U394" i="7"/>
  <c r="U250" i="7"/>
  <c r="X31" i="7"/>
  <c r="U98" i="7"/>
  <c r="V117" i="3"/>
  <c r="T259" i="8"/>
  <c r="V98" i="3"/>
  <c r="V66" i="3"/>
  <c r="T243" i="8" s="1"/>
  <c r="X145" i="3"/>
  <c r="X72" i="3"/>
  <c r="V246" i="8" s="1"/>
  <c r="V275" i="8" s="1"/>
  <c r="X153" i="3"/>
  <c r="V81" i="3"/>
  <c r="V51" i="3"/>
  <c r="T230" i="8" s="1"/>
  <c r="X131" i="3"/>
  <c r="X80" i="3"/>
  <c r="V82" i="3"/>
  <c r="T254" i="8" s="1"/>
  <c r="V50" i="3"/>
  <c r="T229" i="8" s="1"/>
  <c r="U229" i="7"/>
  <c r="X129" i="3"/>
  <c r="Y158" i="3"/>
  <c r="V99" i="3"/>
  <c r="T266" i="8" s="1"/>
  <c r="T279" i="8" s="1"/>
  <c r="V65" i="3"/>
  <c r="T242" i="8" s="1"/>
  <c r="V118" i="3"/>
  <c r="T258" i="8"/>
  <c r="Y79" i="3"/>
  <c r="W215" i="7"/>
  <c r="W560" i="7"/>
  <c r="W380" i="7"/>
  <c r="X170" i="7"/>
  <c r="W351" i="7"/>
  <c r="V263" i="7"/>
  <c r="V428" i="7"/>
  <c r="U591" i="7"/>
  <c r="U246" i="7"/>
  <c r="U411" i="7"/>
  <c r="X660" i="7"/>
  <c r="X480" i="7"/>
  <c r="X315" i="7"/>
  <c r="X150" i="7"/>
  <c r="Y573" i="7"/>
  <c r="Y631" i="7"/>
  <c r="Y451" i="7"/>
  <c r="Y286" i="7"/>
  <c r="V46" i="7"/>
  <c r="U129" i="7"/>
  <c r="X573" i="7"/>
  <c r="X393" i="7"/>
  <c r="X228" i="7"/>
  <c r="Y241" i="7"/>
  <c r="Y406" i="7"/>
  <c r="Y586" i="7"/>
  <c r="X586" i="7"/>
  <c r="X406" i="7"/>
  <c r="X241" i="7"/>
  <c r="X101" i="7"/>
  <c r="Y585" i="7"/>
  <c r="Y405" i="7"/>
  <c r="Y240" i="7"/>
  <c r="W393" i="7"/>
  <c r="W228" i="7"/>
  <c r="W573" i="7"/>
  <c r="X564" i="7"/>
  <c r="X384" i="7"/>
  <c r="X219" i="7"/>
  <c r="U282" i="7"/>
  <c r="U627" i="7"/>
  <c r="U447" i="7"/>
  <c r="X289" i="7"/>
  <c r="X297" i="7"/>
  <c r="U126" i="7"/>
  <c r="U96" i="7"/>
  <c r="X29" i="7"/>
  <c r="X292" i="7"/>
  <c r="W55" i="7"/>
  <c r="W54" i="7"/>
  <c r="U82" i="7"/>
  <c r="U81" i="7"/>
  <c r="X145" i="7"/>
  <c r="X161" i="7"/>
  <c r="X160" i="7"/>
  <c r="X159" i="7"/>
  <c r="X469" i="7"/>
  <c r="X169" i="7"/>
  <c r="X304" i="7"/>
  <c r="V76" i="7"/>
  <c r="V83" i="7"/>
  <c r="X162" i="7"/>
  <c r="X468" i="7"/>
  <c r="X303" i="7"/>
  <c r="X648" i="7"/>
  <c r="Y160" i="7"/>
  <c r="U75" i="7"/>
  <c r="X151" i="7"/>
  <c r="W33" i="7"/>
  <c r="X407" i="7"/>
  <c r="X242" i="7"/>
  <c r="X587" i="7"/>
  <c r="X166" i="7"/>
  <c r="W77" i="7"/>
  <c r="U606" i="7"/>
  <c r="U426" i="7"/>
  <c r="U261" i="7"/>
  <c r="V628" i="7"/>
  <c r="V448" i="7"/>
  <c r="V283" i="7"/>
  <c r="W146" i="7"/>
  <c r="W544" i="7"/>
  <c r="W364" i="7"/>
  <c r="W34" i="7"/>
  <c r="W199" i="7"/>
  <c r="U264" i="7"/>
  <c r="U99" i="7"/>
  <c r="V129" i="7"/>
  <c r="U609" i="7"/>
  <c r="U429" i="7"/>
  <c r="V128" i="7"/>
  <c r="U607" i="7"/>
  <c r="U427" i="7"/>
  <c r="U262" i="7"/>
  <c r="U97" i="7"/>
  <c r="Y281" i="3"/>
  <c r="Y116" i="3"/>
  <c r="Y324" i="3"/>
  <c r="Y159" i="3"/>
  <c r="X307" i="3"/>
  <c r="X142" i="3"/>
  <c r="Y313" i="3"/>
  <c r="W200" i="8"/>
  <c r="W170" i="8"/>
  <c r="Y216" i="3"/>
  <c r="Y131" i="3"/>
  <c r="Y160" i="3"/>
  <c r="Y337" i="3"/>
  <c r="Y342" i="3"/>
  <c r="Y177" i="3"/>
  <c r="V182" i="8"/>
  <c r="X230" i="3"/>
  <c r="V172" i="8"/>
  <c r="X220" i="3"/>
  <c r="X55" i="3"/>
  <c r="V232" i="8" s="1"/>
  <c r="X212" i="3"/>
  <c r="Y310" i="3"/>
  <c r="Y198" i="3"/>
  <c r="Y33" i="3"/>
  <c r="Y210" i="3"/>
  <c r="V176" i="8"/>
  <c r="X224" i="3"/>
  <c r="W207" i="8"/>
  <c r="Y265" i="3"/>
  <c r="Y100" i="3"/>
  <c r="W267" i="8" s="1"/>
  <c r="T168" i="8"/>
  <c r="V49" i="3"/>
  <c r="T228" i="8" s="1"/>
  <c r="V214" i="3"/>
  <c r="Y140" i="3"/>
  <c r="X277" i="3"/>
  <c r="W173" i="8"/>
  <c r="Y221" i="3"/>
  <c r="Y283" i="3"/>
  <c r="Y278" i="3"/>
  <c r="Y340" i="3"/>
  <c r="Y175" i="3"/>
  <c r="X128" i="3"/>
  <c r="Y161" i="3"/>
  <c r="W183" i="8"/>
  <c r="Y273" i="3"/>
  <c r="Y32" i="3"/>
  <c r="X167" i="3"/>
  <c r="Y211" i="3"/>
  <c r="W193" i="8"/>
  <c r="Y246" i="3"/>
  <c r="Y102" i="3"/>
  <c r="X269" i="3"/>
  <c r="W376" i="3" s="1"/>
  <c r="Y275" i="3"/>
  <c r="Y303" i="3"/>
  <c r="Y138" i="3"/>
  <c r="Y304" i="3"/>
  <c r="Y139" i="3"/>
  <c r="Y284" i="3"/>
  <c r="Y119" i="3"/>
  <c r="V174" i="8"/>
  <c r="X222" i="3"/>
  <c r="X57" i="3"/>
  <c r="V234" i="8" s="1"/>
  <c r="Y143" i="3"/>
  <c r="X309" i="3"/>
  <c r="X144" i="3"/>
  <c r="Y305" i="3"/>
  <c r="W185" i="8"/>
  <c r="Y208" i="3"/>
  <c r="Y335" i="3"/>
  <c r="X219" i="3"/>
  <c r="X54" i="3"/>
  <c r="V594" i="7"/>
  <c r="V414" i="7"/>
  <c r="V249" i="7"/>
  <c r="V84" i="7"/>
  <c r="Y188" i="3"/>
  <c r="X188" i="3"/>
  <c r="U558" i="7"/>
  <c r="U378" i="7"/>
  <c r="U213" i="7"/>
  <c r="U48" i="7"/>
  <c r="X194" i="3"/>
  <c r="X29" i="3"/>
  <c r="Y312" i="3"/>
  <c r="Y147" i="3"/>
  <c r="Y43" i="3"/>
  <c r="Y259" i="3"/>
  <c r="Y199" i="3"/>
  <c r="T180" i="8"/>
  <c r="V228" i="3"/>
  <c r="V63" i="3"/>
  <c r="T240" i="8" s="1"/>
  <c r="X263" i="3"/>
  <c r="T179" i="8"/>
  <c r="V62" i="3"/>
  <c r="T239" i="8" s="1"/>
  <c r="V227" i="3"/>
  <c r="V169" i="8"/>
  <c r="X215" i="3"/>
  <c r="Y168" i="3"/>
  <c r="X165" i="3"/>
  <c r="W205" i="8"/>
  <c r="Y262" i="3"/>
  <c r="Y130" i="3"/>
  <c r="W186" i="8"/>
  <c r="Y237" i="3"/>
  <c r="W67" i="3"/>
  <c r="U244" i="8" s="1"/>
  <c r="Y45" i="3"/>
  <c r="X209" i="3"/>
  <c r="W373" i="3" s="1"/>
  <c r="X44" i="3"/>
  <c r="Y301" i="3"/>
  <c r="Y136" i="3"/>
  <c r="Y190" i="3"/>
  <c r="X190" i="3"/>
  <c r="Y286" i="3"/>
  <c r="Y200" i="3"/>
  <c r="Y35" i="3"/>
  <c r="Y327" i="7"/>
  <c r="Y40" i="3"/>
  <c r="Y321" i="3"/>
  <c r="Y156" i="3"/>
  <c r="W189" i="8"/>
  <c r="Y241" i="3"/>
  <c r="Y76" i="3"/>
  <c r="W249" i="8" s="1"/>
  <c r="Y268" i="3"/>
  <c r="Y103" i="3"/>
  <c r="T178" i="8"/>
  <c r="V226" i="3"/>
  <c r="Y300" i="3"/>
  <c r="W187" i="8"/>
  <c r="Y238" i="3"/>
  <c r="Y73" i="3"/>
  <c r="W247" i="8" s="1"/>
  <c r="X315" i="3"/>
  <c r="X150" i="3"/>
  <c r="Y302" i="3"/>
  <c r="Y334" i="3"/>
  <c r="Y169" i="3"/>
  <c r="V184" i="8"/>
  <c r="W199" i="8"/>
  <c r="Y252" i="3"/>
  <c r="W177" i="8"/>
  <c r="Y225" i="3"/>
  <c r="W188" i="8"/>
  <c r="Y74" i="3"/>
  <c r="W248" i="8" s="1"/>
  <c r="Y239" i="3"/>
  <c r="W202" i="8"/>
  <c r="W262" i="8"/>
  <c r="Y316" i="3"/>
  <c r="Y151" i="3"/>
  <c r="X294" i="7"/>
  <c r="T196" i="8"/>
  <c r="V249" i="3"/>
  <c r="V84" i="3"/>
  <c r="T256" i="8" s="1"/>
  <c r="W192" i="8"/>
  <c r="Y245" i="3"/>
  <c r="Y193" i="3"/>
  <c r="X193" i="3"/>
  <c r="Y314" i="3"/>
  <c r="Y149" i="3"/>
  <c r="W175" i="8"/>
  <c r="Y223" i="3"/>
  <c r="Y58" i="3"/>
  <c r="W235" i="8" s="1"/>
  <c r="W46" i="3"/>
  <c r="T167" i="8"/>
  <c r="V213" i="3"/>
  <c r="V48" i="3"/>
  <c r="Y311" i="3"/>
  <c r="Y146" i="3"/>
  <c r="Y126" i="3"/>
  <c r="V204" i="8"/>
  <c r="X261" i="3"/>
  <c r="Y319" i="3"/>
  <c r="Y298" i="3"/>
  <c r="Y133" i="3"/>
  <c r="Y72" i="3"/>
  <c r="W246" i="8" s="1"/>
  <c r="X201" i="3"/>
  <c r="Y343" i="3"/>
  <c r="Y178" i="3"/>
  <c r="Y336" i="3"/>
  <c r="Y589" i="7"/>
  <c r="Y409" i="7"/>
  <c r="Y244" i="7"/>
  <c r="Y196" i="3"/>
  <c r="Y31" i="3"/>
  <c r="Y322" i="3"/>
  <c r="Y157" i="3"/>
  <c r="Y318" i="3"/>
  <c r="V171" i="8"/>
  <c r="X217" i="3"/>
  <c r="Y333" i="3"/>
  <c r="Y267" i="3"/>
  <c r="Y240" i="3"/>
  <c r="W203" i="8"/>
  <c r="Y260" i="3"/>
  <c r="Y95" i="3"/>
  <c r="W263" i="8" s="1"/>
  <c r="Y486" i="7"/>
  <c r="Y321" i="7"/>
  <c r="Y156" i="7"/>
  <c r="Y166" i="3"/>
  <c r="Y129" i="3"/>
  <c r="Y276" i="3"/>
  <c r="Y115" i="3"/>
  <c r="X279" i="3"/>
  <c r="X114" i="3"/>
  <c r="W198" i="8"/>
  <c r="Y251" i="3"/>
  <c r="W191" i="8"/>
  <c r="Y243" i="3"/>
  <c r="Y153" i="3"/>
  <c r="X317" i="3"/>
  <c r="X152" i="3"/>
  <c r="X285" i="3"/>
  <c r="X120" i="3"/>
  <c r="X290" i="7"/>
  <c r="Y583" i="7"/>
  <c r="Y403" i="7"/>
  <c r="Y238" i="7"/>
  <c r="Y73" i="7"/>
  <c r="Y341" i="3"/>
  <c r="Y588" i="7"/>
  <c r="Y408" i="7"/>
  <c r="Y243" i="7"/>
  <c r="Y78" i="7"/>
  <c r="Y308" i="3"/>
  <c r="W194" i="8"/>
  <c r="Y247" i="3"/>
  <c r="X485" i="7"/>
  <c r="X320" i="7"/>
  <c r="X155" i="7"/>
  <c r="Y75" i="3"/>
  <c r="V190" i="8"/>
  <c r="X242" i="3"/>
  <c r="X77" i="3"/>
  <c r="V250" i="8" s="1"/>
  <c r="V276" i="8" s="1"/>
  <c r="W195" i="8"/>
  <c r="Y248" i="3"/>
  <c r="Y163" i="3"/>
  <c r="X299" i="3"/>
  <c r="Y187" i="3"/>
  <c r="X187" i="3"/>
  <c r="W208" i="8"/>
  <c r="Y266" i="3"/>
  <c r="Y101" i="3"/>
  <c r="W268" i="8" s="1"/>
  <c r="W206" i="8"/>
  <c r="Y264" i="3"/>
  <c r="W201" i="8"/>
  <c r="Y306" i="3"/>
  <c r="Y141" i="3"/>
  <c r="X338" i="3"/>
  <c r="X173" i="3"/>
  <c r="Y320" i="3"/>
  <c r="Y155" i="3"/>
  <c r="V49" i="7"/>
  <c r="O218" i="8"/>
  <c r="O216" i="8"/>
  <c r="O219" i="8"/>
  <c r="O215" i="8"/>
  <c r="V184" i="7" l="1"/>
  <c r="V18" i="7"/>
  <c r="V193" i="7"/>
  <c r="V28" i="7"/>
  <c r="X38" i="5"/>
  <c r="W37" i="7" s="1"/>
  <c r="X154" i="7"/>
  <c r="X665" i="7"/>
  <c r="Z155" i="5"/>
  <c r="Y665" i="7" s="1"/>
  <c r="X152" i="7"/>
  <c r="Y323" i="7"/>
  <c r="V38" i="7"/>
  <c r="V368" i="7"/>
  <c r="V203" i="7"/>
  <c r="V548" i="7"/>
  <c r="V348" i="7"/>
  <c r="X319" i="7"/>
  <c r="X484" i="7"/>
  <c r="Z154" i="5"/>
  <c r="Y664" i="7" s="1"/>
  <c r="Y331" i="7"/>
  <c r="Y496" i="7"/>
  <c r="Y488" i="7"/>
  <c r="Y169" i="7"/>
  <c r="X493" i="7"/>
  <c r="W746" i="7" s="1"/>
  <c r="Y662" i="7"/>
  <c r="Y482" i="7"/>
  <c r="Y152" i="7"/>
  <c r="Y317" i="7"/>
  <c r="X168" i="7"/>
  <c r="X678" i="7"/>
  <c r="X173" i="7"/>
  <c r="X683" i="7"/>
  <c r="X167" i="7"/>
  <c r="X677" i="7"/>
  <c r="Y667" i="7"/>
  <c r="Y487" i="7"/>
  <c r="Y322" i="7"/>
  <c r="X662" i="7"/>
  <c r="X482" i="7"/>
  <c r="X317" i="7"/>
  <c r="X328" i="7"/>
  <c r="W725" i="7" s="1"/>
  <c r="X673" i="7"/>
  <c r="W767" i="7" s="1"/>
  <c r="Y671" i="7"/>
  <c r="Y491" i="7"/>
  <c r="Y326" i="7"/>
  <c r="Z55" i="5"/>
  <c r="Y385" i="7" s="1"/>
  <c r="X220" i="7"/>
  <c r="X385" i="7"/>
  <c r="Y174" i="7"/>
  <c r="Y504" i="7"/>
  <c r="Y339" i="7"/>
  <c r="V64" i="3"/>
  <c r="T241" i="8" s="1"/>
  <c r="T181" i="8"/>
  <c r="Z171" i="5"/>
  <c r="X336" i="7"/>
  <c r="X501" i="7"/>
  <c r="X171" i="7"/>
  <c r="X768" i="7"/>
  <c r="Y330" i="7"/>
  <c r="X726" i="7" s="1"/>
  <c r="Z177" i="5"/>
  <c r="X342" i="7"/>
  <c r="X507" i="7"/>
  <c r="X177" i="7"/>
  <c r="Y334" i="7"/>
  <c r="Y499" i="7"/>
  <c r="Z168" i="5"/>
  <c r="Y678" i="7" s="1"/>
  <c r="X333" i="7"/>
  <c r="X498" i="7"/>
  <c r="Z167" i="5"/>
  <c r="X332" i="7"/>
  <c r="X497" i="7"/>
  <c r="U695" i="7"/>
  <c r="Z172" i="5"/>
  <c r="Y682" i="7" s="1"/>
  <c r="X337" i="7"/>
  <c r="X172" i="7"/>
  <c r="X502" i="7"/>
  <c r="Z173" i="5"/>
  <c r="X338" i="7"/>
  <c r="X503" i="7"/>
  <c r="Y335" i="7"/>
  <c r="Z176" i="5"/>
  <c r="Y686" i="7" s="1"/>
  <c r="X341" i="7"/>
  <c r="X506" i="7"/>
  <c r="X176" i="7"/>
  <c r="Y340" i="7"/>
  <c r="Y505" i="7"/>
  <c r="Y175" i="7"/>
  <c r="Z178" i="5"/>
  <c r="Y688" i="7" s="1"/>
  <c r="X343" i="7"/>
  <c r="X178" i="7"/>
  <c r="X508" i="7"/>
  <c r="V85" i="3"/>
  <c r="T257" i="8" s="1"/>
  <c r="V250" i="3"/>
  <c r="U375" i="3" s="1"/>
  <c r="X81" i="5"/>
  <c r="W80" i="7" s="1"/>
  <c r="V35" i="7"/>
  <c r="Y565" i="7"/>
  <c r="X62" i="5"/>
  <c r="V44" i="7"/>
  <c r="Z59" i="5"/>
  <c r="Y41" i="7" s="1"/>
  <c r="X41" i="7"/>
  <c r="X84" i="2"/>
  <c r="W38" i="3"/>
  <c r="W85" i="2"/>
  <c r="W250" i="3" s="1"/>
  <c r="V39" i="3"/>
  <c r="Y39" i="5"/>
  <c r="W549" i="7"/>
  <c r="W204" i="7"/>
  <c r="W369" i="7"/>
  <c r="W39" i="7"/>
  <c r="W38" i="7"/>
  <c r="W368" i="7"/>
  <c r="W203" i="7"/>
  <c r="W548" i="7"/>
  <c r="Y38" i="5"/>
  <c r="X37" i="7" s="1"/>
  <c r="W64" i="2"/>
  <c r="U181" i="8" s="1"/>
  <c r="U350" i="3"/>
  <c r="X18" i="5"/>
  <c r="X28" i="5"/>
  <c r="V358" i="7"/>
  <c r="V538" i="7"/>
  <c r="X27" i="5"/>
  <c r="V357" i="7"/>
  <c r="X25" i="5"/>
  <c r="V355" i="7"/>
  <c r="X24" i="5"/>
  <c r="V354" i="7"/>
  <c r="Y23" i="5"/>
  <c r="V528" i="7"/>
  <c r="U716" i="7"/>
  <c r="W379" i="3"/>
  <c r="W372" i="3"/>
  <c r="U374" i="3"/>
  <c r="Y605" i="7"/>
  <c r="Y425" i="7"/>
  <c r="Y260" i="7"/>
  <c r="X421" i="7"/>
  <c r="Y423" i="7"/>
  <c r="X601" i="7"/>
  <c r="X256" i="7"/>
  <c r="Y258" i="7"/>
  <c r="Y577" i="7"/>
  <c r="Y397" i="7"/>
  <c r="Y232" i="7"/>
  <c r="T227" i="8"/>
  <c r="T273" i="8" s="1"/>
  <c r="X259" i="7"/>
  <c r="X424" i="7"/>
  <c r="Y603" i="7"/>
  <c r="Y639" i="7"/>
  <c r="Y459" i="7"/>
  <c r="Y640" i="7"/>
  <c r="Y460" i="7"/>
  <c r="Y295" i="7"/>
  <c r="Y454" i="7"/>
  <c r="Y634" i="7"/>
  <c r="Y636" i="7"/>
  <c r="Y456" i="7"/>
  <c r="Y291" i="7"/>
  <c r="Y633" i="7"/>
  <c r="Y453" i="7"/>
  <c r="Y288" i="7"/>
  <c r="X638" i="7"/>
  <c r="X458" i="7"/>
  <c r="X293" i="7"/>
  <c r="T253" i="8"/>
  <c r="V252" i="8"/>
  <c r="Y493" i="7"/>
  <c r="X746" i="7" s="1"/>
  <c r="X767" i="7"/>
  <c r="Y328" i="7"/>
  <c r="X725" i="7" s="1"/>
  <c r="Y495" i="7"/>
  <c r="X747" i="7" s="1"/>
  <c r="V247" i="7"/>
  <c r="V592" i="7"/>
  <c r="V72" i="7"/>
  <c r="W247" i="7"/>
  <c r="Y643" i="7"/>
  <c r="Y463" i="7"/>
  <c r="Y298" i="7"/>
  <c r="W556" i="7"/>
  <c r="V760" i="7" s="1"/>
  <c r="W376" i="7"/>
  <c r="V739" i="7" s="1"/>
  <c r="W211" i="7"/>
  <c r="V718" i="7" s="1"/>
  <c r="V96" i="7"/>
  <c r="V214" i="7"/>
  <c r="V379" i="7"/>
  <c r="V559" i="7"/>
  <c r="Y349" i="7"/>
  <c r="X389" i="7"/>
  <c r="X569" i="7"/>
  <c r="X224" i="7"/>
  <c r="X57" i="7"/>
  <c r="W569" i="7"/>
  <c r="W224" i="7"/>
  <c r="W389" i="7"/>
  <c r="W57" i="7"/>
  <c r="T278" i="8"/>
  <c r="V591" i="7"/>
  <c r="V79" i="7"/>
  <c r="Y32" i="7"/>
  <c r="X32" i="7"/>
  <c r="W557" i="7"/>
  <c r="W377" i="7"/>
  <c r="W212" i="7"/>
  <c r="X45" i="7"/>
  <c r="W96" i="3"/>
  <c r="U264" i="8" s="1"/>
  <c r="W59" i="3"/>
  <c r="U236" i="8" s="1"/>
  <c r="U260" i="8"/>
  <c r="W83" i="3"/>
  <c r="U255" i="8" s="1"/>
  <c r="W97" i="3"/>
  <c r="U265" i="8" s="1"/>
  <c r="Y132" i="3"/>
  <c r="Y34" i="3"/>
  <c r="W52" i="3"/>
  <c r="U231" i="8" s="1"/>
  <c r="W47" i="3"/>
  <c r="Y148" i="3"/>
  <c r="W47" i="7"/>
  <c r="Y174" i="3"/>
  <c r="Y363" i="7"/>
  <c r="Y198" i="7"/>
  <c r="V85" i="7"/>
  <c r="V572" i="7"/>
  <c r="V392" i="7"/>
  <c r="V227" i="7"/>
  <c r="W217" i="7"/>
  <c r="W382" i="7"/>
  <c r="W562" i="7"/>
  <c r="Y144" i="7"/>
  <c r="X144" i="7"/>
  <c r="Y171" i="3"/>
  <c r="V229" i="7"/>
  <c r="Y267" i="7"/>
  <c r="Y164" i="3"/>
  <c r="Y612" i="7"/>
  <c r="Y432" i="7"/>
  <c r="Y162" i="3"/>
  <c r="Y170" i="3"/>
  <c r="W275" i="8"/>
  <c r="V394" i="7"/>
  <c r="Y149" i="7"/>
  <c r="X402" i="7"/>
  <c r="X582" i="7"/>
  <c r="Y172" i="3"/>
  <c r="V415" i="7"/>
  <c r="V595" i="7"/>
  <c r="V250" i="7"/>
  <c r="X311" i="7"/>
  <c r="X656" i="7"/>
  <c r="X476" i="7"/>
  <c r="V100" i="7"/>
  <c r="X56" i="7"/>
  <c r="V98" i="7"/>
  <c r="W250" i="7"/>
  <c r="Y31" i="7"/>
  <c r="V574" i="7"/>
  <c r="Y56" i="3"/>
  <c r="W233" i="8" s="1"/>
  <c r="W81" i="3"/>
  <c r="W51" i="3"/>
  <c r="U230" i="8" s="1"/>
  <c r="Y137" i="3"/>
  <c r="W98" i="3"/>
  <c r="W66" i="3"/>
  <c r="U243" i="8" s="1"/>
  <c r="W117" i="3"/>
  <c r="U259" i="8"/>
  <c r="Y176" i="3"/>
  <c r="Y154" i="3"/>
  <c r="Y80" i="3"/>
  <c r="Y145" i="3"/>
  <c r="W82" i="3"/>
  <c r="U254" i="8" s="1"/>
  <c r="W50" i="3"/>
  <c r="U229" i="8" s="1"/>
  <c r="W118" i="3"/>
  <c r="U258" i="8"/>
  <c r="X215" i="7"/>
  <c r="X560" i="7"/>
  <c r="X380" i="7"/>
  <c r="W99" i="3"/>
  <c r="U266" i="8" s="1"/>
  <c r="U279" i="8" s="1"/>
  <c r="W65" i="3"/>
  <c r="U242" i="8" s="1"/>
  <c r="Y78" i="3"/>
  <c r="W251" i="8" s="1"/>
  <c r="Y170" i="7"/>
  <c r="Y500" i="7"/>
  <c r="X351" i="7"/>
  <c r="V246" i="7"/>
  <c r="V411" i="7"/>
  <c r="Y228" i="7"/>
  <c r="Y315" i="7"/>
  <c r="Y660" i="7"/>
  <c r="Y480" i="7"/>
  <c r="Y150" i="7"/>
  <c r="W608" i="7"/>
  <c r="W428" i="7"/>
  <c r="W98" i="7"/>
  <c r="Y393" i="7"/>
  <c r="W263" i="7"/>
  <c r="Y384" i="7"/>
  <c r="Y219" i="7"/>
  <c r="Y564" i="7"/>
  <c r="W101" i="7"/>
  <c r="Y468" i="7"/>
  <c r="Y303" i="7"/>
  <c r="V627" i="7"/>
  <c r="V447" i="7"/>
  <c r="V282" i="7"/>
  <c r="Y184" i="3"/>
  <c r="W96" i="7"/>
  <c r="V606" i="7"/>
  <c r="V426" i="7"/>
  <c r="V261" i="7"/>
  <c r="X47" i="7"/>
  <c r="X54" i="7"/>
  <c r="Y153" i="7"/>
  <c r="W100" i="7"/>
  <c r="W126" i="7"/>
  <c r="Y143" i="7"/>
  <c r="Y159" i="7"/>
  <c r="Y297" i="7"/>
  <c r="Y292" i="7"/>
  <c r="V82" i="7"/>
  <c r="V81" i="7"/>
  <c r="Y145" i="7"/>
  <c r="Y161" i="7"/>
  <c r="V126" i="7"/>
  <c r="Y648" i="7"/>
  <c r="X55" i="7"/>
  <c r="Y162" i="7"/>
  <c r="W76" i="7"/>
  <c r="Y166" i="7"/>
  <c r="Y151" i="7"/>
  <c r="Y587" i="7"/>
  <c r="Y407" i="7"/>
  <c r="Y242" i="7"/>
  <c r="Y304" i="7"/>
  <c r="Y649" i="7"/>
  <c r="Y469" i="7"/>
  <c r="V75" i="7"/>
  <c r="Y77" i="7"/>
  <c r="W559" i="7"/>
  <c r="X33" i="7"/>
  <c r="X77" i="7"/>
  <c r="W261" i="7"/>
  <c r="Y29" i="7"/>
  <c r="W628" i="7"/>
  <c r="W448" i="7"/>
  <c r="W283" i="7"/>
  <c r="X544" i="7"/>
  <c r="X364" i="7"/>
  <c r="X199" i="7"/>
  <c r="X34" i="7"/>
  <c r="V97" i="7"/>
  <c r="V262" i="7"/>
  <c r="V607" i="7"/>
  <c r="V427" i="7"/>
  <c r="V609" i="7"/>
  <c r="V429" i="7"/>
  <c r="V264" i="7"/>
  <c r="V99" i="7"/>
  <c r="W129" i="7"/>
  <c r="X608" i="7"/>
  <c r="X428" i="7"/>
  <c r="X263" i="7"/>
  <c r="X98" i="7"/>
  <c r="W128" i="7"/>
  <c r="Y299" i="3"/>
  <c r="Y285" i="3"/>
  <c r="Y120" i="3"/>
  <c r="Y165" i="3"/>
  <c r="W594" i="7"/>
  <c r="W414" i="7"/>
  <c r="W249" i="7"/>
  <c r="X67" i="3"/>
  <c r="V244" i="8" s="1"/>
  <c r="Y194" i="3"/>
  <c r="Y29" i="3"/>
  <c r="Y219" i="3"/>
  <c r="Y54" i="3"/>
  <c r="Y277" i="3"/>
  <c r="Y307" i="3"/>
  <c r="Y142" i="3"/>
  <c r="W190" i="8"/>
  <c r="Y242" i="3"/>
  <c r="Y77" i="3"/>
  <c r="W250" i="8" s="1"/>
  <c r="W171" i="8"/>
  <c r="Y217" i="3"/>
  <c r="U179" i="8"/>
  <c r="W227" i="3"/>
  <c r="W62" i="3"/>
  <c r="U239" i="8" s="1"/>
  <c r="Y309" i="3"/>
  <c r="Y144" i="3"/>
  <c r="W172" i="8"/>
  <c r="Y220" i="3"/>
  <c r="Y55" i="3"/>
  <c r="W232" i="8" s="1"/>
  <c r="W204" i="8"/>
  <c r="Y261" i="3"/>
  <c r="Y317" i="3"/>
  <c r="Y152" i="3"/>
  <c r="Y294" i="7"/>
  <c r="U178" i="8"/>
  <c r="W226" i="3"/>
  <c r="U168" i="8"/>
  <c r="W214" i="3"/>
  <c r="W49" i="3"/>
  <c r="U228" i="8" s="1"/>
  <c r="Y279" i="3"/>
  <c r="Y114" i="3"/>
  <c r="Y201" i="3"/>
  <c r="U196" i="8"/>
  <c r="W249" i="3"/>
  <c r="W84" i="3"/>
  <c r="U256" i="8" s="1"/>
  <c r="Y315" i="3"/>
  <c r="Y150" i="3"/>
  <c r="Y167" i="3"/>
  <c r="Y485" i="7"/>
  <c r="Y338" i="3"/>
  <c r="Y173" i="3"/>
  <c r="Y290" i="7"/>
  <c r="X46" i="3"/>
  <c r="U167" i="8"/>
  <c r="W213" i="3"/>
  <c r="W48" i="3"/>
  <c r="W184" i="8"/>
  <c r="Y209" i="3"/>
  <c r="X373" i="3" s="1"/>
  <c r="Y44" i="3"/>
  <c r="Y263" i="3"/>
  <c r="U180" i="8"/>
  <c r="W228" i="3"/>
  <c r="W63" i="3"/>
  <c r="U240" i="8" s="1"/>
  <c r="Y269" i="3"/>
  <c r="X376" i="3" s="1"/>
  <c r="Y128" i="3"/>
  <c r="W176" i="8"/>
  <c r="Y224" i="3"/>
  <c r="W169" i="8"/>
  <c r="Y215" i="3"/>
  <c r="V558" i="7"/>
  <c r="V378" i="7"/>
  <c r="V213" i="7"/>
  <c r="V48" i="7"/>
  <c r="W174" i="8"/>
  <c r="Y222" i="3"/>
  <c r="Y57" i="3"/>
  <c r="W234" i="8" s="1"/>
  <c r="Y212" i="3"/>
  <c r="W182" i="8"/>
  <c r="Y230" i="3"/>
  <c r="W49" i="7"/>
  <c r="W214" i="7"/>
  <c r="P216" i="8"/>
  <c r="P215" i="8"/>
  <c r="P218" i="8"/>
  <c r="P219" i="8"/>
  <c r="D191" i="3"/>
  <c r="D192" i="3"/>
  <c r="D193" i="3"/>
  <c r="D194" i="3"/>
  <c r="D195" i="3"/>
  <c r="D196" i="3"/>
  <c r="D197" i="3"/>
  <c r="D198" i="3"/>
  <c r="D199" i="3"/>
  <c r="D200" i="3"/>
  <c r="D201" i="3"/>
  <c r="D203" i="3"/>
  <c r="D205" i="3"/>
  <c r="D208" i="3"/>
  <c r="D209" i="3"/>
  <c r="D210" i="3"/>
  <c r="D211" i="3"/>
  <c r="D212" i="3"/>
  <c r="D219" i="3"/>
  <c r="D236" i="3"/>
  <c r="D240" i="3"/>
  <c r="D244" i="3"/>
  <c r="D259" i="3"/>
  <c r="D263"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183" i="3"/>
  <c r="Y320" i="7" l="1"/>
  <c r="Y155" i="7"/>
  <c r="W184" i="7"/>
  <c r="W18" i="7"/>
  <c r="W193" i="7"/>
  <c r="W28" i="7"/>
  <c r="Y154" i="7"/>
  <c r="Y484" i="7"/>
  <c r="W64" i="3"/>
  <c r="U241" i="8" s="1"/>
  <c r="W229" i="3"/>
  <c r="V374" i="3" s="1"/>
  <c r="Y319" i="7"/>
  <c r="W348" i="7"/>
  <c r="Y220" i="7"/>
  <c r="Y171" i="7"/>
  <c r="Y681" i="7"/>
  <c r="Y173" i="7"/>
  <c r="Y683" i="7"/>
  <c r="Y167" i="7"/>
  <c r="Y677" i="7"/>
  <c r="Y177" i="7"/>
  <c r="Y687" i="7"/>
  <c r="U197" i="8"/>
  <c r="W85" i="3"/>
  <c r="U257" i="8" s="1"/>
  <c r="Y333" i="7"/>
  <c r="Y498" i="7"/>
  <c r="Y168" i="7"/>
  <c r="Y342" i="7"/>
  <c r="Y507" i="7"/>
  <c r="Y338" i="7"/>
  <c r="Y503" i="7"/>
  <c r="Y343" i="7"/>
  <c r="Y178" i="7"/>
  <c r="Y508" i="7"/>
  <c r="Y341" i="7"/>
  <c r="Y506" i="7"/>
  <c r="Y176" i="7"/>
  <c r="Y332" i="7"/>
  <c r="Y497" i="7"/>
  <c r="Y337" i="7"/>
  <c r="Y172" i="7"/>
  <c r="Y502" i="7"/>
  <c r="Y336" i="7"/>
  <c r="Y501" i="7"/>
  <c r="U758" i="7"/>
  <c r="Y81" i="5"/>
  <c r="W35" i="7"/>
  <c r="Y62" i="5"/>
  <c r="W44" i="7"/>
  <c r="X64" i="2"/>
  <c r="V181" i="8" s="1"/>
  <c r="V350" i="3"/>
  <c r="Z38" i="5"/>
  <c r="Y37" i="7" s="1"/>
  <c r="X368" i="7"/>
  <c r="X203" i="7"/>
  <c r="X548" i="7"/>
  <c r="X38" i="7"/>
  <c r="Z39" i="5"/>
  <c r="X369" i="7"/>
  <c r="X549" i="7"/>
  <c r="X204" i="7"/>
  <c r="X39" i="7"/>
  <c r="X85" i="2"/>
  <c r="V197" i="8" s="1"/>
  <c r="W39" i="3"/>
  <c r="Y18" i="5"/>
  <c r="Y84" i="2"/>
  <c r="Y38" i="3" s="1"/>
  <c r="X38" i="3"/>
  <c r="Y27" i="5"/>
  <c r="W357" i="7"/>
  <c r="Y28" i="5"/>
  <c r="W358" i="7"/>
  <c r="W538" i="7"/>
  <c r="W528" i="7"/>
  <c r="Y25" i="5"/>
  <c r="W355" i="7"/>
  <c r="V716" i="7"/>
  <c r="Z23" i="5"/>
  <c r="X353" i="7"/>
  <c r="Y24" i="5"/>
  <c r="W354" i="7"/>
  <c r="X379" i="3"/>
  <c r="X372" i="3"/>
  <c r="V375" i="3"/>
  <c r="Y601" i="7"/>
  <c r="Y256" i="7"/>
  <c r="Y421" i="7"/>
  <c r="W83" i="7"/>
  <c r="Y259" i="7"/>
  <c r="Y424" i="7"/>
  <c r="Y604" i="7"/>
  <c r="U227" i="8"/>
  <c r="U273" i="8" s="1"/>
  <c r="Y458" i="7"/>
  <c r="Y638" i="7"/>
  <c r="Y293" i="7"/>
  <c r="U253" i="8"/>
  <c r="W252" i="8"/>
  <c r="W72" i="7"/>
  <c r="W412" i="7"/>
  <c r="W592" i="7"/>
  <c r="X247" i="7"/>
  <c r="X556" i="7"/>
  <c r="W760" i="7" s="1"/>
  <c r="X376" i="7"/>
  <c r="W739" i="7" s="1"/>
  <c r="X211" i="7"/>
  <c r="W718" i="7" s="1"/>
  <c r="W379" i="7"/>
  <c r="U278" i="8"/>
  <c r="X80" i="7"/>
  <c r="Y224" i="7"/>
  <c r="Y389" i="7"/>
  <c r="Y569" i="7"/>
  <c r="Y57" i="7"/>
  <c r="W591" i="7"/>
  <c r="W79" i="7"/>
  <c r="W46" i="7"/>
  <c r="X96" i="3"/>
  <c r="V264" i="8" s="1"/>
  <c r="X59" i="3"/>
  <c r="V236" i="8" s="1"/>
  <c r="X97" i="3"/>
  <c r="V265" i="8" s="1"/>
  <c r="V260" i="8"/>
  <c r="X83" i="3"/>
  <c r="V255" i="8" s="1"/>
  <c r="X52" i="3"/>
  <c r="V231" i="8" s="1"/>
  <c r="X47" i="3"/>
  <c r="X557" i="7"/>
  <c r="X377" i="7"/>
  <c r="X212" i="7"/>
  <c r="Y45" i="7"/>
  <c r="W392" i="7"/>
  <c r="W227" i="7"/>
  <c r="W572" i="7"/>
  <c r="X382" i="7"/>
  <c r="X562" i="7"/>
  <c r="Y382" i="7"/>
  <c r="X217" i="7"/>
  <c r="W415" i="7"/>
  <c r="Y574" i="7"/>
  <c r="W229" i="7"/>
  <c r="W574" i="7"/>
  <c r="W85" i="7"/>
  <c r="Y656" i="7"/>
  <c r="Y311" i="7"/>
  <c r="Y476" i="7"/>
  <c r="W276" i="8"/>
  <c r="Y582" i="7"/>
  <c r="Y402" i="7"/>
  <c r="Y237" i="7"/>
  <c r="W394" i="7"/>
  <c r="Y56" i="7"/>
  <c r="W84" i="7"/>
  <c r="W595" i="7"/>
  <c r="X83" i="7"/>
  <c r="X81" i="3"/>
  <c r="X51" i="3"/>
  <c r="V230" i="8" s="1"/>
  <c r="X117" i="3"/>
  <c r="V259" i="8"/>
  <c r="X98" i="3"/>
  <c r="X66" i="3"/>
  <c r="V243" i="8" s="1"/>
  <c r="X99" i="3"/>
  <c r="V266" i="8" s="1"/>
  <c r="V279" i="8" s="1"/>
  <c r="X65" i="3"/>
  <c r="V242" i="8" s="1"/>
  <c r="X82" i="3"/>
  <c r="V254" i="8" s="1"/>
  <c r="X50" i="3"/>
  <c r="V229" i="8" s="1"/>
  <c r="X118" i="3"/>
  <c r="V258" i="8"/>
  <c r="Y351" i="7"/>
  <c r="W246" i="7"/>
  <c r="W411" i="7"/>
  <c r="Y101" i="7"/>
  <c r="X96" i="7"/>
  <c r="W606" i="7"/>
  <c r="W426" i="7"/>
  <c r="X282" i="7"/>
  <c r="X627" i="7"/>
  <c r="X447" i="7"/>
  <c r="W627" i="7"/>
  <c r="W447" i="7"/>
  <c r="W282" i="7"/>
  <c r="X146" i="7"/>
  <c r="X100" i="7"/>
  <c r="Y47" i="7"/>
  <c r="Y54" i="7"/>
  <c r="W82" i="7"/>
  <c r="W81" i="7"/>
  <c r="X448" i="7"/>
  <c r="X126" i="7"/>
  <c r="Y55" i="7"/>
  <c r="W75" i="7"/>
  <c r="X76" i="7"/>
  <c r="Y33" i="7"/>
  <c r="X283" i="7"/>
  <c r="X426" i="7"/>
  <c r="X606" i="7"/>
  <c r="X628" i="7"/>
  <c r="Y146" i="7"/>
  <c r="Y544" i="7"/>
  <c r="Y364" i="7"/>
  <c r="Y34" i="7"/>
  <c r="Y199" i="7"/>
  <c r="Y608" i="7"/>
  <c r="Y428" i="7"/>
  <c r="Y263" i="7"/>
  <c r="Y98" i="7"/>
  <c r="X128" i="7"/>
  <c r="W262" i="7"/>
  <c r="W97" i="7"/>
  <c r="W607" i="7"/>
  <c r="W427" i="7"/>
  <c r="X129" i="7"/>
  <c r="W429" i="7"/>
  <c r="W264" i="7"/>
  <c r="W99" i="7"/>
  <c r="W609" i="7"/>
  <c r="W558" i="7"/>
  <c r="W378" i="7"/>
  <c r="W213" i="7"/>
  <c r="W48" i="7"/>
  <c r="V196" i="8"/>
  <c r="X249" i="3"/>
  <c r="X84" i="3"/>
  <c r="V256" i="8" s="1"/>
  <c r="V178" i="8"/>
  <c r="X226" i="3"/>
  <c r="V180" i="8"/>
  <c r="X228" i="3"/>
  <c r="X63" i="3"/>
  <c r="V240" i="8" s="1"/>
  <c r="V179" i="8"/>
  <c r="X227" i="3"/>
  <c r="X62" i="3"/>
  <c r="V239" i="8" s="1"/>
  <c r="Y67" i="3"/>
  <c r="W244" i="8" s="1"/>
  <c r="X559" i="7"/>
  <c r="V168" i="8"/>
  <c r="X49" i="3"/>
  <c r="V228" i="8" s="1"/>
  <c r="X214" i="3"/>
  <c r="X594" i="7"/>
  <c r="X414" i="7"/>
  <c r="X249" i="7"/>
  <c r="X84" i="7"/>
  <c r="Y46" i="3"/>
  <c r="V167" i="8"/>
  <c r="X48" i="3"/>
  <c r="X213" i="3"/>
  <c r="X49" i="7"/>
  <c r="X214" i="7"/>
  <c r="X379" i="7"/>
  <c r="Q218" i="8"/>
  <c r="Q219" i="8"/>
  <c r="Q216" i="8"/>
  <c r="Q215" i="8"/>
  <c r="K214" i="8"/>
  <c r="D176" i="3"/>
  <c r="D177" i="3"/>
  <c r="D178" i="3"/>
  <c r="D169" i="3"/>
  <c r="D170" i="3"/>
  <c r="D171" i="3"/>
  <c r="D172" i="3"/>
  <c r="D173" i="3"/>
  <c r="D174" i="3"/>
  <c r="D175" i="3"/>
  <c r="X184" i="7" l="1"/>
  <c r="X18" i="7"/>
  <c r="V695" i="7"/>
  <c r="X193" i="7"/>
  <c r="X28" i="7"/>
  <c r="X64" i="3"/>
  <c r="V241" i="8" s="1"/>
  <c r="X348" i="7"/>
  <c r="X229" i="3"/>
  <c r="W374" i="3" s="1"/>
  <c r="V758" i="7"/>
  <c r="X85" i="3"/>
  <c r="V257" i="8" s="1"/>
  <c r="X250" i="3"/>
  <c r="W375" i="3" s="1"/>
  <c r="Z81" i="5"/>
  <c r="X35" i="7"/>
  <c r="Z62" i="5"/>
  <c r="Y44" i="7" s="1"/>
  <c r="X44" i="7"/>
  <c r="Z18" i="5"/>
  <c r="Y369" i="7"/>
  <c r="Y549" i="7"/>
  <c r="Y204" i="7"/>
  <c r="Y39" i="7"/>
  <c r="Y85" i="2"/>
  <c r="Y39" i="3" s="1"/>
  <c r="X39" i="3"/>
  <c r="Y548" i="7"/>
  <c r="Y368" i="7"/>
  <c r="Y38" i="7"/>
  <c r="Y203" i="7"/>
  <c r="Y64" i="2"/>
  <c r="X350" i="3" s="1"/>
  <c r="W350" i="3"/>
  <c r="Z28" i="5"/>
  <c r="X358" i="7"/>
  <c r="X538" i="7"/>
  <c r="Z27" i="5"/>
  <c r="Y357" i="7" s="1"/>
  <c r="X357" i="7"/>
  <c r="Z25" i="5"/>
  <c r="Y355" i="7" s="1"/>
  <c r="X355" i="7"/>
  <c r="Y353" i="7"/>
  <c r="W716" i="7"/>
  <c r="X528" i="7"/>
  <c r="Z24" i="5"/>
  <c r="Y354" i="7" s="1"/>
  <c r="X354" i="7"/>
  <c r="V227" i="8"/>
  <c r="V273" i="8" s="1"/>
  <c r="V253" i="8"/>
  <c r="X72" i="7"/>
  <c r="X412" i="7"/>
  <c r="X592" i="7"/>
  <c r="F252" i="7"/>
  <c r="F597" i="7"/>
  <c r="F417" i="7"/>
  <c r="Y597" i="7"/>
  <c r="Y417" i="7"/>
  <c r="Y252" i="7"/>
  <c r="G251" i="7"/>
  <c r="G596" i="7"/>
  <c r="G416" i="7"/>
  <c r="G597" i="7"/>
  <c r="G417" i="7"/>
  <c r="G252" i="7"/>
  <c r="O597" i="7"/>
  <c r="O417" i="7"/>
  <c r="O252" i="7"/>
  <c r="F596" i="7"/>
  <c r="F416" i="7"/>
  <c r="F251" i="7"/>
  <c r="N596" i="7"/>
  <c r="N416" i="7"/>
  <c r="N251" i="7"/>
  <c r="Y596" i="7"/>
  <c r="Y416" i="7"/>
  <c r="Y251" i="7"/>
  <c r="L597" i="7"/>
  <c r="L417" i="7"/>
  <c r="L252" i="7"/>
  <c r="N252" i="7"/>
  <c r="N417" i="7"/>
  <c r="N597" i="7"/>
  <c r="H597" i="7"/>
  <c r="H417" i="7"/>
  <c r="H252" i="7"/>
  <c r="P252" i="7"/>
  <c r="P417" i="7"/>
  <c r="P597" i="7"/>
  <c r="X596" i="7"/>
  <c r="X416" i="7"/>
  <c r="X251" i="7"/>
  <c r="M596" i="7"/>
  <c r="M416" i="7"/>
  <c r="M251" i="7"/>
  <c r="L596" i="7"/>
  <c r="L416" i="7"/>
  <c r="L251" i="7"/>
  <c r="Q597" i="7"/>
  <c r="Q417" i="7"/>
  <c r="Q252" i="7"/>
  <c r="V596" i="7"/>
  <c r="V416" i="7"/>
  <c r="V251" i="7"/>
  <c r="I596" i="7"/>
  <c r="I416" i="7"/>
  <c r="I251" i="7"/>
  <c r="I417" i="7"/>
  <c r="I252" i="7"/>
  <c r="I597" i="7"/>
  <c r="W596" i="7"/>
  <c r="W416" i="7"/>
  <c r="W251" i="7"/>
  <c r="J597" i="7"/>
  <c r="J252" i="7"/>
  <c r="J417" i="7"/>
  <c r="U597" i="7"/>
  <c r="U417" i="7"/>
  <c r="U252" i="7"/>
  <c r="K416" i="7"/>
  <c r="K596" i="7"/>
  <c r="K251" i="7"/>
  <c r="K252" i="7"/>
  <c r="K597" i="7"/>
  <c r="K417" i="7"/>
  <c r="V417" i="7"/>
  <c r="V252" i="7"/>
  <c r="V597" i="7"/>
  <c r="U251" i="7"/>
  <c r="U596" i="7"/>
  <c r="U416" i="7"/>
  <c r="J596" i="7"/>
  <c r="J416" i="7"/>
  <c r="J251" i="7"/>
  <c r="Q251" i="7"/>
  <c r="Q596" i="7"/>
  <c r="Q416" i="7"/>
  <c r="W597" i="7"/>
  <c r="W417" i="7"/>
  <c r="W252" i="7"/>
  <c r="M417" i="7"/>
  <c r="M252" i="7"/>
  <c r="M597" i="7"/>
  <c r="X252" i="7"/>
  <c r="X597" i="7"/>
  <c r="X417" i="7"/>
  <c r="P596" i="7"/>
  <c r="P251" i="7"/>
  <c r="P416" i="7"/>
  <c r="H251" i="7"/>
  <c r="H596" i="7"/>
  <c r="H416" i="7"/>
  <c r="O251" i="7"/>
  <c r="O416" i="7"/>
  <c r="O596" i="7"/>
  <c r="Y556" i="7"/>
  <c r="X760" i="7" s="1"/>
  <c r="Y376" i="7"/>
  <c r="X739" i="7" s="1"/>
  <c r="Y211" i="7"/>
  <c r="X718" i="7" s="1"/>
  <c r="Y96" i="7"/>
  <c r="Y394" i="7"/>
  <c r="V261" i="8"/>
  <c r="D261" i="8"/>
  <c r="W261" i="8"/>
  <c r="Y46" i="7"/>
  <c r="X46" i="7"/>
  <c r="X246" i="7"/>
  <c r="X79" i="7"/>
  <c r="Y562" i="7"/>
  <c r="Y97" i="3"/>
  <c r="W265" i="8" s="1"/>
  <c r="Y212" i="7"/>
  <c r="Y557" i="7"/>
  <c r="Y377" i="7"/>
  <c r="Y96" i="3"/>
  <c r="W264" i="8" s="1"/>
  <c r="Y59" i="3"/>
  <c r="W236" i="8" s="1"/>
  <c r="W260" i="8"/>
  <c r="Y83" i="3"/>
  <c r="W255" i="8" s="1"/>
  <c r="Y52" i="3"/>
  <c r="W231" i="8" s="1"/>
  <c r="Y47" i="3"/>
  <c r="V278" i="8"/>
  <c r="Y217" i="7"/>
  <c r="X227" i="7"/>
  <c r="X392" i="7"/>
  <c r="X572" i="7"/>
  <c r="X229" i="7"/>
  <c r="X394" i="7"/>
  <c r="Y229" i="7"/>
  <c r="X574" i="7"/>
  <c r="X85" i="7"/>
  <c r="X595" i="7"/>
  <c r="X415" i="7"/>
  <c r="X250" i="7"/>
  <c r="Y98" i="3"/>
  <c r="Y66" i="3"/>
  <c r="W243" i="8" s="1"/>
  <c r="Y81" i="3"/>
  <c r="Y51" i="3"/>
  <c r="W230" i="8" s="1"/>
  <c r="Y117" i="3"/>
  <c r="W259" i="8"/>
  <c r="Y118" i="3"/>
  <c r="W258" i="8"/>
  <c r="Y82" i="3"/>
  <c r="W254" i="8" s="1"/>
  <c r="Y50" i="3"/>
  <c r="W229" i="8" s="1"/>
  <c r="Y99" i="3"/>
  <c r="W266" i="8" s="1"/>
  <c r="W279" i="8" s="1"/>
  <c r="Y65" i="3"/>
  <c r="W242" i="8" s="1"/>
  <c r="X81" i="7"/>
  <c r="X591" i="7"/>
  <c r="X411" i="7"/>
  <c r="X261" i="7"/>
  <c r="Y447" i="7"/>
  <c r="Y627" i="7"/>
  <c r="Y282" i="7"/>
  <c r="Y100" i="7"/>
  <c r="Y126" i="7"/>
  <c r="X75" i="7"/>
  <c r="X82" i="7"/>
  <c r="Y76" i="7"/>
  <c r="Y559" i="7"/>
  <c r="Y261" i="7"/>
  <c r="Y606" i="7"/>
  <c r="Y426" i="7"/>
  <c r="Y283" i="7"/>
  <c r="Y448" i="7"/>
  <c r="Y628" i="7"/>
  <c r="X427" i="7"/>
  <c r="X262" i="7"/>
  <c r="X97" i="7"/>
  <c r="X607" i="7"/>
  <c r="X609" i="7"/>
  <c r="X429" i="7"/>
  <c r="X264" i="7"/>
  <c r="X99" i="7"/>
  <c r="Y129" i="7"/>
  <c r="Y128" i="7"/>
  <c r="Y379" i="7"/>
  <c r="Y49" i="7"/>
  <c r="W179" i="8"/>
  <c r="Y227" i="3"/>
  <c r="Y62" i="3"/>
  <c r="W239" i="8" s="1"/>
  <c r="W178" i="8"/>
  <c r="Y226" i="3"/>
  <c r="Y214" i="7"/>
  <c r="Y594" i="7"/>
  <c r="Y414" i="7"/>
  <c r="Y249" i="7"/>
  <c r="W168" i="8"/>
  <c r="Y214" i="3"/>
  <c r="Y49" i="3"/>
  <c r="W228" i="8" s="1"/>
  <c r="B187" i="8"/>
  <c r="B247" i="8" s="1"/>
  <c r="D583" i="7"/>
  <c r="D403" i="7"/>
  <c r="W180" i="8"/>
  <c r="Y228" i="3"/>
  <c r="Y63" i="3"/>
  <c r="W240" i="8" s="1"/>
  <c r="W196" i="8"/>
  <c r="Y249" i="3"/>
  <c r="Y84" i="3"/>
  <c r="W256" i="8" s="1"/>
  <c r="W167" i="8"/>
  <c r="Y213" i="3"/>
  <c r="Y48" i="3"/>
  <c r="X558" i="7"/>
  <c r="X378" i="7"/>
  <c r="X48" i="7"/>
  <c r="X213" i="7"/>
  <c r="L217" i="8"/>
  <c r="R218" i="8"/>
  <c r="R216" i="8"/>
  <c r="R219" i="8"/>
  <c r="R215" i="8"/>
  <c r="L214" i="8"/>
  <c r="D238" i="7"/>
  <c r="D238" i="3"/>
  <c r="Y184" i="7" l="1"/>
  <c r="Y18" i="7"/>
  <c r="W695" i="7"/>
  <c r="Y193" i="7"/>
  <c r="Y28" i="7"/>
  <c r="Y348" i="7"/>
  <c r="Y64" i="3"/>
  <c r="W241" i="8" s="1"/>
  <c r="Y229" i="3"/>
  <c r="X374" i="3" s="1"/>
  <c r="W181" i="8"/>
  <c r="Y85" i="3"/>
  <c r="W257" i="8" s="1"/>
  <c r="Y250" i="3"/>
  <c r="P741" i="7"/>
  <c r="N720" i="7"/>
  <c r="W197" i="8"/>
  <c r="Y35" i="7"/>
  <c r="Y80" i="7"/>
  <c r="W758" i="7"/>
  <c r="V720" i="7"/>
  <c r="Y538" i="7"/>
  <c r="Y358" i="7"/>
  <c r="Y528" i="7"/>
  <c r="X716" i="7"/>
  <c r="K741" i="7"/>
  <c r="V741" i="7"/>
  <c r="V762" i="7"/>
  <c r="U741" i="7"/>
  <c r="L720" i="7"/>
  <c r="K720" i="7"/>
  <c r="K762" i="7"/>
  <c r="O762" i="7"/>
  <c r="O720" i="7"/>
  <c r="T762" i="7"/>
  <c r="N741" i="7"/>
  <c r="M720" i="7"/>
  <c r="P762" i="7"/>
  <c r="M762" i="7"/>
  <c r="O741" i="7"/>
  <c r="W762" i="7"/>
  <c r="N762" i="7"/>
  <c r="T741" i="7"/>
  <c r="X375" i="3"/>
  <c r="T720" i="7"/>
  <c r="M741" i="7"/>
  <c r="U720" i="7"/>
  <c r="W720" i="7"/>
  <c r="U762" i="7"/>
  <c r="W741" i="7"/>
  <c r="Y83" i="7"/>
  <c r="W227" i="8"/>
  <c r="W273" i="8" s="1"/>
  <c r="V277" i="8"/>
  <c r="W253" i="8"/>
  <c r="Y72" i="7"/>
  <c r="Y592" i="7"/>
  <c r="Y247" i="7"/>
  <c r="Y412" i="7"/>
  <c r="F261" i="8"/>
  <c r="T261" i="8"/>
  <c r="G261" i="8"/>
  <c r="M261" i="8"/>
  <c r="O261" i="8"/>
  <c r="I261" i="8"/>
  <c r="N261" i="8"/>
  <c r="K261" i="8"/>
  <c r="H261" i="8"/>
  <c r="S261" i="8"/>
  <c r="D277" i="8"/>
  <c r="E261" i="8"/>
  <c r="L261" i="8"/>
  <c r="J261" i="8"/>
  <c r="U261" i="8"/>
  <c r="W278" i="8"/>
  <c r="Y246" i="7"/>
  <c r="Y79" i="7"/>
  <c r="Y392" i="7"/>
  <c r="Y572" i="7"/>
  <c r="Y227" i="7"/>
  <c r="Y85" i="7"/>
  <c r="Y84" i="7"/>
  <c r="Y250" i="7"/>
  <c r="Y595" i="7"/>
  <c r="Y415" i="7"/>
  <c r="Y81" i="7"/>
  <c r="Y591" i="7"/>
  <c r="Y411" i="7"/>
  <c r="Y48" i="7"/>
  <c r="Y213" i="7"/>
  <c r="Y82" i="7"/>
  <c r="Y378" i="7"/>
  <c r="Y558" i="7"/>
  <c r="Y75" i="7"/>
  <c r="Y607" i="7"/>
  <c r="Y427" i="7"/>
  <c r="Y262" i="7"/>
  <c r="Y97" i="7"/>
  <c r="Y99" i="7"/>
  <c r="Y609" i="7"/>
  <c r="Y429" i="7"/>
  <c r="Y264" i="7"/>
  <c r="S216" i="8"/>
  <c r="M217" i="8"/>
  <c r="S215" i="8"/>
  <c r="M214" i="8"/>
  <c r="S218" i="8"/>
  <c r="S219" i="8"/>
  <c r="X695" i="7" l="1"/>
  <c r="W277" i="8"/>
  <c r="X758" i="7"/>
  <c r="X720" i="7"/>
  <c r="X762" i="7"/>
  <c r="X741" i="7"/>
  <c r="K277" i="8"/>
  <c r="M277" i="8"/>
  <c r="N277" i="8"/>
  <c r="G277" i="8"/>
  <c r="U277" i="8"/>
  <c r="J277" i="8"/>
  <c r="S277" i="8"/>
  <c r="I277" i="8"/>
  <c r="T277" i="8"/>
  <c r="E277" i="8"/>
  <c r="L277" i="8"/>
  <c r="H277" i="8"/>
  <c r="O277" i="8"/>
  <c r="F277" i="8"/>
  <c r="T216" i="8"/>
  <c r="T219" i="8"/>
  <c r="N217" i="8"/>
  <c r="T218" i="8"/>
  <c r="T215" i="8"/>
  <c r="N214" i="8"/>
  <c r="U216" i="8" l="1"/>
  <c r="U218" i="8"/>
  <c r="U219" i="8"/>
  <c r="O214" i="8"/>
  <c r="U215" i="8"/>
  <c r="O217" i="8"/>
  <c r="V215" i="8" l="1"/>
  <c r="V219" i="8"/>
  <c r="V216" i="8"/>
  <c r="V218" i="8"/>
  <c r="P217" i="8"/>
  <c r="P214" i="8"/>
  <c r="W218" i="8" l="1"/>
  <c r="Q217" i="8"/>
  <c r="W216" i="8"/>
  <c r="Q214" i="8"/>
  <c r="W215" i="8"/>
  <c r="W219" i="8" l="1"/>
  <c r="R217" i="8"/>
  <c r="R214" i="8"/>
  <c r="S217" i="8" l="1"/>
  <c r="S214" i="8"/>
  <c r="T217" i="8" l="1"/>
  <c r="T214" i="8"/>
  <c r="U217" i="8" l="1"/>
  <c r="U214" i="8"/>
  <c r="D107" i="5"/>
  <c r="C124" i="4"/>
  <c r="C125" i="4"/>
  <c r="C126" i="4"/>
  <c r="D73" i="5"/>
  <c r="C70" i="4" l="1"/>
  <c r="D400" i="7"/>
  <c r="D106" i="5"/>
  <c r="D106" i="7"/>
  <c r="D75" i="5"/>
  <c r="D104" i="5"/>
  <c r="D105" i="5"/>
  <c r="D102" i="5"/>
  <c r="D103" i="5"/>
  <c r="D100" i="5"/>
  <c r="D111" i="7"/>
  <c r="D110" i="7"/>
  <c r="D77" i="5"/>
  <c r="D105" i="7"/>
  <c r="D104" i="7"/>
  <c r="D101" i="5"/>
  <c r="D107" i="7"/>
  <c r="D74" i="5"/>
  <c r="D109" i="7"/>
  <c r="D76" i="5"/>
  <c r="D103" i="7"/>
  <c r="D131" i="7"/>
  <c r="D130" i="7"/>
  <c r="D126" i="7"/>
  <c r="D125" i="7"/>
  <c r="D127" i="7"/>
  <c r="D129" i="7"/>
  <c r="C127" i="4"/>
  <c r="B190" i="8"/>
  <c r="B250" i="8" s="1"/>
  <c r="D407" i="7"/>
  <c r="D587" i="7"/>
  <c r="B185" i="8"/>
  <c r="B245" i="8" s="1"/>
  <c r="D580" i="7"/>
  <c r="B186" i="8"/>
  <c r="B246" i="8" s="1"/>
  <c r="D402" i="7"/>
  <c r="D582" i="7"/>
  <c r="B177" i="8"/>
  <c r="B237" i="8" s="1"/>
  <c r="D390" i="7"/>
  <c r="D570" i="7"/>
  <c r="D74" i="7"/>
  <c r="B188" i="8"/>
  <c r="B248" i="8" s="1"/>
  <c r="D584" i="7"/>
  <c r="D404" i="7"/>
  <c r="B171" i="8"/>
  <c r="B231" i="8" s="1"/>
  <c r="D382" i="7"/>
  <c r="D562" i="7"/>
  <c r="D76" i="7"/>
  <c r="B189" i="8"/>
  <c r="B249" i="8" s="1"/>
  <c r="D406" i="7"/>
  <c r="D586" i="7"/>
  <c r="B191" i="8"/>
  <c r="B251" i="8" s="1"/>
  <c r="D408" i="7"/>
  <c r="D588" i="7"/>
  <c r="V217" i="8"/>
  <c r="V214" i="8"/>
  <c r="B204" i="8"/>
  <c r="B264" i="8" s="1"/>
  <c r="D606" i="7"/>
  <c r="D426" i="7"/>
  <c r="B205" i="8"/>
  <c r="B265" i="8" s="1"/>
  <c r="D607" i="7"/>
  <c r="D427" i="7"/>
  <c r="B203" i="8"/>
  <c r="B263" i="8" s="1"/>
  <c r="D425" i="7"/>
  <c r="D605" i="7"/>
  <c r="B208" i="8"/>
  <c r="B268" i="8" s="1"/>
  <c r="D431" i="7"/>
  <c r="D611" i="7"/>
  <c r="B207" i="8"/>
  <c r="B267" i="8" s="1"/>
  <c r="D430" i="7"/>
  <c r="D610" i="7"/>
  <c r="B206" i="8"/>
  <c r="B266" i="8" s="1"/>
  <c r="D429" i="7"/>
  <c r="D609" i="7"/>
  <c r="D243" i="7"/>
  <c r="D242" i="7"/>
  <c r="D235" i="7"/>
  <c r="D266" i="7"/>
  <c r="D241" i="7"/>
  <c r="D77" i="7"/>
  <c r="D265" i="7"/>
  <c r="D237" i="7"/>
  <c r="D73" i="7"/>
  <c r="D261" i="7"/>
  <c r="D260" i="7"/>
  <c r="D262" i="7"/>
  <c r="D264" i="7"/>
  <c r="D239" i="7"/>
  <c r="D75" i="7"/>
  <c r="D225" i="7"/>
  <c r="D217" i="7"/>
  <c r="D235" i="3"/>
  <c r="D225" i="3"/>
  <c r="D239" i="3"/>
  <c r="D242" i="3"/>
  <c r="D266" i="3"/>
  <c r="D243" i="3"/>
  <c r="D241" i="3"/>
  <c r="D261" i="3"/>
  <c r="D217" i="3"/>
  <c r="D237" i="3"/>
  <c r="D73" i="3"/>
  <c r="D262" i="3"/>
  <c r="D264" i="3"/>
  <c r="D265" i="3"/>
  <c r="D260" i="3"/>
  <c r="W214" i="8" l="1"/>
  <c r="W217" i="8"/>
  <c r="Y560" i="7" l="1"/>
  <c r="Y380" i="7"/>
  <c r="Y215" i="7"/>
  <c r="D50" i="5"/>
  <c r="M575" i="7"/>
  <c r="M395" i="7"/>
  <c r="M230" i="7"/>
  <c r="L395" i="7"/>
  <c r="L230" i="7"/>
  <c r="L575" i="7"/>
  <c r="K575" i="7"/>
  <c r="K395" i="7"/>
  <c r="K230" i="7"/>
  <c r="U230" i="7"/>
  <c r="U575" i="7"/>
  <c r="U395" i="7"/>
  <c r="X395" i="7"/>
  <c r="X230" i="7"/>
  <c r="X575" i="7"/>
  <c r="V575" i="7"/>
  <c r="V395" i="7"/>
  <c r="V230" i="7"/>
  <c r="Q575" i="7"/>
  <c r="Q395" i="7"/>
  <c r="Q230" i="7"/>
  <c r="W575" i="7"/>
  <c r="W395" i="7"/>
  <c r="W230" i="7"/>
  <c r="I395" i="7"/>
  <c r="I230" i="7"/>
  <c r="I575" i="7"/>
  <c r="P575" i="7"/>
  <c r="P230" i="7"/>
  <c r="P395" i="7"/>
  <c r="F395" i="7"/>
  <c r="F230" i="7"/>
  <c r="F575" i="7"/>
  <c r="O575" i="7"/>
  <c r="O395" i="7"/>
  <c r="O230" i="7"/>
  <c r="G395" i="7"/>
  <c r="G575" i="7"/>
  <c r="G230" i="7"/>
  <c r="J575" i="7"/>
  <c r="J230" i="7"/>
  <c r="J395" i="7"/>
  <c r="H230" i="7"/>
  <c r="H575" i="7"/>
  <c r="H395" i="7"/>
  <c r="Y575" i="7"/>
  <c r="Y230" i="7"/>
  <c r="Y395" i="7"/>
  <c r="N230" i="7"/>
  <c r="N575" i="7"/>
  <c r="N395" i="7"/>
  <c r="D51" i="5"/>
  <c r="D49" i="5"/>
  <c r="D47" i="5"/>
  <c r="D47" i="7"/>
  <c r="D48" i="5"/>
  <c r="D46" i="5"/>
  <c r="D46" i="7"/>
  <c r="C97" i="4"/>
  <c r="C96" i="4"/>
  <c r="B170" i="8"/>
  <c r="B230" i="8" s="1"/>
  <c r="D381" i="7"/>
  <c r="D561" i="7"/>
  <c r="B179" i="8"/>
  <c r="B239" i="8" s="1"/>
  <c r="B22" i="10"/>
  <c r="B34" i="10" s="1"/>
  <c r="D572" i="7"/>
  <c r="D392" i="7"/>
  <c r="B167" i="8"/>
  <c r="B227" i="8" s="1"/>
  <c r="D558" i="7"/>
  <c r="D378" i="7"/>
  <c r="B168" i="8"/>
  <c r="B228" i="8" s="1"/>
  <c r="B21" i="10"/>
  <c r="B33" i="10" s="1"/>
  <c r="D379" i="7"/>
  <c r="D559" i="7"/>
  <c r="B178" i="8"/>
  <c r="B238" i="8" s="1"/>
  <c r="D391" i="7"/>
  <c r="D571" i="7"/>
  <c r="B169" i="8"/>
  <c r="B229" i="8" s="1"/>
  <c r="D380" i="7"/>
  <c r="D560" i="7"/>
  <c r="D215" i="7"/>
  <c r="D216" i="7"/>
  <c r="D227" i="7"/>
  <c r="D226" i="7"/>
  <c r="D213" i="7"/>
  <c r="D214" i="7"/>
  <c r="D215" i="3"/>
  <c r="D213" i="3"/>
  <c r="B14" i="10"/>
  <c r="D214" i="3"/>
  <c r="D216" i="3"/>
  <c r="D226" i="3"/>
  <c r="B15" i="10"/>
  <c r="D227" i="3"/>
  <c r="E42" i="4"/>
  <c r="C27" i="4"/>
  <c r="C204" i="4" s="1"/>
  <c r="C33" i="4"/>
  <c r="C210" i="4" s="1"/>
  <c r="C34" i="4"/>
  <c r="C211" i="4" s="1"/>
  <c r="C35" i="4"/>
  <c r="C212" i="4" s="1"/>
  <c r="C36" i="4"/>
  <c r="C213" i="4" s="1"/>
  <c r="C38" i="4"/>
  <c r="C215" i="4" s="1"/>
  <c r="C40" i="4"/>
  <c r="C217" i="4" s="1"/>
  <c r="C42" i="4"/>
  <c r="C219" i="4" s="1"/>
  <c r="C43" i="4"/>
  <c r="C220" i="4" s="1"/>
  <c r="C44" i="4"/>
  <c r="C221" i="4" s="1"/>
  <c r="C45" i="4"/>
  <c r="C222" i="4" s="1"/>
  <c r="C46" i="4"/>
  <c r="C223" i="4" s="1"/>
  <c r="C47" i="4"/>
  <c r="C224" i="4" s="1"/>
  <c r="C109" i="4"/>
  <c r="C110" i="4"/>
  <c r="C111" i="4"/>
  <c r="C112" i="4"/>
  <c r="C128" i="4"/>
  <c r="C129" i="4"/>
  <c r="C130" i="4"/>
  <c r="C131" i="4"/>
  <c r="C132" i="4"/>
  <c r="C133" i="4"/>
  <c r="C134" i="4"/>
  <c r="C146" i="4"/>
  <c r="C151" i="4"/>
  <c r="C156" i="4"/>
  <c r="C157" i="4"/>
  <c r="C165" i="4"/>
  <c r="C166" i="4"/>
  <c r="C167" i="4"/>
  <c r="C168" i="4"/>
  <c r="C169" i="4"/>
  <c r="C170" i="4"/>
  <c r="C171" i="4"/>
  <c r="C172" i="4"/>
  <c r="C173" i="4"/>
  <c r="C174" i="4"/>
  <c r="C175" i="4"/>
  <c r="C176" i="4"/>
  <c r="C177" i="4"/>
  <c r="C178" i="4"/>
  <c r="C18" i="4"/>
  <c r="C195" i="4" s="1"/>
  <c r="D28" i="3"/>
  <c r="D31" i="3"/>
  <c r="D32" i="3"/>
  <c r="D33" i="3"/>
  <c r="D34" i="3"/>
  <c r="D35" i="3"/>
  <c r="D38" i="3"/>
  <c r="D40" i="3"/>
  <c r="D41" i="3"/>
  <c r="D43" i="3"/>
  <c r="D44" i="3"/>
  <c r="D45" i="3"/>
  <c r="D46" i="3"/>
  <c r="D47" i="3"/>
  <c r="D103" i="3"/>
  <c r="D104" i="3"/>
  <c r="D105" i="3"/>
  <c r="D106" i="3"/>
  <c r="D107" i="3"/>
  <c r="D108" i="3"/>
  <c r="D109" i="3"/>
  <c r="D110" i="3"/>
  <c r="D111" i="3"/>
  <c r="D112" i="3"/>
  <c r="D126" i="3"/>
  <c r="D131" i="3"/>
  <c r="D135" i="3"/>
  <c r="D136" i="3"/>
  <c r="D143" i="3"/>
  <c r="D144" i="3"/>
  <c r="D145" i="3"/>
  <c r="D146" i="3"/>
  <c r="D147" i="3"/>
  <c r="D148" i="3"/>
  <c r="D149" i="3"/>
  <c r="D150" i="3"/>
  <c r="D151" i="3"/>
  <c r="D152" i="3"/>
  <c r="D153" i="3"/>
  <c r="D154" i="3"/>
  <c r="D155" i="3"/>
  <c r="D156" i="3"/>
  <c r="D157" i="3"/>
  <c r="D158" i="3"/>
  <c r="D159" i="3"/>
  <c r="D160" i="3"/>
  <c r="D161" i="3"/>
  <c r="D162" i="3"/>
  <c r="D163" i="3"/>
  <c r="D165" i="3"/>
  <c r="D166" i="3"/>
  <c r="D167" i="3"/>
  <c r="D168" i="3"/>
  <c r="D258" i="3"/>
  <c r="D87" i="5"/>
  <c r="D127" i="3"/>
  <c r="D129" i="3"/>
  <c r="C150" i="4"/>
  <c r="C64" i="4"/>
  <c r="C63" i="4"/>
  <c r="C158" i="4"/>
  <c r="D60" i="5"/>
  <c r="B20" i="13"/>
  <c r="B19" i="13"/>
  <c r="B18" i="13"/>
  <c r="B17" i="13"/>
  <c r="F118" i="4"/>
  <c r="G118" i="4"/>
  <c r="H118" i="4"/>
  <c r="I118" i="4"/>
  <c r="J118" i="4"/>
  <c r="K118" i="4"/>
  <c r="G492" i="3" s="1"/>
  <c r="L118" i="4"/>
  <c r="M118" i="4"/>
  <c r="N118" i="4"/>
  <c r="O118" i="4"/>
  <c r="P118" i="4"/>
  <c r="T118" i="4"/>
  <c r="U118" i="4"/>
  <c r="V118" i="4"/>
  <c r="W118" i="4"/>
  <c r="X118" i="4"/>
  <c r="E118" i="4"/>
  <c r="E117" i="4"/>
  <c r="C67" i="4" l="1"/>
  <c r="C66" i="4"/>
  <c r="D90" i="7"/>
  <c r="D90" i="5"/>
  <c r="D256" i="3"/>
  <c r="D92" i="5"/>
  <c r="D92" i="3"/>
  <c r="D92" i="7"/>
  <c r="D72" i="5"/>
  <c r="D69" i="7"/>
  <c r="D69" i="3"/>
  <c r="D69" i="5"/>
  <c r="C92" i="4"/>
  <c r="C91" i="4"/>
  <c r="C90" i="4"/>
  <c r="D88" i="3"/>
  <c r="D98" i="5"/>
  <c r="D99" i="5"/>
  <c r="D96" i="5"/>
  <c r="D97" i="5"/>
  <c r="D97" i="3"/>
  <c r="D97" i="7"/>
  <c r="D71" i="5"/>
  <c r="D66" i="5"/>
  <c r="D57" i="5"/>
  <c r="D94" i="5"/>
  <c r="D95" i="5"/>
  <c r="D58" i="5"/>
  <c r="D86" i="5"/>
  <c r="D91" i="5"/>
  <c r="D67" i="5"/>
  <c r="D70" i="5"/>
  <c r="D63" i="5"/>
  <c r="D78" i="5"/>
  <c r="D78" i="7"/>
  <c r="D88" i="5"/>
  <c r="D64" i="5"/>
  <c r="D79" i="5"/>
  <c r="D79" i="7"/>
  <c r="D55" i="5"/>
  <c r="D52" i="5"/>
  <c r="D61" i="7"/>
  <c r="D56" i="5"/>
  <c r="D54" i="5"/>
  <c r="D62" i="5"/>
  <c r="D61" i="5"/>
  <c r="D113" i="7"/>
  <c r="D80" i="5"/>
  <c r="D114" i="7"/>
  <c r="D81" i="5"/>
  <c r="D100" i="3"/>
  <c r="D65" i="5"/>
  <c r="D115" i="7"/>
  <c r="D82" i="5"/>
  <c r="D96" i="7"/>
  <c r="D93" i="5"/>
  <c r="D116" i="7"/>
  <c r="D83" i="5"/>
  <c r="D117" i="7"/>
  <c r="D84" i="5"/>
  <c r="D118" i="7"/>
  <c r="D85" i="5"/>
  <c r="D62" i="7"/>
  <c r="D59" i="5"/>
  <c r="D71" i="7"/>
  <c r="C71" i="4"/>
  <c r="D95" i="7"/>
  <c r="C95" i="4"/>
  <c r="D102" i="7"/>
  <c r="D72" i="7"/>
  <c r="B21" i="13"/>
  <c r="C101" i="4"/>
  <c r="D101" i="7"/>
  <c r="D113" i="3"/>
  <c r="C118" i="4"/>
  <c r="D49" i="7"/>
  <c r="D51" i="3"/>
  <c r="C117" i="4"/>
  <c r="D50" i="3"/>
  <c r="C116" i="4"/>
  <c r="C51" i="4"/>
  <c r="C228" i="4" s="1"/>
  <c r="D48" i="7"/>
  <c r="D119" i="7"/>
  <c r="C119" i="4"/>
  <c r="D102" i="3"/>
  <c r="D49" i="3"/>
  <c r="C115" i="4"/>
  <c r="C50" i="4"/>
  <c r="C227" i="4" s="1"/>
  <c r="D120" i="7"/>
  <c r="C120" i="4"/>
  <c r="D101" i="3"/>
  <c r="C114" i="4"/>
  <c r="C49" i="4"/>
  <c r="C226" i="4" s="1"/>
  <c r="D52" i="7"/>
  <c r="D121" i="7"/>
  <c r="C121" i="4"/>
  <c r="C113" i="4"/>
  <c r="C48" i="4"/>
  <c r="C225" i="4" s="1"/>
  <c r="B22" i="13"/>
  <c r="D54" i="7"/>
  <c r="C99" i="4"/>
  <c r="D99" i="7"/>
  <c r="D122" i="7"/>
  <c r="C122" i="4"/>
  <c r="D99" i="3"/>
  <c r="D50" i="7"/>
  <c r="D51" i="7"/>
  <c r="C98" i="4"/>
  <c r="D98" i="7"/>
  <c r="D100" i="7"/>
  <c r="C100" i="4"/>
  <c r="D123" i="7"/>
  <c r="C123" i="4"/>
  <c r="D114" i="3"/>
  <c r="D98" i="3"/>
  <c r="C52" i="4"/>
  <c r="C229" i="4" s="1"/>
  <c r="D63" i="7"/>
  <c r="B180" i="8"/>
  <c r="B240" i="8" s="1"/>
  <c r="D573" i="7"/>
  <c r="D393" i="7"/>
  <c r="D80" i="7"/>
  <c r="B192" i="8"/>
  <c r="B252" i="8" s="1"/>
  <c r="D410" i="7"/>
  <c r="D590" i="7"/>
  <c r="B200" i="8"/>
  <c r="B260" i="8" s="1"/>
  <c r="D598" i="7"/>
  <c r="D418" i="7"/>
  <c r="B181" i="8"/>
  <c r="B241" i="8" s="1"/>
  <c r="B23" i="10"/>
  <c r="B35" i="10" s="1"/>
  <c r="D574" i="7"/>
  <c r="D394" i="7"/>
  <c r="B193" i="8"/>
  <c r="B253" i="8" s="1"/>
  <c r="D591" i="7"/>
  <c r="D411" i="7"/>
  <c r="B201" i="8"/>
  <c r="B261" i="8" s="1"/>
  <c r="D601" i="7"/>
  <c r="D421" i="7"/>
  <c r="D55" i="7"/>
  <c r="B172" i="8"/>
  <c r="B232" i="8" s="1"/>
  <c r="D565" i="7"/>
  <c r="D385" i="7"/>
  <c r="B194" i="8"/>
  <c r="B254" i="8" s="1"/>
  <c r="D592" i="7"/>
  <c r="D412" i="7"/>
  <c r="B202" i="8"/>
  <c r="B262" i="8" s="1"/>
  <c r="D603" i="7"/>
  <c r="D423" i="7"/>
  <c r="B182" i="8"/>
  <c r="B242" i="8" s="1"/>
  <c r="D575" i="7"/>
  <c r="D395" i="7"/>
  <c r="B173" i="8"/>
  <c r="B233" i="8" s="1"/>
  <c r="D566" i="7"/>
  <c r="D386" i="7"/>
  <c r="B183" i="8"/>
  <c r="B243" i="8" s="1"/>
  <c r="D396" i="7"/>
  <c r="D576" i="7"/>
  <c r="B195" i="8"/>
  <c r="B255" i="8" s="1"/>
  <c r="D593" i="7"/>
  <c r="D413" i="7"/>
  <c r="B174" i="8"/>
  <c r="B234" i="8" s="1"/>
  <c r="D567" i="7"/>
  <c r="D387" i="7"/>
  <c r="B196" i="8"/>
  <c r="B256" i="8" s="1"/>
  <c r="D414" i="7"/>
  <c r="D594" i="7"/>
  <c r="B199" i="8"/>
  <c r="B259" i="8" s="1"/>
  <c r="D417" i="7"/>
  <c r="D597" i="7"/>
  <c r="B175" i="8"/>
  <c r="B235" i="8" s="1"/>
  <c r="D388" i="7"/>
  <c r="D568" i="7"/>
  <c r="B197" i="8"/>
  <c r="B257" i="8" s="1"/>
  <c r="B24" i="10"/>
  <c r="B36" i="10" s="1"/>
  <c r="D415" i="7"/>
  <c r="D595" i="7"/>
  <c r="B184" i="8"/>
  <c r="B244" i="8" s="1"/>
  <c r="D397" i="7"/>
  <c r="D577" i="7"/>
  <c r="B176" i="8"/>
  <c r="B236" i="8" s="1"/>
  <c r="D389" i="7"/>
  <c r="D569" i="7"/>
  <c r="B198" i="8"/>
  <c r="B258" i="8" s="1"/>
  <c r="D416" i="7"/>
  <c r="D596" i="7"/>
  <c r="D534" i="7"/>
  <c r="D354" i="7"/>
  <c r="D535" i="7"/>
  <c r="D355" i="7"/>
  <c r="D20" i="7"/>
  <c r="D350" i="7"/>
  <c r="D530" i="7"/>
  <c r="D351" i="7"/>
  <c r="D531" i="7"/>
  <c r="D352" i="7"/>
  <c r="D532" i="7"/>
  <c r="D533" i="7"/>
  <c r="D353" i="7"/>
  <c r="B28" i="10"/>
  <c r="B27" i="10"/>
  <c r="D189" i="7"/>
  <c r="D25" i="7"/>
  <c r="D228" i="7"/>
  <c r="D64" i="7"/>
  <c r="D245" i="7"/>
  <c r="D81" i="7"/>
  <c r="D253" i="7"/>
  <c r="D91" i="7"/>
  <c r="D190" i="7"/>
  <c r="D26" i="7"/>
  <c r="D26" i="5"/>
  <c r="D229" i="7"/>
  <c r="D65" i="7"/>
  <c r="D246" i="7"/>
  <c r="D82" i="7"/>
  <c r="D256" i="7"/>
  <c r="D93" i="7"/>
  <c r="D56" i="7"/>
  <c r="D220" i="7"/>
  <c r="D230" i="7"/>
  <c r="D66" i="7"/>
  <c r="D247" i="7"/>
  <c r="D83" i="7"/>
  <c r="D258" i="7"/>
  <c r="D94" i="7"/>
  <c r="D221" i="7"/>
  <c r="D57" i="7"/>
  <c r="D231" i="7"/>
  <c r="D67" i="7"/>
  <c r="D248" i="7"/>
  <c r="D84" i="7"/>
  <c r="D185" i="7"/>
  <c r="D21" i="7"/>
  <c r="D58" i="7"/>
  <c r="D222" i="7"/>
  <c r="D232" i="7"/>
  <c r="D70" i="7"/>
  <c r="D249" i="7"/>
  <c r="D85" i="7"/>
  <c r="D186" i="7"/>
  <c r="D22" i="7"/>
  <c r="D59" i="7"/>
  <c r="D223" i="7"/>
  <c r="D250" i="7"/>
  <c r="D86" i="7"/>
  <c r="D187" i="7"/>
  <c r="D23" i="7"/>
  <c r="D224" i="7"/>
  <c r="D60" i="7"/>
  <c r="D251" i="7"/>
  <c r="D87" i="7"/>
  <c r="D188" i="7"/>
  <c r="D24" i="7"/>
  <c r="D252" i="7"/>
  <c r="D88" i="7"/>
  <c r="D23" i="5"/>
  <c r="D24" i="5"/>
  <c r="D20" i="5"/>
  <c r="D25" i="5"/>
  <c r="D252" i="3"/>
  <c r="D224" i="3"/>
  <c r="D253" i="3"/>
  <c r="S42" i="4"/>
  <c r="Q42" i="4"/>
  <c r="R42" i="4"/>
  <c r="D186" i="3"/>
  <c r="D21" i="5"/>
  <c r="D187" i="3"/>
  <c r="D22" i="5"/>
  <c r="C20" i="4"/>
  <c r="C197" i="4" s="1"/>
  <c r="D185" i="3"/>
  <c r="D29" i="3"/>
  <c r="D189" i="3"/>
  <c r="D190" i="3"/>
  <c r="C23" i="4"/>
  <c r="C200" i="4" s="1"/>
  <c r="D188" i="3"/>
  <c r="D228" i="3"/>
  <c r="B16" i="10"/>
  <c r="D229" i="3"/>
  <c r="D249" i="3"/>
  <c r="B17" i="10"/>
  <c r="D250" i="3"/>
  <c r="D230" i="3"/>
  <c r="C153" i="4"/>
  <c r="D231" i="3"/>
  <c r="C62" i="4"/>
  <c r="D221" i="3"/>
  <c r="D122" i="3"/>
  <c r="D248" i="3"/>
  <c r="D140" i="3"/>
  <c r="D222" i="3"/>
  <c r="C69" i="4"/>
  <c r="D232" i="3"/>
  <c r="D119" i="3"/>
  <c r="D251" i="3"/>
  <c r="C55" i="4"/>
  <c r="D220" i="3"/>
  <c r="C58" i="4"/>
  <c r="D223" i="3"/>
  <c r="C145" i="4"/>
  <c r="D245" i="3"/>
  <c r="C143" i="4"/>
  <c r="D247" i="3"/>
  <c r="C144" i="4"/>
  <c r="D246" i="3"/>
  <c r="C54" i="4"/>
  <c r="C138" i="4"/>
  <c r="C88" i="4"/>
  <c r="C137" i="4"/>
  <c r="C136" i="4"/>
  <c r="C93" i="4"/>
  <c r="C135" i="4"/>
  <c r="C94" i="4"/>
  <c r="D87" i="3"/>
  <c r="D90" i="3"/>
  <c r="C107" i="4"/>
  <c r="C105" i="4"/>
  <c r="D93" i="3"/>
  <c r="D91" i="3"/>
  <c r="C108" i="4"/>
  <c r="C106" i="4"/>
  <c r="D96" i="3"/>
  <c r="C104" i="4"/>
  <c r="D95" i="3"/>
  <c r="C74" i="4"/>
  <c r="D130" i="3"/>
  <c r="D48" i="3"/>
  <c r="D58" i="3"/>
  <c r="D94" i="3"/>
  <c r="D52" i="3"/>
  <c r="D18" i="3"/>
  <c r="D36" i="3"/>
  <c r="D139" i="3"/>
  <c r="D133" i="3"/>
  <c r="D125" i="3"/>
  <c r="D117" i="3"/>
  <c r="C149" i="4"/>
  <c r="C141" i="4"/>
  <c r="D118" i="3"/>
  <c r="C142" i="4"/>
  <c r="C22" i="4"/>
  <c r="C199" i="4" s="1"/>
  <c r="D138" i="3"/>
  <c r="D132" i="3"/>
  <c r="D124" i="3"/>
  <c r="D116" i="3"/>
  <c r="C155" i="4"/>
  <c r="C148" i="4"/>
  <c r="C140" i="4"/>
  <c r="D137" i="3"/>
  <c r="D123" i="3"/>
  <c r="D115" i="3"/>
  <c r="C162" i="4"/>
  <c r="C154" i="4"/>
  <c r="C147" i="4"/>
  <c r="C139" i="4"/>
  <c r="C161" i="4"/>
  <c r="D121" i="3"/>
  <c r="C160" i="4"/>
  <c r="D142" i="3"/>
  <c r="D134" i="3"/>
  <c r="D128" i="3"/>
  <c r="D120" i="3"/>
  <c r="C159" i="4"/>
  <c r="C152" i="4"/>
  <c r="D141" i="3"/>
  <c r="C102" i="4"/>
  <c r="C72" i="4"/>
  <c r="C73" i="4"/>
  <c r="C82" i="4"/>
  <c r="C83" i="4"/>
  <c r="C77" i="4"/>
  <c r="C85" i="4"/>
  <c r="C31" i="4"/>
  <c r="C208" i="4" s="1"/>
  <c r="C78" i="4"/>
  <c r="C86" i="4"/>
  <c r="D86" i="3"/>
  <c r="D27" i="3"/>
  <c r="C81" i="4"/>
  <c r="C28" i="4"/>
  <c r="C205" i="4" s="1"/>
  <c r="C103" i="4"/>
  <c r="D30" i="3"/>
  <c r="C84" i="4"/>
  <c r="C75" i="4"/>
  <c r="C25" i="4"/>
  <c r="C202" i="4" s="1"/>
  <c r="C76" i="4"/>
  <c r="C24" i="4"/>
  <c r="C201" i="4" s="1"/>
  <c r="C56" i="4"/>
  <c r="C79" i="4"/>
  <c r="C87" i="4"/>
  <c r="D67" i="3"/>
  <c r="C57" i="4"/>
  <c r="C80" i="4"/>
  <c r="D59" i="3"/>
  <c r="C61" i="4"/>
  <c r="C21" i="4"/>
  <c r="C198" i="4" s="1"/>
  <c r="D26" i="3"/>
  <c r="C26" i="4"/>
  <c r="C203" i="4" s="1"/>
  <c r="D84" i="3"/>
  <c r="C60" i="4"/>
  <c r="D71" i="3"/>
  <c r="D66" i="3"/>
  <c r="D20" i="3"/>
  <c r="D85" i="3"/>
  <c r="D65" i="3"/>
  <c r="D62" i="3"/>
  <c r="D79" i="3"/>
  <c r="C59" i="4"/>
  <c r="D77" i="3"/>
  <c r="D72" i="3"/>
  <c r="D76" i="3"/>
  <c r="D83" i="3"/>
  <c r="D75" i="3"/>
  <c r="D57" i="3"/>
  <c r="D24" i="3"/>
  <c r="D25" i="3"/>
  <c r="D82" i="3"/>
  <c r="D74" i="3"/>
  <c r="D64" i="3"/>
  <c r="D56" i="3"/>
  <c r="D23" i="3"/>
  <c r="D81" i="3"/>
  <c r="D63" i="3"/>
  <c r="D55" i="3"/>
  <c r="D22" i="3"/>
  <c r="D80" i="3"/>
  <c r="D54" i="3"/>
  <c r="D21" i="3"/>
  <c r="D61" i="3"/>
  <c r="D78" i="3"/>
  <c r="D70" i="3"/>
  <c r="D60" i="3"/>
  <c r="F121" i="8" l="1"/>
  <c r="F103" i="8"/>
  <c r="E121" i="8"/>
  <c r="E103" i="8"/>
  <c r="S552" i="7"/>
  <c r="S207" i="7"/>
  <c r="S41" i="3"/>
  <c r="R352" i="3" s="1"/>
  <c r="R552" i="7"/>
  <c r="R207" i="7"/>
  <c r="R41" i="3"/>
  <c r="Q352" i="3" s="1"/>
  <c r="T552" i="7"/>
  <c r="S759" i="7" s="1"/>
  <c r="T207" i="7"/>
  <c r="T41" i="3"/>
  <c r="S352" i="3" s="1"/>
  <c r="B30" i="10"/>
  <c r="B29" i="10"/>
  <c r="E115" i="4"/>
  <c r="X42" i="4"/>
  <c r="F42" i="4"/>
  <c r="G42" i="4"/>
  <c r="H42" i="4"/>
  <c r="I42" i="4"/>
  <c r="J42" i="4"/>
  <c r="K42" i="4"/>
  <c r="L42" i="4"/>
  <c r="M42" i="4"/>
  <c r="N42" i="4"/>
  <c r="O42" i="4"/>
  <c r="P42" i="4"/>
  <c r="T42" i="4"/>
  <c r="U42" i="4"/>
  <c r="V42" i="4"/>
  <c r="W42" i="4"/>
  <c r="Q351" i="3" l="1"/>
  <c r="Q354" i="3"/>
  <c r="R351" i="3"/>
  <c r="R354" i="3"/>
  <c r="S351" i="3"/>
  <c r="S354" i="3"/>
  <c r="J576" i="7"/>
  <c r="J396" i="7"/>
  <c r="J231" i="7"/>
  <c r="V231" i="7"/>
  <c r="V396" i="7"/>
  <c r="V576" i="7"/>
  <c r="K231" i="7"/>
  <c r="K576" i="7"/>
  <c r="K396" i="7"/>
  <c r="W381" i="7"/>
  <c r="W561" i="7"/>
  <c r="W216" i="7"/>
  <c r="V216" i="7"/>
  <c r="V381" i="7"/>
  <c r="V561" i="7"/>
  <c r="K381" i="7"/>
  <c r="K561" i="7"/>
  <c r="K216" i="7"/>
  <c r="I576" i="7"/>
  <c r="I396" i="7"/>
  <c r="I231" i="7"/>
  <c r="U381" i="7"/>
  <c r="U216" i="7"/>
  <c r="U561" i="7"/>
  <c r="J381" i="7"/>
  <c r="J216" i="7"/>
  <c r="J561" i="7"/>
  <c r="P576" i="7"/>
  <c r="P396" i="7"/>
  <c r="P231" i="7"/>
  <c r="H576" i="7"/>
  <c r="H396" i="7"/>
  <c r="H231" i="7"/>
  <c r="Q381" i="7"/>
  <c r="Q561" i="7"/>
  <c r="Q216" i="7"/>
  <c r="I381" i="7"/>
  <c r="I561" i="7"/>
  <c r="I216" i="7"/>
  <c r="U231" i="7"/>
  <c r="U396" i="7"/>
  <c r="U576" i="7"/>
  <c r="O576" i="7"/>
  <c r="O231" i="7"/>
  <c r="O396" i="7"/>
  <c r="G576" i="7"/>
  <c r="G396" i="7"/>
  <c r="G231" i="7"/>
  <c r="P216" i="7"/>
  <c r="P561" i="7"/>
  <c r="P381" i="7"/>
  <c r="H561" i="7"/>
  <c r="H381" i="7"/>
  <c r="H216" i="7"/>
  <c r="Y576" i="7"/>
  <c r="Y396" i="7"/>
  <c r="Y231" i="7"/>
  <c r="N576" i="7"/>
  <c r="N231" i="7"/>
  <c r="N396" i="7"/>
  <c r="F216" i="7"/>
  <c r="F381" i="7"/>
  <c r="F561" i="7"/>
  <c r="O216" i="7"/>
  <c r="O561" i="7"/>
  <c r="O381" i="7"/>
  <c r="G561" i="7"/>
  <c r="G381" i="7"/>
  <c r="G216" i="7"/>
  <c r="Q231" i="7"/>
  <c r="Q396" i="7"/>
  <c r="Q576" i="7"/>
  <c r="M231" i="7"/>
  <c r="M396" i="7"/>
  <c r="M576" i="7"/>
  <c r="Y561" i="7"/>
  <c r="Y216" i="7"/>
  <c r="Y381" i="7"/>
  <c r="N216" i="7"/>
  <c r="N381" i="7"/>
  <c r="N561" i="7"/>
  <c r="X396" i="7"/>
  <c r="X576" i="7"/>
  <c r="X231" i="7"/>
  <c r="W576" i="7"/>
  <c r="W396" i="7"/>
  <c r="W231" i="7"/>
  <c r="L231" i="7"/>
  <c r="L576" i="7"/>
  <c r="L396" i="7"/>
  <c r="X216" i="7"/>
  <c r="X561" i="7"/>
  <c r="X381" i="7"/>
  <c r="M381" i="7"/>
  <c r="M216" i="7"/>
  <c r="M561" i="7"/>
  <c r="V552" i="7"/>
  <c r="V207" i="7"/>
  <c r="V41" i="3"/>
  <c r="K41" i="3"/>
  <c r="K552" i="7"/>
  <c r="K207" i="7"/>
  <c r="O41" i="3"/>
  <c r="O552" i="7"/>
  <c r="O207" i="7"/>
  <c r="U207" i="7"/>
  <c r="U552" i="7"/>
  <c r="U41" i="3"/>
  <c r="Q207" i="7"/>
  <c r="Q41" i="3"/>
  <c r="Q552" i="7"/>
  <c r="I41" i="3"/>
  <c r="I552" i="7"/>
  <c r="I207" i="7"/>
  <c r="P207" i="7"/>
  <c r="P41" i="3"/>
  <c r="P552" i="7"/>
  <c r="H41" i="3"/>
  <c r="H552" i="7"/>
  <c r="H207" i="7"/>
  <c r="G41" i="3"/>
  <c r="G207" i="7"/>
  <c r="G552" i="7"/>
  <c r="F41" i="3"/>
  <c r="F207" i="7"/>
  <c r="N552" i="7"/>
  <c r="N41" i="3"/>
  <c r="N207" i="7"/>
  <c r="Y207" i="7"/>
  <c r="Y552" i="7"/>
  <c r="Y41" i="3"/>
  <c r="J41" i="3"/>
  <c r="J552" i="7"/>
  <c r="J207" i="7"/>
  <c r="X552" i="7"/>
  <c r="X207" i="7"/>
  <c r="X41" i="3"/>
  <c r="M41" i="3"/>
  <c r="M552" i="7"/>
  <c r="M207" i="7"/>
  <c r="W207" i="7"/>
  <c r="W552" i="7"/>
  <c r="W41" i="3"/>
  <c r="L41" i="3"/>
  <c r="L207" i="7"/>
  <c r="L552" i="7"/>
  <c r="F576" i="7" l="1"/>
  <c r="F396" i="7"/>
  <c r="F231" i="7"/>
  <c r="F111" i="4"/>
  <c r="G111" i="4"/>
  <c r="H111" i="4"/>
  <c r="I111" i="4"/>
  <c r="J111" i="4"/>
  <c r="K111" i="4"/>
  <c r="G485" i="3" s="1"/>
  <c r="L111" i="4"/>
  <c r="M111" i="4"/>
  <c r="N111" i="4"/>
  <c r="O111" i="4"/>
  <c r="P111" i="4"/>
  <c r="T111" i="4"/>
  <c r="U111" i="4"/>
  <c r="V111" i="4"/>
  <c r="W111" i="4"/>
  <c r="X111" i="4"/>
  <c r="E111" i="4"/>
  <c r="E34" i="4" l="1"/>
  <c r="F34" i="4"/>
  <c r="G34" i="4"/>
  <c r="E35" i="4"/>
  <c r="F35" i="4"/>
  <c r="G35" i="4"/>
  <c r="E38" i="4"/>
  <c r="F38" i="4"/>
  <c r="G38" i="4"/>
  <c r="E43" i="4"/>
  <c r="F43" i="4"/>
  <c r="G43" i="4"/>
  <c r="G545" i="7" l="1"/>
  <c r="F759" i="7" s="1"/>
  <c r="G365" i="7"/>
  <c r="F738" i="7" s="1"/>
  <c r="G200" i="7"/>
  <c r="F717" i="7" s="1"/>
  <c r="H545" i="7"/>
  <c r="G759" i="7" s="1"/>
  <c r="H365" i="7"/>
  <c r="G738" i="7" s="1"/>
  <c r="H200" i="7"/>
  <c r="G717" i="7" s="1"/>
  <c r="F545" i="7"/>
  <c r="E759" i="7" s="1"/>
  <c r="F365" i="7"/>
  <c r="E738" i="7" s="1"/>
  <c r="F200" i="7"/>
  <c r="E717" i="7" s="1"/>
  <c r="H36" i="3"/>
  <c r="H36" i="7"/>
  <c r="G36" i="3"/>
  <c r="G36" i="7"/>
  <c r="F36" i="3"/>
  <c r="F36" i="7"/>
  <c r="G354" i="3" l="1"/>
  <c r="G352" i="3"/>
  <c r="E354" i="3"/>
  <c r="E352" i="3"/>
  <c r="F354" i="3"/>
  <c r="F352" i="3"/>
  <c r="E351" i="3"/>
  <c r="F351" i="3"/>
  <c r="G351" i="3"/>
  <c r="F350" i="7"/>
  <c r="E737" i="7" s="1"/>
  <c r="G185" i="3" l="1"/>
  <c r="F371" i="3" s="1"/>
  <c r="G350" i="7"/>
  <c r="F737" i="7" s="1"/>
  <c r="H185" i="3"/>
  <c r="G371" i="3" s="1"/>
  <c r="H350" i="7"/>
  <c r="G737" i="7" s="1"/>
  <c r="I185" i="3"/>
  <c r="H371" i="3" s="1"/>
  <c r="I350" i="7"/>
  <c r="H737" i="7" s="1"/>
  <c r="J185" i="3"/>
  <c r="I371" i="3" s="1"/>
  <c r="J350" i="7"/>
  <c r="I737" i="7" s="1"/>
  <c r="L185" i="3"/>
  <c r="K371" i="3" s="1"/>
  <c r="L350" i="7"/>
  <c r="K737" i="7" s="1"/>
  <c r="K185" i="3"/>
  <c r="J371" i="3" s="1"/>
  <c r="K350" i="7"/>
  <c r="J737" i="7" s="1"/>
  <c r="M185" i="3" l="1"/>
  <c r="L371" i="3" s="1"/>
  <c r="M350" i="7"/>
  <c r="L737" i="7" s="1"/>
  <c r="N185" i="3" l="1"/>
  <c r="M371" i="3" s="1"/>
  <c r="N350" i="7"/>
  <c r="M737" i="7" s="1"/>
  <c r="O185" i="3" l="1"/>
  <c r="N371" i="3" s="1"/>
  <c r="O350" i="7"/>
  <c r="N737" i="7" s="1"/>
  <c r="P350" i="7" l="1"/>
  <c r="O737" i="7" s="1"/>
  <c r="P185" i="3"/>
  <c r="O371" i="3" s="1"/>
  <c r="R185" i="3" l="1"/>
  <c r="Q371" i="3" s="1"/>
  <c r="R350" i="7"/>
  <c r="Q737" i="7" s="1"/>
  <c r="T185" i="3"/>
  <c r="S371" i="3" s="1"/>
  <c r="T350" i="7"/>
  <c r="S737" i="7" s="1"/>
  <c r="Q350" i="7"/>
  <c r="P737" i="7" s="1"/>
  <c r="Q185" i="3"/>
  <c r="P371" i="3" s="1"/>
  <c r="S350" i="7"/>
  <c r="R737" i="7" s="1"/>
  <c r="S185" i="3"/>
  <c r="R371" i="3" s="1"/>
  <c r="D102" i="8" l="1"/>
  <c r="D100" i="8"/>
  <c r="V185" i="3"/>
  <c r="U371" i="3" s="1"/>
  <c r="V350" i="7"/>
  <c r="U737" i="7" s="1"/>
  <c r="W185" i="3" l="1"/>
  <c r="V371" i="3" s="1"/>
  <c r="W350" i="7"/>
  <c r="V737" i="7" s="1"/>
  <c r="Y350" i="7" l="1"/>
  <c r="X737" i="7" s="1"/>
  <c r="Y185" i="3"/>
  <c r="X371" i="3" s="1"/>
  <c r="X185" i="3"/>
  <c r="W371" i="3" s="1"/>
  <c r="X350" i="7"/>
  <c r="W737" i="7" s="1"/>
  <c r="U185" i="3"/>
  <c r="T371" i="3" s="1"/>
  <c r="U350" i="7"/>
  <c r="T737" i="7" s="1"/>
  <c r="U38" i="4"/>
  <c r="V38" i="4"/>
  <c r="W38" i="4"/>
  <c r="K38" i="4"/>
  <c r="L38" i="4"/>
  <c r="M38" i="4"/>
  <c r="N38" i="4"/>
  <c r="O38" i="4"/>
  <c r="P38" i="4"/>
  <c r="U34" i="4"/>
  <c r="V34" i="4"/>
  <c r="W34" i="4"/>
  <c r="K34" i="4"/>
  <c r="L34" i="4"/>
  <c r="M34" i="4"/>
  <c r="N34" i="4"/>
  <c r="O34" i="4"/>
  <c r="P34" i="4"/>
  <c r="H34" i="4"/>
  <c r="I34" i="4"/>
  <c r="J34" i="4"/>
  <c r="H35" i="4"/>
  <c r="I35" i="4"/>
  <c r="J35" i="4"/>
  <c r="K35" i="4"/>
  <c r="L35" i="4"/>
  <c r="M35" i="4"/>
  <c r="N35" i="4"/>
  <c r="O35" i="4"/>
  <c r="P35" i="4"/>
  <c r="T35" i="4"/>
  <c r="U35" i="4"/>
  <c r="V35" i="4"/>
  <c r="W35" i="4"/>
  <c r="X35" i="4"/>
  <c r="H38" i="4"/>
  <c r="I38" i="4"/>
  <c r="X38" i="4"/>
  <c r="T38" i="4"/>
  <c r="J38" i="4"/>
  <c r="X34" i="4"/>
  <c r="T34" i="4"/>
  <c r="M365" i="7" l="1"/>
  <c r="L738" i="7" s="1"/>
  <c r="M200" i="7"/>
  <c r="L717" i="7" s="1"/>
  <c r="M545" i="7"/>
  <c r="L759" i="7" s="1"/>
  <c r="X365" i="7"/>
  <c r="W738" i="7" s="1"/>
  <c r="X545" i="7"/>
  <c r="X200" i="7"/>
  <c r="W717" i="7" s="1"/>
  <c r="W545" i="7"/>
  <c r="V759" i="7" s="1"/>
  <c r="W365" i="7"/>
  <c r="W200" i="7"/>
  <c r="V717" i="7" s="1"/>
  <c r="K545" i="7"/>
  <c r="J759" i="7" s="1"/>
  <c r="K365" i="7"/>
  <c r="J738" i="7" s="1"/>
  <c r="K200" i="7"/>
  <c r="J717" i="7" s="1"/>
  <c r="U200" i="7"/>
  <c r="U545" i="7"/>
  <c r="U365" i="7"/>
  <c r="I545" i="7"/>
  <c r="H759" i="7" s="1"/>
  <c r="I365" i="7"/>
  <c r="H738" i="7" s="1"/>
  <c r="I200" i="7"/>
  <c r="H717" i="7" s="1"/>
  <c r="P200" i="7"/>
  <c r="O717" i="7" s="1"/>
  <c r="P545" i="7"/>
  <c r="P365" i="7"/>
  <c r="O738" i="7" s="1"/>
  <c r="L545" i="7"/>
  <c r="K759" i="7" s="1"/>
  <c r="L365" i="7"/>
  <c r="K738" i="7" s="1"/>
  <c r="L200" i="7"/>
  <c r="K717" i="7" s="1"/>
  <c r="V365" i="7"/>
  <c r="U738" i="7" s="1"/>
  <c r="V200" i="7"/>
  <c r="U717" i="7" s="1"/>
  <c r="V545" i="7"/>
  <c r="J545" i="7"/>
  <c r="I759" i="7" s="1"/>
  <c r="J200" i="7"/>
  <c r="I717" i="7" s="1"/>
  <c r="J365" i="7"/>
  <c r="I738" i="7" s="1"/>
  <c r="Q545" i="7"/>
  <c r="Q365" i="7"/>
  <c r="P738" i="7" s="1"/>
  <c r="Q200" i="7"/>
  <c r="P717" i="7" s="1"/>
  <c r="O365" i="7"/>
  <c r="N738" i="7" s="1"/>
  <c r="O200" i="7"/>
  <c r="N717" i="7" s="1"/>
  <c r="O545" i="7"/>
  <c r="N759" i="7" s="1"/>
  <c r="Y365" i="7"/>
  <c r="X738" i="7" s="1"/>
  <c r="Y200" i="7"/>
  <c r="Y545" i="7"/>
  <c r="N545" i="7"/>
  <c r="M759" i="7" s="1"/>
  <c r="N365" i="7"/>
  <c r="M738" i="7" s="1"/>
  <c r="N200" i="7"/>
  <c r="M717" i="7" s="1"/>
  <c r="E102" i="8"/>
  <c r="E100" i="8"/>
  <c r="F102" i="8"/>
  <c r="F100" i="8"/>
  <c r="N36" i="3"/>
  <c r="N36" i="7"/>
  <c r="M36" i="3"/>
  <c r="M36" i="7"/>
  <c r="K36" i="3"/>
  <c r="K36" i="7"/>
  <c r="J36" i="3"/>
  <c r="J36" i="7"/>
  <c r="I36" i="3"/>
  <c r="I36" i="7"/>
  <c r="W36" i="3"/>
  <c r="W36" i="7"/>
  <c r="L36" i="3"/>
  <c r="L36" i="7"/>
  <c r="X36" i="7"/>
  <c r="X36" i="3"/>
  <c r="U36" i="3"/>
  <c r="U36" i="7"/>
  <c r="Q36" i="3"/>
  <c r="Q36" i="7"/>
  <c r="V36" i="3"/>
  <c r="V36" i="7"/>
  <c r="Y36" i="7"/>
  <c r="Y36" i="3"/>
  <c r="P36" i="3"/>
  <c r="P36" i="7"/>
  <c r="O36" i="3"/>
  <c r="O36" i="7"/>
  <c r="J161" i="4"/>
  <c r="K161" i="4"/>
  <c r="G535" i="3" s="1"/>
  <c r="E82" i="8" s="1"/>
  <c r="F82" i="8" s="1"/>
  <c r="L161" i="4"/>
  <c r="M161" i="4"/>
  <c r="N161" i="4"/>
  <c r="O161" i="4"/>
  <c r="P161" i="4"/>
  <c r="T161" i="4"/>
  <c r="U161" i="4"/>
  <c r="V161" i="4"/>
  <c r="W161" i="4"/>
  <c r="X161" i="4"/>
  <c r="I161" i="4"/>
  <c r="H161" i="4"/>
  <c r="G161" i="4"/>
  <c r="F161" i="4"/>
  <c r="E161" i="4"/>
  <c r="O354" i="3" l="1"/>
  <c r="O352" i="3"/>
  <c r="T354" i="3"/>
  <c r="T352" i="3"/>
  <c r="H354" i="3"/>
  <c r="H352" i="3"/>
  <c r="M354" i="3"/>
  <c r="M352" i="3"/>
  <c r="U354" i="3"/>
  <c r="U352" i="3"/>
  <c r="K354" i="3"/>
  <c r="K352" i="3"/>
  <c r="J354" i="3"/>
  <c r="J352" i="3"/>
  <c r="X354" i="3"/>
  <c r="X352" i="3"/>
  <c r="W354" i="3"/>
  <c r="W352" i="3"/>
  <c r="I354" i="3"/>
  <c r="I352" i="3"/>
  <c r="N354" i="3"/>
  <c r="N352" i="3"/>
  <c r="P354" i="3"/>
  <c r="P352" i="3"/>
  <c r="V354" i="3"/>
  <c r="V352" i="3"/>
  <c r="L354" i="3"/>
  <c r="L352" i="3"/>
  <c r="I351" i="3"/>
  <c r="U351" i="3"/>
  <c r="K351" i="3"/>
  <c r="J351" i="3"/>
  <c r="N351" i="3"/>
  <c r="P351" i="3"/>
  <c r="V351" i="3"/>
  <c r="L351" i="3"/>
  <c r="O351" i="3"/>
  <c r="T351" i="3"/>
  <c r="E101" i="8" s="1"/>
  <c r="H351" i="3"/>
  <c r="M351" i="3"/>
  <c r="X351" i="3"/>
  <c r="W351" i="3"/>
  <c r="X759" i="7"/>
  <c r="F120" i="8" s="1"/>
  <c r="X717" i="7"/>
  <c r="F118" i="8" s="1"/>
  <c r="T759" i="7"/>
  <c r="E120" i="8" s="1"/>
  <c r="T717" i="7"/>
  <c r="E118" i="8" s="1"/>
  <c r="F119" i="8"/>
  <c r="F114" i="4"/>
  <c r="F115" i="4"/>
  <c r="F116" i="4"/>
  <c r="F117" i="4"/>
  <c r="F120" i="4"/>
  <c r="F113" i="4"/>
  <c r="F112" i="4"/>
  <c r="L122" i="4"/>
  <c r="M122" i="4"/>
  <c r="N122" i="4"/>
  <c r="O122" i="4"/>
  <c r="P122" i="4"/>
  <c r="T122" i="4"/>
  <c r="U122" i="4"/>
  <c r="V122" i="4"/>
  <c r="W122" i="4"/>
  <c r="X122" i="4"/>
  <c r="H43" i="4"/>
  <c r="I43" i="4"/>
  <c r="J43" i="4"/>
  <c r="K43" i="4"/>
  <c r="L43" i="4"/>
  <c r="M43" i="4"/>
  <c r="N43" i="4"/>
  <c r="O43" i="4"/>
  <c r="P43" i="4"/>
  <c r="T43" i="4"/>
  <c r="U43" i="4"/>
  <c r="V43" i="4"/>
  <c r="W43" i="4"/>
  <c r="X43" i="4"/>
  <c r="F101" i="8" l="1"/>
  <c r="D101" i="8"/>
  <c r="G450" i="7"/>
  <c r="G285" i="7"/>
  <c r="G630" i="7"/>
  <c r="M287" i="3"/>
  <c r="L377" i="3" s="1"/>
  <c r="M452" i="7"/>
  <c r="L743" i="7" s="1"/>
  <c r="M632" i="7"/>
  <c r="L764" i="7" s="1"/>
  <c r="V287" i="3"/>
  <c r="U377" i="3" s="1"/>
  <c r="V632" i="7"/>
  <c r="U764" i="7" s="1"/>
  <c r="V452" i="7"/>
  <c r="U743" i="7" s="1"/>
  <c r="U287" i="3"/>
  <c r="T377" i="3" s="1"/>
  <c r="U632" i="7"/>
  <c r="T764" i="7" s="1"/>
  <c r="U452" i="7"/>
  <c r="T743" i="7" s="1"/>
  <c r="W287" i="3"/>
  <c r="V377" i="3" s="1"/>
  <c r="W452" i="7"/>
  <c r="V743" i="7" s="1"/>
  <c r="W632" i="7"/>
  <c r="V764" i="7" s="1"/>
  <c r="Q287" i="3"/>
  <c r="P377" i="3" s="1"/>
  <c r="Q632" i="7"/>
  <c r="P764" i="7" s="1"/>
  <c r="Q452" i="7"/>
  <c r="P743" i="7" s="1"/>
  <c r="X287" i="3"/>
  <c r="W377" i="3" s="1"/>
  <c r="X632" i="7"/>
  <c r="W764" i="7" s="1"/>
  <c r="X452" i="7"/>
  <c r="W743" i="7" s="1"/>
  <c r="P287" i="3"/>
  <c r="O377" i="3" s="1"/>
  <c r="P632" i="7"/>
  <c r="O764" i="7" s="1"/>
  <c r="P452" i="7"/>
  <c r="O743" i="7" s="1"/>
  <c r="O287" i="3"/>
  <c r="N377" i="3" s="1"/>
  <c r="O452" i="7"/>
  <c r="N743" i="7" s="1"/>
  <c r="O632" i="7"/>
  <c r="N764" i="7" s="1"/>
  <c r="Y287" i="3"/>
  <c r="X377" i="3" s="1"/>
  <c r="Y452" i="7"/>
  <c r="X743" i="7" s="1"/>
  <c r="Y632" i="7"/>
  <c r="X764" i="7" s="1"/>
  <c r="N287" i="3"/>
  <c r="M377" i="3" s="1"/>
  <c r="N632" i="7"/>
  <c r="M764" i="7" s="1"/>
  <c r="N452" i="7"/>
  <c r="M743" i="7" s="1"/>
  <c r="X127" i="3"/>
  <c r="W360" i="3" s="1"/>
  <c r="X127" i="7"/>
  <c r="M127" i="3"/>
  <c r="L360" i="3" s="1"/>
  <c r="M127" i="7"/>
  <c r="W127" i="3"/>
  <c r="V360" i="3" s="1"/>
  <c r="W127" i="7"/>
  <c r="V127" i="3"/>
  <c r="U360" i="3" s="1"/>
  <c r="V127" i="7"/>
  <c r="U127" i="3"/>
  <c r="T360" i="3" s="1"/>
  <c r="U127" i="7"/>
  <c r="Q127" i="3"/>
  <c r="P360" i="3" s="1"/>
  <c r="Q127" i="7"/>
  <c r="O127" i="3"/>
  <c r="N360" i="3" s="1"/>
  <c r="O127" i="7"/>
  <c r="P127" i="3"/>
  <c r="O360" i="3" s="1"/>
  <c r="P127" i="7"/>
  <c r="Y127" i="3"/>
  <c r="X360" i="3" s="1"/>
  <c r="Y127" i="7"/>
  <c r="N127" i="3"/>
  <c r="M360" i="3" s="1"/>
  <c r="N127" i="7"/>
  <c r="G125" i="3"/>
  <c r="F359" i="3" s="1"/>
  <c r="G125" i="7"/>
  <c r="X123" i="3"/>
  <c r="X123" i="7"/>
  <c r="M123" i="3"/>
  <c r="M123" i="7"/>
  <c r="U123" i="3"/>
  <c r="U123" i="7"/>
  <c r="G121" i="3"/>
  <c r="G121" i="7"/>
  <c r="W123" i="3"/>
  <c r="W123" i="7"/>
  <c r="V123" i="3"/>
  <c r="V123" i="7"/>
  <c r="Q123" i="3"/>
  <c r="Q123" i="7"/>
  <c r="P123" i="3"/>
  <c r="P123" i="7"/>
  <c r="O123" i="3"/>
  <c r="O123" i="7"/>
  <c r="Y123" i="3"/>
  <c r="Y123" i="7"/>
  <c r="N123" i="3"/>
  <c r="N123" i="7"/>
  <c r="X124" i="3"/>
  <c r="X124" i="7"/>
  <c r="M124" i="3"/>
  <c r="M124" i="7"/>
  <c r="W124" i="3"/>
  <c r="W124" i="7"/>
  <c r="G122" i="3"/>
  <c r="G122" i="7"/>
  <c r="V124" i="3"/>
  <c r="V124" i="7"/>
  <c r="Q124" i="3"/>
  <c r="Q124" i="7"/>
  <c r="P124" i="3"/>
  <c r="P124" i="7"/>
  <c r="U124" i="3"/>
  <c r="U124" i="7"/>
  <c r="O124" i="3"/>
  <c r="O124" i="7"/>
  <c r="Y124" i="7"/>
  <c r="Y124" i="3"/>
  <c r="N124" i="3"/>
  <c r="N124" i="7"/>
  <c r="X287" i="7"/>
  <c r="W722" i="7" s="1"/>
  <c r="M287" i="7"/>
  <c r="L722" i="7" s="1"/>
  <c r="P287" i="7"/>
  <c r="O722" i="7" s="1"/>
  <c r="W287" i="7"/>
  <c r="V722" i="7" s="1"/>
  <c r="V287" i="7"/>
  <c r="U722" i="7" s="1"/>
  <c r="U287" i="7"/>
  <c r="T722" i="7" s="1"/>
  <c r="Q287" i="7"/>
  <c r="P722" i="7" s="1"/>
  <c r="O287" i="7"/>
  <c r="N722" i="7" s="1"/>
  <c r="Y287" i="7"/>
  <c r="X722" i="7" s="1"/>
  <c r="N287" i="7"/>
  <c r="M722" i="7" s="1"/>
  <c r="G112" i="4"/>
  <c r="G113" i="4"/>
  <c r="G120" i="4"/>
  <c r="G117" i="4"/>
  <c r="G116" i="4"/>
  <c r="G115" i="4"/>
  <c r="G114" i="4"/>
  <c r="K106" i="2"/>
  <c r="J106" i="2"/>
  <c r="I106" i="2"/>
  <c r="H106" i="2"/>
  <c r="G106" i="2"/>
  <c r="F106" i="2"/>
  <c r="K107" i="2"/>
  <c r="J107" i="2"/>
  <c r="I107" i="2"/>
  <c r="H107" i="2"/>
  <c r="G107" i="2"/>
  <c r="F107" i="2"/>
  <c r="I61" i="3" l="1"/>
  <c r="G238" i="8" s="1"/>
  <c r="J61" i="5"/>
  <c r="I43" i="7" s="1"/>
  <c r="J60" i="3"/>
  <c r="H237" i="8" s="1"/>
  <c r="K60" i="5"/>
  <c r="J42" i="7" s="1"/>
  <c r="I696" i="7" s="1"/>
  <c r="H61" i="3"/>
  <c r="F238" i="8" s="1"/>
  <c r="I61" i="5"/>
  <c r="H43" i="7" s="1"/>
  <c r="I60" i="3"/>
  <c r="G237" i="8" s="1"/>
  <c r="J60" i="5"/>
  <c r="I42" i="7" s="1"/>
  <c r="H696" i="7" s="1"/>
  <c r="J61" i="3"/>
  <c r="H238" i="8" s="1"/>
  <c r="K61" i="5"/>
  <c r="J43" i="7" s="1"/>
  <c r="L60" i="5"/>
  <c r="K42" i="7" s="1"/>
  <c r="J696" i="7" s="1"/>
  <c r="K60" i="3"/>
  <c r="I237" i="8" s="1"/>
  <c r="G60" i="5"/>
  <c r="F42" i="7" s="1"/>
  <c r="E696" i="7" s="1"/>
  <c r="F60" i="3"/>
  <c r="D237" i="8" s="1"/>
  <c r="K61" i="3"/>
  <c r="I238" i="8" s="1"/>
  <c r="L61" i="5"/>
  <c r="K43" i="7" s="1"/>
  <c r="L60" i="3"/>
  <c r="J237" i="8" s="1"/>
  <c r="M60" i="5"/>
  <c r="L42" i="7" s="1"/>
  <c r="K696" i="7" s="1"/>
  <c r="L61" i="3"/>
  <c r="J238" i="8" s="1"/>
  <c r="M61" i="5"/>
  <c r="L43" i="7" s="1"/>
  <c r="F61" i="3"/>
  <c r="D238" i="8" s="1"/>
  <c r="G61" i="5"/>
  <c r="F43" i="7" s="1"/>
  <c r="G60" i="3"/>
  <c r="E237" i="8" s="1"/>
  <c r="H60" i="5"/>
  <c r="G42" i="7" s="1"/>
  <c r="F696" i="7" s="1"/>
  <c r="G61" i="3"/>
  <c r="E238" i="8" s="1"/>
  <c r="H61" i="5"/>
  <c r="G43" i="7" s="1"/>
  <c r="I60" i="5"/>
  <c r="H42" i="7" s="1"/>
  <c r="G696" i="7" s="1"/>
  <c r="H60" i="3"/>
  <c r="F237" i="8" s="1"/>
  <c r="I71" i="3"/>
  <c r="J71" i="5"/>
  <c r="I53" i="7" s="1"/>
  <c r="J70" i="3"/>
  <c r="H245" i="8" s="1"/>
  <c r="K70" i="5"/>
  <c r="J52" i="7" s="1"/>
  <c r="H71" i="3"/>
  <c r="I71" i="5"/>
  <c r="H53" i="7" s="1"/>
  <c r="I70" i="3"/>
  <c r="G245" i="8" s="1"/>
  <c r="J70" i="5"/>
  <c r="I52" i="7" s="1"/>
  <c r="K71" i="3"/>
  <c r="L71" i="5"/>
  <c r="K53" i="7" s="1"/>
  <c r="L70" i="3"/>
  <c r="J245" i="8" s="1"/>
  <c r="M70" i="5"/>
  <c r="L52" i="7" s="1"/>
  <c r="G70" i="5"/>
  <c r="F52" i="7" s="1"/>
  <c r="F70" i="3"/>
  <c r="D245" i="8" s="1"/>
  <c r="J71" i="3"/>
  <c r="K71" i="5"/>
  <c r="J53" i="7" s="1"/>
  <c r="K70" i="3"/>
  <c r="I245" i="8" s="1"/>
  <c r="L70" i="5"/>
  <c r="K52" i="7" s="1"/>
  <c r="L71" i="3"/>
  <c r="M71" i="5"/>
  <c r="L53" i="7" s="1"/>
  <c r="G71" i="5"/>
  <c r="F53" i="7" s="1"/>
  <c r="F71" i="3"/>
  <c r="G70" i="3"/>
  <c r="E245" i="8" s="1"/>
  <c r="H70" i="5"/>
  <c r="G52" i="7" s="1"/>
  <c r="G71" i="3"/>
  <c r="H71" i="5"/>
  <c r="G53" i="7" s="1"/>
  <c r="H70" i="3"/>
  <c r="F245" i="8" s="1"/>
  <c r="I70" i="5"/>
  <c r="H52" i="7" s="1"/>
  <c r="H69" i="3"/>
  <c r="I69" i="5"/>
  <c r="H51" i="7" s="1"/>
  <c r="I68" i="3"/>
  <c r="J68" i="5"/>
  <c r="I50" i="7" s="1"/>
  <c r="J68" i="3"/>
  <c r="K68" i="5"/>
  <c r="J50" i="7" s="1"/>
  <c r="F68" i="3"/>
  <c r="G68" i="5"/>
  <c r="F50" i="7" s="1"/>
  <c r="K69" i="3"/>
  <c r="L69" i="5"/>
  <c r="K51" i="7" s="1"/>
  <c r="G480" i="3"/>
  <c r="E79" i="8" s="1"/>
  <c r="F79" i="8" s="1"/>
  <c r="L68" i="3"/>
  <c r="M68" i="5"/>
  <c r="L50" i="7" s="1"/>
  <c r="G481" i="3"/>
  <c r="L69" i="3"/>
  <c r="M69" i="5"/>
  <c r="L51" i="7" s="1"/>
  <c r="G69" i="5"/>
  <c r="F51" i="7" s="1"/>
  <c r="F69" i="3"/>
  <c r="G68" i="3"/>
  <c r="H68" i="5"/>
  <c r="G50" i="7" s="1"/>
  <c r="I69" i="3"/>
  <c r="J69" i="5"/>
  <c r="I51" i="7" s="1"/>
  <c r="K69" i="5"/>
  <c r="J51" i="7" s="1"/>
  <c r="J69" i="3"/>
  <c r="K68" i="3"/>
  <c r="L68" i="5"/>
  <c r="K50" i="7" s="1"/>
  <c r="G69" i="3"/>
  <c r="H69" i="5"/>
  <c r="G51" i="7" s="1"/>
  <c r="H68" i="3"/>
  <c r="I68" i="5"/>
  <c r="H50" i="7" s="1"/>
  <c r="F356" i="3"/>
  <c r="M107" i="2"/>
  <c r="M106" i="2"/>
  <c r="H630" i="7"/>
  <c r="H450" i="7"/>
  <c r="H285" i="7"/>
  <c r="L113" i="5"/>
  <c r="K113" i="3"/>
  <c r="J113" i="3"/>
  <c r="K113" i="5"/>
  <c r="J67" i="7" s="1"/>
  <c r="F113" i="3"/>
  <c r="G113" i="5"/>
  <c r="H113" i="3"/>
  <c r="I113" i="5"/>
  <c r="L113" i="3"/>
  <c r="M113" i="5"/>
  <c r="G113" i="3"/>
  <c r="H113" i="5"/>
  <c r="G67" i="7" s="1"/>
  <c r="I113" i="3"/>
  <c r="J113" i="5"/>
  <c r="J112" i="3"/>
  <c r="K112" i="5"/>
  <c r="K112" i="3"/>
  <c r="L112" i="5"/>
  <c r="L112" i="3"/>
  <c r="M112" i="5"/>
  <c r="F112" i="3"/>
  <c r="G112" i="5"/>
  <c r="G112" i="3"/>
  <c r="H112" i="5"/>
  <c r="H112" i="3"/>
  <c r="I112" i="5"/>
  <c r="I112" i="3"/>
  <c r="J112" i="5"/>
  <c r="H125" i="3"/>
  <c r="G359" i="3" s="1"/>
  <c r="H125" i="7"/>
  <c r="M111" i="5"/>
  <c r="L111" i="3"/>
  <c r="G111" i="3"/>
  <c r="H111" i="5"/>
  <c r="F111" i="3"/>
  <c r="G111" i="5"/>
  <c r="J111" i="5"/>
  <c r="I111" i="3"/>
  <c r="H111" i="3"/>
  <c r="I111" i="5"/>
  <c r="K111" i="5"/>
  <c r="J111" i="3"/>
  <c r="L111" i="5"/>
  <c r="K111" i="3"/>
  <c r="H121" i="3"/>
  <c r="H121" i="7"/>
  <c r="H122" i="3"/>
  <c r="H122" i="7"/>
  <c r="I105" i="3"/>
  <c r="J105" i="5"/>
  <c r="J104" i="3"/>
  <c r="I355" i="3" s="1"/>
  <c r="K104" i="5"/>
  <c r="J58" i="7" s="1"/>
  <c r="H105" i="3"/>
  <c r="I105" i="5"/>
  <c r="J105" i="3"/>
  <c r="K105" i="5"/>
  <c r="J59" i="7" s="1"/>
  <c r="K104" i="3"/>
  <c r="J355" i="3" s="1"/>
  <c r="L104" i="5"/>
  <c r="K58" i="7" s="1"/>
  <c r="G104" i="5"/>
  <c r="F104" i="3"/>
  <c r="E355" i="3" s="1"/>
  <c r="K105" i="3"/>
  <c r="L105" i="5"/>
  <c r="I104" i="3"/>
  <c r="H355" i="3" s="1"/>
  <c r="J104" i="5"/>
  <c r="I58" i="7" s="1"/>
  <c r="L104" i="3"/>
  <c r="M104" i="5"/>
  <c r="L58" i="7" s="1"/>
  <c r="L105" i="3"/>
  <c r="M105" i="5"/>
  <c r="G105" i="5"/>
  <c r="F105" i="3"/>
  <c r="G104" i="3"/>
  <c r="F355" i="3" s="1"/>
  <c r="H104" i="5"/>
  <c r="G105" i="3"/>
  <c r="H105" i="5"/>
  <c r="H104" i="3"/>
  <c r="G355" i="3" s="1"/>
  <c r="I104" i="5"/>
  <c r="H58" i="7" s="1"/>
  <c r="H109" i="3"/>
  <c r="I109" i="5"/>
  <c r="G109" i="3"/>
  <c r="H109" i="5"/>
  <c r="J109" i="5"/>
  <c r="I109" i="3"/>
  <c r="J110" i="3"/>
  <c r="K110" i="5"/>
  <c r="K109" i="3"/>
  <c r="L109" i="5"/>
  <c r="G110" i="3"/>
  <c r="H110" i="5"/>
  <c r="J109" i="3"/>
  <c r="K109" i="5"/>
  <c r="L109" i="3"/>
  <c r="M109" i="5"/>
  <c r="I110" i="5"/>
  <c r="H110" i="3"/>
  <c r="I110" i="3"/>
  <c r="J110" i="5"/>
  <c r="K110" i="3"/>
  <c r="L110" i="5"/>
  <c r="L110" i="3"/>
  <c r="M110" i="5"/>
  <c r="G110" i="5"/>
  <c r="F110" i="3"/>
  <c r="G109" i="5"/>
  <c r="F109" i="3"/>
  <c r="H108" i="3"/>
  <c r="I108" i="5"/>
  <c r="G108" i="5"/>
  <c r="F108" i="3"/>
  <c r="H108" i="5"/>
  <c r="G108" i="3"/>
  <c r="J108" i="3"/>
  <c r="K108" i="5"/>
  <c r="I108" i="3"/>
  <c r="J108" i="5"/>
  <c r="K108" i="3"/>
  <c r="L108" i="5"/>
  <c r="L108" i="3"/>
  <c r="M108" i="5"/>
  <c r="K134" i="5"/>
  <c r="J132" i="7" s="1"/>
  <c r="J134" i="3"/>
  <c r="J135" i="3"/>
  <c r="K135" i="5"/>
  <c r="J142" i="7" s="1"/>
  <c r="L134" i="5"/>
  <c r="K132" i="7" s="1"/>
  <c r="K134" i="3"/>
  <c r="I135" i="3"/>
  <c r="J135" i="5"/>
  <c r="I142" i="7" s="1"/>
  <c r="L135" i="5"/>
  <c r="K142" i="7" s="1"/>
  <c r="K135" i="3"/>
  <c r="M134" i="5"/>
  <c r="L132" i="7" s="1"/>
  <c r="L134" i="3"/>
  <c r="M135" i="5"/>
  <c r="L142" i="7" s="1"/>
  <c r="L135" i="3"/>
  <c r="F134" i="3"/>
  <c r="G134" i="5"/>
  <c r="F135" i="3"/>
  <c r="G135" i="5"/>
  <c r="G134" i="3"/>
  <c r="H134" i="5"/>
  <c r="G132" i="7" s="1"/>
  <c r="H135" i="5"/>
  <c r="G142" i="7" s="1"/>
  <c r="G135" i="3"/>
  <c r="H134" i="3"/>
  <c r="I134" i="5"/>
  <c r="H132" i="7" s="1"/>
  <c r="H135" i="3"/>
  <c r="I135" i="5"/>
  <c r="H142" i="7" s="1"/>
  <c r="J134" i="5"/>
  <c r="I132" i="7" s="1"/>
  <c r="I134" i="3"/>
  <c r="J272" i="3"/>
  <c r="I375" i="3" s="1"/>
  <c r="K107" i="5"/>
  <c r="J89" i="7" s="1"/>
  <c r="K271" i="3"/>
  <c r="L106" i="5"/>
  <c r="K88" i="7" s="1"/>
  <c r="L271" i="3"/>
  <c r="M106" i="5"/>
  <c r="L88" i="7" s="1"/>
  <c r="L272" i="3"/>
  <c r="M107" i="5"/>
  <c r="L89" i="7" s="1"/>
  <c r="K272" i="3"/>
  <c r="J375" i="3" s="1"/>
  <c r="L107" i="5"/>
  <c r="K89" i="7" s="1"/>
  <c r="G106" i="5"/>
  <c r="F271" i="3"/>
  <c r="F106" i="3"/>
  <c r="M104" i="3"/>
  <c r="I272" i="3"/>
  <c r="I107" i="3"/>
  <c r="J107" i="5"/>
  <c r="F272" i="3"/>
  <c r="F107" i="3"/>
  <c r="G107" i="5"/>
  <c r="F89" i="7" s="1"/>
  <c r="H106" i="5"/>
  <c r="G271" i="3"/>
  <c r="G106" i="3"/>
  <c r="J271" i="3"/>
  <c r="K106" i="5"/>
  <c r="J88" i="7" s="1"/>
  <c r="G272" i="3"/>
  <c r="F375" i="3" s="1"/>
  <c r="G107" i="3"/>
  <c r="H107" i="5"/>
  <c r="G89" i="7" s="1"/>
  <c r="I106" i="5"/>
  <c r="H271" i="3"/>
  <c r="H106" i="3"/>
  <c r="H272" i="3"/>
  <c r="H107" i="3"/>
  <c r="I107" i="5"/>
  <c r="H89" i="7" s="1"/>
  <c r="J106" i="5"/>
  <c r="I88" i="7" s="1"/>
  <c r="I271" i="3"/>
  <c r="I106" i="3"/>
  <c r="H114" i="4"/>
  <c r="H120" i="4"/>
  <c r="H115" i="4"/>
  <c r="H113" i="4"/>
  <c r="H116" i="4"/>
  <c r="H117" i="4"/>
  <c r="H112" i="4"/>
  <c r="G353" i="3" l="1"/>
  <c r="F353" i="3"/>
  <c r="E353" i="3"/>
  <c r="J353" i="3"/>
  <c r="E697" i="7"/>
  <c r="J697" i="7"/>
  <c r="L91" i="7"/>
  <c r="L63" i="7"/>
  <c r="F93" i="7"/>
  <c r="F65" i="7"/>
  <c r="I89" i="7"/>
  <c r="F90" i="7"/>
  <c r="F62" i="7"/>
  <c r="F86" i="7"/>
  <c r="F58" i="7"/>
  <c r="K93" i="7"/>
  <c r="K65" i="7"/>
  <c r="L94" i="7"/>
  <c r="L66" i="7"/>
  <c r="H90" i="7"/>
  <c r="H62" i="7"/>
  <c r="J91" i="7"/>
  <c r="J63" i="7"/>
  <c r="G87" i="7"/>
  <c r="G59" i="7"/>
  <c r="H94" i="7"/>
  <c r="H66" i="7"/>
  <c r="L95" i="7"/>
  <c r="L67" i="7"/>
  <c r="I90" i="7"/>
  <c r="I62" i="7"/>
  <c r="K92" i="7"/>
  <c r="K64" i="7"/>
  <c r="I87" i="7"/>
  <c r="I59" i="7"/>
  <c r="G93" i="7"/>
  <c r="G65" i="7"/>
  <c r="K94" i="7"/>
  <c r="K66" i="7"/>
  <c r="I91" i="7"/>
  <c r="I63" i="7"/>
  <c r="J93" i="7"/>
  <c r="J65" i="7"/>
  <c r="K95" i="7"/>
  <c r="K67" i="7"/>
  <c r="J90" i="7"/>
  <c r="J62" i="7"/>
  <c r="G91" i="7"/>
  <c r="G63" i="7"/>
  <c r="H93" i="7"/>
  <c r="H65" i="7"/>
  <c r="G94" i="7"/>
  <c r="G66" i="7"/>
  <c r="J94" i="7"/>
  <c r="J66" i="7"/>
  <c r="H95" i="7"/>
  <c r="H67" i="7"/>
  <c r="L92" i="7"/>
  <c r="L64" i="7"/>
  <c r="L87" i="7"/>
  <c r="L59" i="7"/>
  <c r="I94" i="7"/>
  <c r="I66" i="7"/>
  <c r="I92" i="7"/>
  <c r="I64" i="7"/>
  <c r="G92" i="7"/>
  <c r="G64" i="7"/>
  <c r="H88" i="7"/>
  <c r="G88" i="7"/>
  <c r="F91" i="7"/>
  <c r="F63" i="7"/>
  <c r="L93" i="7"/>
  <c r="L65" i="7"/>
  <c r="J92" i="7"/>
  <c r="J64" i="7"/>
  <c r="L90" i="7"/>
  <c r="L62" i="7"/>
  <c r="H91" i="7"/>
  <c r="H63" i="7"/>
  <c r="H87" i="7"/>
  <c r="H59" i="7"/>
  <c r="I95" i="7"/>
  <c r="I67" i="7"/>
  <c r="K90" i="7"/>
  <c r="K62" i="7"/>
  <c r="K91" i="7"/>
  <c r="K63" i="7"/>
  <c r="K87" i="7"/>
  <c r="K59" i="7"/>
  <c r="F94" i="7"/>
  <c r="F66" i="7"/>
  <c r="F95" i="7"/>
  <c r="F67" i="7"/>
  <c r="F88" i="7"/>
  <c r="G90" i="7"/>
  <c r="G62" i="7"/>
  <c r="F92" i="7"/>
  <c r="F64" i="7"/>
  <c r="H92" i="7"/>
  <c r="H64" i="7"/>
  <c r="F87" i="7"/>
  <c r="F59" i="7"/>
  <c r="I93" i="7"/>
  <c r="I65" i="7"/>
  <c r="H102" i="7"/>
  <c r="H86" i="7"/>
  <c r="J102" i="7"/>
  <c r="J86" i="7"/>
  <c r="L102" i="7"/>
  <c r="L86" i="7"/>
  <c r="G102" i="7"/>
  <c r="G86" i="7"/>
  <c r="I102" i="7"/>
  <c r="I86" i="7"/>
  <c r="J103" i="7"/>
  <c r="J87" i="7"/>
  <c r="G118" i="7"/>
  <c r="G95" i="7"/>
  <c r="J118" i="7"/>
  <c r="J95" i="7"/>
  <c r="K102" i="7"/>
  <c r="K86" i="7"/>
  <c r="K61" i="7"/>
  <c r="K226" i="7"/>
  <c r="K391" i="7"/>
  <c r="K571" i="7"/>
  <c r="F571" i="7"/>
  <c r="F61" i="7"/>
  <c r="F391" i="7"/>
  <c r="F226" i="7"/>
  <c r="H571" i="7"/>
  <c r="H391" i="7"/>
  <c r="H226" i="7"/>
  <c r="H61" i="7"/>
  <c r="F570" i="7"/>
  <c r="F60" i="7"/>
  <c r="F390" i="7"/>
  <c r="F225" i="7"/>
  <c r="L61" i="7"/>
  <c r="L226" i="7"/>
  <c r="L571" i="7"/>
  <c r="L391" i="7"/>
  <c r="J225" i="7"/>
  <c r="J390" i="7"/>
  <c r="J60" i="7"/>
  <c r="J570" i="7"/>
  <c r="N61" i="5"/>
  <c r="M43" i="7" s="1"/>
  <c r="M61" i="3"/>
  <c r="K238" i="8" s="1"/>
  <c r="G58" i="7"/>
  <c r="G60" i="7"/>
  <c r="G570" i="7"/>
  <c r="G390" i="7"/>
  <c r="G225" i="7"/>
  <c r="H570" i="7"/>
  <c r="H390" i="7"/>
  <c r="H225" i="7"/>
  <c r="H60" i="7"/>
  <c r="K60" i="7"/>
  <c r="K225" i="7"/>
  <c r="K570" i="7"/>
  <c r="K390" i="7"/>
  <c r="I570" i="7"/>
  <c r="I60" i="7"/>
  <c r="I225" i="7"/>
  <c r="I390" i="7"/>
  <c r="G571" i="7"/>
  <c r="G391" i="7"/>
  <c r="G226" i="7"/>
  <c r="G61" i="7"/>
  <c r="L570" i="7"/>
  <c r="L390" i="7"/>
  <c r="L225" i="7"/>
  <c r="L60" i="7"/>
  <c r="J571" i="7"/>
  <c r="J391" i="7"/>
  <c r="J226" i="7"/>
  <c r="J61" i="7"/>
  <c r="I61" i="7"/>
  <c r="I226" i="7"/>
  <c r="I391" i="7"/>
  <c r="I571" i="7"/>
  <c r="N60" i="5"/>
  <c r="M42" i="7" s="1"/>
  <c r="L696" i="7" s="1"/>
  <c r="M60" i="3"/>
  <c r="K237" i="8" s="1"/>
  <c r="K378" i="3"/>
  <c r="K382" i="3" s="1"/>
  <c r="K355" i="3"/>
  <c r="E274" i="8"/>
  <c r="E280" i="8" s="1"/>
  <c r="E269" i="8"/>
  <c r="G274" i="8"/>
  <c r="G280" i="8" s="1"/>
  <c r="G269" i="8"/>
  <c r="G580" i="7"/>
  <c r="G400" i="7"/>
  <c r="G235" i="7"/>
  <c r="G70" i="7"/>
  <c r="J401" i="7"/>
  <c r="J581" i="7"/>
  <c r="J236" i="7"/>
  <c r="J71" i="7"/>
  <c r="I580" i="7"/>
  <c r="I400" i="7"/>
  <c r="I235" i="7"/>
  <c r="I70" i="7"/>
  <c r="D274" i="8"/>
  <c r="D280" i="8" s="1"/>
  <c r="D269" i="8"/>
  <c r="H581" i="7"/>
  <c r="H401" i="7"/>
  <c r="H236" i="7"/>
  <c r="H71" i="7"/>
  <c r="M70" i="3"/>
  <c r="K245" i="8" s="1"/>
  <c r="N70" i="5"/>
  <c r="M52" i="7" s="1"/>
  <c r="F581" i="7"/>
  <c r="F236" i="7"/>
  <c r="F401" i="7"/>
  <c r="F71" i="7"/>
  <c r="F580" i="7"/>
  <c r="F400" i="7"/>
  <c r="F235" i="7"/>
  <c r="F70" i="7"/>
  <c r="N71" i="5"/>
  <c r="M53" i="7" s="1"/>
  <c r="M71" i="3"/>
  <c r="H580" i="7"/>
  <c r="H400" i="7"/>
  <c r="H235" i="7"/>
  <c r="H70" i="7"/>
  <c r="L401" i="7"/>
  <c r="L236" i="7"/>
  <c r="L581" i="7"/>
  <c r="L71" i="7"/>
  <c r="L580" i="7"/>
  <c r="L400" i="7"/>
  <c r="L235" i="7"/>
  <c r="L70" i="7"/>
  <c r="J400" i="7"/>
  <c r="J235" i="7"/>
  <c r="J580" i="7"/>
  <c r="J70" i="7"/>
  <c r="F274" i="8"/>
  <c r="F280" i="8" s="1"/>
  <c r="F269" i="8"/>
  <c r="J274" i="8"/>
  <c r="J280" i="8" s="1"/>
  <c r="J269" i="8"/>
  <c r="H274" i="8"/>
  <c r="H280" i="8" s="1"/>
  <c r="H269" i="8"/>
  <c r="G581" i="7"/>
  <c r="G401" i="7"/>
  <c r="G236" i="7"/>
  <c r="G71" i="7"/>
  <c r="K400" i="7"/>
  <c r="K235" i="7"/>
  <c r="K580" i="7"/>
  <c r="K70" i="7"/>
  <c r="K401" i="7"/>
  <c r="K236" i="7"/>
  <c r="K581" i="7"/>
  <c r="K71" i="7"/>
  <c r="I401" i="7"/>
  <c r="I236" i="7"/>
  <c r="I581" i="7"/>
  <c r="I71" i="7"/>
  <c r="I274" i="8"/>
  <c r="I280" i="8" s="1"/>
  <c r="I269" i="8"/>
  <c r="I353" i="3"/>
  <c r="K353" i="3"/>
  <c r="H353" i="3"/>
  <c r="J399" i="7"/>
  <c r="J579" i="7"/>
  <c r="J234" i="7"/>
  <c r="J69" i="7"/>
  <c r="H578" i="7"/>
  <c r="H233" i="7"/>
  <c r="H398" i="7"/>
  <c r="I68" i="7"/>
  <c r="I399" i="7"/>
  <c r="I579" i="7"/>
  <c r="I234" i="7"/>
  <c r="I69" i="7"/>
  <c r="J578" i="7"/>
  <c r="J233" i="7"/>
  <c r="J398" i="7"/>
  <c r="J68" i="7"/>
  <c r="L578" i="7"/>
  <c r="L233" i="7"/>
  <c r="L398" i="7"/>
  <c r="G399" i="7"/>
  <c r="G234" i="7"/>
  <c r="G579" i="7"/>
  <c r="G69" i="7"/>
  <c r="G578" i="7"/>
  <c r="G398" i="7"/>
  <c r="G233" i="7"/>
  <c r="G68" i="7"/>
  <c r="I578" i="7"/>
  <c r="I233" i="7"/>
  <c r="I398" i="7"/>
  <c r="F233" i="7"/>
  <c r="F398" i="7"/>
  <c r="F578" i="7"/>
  <c r="F68" i="7"/>
  <c r="K578" i="7"/>
  <c r="K398" i="7"/>
  <c r="K233" i="7"/>
  <c r="K68" i="7"/>
  <c r="K399" i="7"/>
  <c r="K234" i="7"/>
  <c r="K579" i="7"/>
  <c r="K69" i="7"/>
  <c r="H68" i="7"/>
  <c r="H399" i="7"/>
  <c r="H579" i="7"/>
  <c r="H234" i="7"/>
  <c r="H69" i="7"/>
  <c r="N107" i="2"/>
  <c r="M69" i="3"/>
  <c r="N69" i="5"/>
  <c r="M51" i="7" s="1"/>
  <c r="L68" i="7"/>
  <c r="L399" i="7"/>
  <c r="L579" i="7"/>
  <c r="L234" i="7"/>
  <c r="L69" i="7"/>
  <c r="N106" i="2"/>
  <c r="N68" i="5"/>
  <c r="M50" i="7" s="1"/>
  <c r="M68" i="3"/>
  <c r="L355" i="3" s="1"/>
  <c r="F399" i="7"/>
  <c r="F234" i="7"/>
  <c r="F579" i="7"/>
  <c r="F69" i="7"/>
  <c r="F358" i="3"/>
  <c r="G357" i="3"/>
  <c r="G358" i="3"/>
  <c r="G378" i="3"/>
  <c r="G382" i="3" s="1"/>
  <c r="J378" i="3"/>
  <c r="J382" i="3" s="1"/>
  <c r="E358" i="3"/>
  <c r="I378" i="3"/>
  <c r="I382" i="3" s="1"/>
  <c r="I385" i="3" s="1"/>
  <c r="F378" i="3"/>
  <c r="F382" i="3" s="1"/>
  <c r="F357" i="3"/>
  <c r="G356" i="3"/>
  <c r="H357" i="3"/>
  <c r="E357" i="3"/>
  <c r="H378" i="3"/>
  <c r="H382" i="3" s="1"/>
  <c r="E378" i="3"/>
  <c r="E382" i="3" s="1"/>
  <c r="N108" i="5"/>
  <c r="N104" i="5"/>
  <c r="M103" i="7" s="1"/>
  <c r="N135" i="5"/>
  <c r="N109" i="5"/>
  <c r="M63" i="7" s="1"/>
  <c r="N107" i="5"/>
  <c r="M89" i="7" s="1"/>
  <c r="N134" i="5"/>
  <c r="O134" i="5" s="1"/>
  <c r="N112" i="5"/>
  <c r="N113" i="5"/>
  <c r="N106" i="5"/>
  <c r="M88" i="7" s="1"/>
  <c r="N110" i="5"/>
  <c r="N105" i="5"/>
  <c r="M59" i="7" s="1"/>
  <c r="N111" i="5"/>
  <c r="K103" i="7"/>
  <c r="L103" i="7"/>
  <c r="G103" i="7"/>
  <c r="I103" i="7"/>
  <c r="H103" i="7"/>
  <c r="I630" i="7"/>
  <c r="I285" i="7"/>
  <c r="I450" i="7"/>
  <c r="J136" i="7"/>
  <c r="L136" i="7"/>
  <c r="G136" i="7"/>
  <c r="I118" i="7"/>
  <c r="F141" i="7"/>
  <c r="F142" i="7"/>
  <c r="F118" i="7"/>
  <c r="G140" i="7"/>
  <c r="G141" i="7"/>
  <c r="L140" i="7"/>
  <c r="L141" i="7"/>
  <c r="J140" i="7"/>
  <c r="J141" i="7"/>
  <c r="H140" i="7"/>
  <c r="H141" i="7"/>
  <c r="L118" i="7"/>
  <c r="K140" i="7"/>
  <c r="K141" i="7"/>
  <c r="K118" i="7"/>
  <c r="I140" i="7"/>
  <c r="I141" i="7"/>
  <c r="H118" i="7"/>
  <c r="H112" i="7"/>
  <c r="K112" i="7"/>
  <c r="F139" i="7"/>
  <c r="F140" i="7"/>
  <c r="I133" i="7"/>
  <c r="I139" i="7"/>
  <c r="H116" i="7"/>
  <c r="H117" i="7"/>
  <c r="L112" i="7"/>
  <c r="I116" i="7"/>
  <c r="I117" i="7"/>
  <c r="F116" i="7"/>
  <c r="F117" i="7"/>
  <c r="G133" i="7"/>
  <c r="G139" i="7"/>
  <c r="L133" i="7"/>
  <c r="L139" i="7"/>
  <c r="J133" i="7"/>
  <c r="J139" i="7"/>
  <c r="G116" i="7"/>
  <c r="G117" i="7"/>
  <c r="J116" i="7"/>
  <c r="J117" i="7"/>
  <c r="L116" i="7"/>
  <c r="L117" i="7"/>
  <c r="H133" i="7"/>
  <c r="H139" i="7"/>
  <c r="K133" i="7"/>
  <c r="K139" i="7"/>
  <c r="K116" i="7"/>
  <c r="K117" i="7"/>
  <c r="H114" i="7"/>
  <c r="H115" i="7"/>
  <c r="I114" i="7"/>
  <c r="I115" i="7"/>
  <c r="F114" i="7"/>
  <c r="F115" i="7"/>
  <c r="H136" i="7"/>
  <c r="G114" i="7"/>
  <c r="G115" i="7"/>
  <c r="J114" i="7"/>
  <c r="J115" i="7"/>
  <c r="I112" i="7"/>
  <c r="L114" i="7"/>
  <c r="L115" i="7"/>
  <c r="K114" i="7"/>
  <c r="K115" i="7"/>
  <c r="I136" i="7"/>
  <c r="F623" i="7"/>
  <c r="F443" i="7"/>
  <c r="F278" i="7"/>
  <c r="M112" i="3"/>
  <c r="M113" i="3"/>
  <c r="J112" i="7"/>
  <c r="G623" i="7"/>
  <c r="G443" i="7"/>
  <c r="G278" i="7"/>
  <c r="H278" i="7"/>
  <c r="H623" i="7"/>
  <c r="H443" i="7"/>
  <c r="I278" i="7"/>
  <c r="I623" i="7"/>
  <c r="I443" i="7"/>
  <c r="G112" i="7"/>
  <c r="I442" i="7"/>
  <c r="I277" i="7"/>
  <c r="I622" i="7"/>
  <c r="F622" i="7"/>
  <c r="F442" i="7"/>
  <c r="F277" i="7"/>
  <c r="H277" i="7"/>
  <c r="H622" i="7"/>
  <c r="H442" i="7"/>
  <c r="G277" i="7"/>
  <c r="G442" i="7"/>
  <c r="G622" i="7"/>
  <c r="I125" i="3"/>
  <c r="H359" i="3" s="1"/>
  <c r="I125" i="7"/>
  <c r="I621" i="7"/>
  <c r="I441" i="7"/>
  <c r="I276" i="7"/>
  <c r="F276" i="7"/>
  <c r="F621" i="7"/>
  <c r="F441" i="7"/>
  <c r="K621" i="7"/>
  <c r="K441" i="7"/>
  <c r="K276" i="7"/>
  <c r="G621" i="7"/>
  <c r="G441" i="7"/>
  <c r="G276" i="7"/>
  <c r="L621" i="7"/>
  <c r="L441" i="7"/>
  <c r="L276" i="7"/>
  <c r="J621" i="7"/>
  <c r="J441" i="7"/>
  <c r="J276" i="7"/>
  <c r="M111" i="3"/>
  <c r="H621" i="7"/>
  <c r="H441" i="7"/>
  <c r="H276" i="7"/>
  <c r="I121" i="3"/>
  <c r="I121" i="7"/>
  <c r="F132" i="7"/>
  <c r="M133" i="7"/>
  <c r="F103" i="7"/>
  <c r="F102" i="7"/>
  <c r="F133" i="7"/>
  <c r="M142" i="7"/>
  <c r="F112" i="7"/>
  <c r="I122" i="3"/>
  <c r="I122" i="7"/>
  <c r="G269" i="7"/>
  <c r="F721" i="7" s="1"/>
  <c r="G104" i="7"/>
  <c r="G614" i="7"/>
  <c r="F763" i="7" s="1"/>
  <c r="G434" i="7"/>
  <c r="F742" i="7" s="1"/>
  <c r="I614" i="7"/>
  <c r="H763" i="7" s="1"/>
  <c r="I434" i="7"/>
  <c r="H742" i="7" s="1"/>
  <c r="I269" i="7"/>
  <c r="H721" i="7" s="1"/>
  <c r="I104" i="7"/>
  <c r="J435" i="7"/>
  <c r="J270" i="7"/>
  <c r="J105" i="7"/>
  <c r="J615" i="7"/>
  <c r="H435" i="7"/>
  <c r="H270" i="7"/>
  <c r="H105" i="7"/>
  <c r="H615" i="7"/>
  <c r="F615" i="7"/>
  <c r="F435" i="7"/>
  <c r="F105" i="7"/>
  <c r="F270" i="7"/>
  <c r="H614" i="7"/>
  <c r="G763" i="7" s="1"/>
  <c r="H434" i="7"/>
  <c r="G742" i="7" s="1"/>
  <c r="H104" i="7"/>
  <c r="H269" i="7"/>
  <c r="G721" i="7" s="1"/>
  <c r="L615" i="7"/>
  <c r="L435" i="7"/>
  <c r="L270" i="7"/>
  <c r="L105" i="7"/>
  <c r="J104" i="7"/>
  <c r="J614" i="7"/>
  <c r="I763" i="7" s="1"/>
  <c r="J434" i="7"/>
  <c r="I742" i="7" s="1"/>
  <c r="J269" i="7"/>
  <c r="I721" i="7" s="1"/>
  <c r="M110" i="3"/>
  <c r="M105" i="3"/>
  <c r="F614" i="7"/>
  <c r="E763" i="7" s="1"/>
  <c r="F434" i="7"/>
  <c r="E742" i="7" s="1"/>
  <c r="F104" i="7"/>
  <c r="F269" i="7"/>
  <c r="E721" i="7" s="1"/>
  <c r="G270" i="7"/>
  <c r="G105" i="7"/>
  <c r="G615" i="7"/>
  <c r="G435" i="7"/>
  <c r="L614" i="7"/>
  <c r="K763" i="7" s="1"/>
  <c r="L434" i="7"/>
  <c r="K742" i="7" s="1"/>
  <c r="L269" i="7"/>
  <c r="K721" i="7" s="1"/>
  <c r="L104" i="7"/>
  <c r="K614" i="7"/>
  <c r="J763" i="7" s="1"/>
  <c r="K434" i="7"/>
  <c r="J742" i="7" s="1"/>
  <c r="K269" i="7"/>
  <c r="J721" i="7" s="1"/>
  <c r="K104" i="7"/>
  <c r="I615" i="7"/>
  <c r="I435" i="7"/>
  <c r="I270" i="7"/>
  <c r="I105" i="7"/>
  <c r="K270" i="7"/>
  <c r="K105" i="7"/>
  <c r="K435" i="7"/>
  <c r="K615" i="7"/>
  <c r="K137" i="7"/>
  <c r="G137" i="7"/>
  <c r="I137" i="7"/>
  <c r="L137" i="7"/>
  <c r="F138" i="7"/>
  <c r="J137" i="7"/>
  <c r="H137" i="7"/>
  <c r="F137" i="7"/>
  <c r="L165" i="7"/>
  <c r="L138" i="7"/>
  <c r="K111" i="7"/>
  <c r="K113" i="7"/>
  <c r="G111" i="7"/>
  <c r="G113" i="7"/>
  <c r="K165" i="7"/>
  <c r="K138" i="7"/>
  <c r="H165" i="7"/>
  <c r="H138" i="7"/>
  <c r="I165" i="7"/>
  <c r="I138" i="7"/>
  <c r="L111" i="7"/>
  <c r="L113" i="7"/>
  <c r="J111" i="7"/>
  <c r="J113" i="7"/>
  <c r="G165" i="7"/>
  <c r="G138" i="7"/>
  <c r="J165" i="7"/>
  <c r="J138" i="7"/>
  <c r="I111" i="7"/>
  <c r="I113" i="7"/>
  <c r="F111" i="7"/>
  <c r="F113" i="7"/>
  <c r="H111" i="7"/>
  <c r="H113" i="7"/>
  <c r="K136" i="7"/>
  <c r="J620" i="7"/>
  <c r="J440" i="7"/>
  <c r="J275" i="7"/>
  <c r="J110" i="7"/>
  <c r="L620" i="7"/>
  <c r="L440" i="7"/>
  <c r="L275" i="7"/>
  <c r="L110" i="7"/>
  <c r="K620" i="7"/>
  <c r="K440" i="7"/>
  <c r="K275" i="7"/>
  <c r="K110" i="7"/>
  <c r="J619" i="7"/>
  <c r="J439" i="7"/>
  <c r="J274" i="7"/>
  <c r="J109" i="7"/>
  <c r="L274" i="7"/>
  <c r="L439" i="7"/>
  <c r="L619" i="7"/>
  <c r="L109" i="7"/>
  <c r="I274" i="7"/>
  <c r="I619" i="7"/>
  <c r="I439" i="7"/>
  <c r="I109" i="7"/>
  <c r="M134" i="3"/>
  <c r="M109" i="3"/>
  <c r="I620" i="7"/>
  <c r="I440" i="7"/>
  <c r="I275" i="7"/>
  <c r="I110" i="7"/>
  <c r="G620" i="7"/>
  <c r="G440" i="7"/>
  <c r="G275" i="7"/>
  <c r="G110" i="7"/>
  <c r="G274" i="7"/>
  <c r="G439" i="7"/>
  <c r="G619" i="7"/>
  <c r="G109" i="7"/>
  <c r="F619" i="7"/>
  <c r="F439" i="7"/>
  <c r="F274" i="7"/>
  <c r="F109" i="7"/>
  <c r="K274" i="7"/>
  <c r="K619" i="7"/>
  <c r="K439" i="7"/>
  <c r="K109" i="7"/>
  <c r="H439" i="7"/>
  <c r="H274" i="7"/>
  <c r="H619" i="7"/>
  <c r="H109" i="7"/>
  <c r="F275" i="7"/>
  <c r="F440" i="7"/>
  <c r="F620" i="7"/>
  <c r="F110" i="7"/>
  <c r="H620" i="7"/>
  <c r="H440" i="7"/>
  <c r="H275" i="7"/>
  <c r="H110" i="7"/>
  <c r="L618" i="7"/>
  <c r="L438" i="7"/>
  <c r="L273" i="7"/>
  <c r="L108" i="7"/>
  <c r="G273" i="7"/>
  <c r="G438" i="7"/>
  <c r="G618" i="7"/>
  <c r="G108" i="7"/>
  <c r="K618" i="7"/>
  <c r="K438" i="7"/>
  <c r="K273" i="7"/>
  <c r="K108" i="7"/>
  <c r="F273" i="7"/>
  <c r="F438" i="7"/>
  <c r="F618" i="7"/>
  <c r="F108" i="7"/>
  <c r="M135" i="3"/>
  <c r="M108" i="3"/>
  <c r="I618" i="7"/>
  <c r="I438" i="7"/>
  <c r="I273" i="7"/>
  <c r="I108" i="7"/>
  <c r="H618" i="7"/>
  <c r="H438" i="7"/>
  <c r="H273" i="7"/>
  <c r="H108" i="7"/>
  <c r="J618" i="7"/>
  <c r="J438" i="7"/>
  <c r="J273" i="7"/>
  <c r="J108" i="7"/>
  <c r="M132" i="7"/>
  <c r="F165" i="7"/>
  <c r="F136" i="7"/>
  <c r="F164" i="7"/>
  <c r="F163" i="7"/>
  <c r="K164" i="7"/>
  <c r="K163" i="7"/>
  <c r="H164" i="7"/>
  <c r="H163" i="7"/>
  <c r="G704" i="7" s="1"/>
  <c r="G164" i="7"/>
  <c r="G163" i="7"/>
  <c r="I164" i="7"/>
  <c r="I163" i="7"/>
  <c r="L164" i="7"/>
  <c r="L163" i="7"/>
  <c r="J164" i="7"/>
  <c r="J163" i="7"/>
  <c r="K148" i="7"/>
  <c r="K158" i="7"/>
  <c r="L120" i="7"/>
  <c r="L131" i="7"/>
  <c r="H147" i="7"/>
  <c r="H157" i="7"/>
  <c r="F147" i="7"/>
  <c r="F157" i="7"/>
  <c r="I148" i="7"/>
  <c r="I158" i="7"/>
  <c r="G120" i="7"/>
  <c r="G131" i="7"/>
  <c r="G119" i="7"/>
  <c r="G130" i="7"/>
  <c r="J120" i="7"/>
  <c r="J131" i="7"/>
  <c r="F120" i="7"/>
  <c r="F131" i="7"/>
  <c r="H119" i="7"/>
  <c r="H130" i="7"/>
  <c r="L119" i="7"/>
  <c r="L130" i="7"/>
  <c r="K147" i="7"/>
  <c r="K157" i="7"/>
  <c r="J119" i="7"/>
  <c r="J130" i="7"/>
  <c r="F119" i="7"/>
  <c r="F130" i="7"/>
  <c r="G147" i="7"/>
  <c r="G157" i="7"/>
  <c r="J148" i="7"/>
  <c r="J158" i="7"/>
  <c r="I119" i="7"/>
  <c r="I130" i="7"/>
  <c r="L148" i="7"/>
  <c r="L158" i="7"/>
  <c r="K120" i="7"/>
  <c r="K131" i="7"/>
  <c r="I147" i="7"/>
  <c r="I157" i="7"/>
  <c r="L147" i="7"/>
  <c r="L157" i="7"/>
  <c r="J147" i="7"/>
  <c r="J157" i="7"/>
  <c r="H120" i="7"/>
  <c r="H131" i="7"/>
  <c r="G148" i="7"/>
  <c r="G158" i="7"/>
  <c r="I120" i="7"/>
  <c r="I131" i="7"/>
  <c r="K119" i="7"/>
  <c r="K130" i="7"/>
  <c r="H148" i="7"/>
  <c r="H158" i="7"/>
  <c r="F148" i="7"/>
  <c r="F158" i="7"/>
  <c r="G645" i="7"/>
  <c r="F762" i="7" s="1"/>
  <c r="G465" i="7"/>
  <c r="G300" i="7"/>
  <c r="F720" i="7" s="1"/>
  <c r="G135" i="7"/>
  <c r="L300" i="7"/>
  <c r="L135" i="7"/>
  <c r="L645" i="7"/>
  <c r="L465" i="7"/>
  <c r="K739" i="7" s="1"/>
  <c r="K644" i="7"/>
  <c r="K464" i="7"/>
  <c r="K299" i="7"/>
  <c r="K134" i="7"/>
  <c r="I300" i="7"/>
  <c r="H720" i="7" s="1"/>
  <c r="I135" i="7"/>
  <c r="I645" i="7"/>
  <c r="H762" i="7" s="1"/>
  <c r="I465" i="7"/>
  <c r="G644" i="7"/>
  <c r="F766" i="7" s="1"/>
  <c r="G464" i="7"/>
  <c r="F745" i="7" s="1"/>
  <c r="G299" i="7"/>
  <c r="F724" i="7" s="1"/>
  <c r="G134" i="7"/>
  <c r="J645" i="7"/>
  <c r="I762" i="7" s="1"/>
  <c r="J465" i="7"/>
  <c r="J300" i="7"/>
  <c r="I720" i="7" s="1"/>
  <c r="J135" i="7"/>
  <c r="F644" i="7"/>
  <c r="F464" i="7"/>
  <c r="F134" i="7"/>
  <c r="F299" i="7"/>
  <c r="I134" i="7"/>
  <c r="I644" i="7"/>
  <c r="I464" i="7"/>
  <c r="I299" i="7"/>
  <c r="L464" i="7"/>
  <c r="L299" i="7"/>
  <c r="L134" i="7"/>
  <c r="L644" i="7"/>
  <c r="H645" i="7"/>
  <c r="G762" i="7" s="1"/>
  <c r="H465" i="7"/>
  <c r="H300" i="7"/>
  <c r="G720" i="7" s="1"/>
  <c r="H135" i="7"/>
  <c r="F465" i="7"/>
  <c r="E741" i="7" s="1"/>
  <c r="F135" i="7"/>
  <c r="F300" i="7"/>
  <c r="E720" i="7" s="1"/>
  <c r="M165" i="7"/>
  <c r="F645" i="7"/>
  <c r="H644" i="7"/>
  <c r="H464" i="7"/>
  <c r="H299" i="7"/>
  <c r="H134" i="7"/>
  <c r="K645" i="7"/>
  <c r="J762" i="7" s="1"/>
  <c r="K465" i="7"/>
  <c r="K300" i="7"/>
  <c r="J720" i="7" s="1"/>
  <c r="K135" i="7"/>
  <c r="J644" i="7"/>
  <c r="J464" i="7"/>
  <c r="J299" i="7"/>
  <c r="J134" i="7"/>
  <c r="H617" i="7"/>
  <c r="H437" i="7"/>
  <c r="H272" i="7"/>
  <c r="H107" i="7"/>
  <c r="J616" i="7"/>
  <c r="J436" i="7"/>
  <c r="J271" i="7"/>
  <c r="F616" i="7"/>
  <c r="F106" i="7"/>
  <c r="F436" i="7"/>
  <c r="F271" i="7"/>
  <c r="K617" i="7"/>
  <c r="K437" i="7"/>
  <c r="K272" i="7"/>
  <c r="I617" i="7"/>
  <c r="I437" i="7"/>
  <c r="I272" i="7"/>
  <c r="I107" i="7"/>
  <c r="K616" i="7"/>
  <c r="K436" i="7"/>
  <c r="K271" i="7"/>
  <c r="M130" i="7"/>
  <c r="H616" i="7"/>
  <c r="H436" i="7"/>
  <c r="H271" i="7"/>
  <c r="H106" i="7"/>
  <c r="L617" i="7"/>
  <c r="L437" i="7"/>
  <c r="L272" i="7"/>
  <c r="M271" i="3"/>
  <c r="N104" i="3"/>
  <c r="J617" i="7"/>
  <c r="J437" i="7"/>
  <c r="J272" i="7"/>
  <c r="G617" i="7"/>
  <c r="G437" i="7"/>
  <c r="G272" i="7"/>
  <c r="G107" i="7"/>
  <c r="G616" i="7"/>
  <c r="G436" i="7"/>
  <c r="G271" i="7"/>
  <c r="G106" i="7"/>
  <c r="I616" i="7"/>
  <c r="I436" i="7"/>
  <c r="I271" i="7"/>
  <c r="I106" i="7"/>
  <c r="F617" i="7"/>
  <c r="F107" i="7"/>
  <c r="F437" i="7"/>
  <c r="F272" i="7"/>
  <c r="M272" i="3"/>
  <c r="L616" i="7"/>
  <c r="L436" i="7"/>
  <c r="L271" i="7"/>
  <c r="I112" i="4"/>
  <c r="J106" i="3" s="1"/>
  <c r="I113" i="4"/>
  <c r="J107" i="3" s="1"/>
  <c r="I117" i="4"/>
  <c r="I115" i="4"/>
  <c r="I120" i="4"/>
  <c r="I116" i="4"/>
  <c r="I114" i="4"/>
  <c r="D99" i="8" l="1"/>
  <c r="I724" i="7"/>
  <c r="G386" i="3"/>
  <c r="G385" i="3"/>
  <c r="K386" i="3"/>
  <c r="K385" i="3"/>
  <c r="J386" i="3"/>
  <c r="J385" i="3"/>
  <c r="F386" i="3"/>
  <c r="F385" i="3"/>
  <c r="H386" i="3"/>
  <c r="H385" i="3"/>
  <c r="E386" i="3"/>
  <c r="E385" i="3"/>
  <c r="E699" i="7"/>
  <c r="K699" i="7"/>
  <c r="J698" i="7"/>
  <c r="I699" i="7"/>
  <c r="F699" i="7"/>
  <c r="I698" i="7"/>
  <c r="H698" i="7"/>
  <c r="J699" i="7"/>
  <c r="L697" i="7"/>
  <c r="G699" i="7"/>
  <c r="H699" i="7"/>
  <c r="E705" i="7"/>
  <c r="F701" i="7"/>
  <c r="H704" i="7"/>
  <c r="E704" i="7"/>
  <c r="F704" i="7"/>
  <c r="M94" i="7"/>
  <c r="M66" i="7"/>
  <c r="M93" i="7"/>
  <c r="M65" i="7"/>
  <c r="K745" i="7"/>
  <c r="M92" i="7"/>
  <c r="M64" i="7"/>
  <c r="M86" i="7"/>
  <c r="M58" i="7"/>
  <c r="I719" i="7"/>
  <c r="M90" i="7"/>
  <c r="M62" i="7"/>
  <c r="M95" i="7"/>
  <c r="M67" i="7"/>
  <c r="F740" i="7"/>
  <c r="O109" i="5"/>
  <c r="P109" i="5" s="1"/>
  <c r="M91" i="7"/>
  <c r="O105" i="5"/>
  <c r="P105" i="5" s="1"/>
  <c r="M87" i="7"/>
  <c r="O61" i="5"/>
  <c r="N43" i="7" s="1"/>
  <c r="M571" i="7"/>
  <c r="M391" i="7"/>
  <c r="M61" i="7"/>
  <c r="M226" i="7"/>
  <c r="N70" i="3"/>
  <c r="L245" i="8" s="1"/>
  <c r="N60" i="3"/>
  <c r="L237" i="8" s="1"/>
  <c r="N71" i="3"/>
  <c r="N61" i="3"/>
  <c r="L238" i="8" s="1"/>
  <c r="F761" i="7"/>
  <c r="O60" i="5"/>
  <c r="N42" i="7" s="1"/>
  <c r="M225" i="7"/>
  <c r="M570" i="7"/>
  <c r="M390" i="7"/>
  <c r="M60" i="7"/>
  <c r="H740" i="7"/>
  <c r="E740" i="7"/>
  <c r="I740" i="7"/>
  <c r="H719" i="7"/>
  <c r="I761" i="7"/>
  <c r="H761" i="7"/>
  <c r="H724" i="7"/>
  <c r="I766" i="7"/>
  <c r="K274" i="8"/>
  <c r="K280" i="8" s="1"/>
  <c r="K269" i="8"/>
  <c r="I700" i="7"/>
  <c r="H358" i="3"/>
  <c r="O71" i="5"/>
  <c r="N53" i="7" s="1"/>
  <c r="M581" i="7"/>
  <c r="M401" i="7"/>
  <c r="M236" i="7"/>
  <c r="M71" i="7"/>
  <c r="O70" i="5"/>
  <c r="N52" i="7" s="1"/>
  <c r="M580" i="7"/>
  <c r="M400" i="7"/>
  <c r="M235" i="7"/>
  <c r="M70" i="7"/>
  <c r="J719" i="7"/>
  <c r="F744" i="7"/>
  <c r="J740" i="7"/>
  <c r="G766" i="7"/>
  <c r="K698" i="7"/>
  <c r="G698" i="7"/>
  <c r="J761" i="7"/>
  <c r="F698" i="7"/>
  <c r="L353" i="3"/>
  <c r="E698" i="7"/>
  <c r="O107" i="5"/>
  <c r="E719" i="7"/>
  <c r="G740" i="7"/>
  <c r="M234" i="7"/>
  <c r="M399" i="7"/>
  <c r="M579" i="7"/>
  <c r="M69" i="7"/>
  <c r="G719" i="7"/>
  <c r="M233" i="7"/>
  <c r="M398" i="7"/>
  <c r="M578" i="7"/>
  <c r="M68" i="7"/>
  <c r="G761" i="7"/>
  <c r="O106" i="2"/>
  <c r="O68" i="5"/>
  <c r="N68" i="3"/>
  <c r="O107" i="2"/>
  <c r="N69" i="3"/>
  <c r="O69" i="5"/>
  <c r="N51" i="7" s="1"/>
  <c r="K740" i="7"/>
  <c r="F765" i="7"/>
  <c r="F719" i="7"/>
  <c r="K719" i="7"/>
  <c r="E761" i="7"/>
  <c r="K761" i="7"/>
  <c r="E765" i="7"/>
  <c r="G724" i="7"/>
  <c r="G744" i="7"/>
  <c r="G703" i="7"/>
  <c r="G765" i="7"/>
  <c r="H723" i="7"/>
  <c r="K724" i="7"/>
  <c r="E766" i="7"/>
  <c r="F702" i="7"/>
  <c r="G702" i="7"/>
  <c r="F723" i="7"/>
  <c r="G723" i="7"/>
  <c r="J700" i="7"/>
  <c r="H766" i="7"/>
  <c r="H702" i="7"/>
  <c r="H765" i="7"/>
  <c r="K766" i="7"/>
  <c r="G701" i="7"/>
  <c r="H356" i="3"/>
  <c r="G739" i="7"/>
  <c r="G741" i="7"/>
  <c r="I739" i="7"/>
  <c r="I741" i="7"/>
  <c r="H744" i="7"/>
  <c r="E760" i="7"/>
  <c r="E762" i="7"/>
  <c r="H703" i="7"/>
  <c r="F705" i="7"/>
  <c r="F697" i="7"/>
  <c r="G705" i="7"/>
  <c r="G697" i="7"/>
  <c r="K697" i="7"/>
  <c r="I357" i="3"/>
  <c r="E723" i="7"/>
  <c r="E724" i="7"/>
  <c r="F703" i="7"/>
  <c r="E701" i="7"/>
  <c r="E744" i="7"/>
  <c r="J739" i="7"/>
  <c r="J741" i="7"/>
  <c r="E703" i="7"/>
  <c r="J724" i="7"/>
  <c r="E700" i="7"/>
  <c r="E702" i="7"/>
  <c r="E745" i="7"/>
  <c r="J745" i="7"/>
  <c r="F739" i="7"/>
  <c r="F741" i="7"/>
  <c r="H701" i="7"/>
  <c r="G700" i="7"/>
  <c r="J766" i="7"/>
  <c r="H700" i="7"/>
  <c r="H739" i="7"/>
  <c r="H741" i="7"/>
  <c r="F700" i="7"/>
  <c r="L378" i="3"/>
  <c r="L382" i="3" s="1"/>
  <c r="I745" i="7"/>
  <c r="G745" i="7"/>
  <c r="H745" i="7"/>
  <c r="I697" i="7"/>
  <c r="H705" i="7"/>
  <c r="H697" i="7"/>
  <c r="K700" i="7"/>
  <c r="F361" i="3"/>
  <c r="I386" i="3"/>
  <c r="O106" i="5"/>
  <c r="O111" i="5"/>
  <c r="N65" i="7" s="1"/>
  <c r="O113" i="5"/>
  <c r="O135" i="5"/>
  <c r="P135" i="5" s="1"/>
  <c r="Q135" i="5" s="1"/>
  <c r="O104" i="5"/>
  <c r="N58" i="7" s="1"/>
  <c r="O112" i="5"/>
  <c r="P134" i="5"/>
  <c r="O108" i="5"/>
  <c r="N62" i="7" s="1"/>
  <c r="O110" i="5"/>
  <c r="J630" i="7"/>
  <c r="J450" i="7"/>
  <c r="J285" i="7"/>
  <c r="G361" i="3"/>
  <c r="E361" i="3"/>
  <c r="M140" i="7"/>
  <c r="M141" i="7"/>
  <c r="M118" i="7"/>
  <c r="M116" i="7"/>
  <c r="M117" i="7"/>
  <c r="M136" i="7"/>
  <c r="M139" i="7"/>
  <c r="M114" i="7"/>
  <c r="M115" i="7"/>
  <c r="J278" i="7"/>
  <c r="J443" i="7"/>
  <c r="J623" i="7"/>
  <c r="N112" i="3"/>
  <c r="N113" i="3"/>
  <c r="N118" i="7"/>
  <c r="J442" i="7"/>
  <c r="J622" i="7"/>
  <c r="J277" i="7"/>
  <c r="J125" i="3"/>
  <c r="I359" i="3" s="1"/>
  <c r="J125" i="7"/>
  <c r="I704" i="7" s="1"/>
  <c r="M276" i="7"/>
  <c r="M441" i="7"/>
  <c r="M621" i="7"/>
  <c r="N111" i="3"/>
  <c r="J121" i="3"/>
  <c r="J121" i="7"/>
  <c r="I705" i="7" s="1"/>
  <c r="N133" i="7"/>
  <c r="J122" i="3"/>
  <c r="J122" i="7"/>
  <c r="N102" i="7"/>
  <c r="M102" i="7"/>
  <c r="N110" i="3"/>
  <c r="N105" i="3"/>
  <c r="M615" i="7"/>
  <c r="M435" i="7"/>
  <c r="M270" i="7"/>
  <c r="M105" i="7"/>
  <c r="M614" i="7"/>
  <c r="L763" i="7" s="1"/>
  <c r="M104" i="7"/>
  <c r="L700" i="7" s="1"/>
  <c r="M434" i="7"/>
  <c r="L742" i="7" s="1"/>
  <c r="M269" i="7"/>
  <c r="L721" i="7" s="1"/>
  <c r="M138" i="7"/>
  <c r="M137" i="7"/>
  <c r="M112" i="7"/>
  <c r="M111" i="7"/>
  <c r="M113" i="7"/>
  <c r="M275" i="7"/>
  <c r="M440" i="7"/>
  <c r="M620" i="7"/>
  <c r="M110" i="7"/>
  <c r="N134" i="3"/>
  <c r="N109" i="3"/>
  <c r="M619" i="7"/>
  <c r="M439" i="7"/>
  <c r="M274" i="7"/>
  <c r="M109" i="7"/>
  <c r="N135" i="3"/>
  <c r="N108" i="3"/>
  <c r="M618" i="7"/>
  <c r="M438" i="7"/>
  <c r="M273" i="7"/>
  <c r="M108" i="7"/>
  <c r="J107" i="7"/>
  <c r="J106" i="7"/>
  <c r="M164" i="7"/>
  <c r="M163" i="7"/>
  <c r="M120" i="7"/>
  <c r="M131" i="7"/>
  <c r="M148" i="7"/>
  <c r="M158" i="7"/>
  <c r="M147" i="7"/>
  <c r="M157" i="7"/>
  <c r="M119" i="7"/>
  <c r="M135" i="7"/>
  <c r="M300" i="7"/>
  <c r="M645" i="7"/>
  <c r="L762" i="7" s="1"/>
  <c r="M465" i="7"/>
  <c r="L741" i="7" s="1"/>
  <c r="M644" i="7"/>
  <c r="M299" i="7"/>
  <c r="M134" i="7"/>
  <c r="M464" i="7"/>
  <c r="N132" i="7"/>
  <c r="M616" i="7"/>
  <c r="M436" i="7"/>
  <c r="M271" i="7"/>
  <c r="M617" i="7"/>
  <c r="M437" i="7"/>
  <c r="M272" i="7"/>
  <c r="N272" i="3"/>
  <c r="N136" i="7"/>
  <c r="O104" i="3"/>
  <c r="N271" i="3"/>
  <c r="J115" i="4"/>
  <c r="J120" i="4"/>
  <c r="J113" i="4"/>
  <c r="J114" i="4"/>
  <c r="J117" i="4"/>
  <c r="J116" i="4"/>
  <c r="J112" i="4"/>
  <c r="P107" i="5" l="1"/>
  <c r="H361" i="3"/>
  <c r="H365" i="3" s="1"/>
  <c r="E365" i="3"/>
  <c r="E364" i="3"/>
  <c r="F365" i="3"/>
  <c r="F364" i="3"/>
  <c r="G365" i="3"/>
  <c r="G364" i="3"/>
  <c r="H364" i="3"/>
  <c r="L386" i="3"/>
  <c r="L385" i="3"/>
  <c r="L274" i="8"/>
  <c r="L280" i="8" s="1"/>
  <c r="M697" i="7"/>
  <c r="M696" i="7"/>
  <c r="L699" i="7"/>
  <c r="L269" i="8"/>
  <c r="M353" i="3"/>
  <c r="N94" i="7"/>
  <c r="N66" i="7"/>
  <c r="N91" i="7"/>
  <c r="N63" i="7"/>
  <c r="N89" i="7"/>
  <c r="O87" i="7"/>
  <c r="N92" i="7"/>
  <c r="N64" i="7"/>
  <c r="N95" i="7"/>
  <c r="N67" i="7"/>
  <c r="N87" i="7"/>
  <c r="N59" i="7"/>
  <c r="O91" i="7"/>
  <c r="O63" i="7"/>
  <c r="P104" i="5"/>
  <c r="O104" i="7" s="1"/>
  <c r="N86" i="7"/>
  <c r="P68" i="5"/>
  <c r="O50" i="7" s="1"/>
  <c r="N50" i="7"/>
  <c r="P108" i="5"/>
  <c r="N90" i="7"/>
  <c r="N441" i="7"/>
  <c r="N93" i="7"/>
  <c r="O89" i="7"/>
  <c r="P106" i="5"/>
  <c r="N88" i="7"/>
  <c r="O70" i="3"/>
  <c r="M245" i="8" s="1"/>
  <c r="O60" i="3"/>
  <c r="M237" i="8" s="1"/>
  <c r="O71" i="3"/>
  <c r="O61" i="3"/>
  <c r="M238" i="8" s="1"/>
  <c r="P61" i="5"/>
  <c r="O43" i="7" s="1"/>
  <c r="N226" i="7"/>
  <c r="N61" i="7"/>
  <c r="N571" i="7"/>
  <c r="N391" i="7"/>
  <c r="P60" i="5"/>
  <c r="O59" i="7" s="1"/>
  <c r="N390" i="7"/>
  <c r="N225" i="7"/>
  <c r="N60" i="7"/>
  <c r="N570" i="7"/>
  <c r="L740" i="7"/>
  <c r="L719" i="7"/>
  <c r="M355" i="3"/>
  <c r="I358" i="3"/>
  <c r="P70" i="5"/>
  <c r="N235" i="7"/>
  <c r="N400" i="7"/>
  <c r="N580" i="7"/>
  <c r="N70" i="7"/>
  <c r="I703" i="7"/>
  <c r="P71" i="5"/>
  <c r="O53" i="7" s="1"/>
  <c r="N401" i="7"/>
  <c r="N581" i="7"/>
  <c r="N236" i="7"/>
  <c r="N71" i="7"/>
  <c r="L698" i="7"/>
  <c r="L761" i="7"/>
  <c r="P69" i="5"/>
  <c r="O51" i="7" s="1"/>
  <c r="N399" i="7"/>
  <c r="N234" i="7"/>
  <c r="N579" i="7"/>
  <c r="N69" i="7"/>
  <c r="P107" i="2"/>
  <c r="Q107" i="5" s="1"/>
  <c r="P89" i="7" s="1"/>
  <c r="O69" i="3"/>
  <c r="N578" i="7"/>
  <c r="N68" i="7"/>
  <c r="N233" i="7"/>
  <c r="N398" i="7"/>
  <c r="P106" i="2"/>
  <c r="O68" i="3"/>
  <c r="N355" i="3" s="1"/>
  <c r="I723" i="7"/>
  <c r="I727" i="7" s="1"/>
  <c r="L745" i="7"/>
  <c r="I356" i="3"/>
  <c r="I702" i="7"/>
  <c r="I765" i="7"/>
  <c r="I769" i="7" s="1"/>
  <c r="I744" i="7"/>
  <c r="I748" i="7" s="1"/>
  <c r="I701" i="7"/>
  <c r="L724" i="7"/>
  <c r="L766" i="7"/>
  <c r="M378" i="3"/>
  <c r="M382" i="3" s="1"/>
  <c r="G727" i="7"/>
  <c r="N271" i="7"/>
  <c r="N621" i="7"/>
  <c r="Q109" i="5"/>
  <c r="P63" i="7" s="1"/>
  <c r="P113" i="5"/>
  <c r="P111" i="5"/>
  <c r="O65" i="7" s="1"/>
  <c r="Q105" i="5"/>
  <c r="N276" i="7"/>
  <c r="Q108" i="5"/>
  <c r="P62" i="7" s="1"/>
  <c r="P112" i="5"/>
  <c r="R135" i="5"/>
  <c r="S135" i="5" s="1"/>
  <c r="Q134" i="5"/>
  <c r="R134" i="5" s="1"/>
  <c r="P110" i="5"/>
  <c r="F748" i="7"/>
  <c r="F727" i="7"/>
  <c r="F769" i="7"/>
  <c r="N103" i="7"/>
  <c r="K630" i="7"/>
  <c r="K450" i="7"/>
  <c r="K285" i="7"/>
  <c r="H769" i="7"/>
  <c r="G769" i="7"/>
  <c r="H727" i="7"/>
  <c r="N112" i="7"/>
  <c r="H748" i="7"/>
  <c r="E769" i="7"/>
  <c r="G706" i="7"/>
  <c r="G748" i="7"/>
  <c r="H706" i="7"/>
  <c r="E727" i="7"/>
  <c r="F706" i="7"/>
  <c r="E748" i="7"/>
  <c r="E706" i="7"/>
  <c r="N141" i="7"/>
  <c r="N142" i="7"/>
  <c r="N139" i="7"/>
  <c r="N140" i="7"/>
  <c r="N116" i="7"/>
  <c r="N117" i="7"/>
  <c r="N114" i="7"/>
  <c r="N115" i="7"/>
  <c r="K623" i="7"/>
  <c r="K443" i="7"/>
  <c r="K278" i="7"/>
  <c r="O112" i="3"/>
  <c r="O113" i="3"/>
  <c r="K622" i="7"/>
  <c r="K442" i="7"/>
  <c r="K277" i="7"/>
  <c r="K125" i="3"/>
  <c r="J359" i="3" s="1"/>
  <c r="K125" i="7"/>
  <c r="J704" i="7" s="1"/>
  <c r="O111" i="3"/>
  <c r="K121" i="3"/>
  <c r="K121" i="7"/>
  <c r="J705" i="7" s="1"/>
  <c r="N104" i="7"/>
  <c r="K122" i="3"/>
  <c r="K122" i="7"/>
  <c r="N269" i="7"/>
  <c r="M721" i="7" s="1"/>
  <c r="N434" i="7"/>
  <c r="M742" i="7" s="1"/>
  <c r="N614" i="7"/>
  <c r="M763" i="7" s="1"/>
  <c r="O102" i="7"/>
  <c r="O110" i="3"/>
  <c r="O105" i="3"/>
  <c r="N615" i="7"/>
  <c r="N435" i="7"/>
  <c r="N270" i="7"/>
  <c r="N105" i="7"/>
  <c r="N619" i="7"/>
  <c r="O103" i="7"/>
  <c r="N137" i="7"/>
  <c r="N109" i="7"/>
  <c r="N111" i="7"/>
  <c r="N113" i="7"/>
  <c r="N274" i="7"/>
  <c r="N439" i="7"/>
  <c r="N165" i="7"/>
  <c r="N138" i="7"/>
  <c r="O134" i="3"/>
  <c r="O109" i="3"/>
  <c r="N620" i="7"/>
  <c r="N440" i="7"/>
  <c r="N275" i="7"/>
  <c r="N110" i="7"/>
  <c r="O135" i="3"/>
  <c r="O108" i="3"/>
  <c r="N273" i="7"/>
  <c r="N618" i="7"/>
  <c r="N438" i="7"/>
  <c r="N108" i="7"/>
  <c r="K106" i="3"/>
  <c r="K106" i="7"/>
  <c r="K107" i="3"/>
  <c r="K107" i="7"/>
  <c r="N164" i="7"/>
  <c r="N163" i="7"/>
  <c r="N616" i="7"/>
  <c r="N436" i="7"/>
  <c r="N147" i="7"/>
  <c r="N157" i="7"/>
  <c r="N120" i="7"/>
  <c r="N131" i="7"/>
  <c r="N148" i="7"/>
  <c r="N158" i="7"/>
  <c r="O130" i="7"/>
  <c r="N119" i="7"/>
  <c r="N130" i="7"/>
  <c r="N645" i="7"/>
  <c r="N465" i="7"/>
  <c r="N300" i="7"/>
  <c r="N135" i="7"/>
  <c r="O132" i="7"/>
  <c r="N299" i="7"/>
  <c r="N644" i="7"/>
  <c r="N134" i="7"/>
  <c r="N464" i="7"/>
  <c r="P104" i="3"/>
  <c r="O271" i="3"/>
  <c r="N617" i="7"/>
  <c r="N437" i="7"/>
  <c r="N272" i="7"/>
  <c r="O272" i="3"/>
  <c r="K112" i="4"/>
  <c r="G486" i="3" s="1"/>
  <c r="K114" i="4"/>
  <c r="G488" i="3" s="1"/>
  <c r="K113" i="4"/>
  <c r="G487" i="3" s="1"/>
  <c r="K116" i="4"/>
  <c r="G490" i="3" s="1"/>
  <c r="K120" i="4"/>
  <c r="G494" i="3" s="1"/>
  <c r="K117" i="4"/>
  <c r="G491" i="3" s="1"/>
  <c r="K115" i="4"/>
  <c r="G489" i="3" s="1"/>
  <c r="E731" i="7" l="1"/>
  <c r="E730" i="7"/>
  <c r="F710" i="7"/>
  <c r="F709" i="7"/>
  <c r="H731" i="7"/>
  <c r="H730" i="7"/>
  <c r="F731" i="7"/>
  <c r="F730" i="7"/>
  <c r="G773" i="7"/>
  <c r="G772" i="7"/>
  <c r="F752" i="7"/>
  <c r="F751" i="7"/>
  <c r="I731" i="7"/>
  <c r="I730" i="7"/>
  <c r="H710" i="7"/>
  <c r="H709" i="7"/>
  <c r="H773" i="7"/>
  <c r="H772" i="7"/>
  <c r="G752" i="7"/>
  <c r="G751" i="7"/>
  <c r="E773" i="7"/>
  <c r="E772" i="7"/>
  <c r="I773" i="7"/>
  <c r="I772" i="7"/>
  <c r="E710" i="7"/>
  <c r="E709" i="7"/>
  <c r="H752" i="7"/>
  <c r="H751" i="7"/>
  <c r="G710" i="7"/>
  <c r="G709" i="7"/>
  <c r="I752" i="7"/>
  <c r="I751" i="7"/>
  <c r="E81" i="8"/>
  <c r="F81" i="8" s="1"/>
  <c r="F85" i="8" s="1"/>
  <c r="E752" i="7"/>
  <c r="E751" i="7"/>
  <c r="F773" i="7"/>
  <c r="F772" i="7"/>
  <c r="G731" i="7"/>
  <c r="G730" i="7"/>
  <c r="Q104" i="5"/>
  <c r="P58" i="7" s="1"/>
  <c r="M386" i="3"/>
  <c r="M385" i="3"/>
  <c r="Q68" i="5"/>
  <c r="R68" i="5" s="1"/>
  <c r="Q50" i="7" s="1"/>
  <c r="O398" i="7"/>
  <c r="O233" i="7"/>
  <c r="O578" i="7"/>
  <c r="M269" i="8"/>
  <c r="I361" i="3"/>
  <c r="O68" i="7"/>
  <c r="M699" i="7"/>
  <c r="M698" i="7"/>
  <c r="M274" i="8"/>
  <c r="M280" i="8" s="1"/>
  <c r="O86" i="7"/>
  <c r="O58" i="7"/>
  <c r="O94" i="7"/>
  <c r="O66" i="7"/>
  <c r="O92" i="7"/>
  <c r="O64" i="7"/>
  <c r="O95" i="7"/>
  <c r="O67" i="7"/>
  <c r="O90" i="7"/>
  <c r="O62" i="7"/>
  <c r="P86" i="7"/>
  <c r="R105" i="5"/>
  <c r="S105" i="5" s="1"/>
  <c r="P87" i="7"/>
  <c r="O621" i="7"/>
  <c r="O93" i="7"/>
  <c r="Q60" i="5"/>
  <c r="P42" i="7" s="1"/>
  <c r="O696" i="7" s="1"/>
  <c r="O42" i="7"/>
  <c r="P50" i="7"/>
  <c r="R109" i="5"/>
  <c r="Q63" i="7" s="1"/>
  <c r="P91" i="7"/>
  <c r="R108" i="5"/>
  <c r="S108" i="5" s="1"/>
  <c r="R62" i="7" s="1"/>
  <c r="P90" i="7"/>
  <c r="Q106" i="5"/>
  <c r="O88" i="7"/>
  <c r="Q89" i="7"/>
  <c r="Q70" i="5"/>
  <c r="P52" i="7" s="1"/>
  <c r="O52" i="7"/>
  <c r="P71" i="3"/>
  <c r="P61" i="3"/>
  <c r="N238" i="8" s="1"/>
  <c r="O61" i="7"/>
  <c r="O391" i="7"/>
  <c r="O226" i="7"/>
  <c r="O571" i="7"/>
  <c r="Q61" i="5"/>
  <c r="P43" i="7" s="1"/>
  <c r="P70" i="3"/>
  <c r="N245" i="8" s="1"/>
  <c r="P60" i="3"/>
  <c r="N237" i="8" s="1"/>
  <c r="O390" i="7"/>
  <c r="O60" i="7"/>
  <c r="O570" i="7"/>
  <c r="O225" i="7"/>
  <c r="O580" i="7"/>
  <c r="O235" i="7"/>
  <c r="O400" i="7"/>
  <c r="O70" i="7"/>
  <c r="M719" i="7"/>
  <c r="O581" i="7"/>
  <c r="O401" i="7"/>
  <c r="O236" i="7"/>
  <c r="O71" i="7"/>
  <c r="M761" i="7"/>
  <c r="Q71" i="5"/>
  <c r="N353" i="3"/>
  <c r="M740" i="7"/>
  <c r="J358" i="3"/>
  <c r="O399" i="7"/>
  <c r="O234" i="7"/>
  <c r="O579" i="7"/>
  <c r="O69" i="7"/>
  <c r="Q69" i="5"/>
  <c r="P51" i="7" s="1"/>
  <c r="Q106" i="2"/>
  <c r="Q60" i="3" s="1"/>
  <c r="O237" i="8" s="1"/>
  <c r="P68" i="3"/>
  <c r="O355" i="3" s="1"/>
  <c r="Q107" i="2"/>
  <c r="R107" i="5" s="1"/>
  <c r="S107" i="5" s="1"/>
  <c r="R89" i="7" s="1"/>
  <c r="P69" i="3"/>
  <c r="J702" i="7"/>
  <c r="J703" i="7"/>
  <c r="J701" i="7"/>
  <c r="J356" i="3"/>
  <c r="J744" i="7"/>
  <c r="J748" i="7" s="1"/>
  <c r="J723" i="7"/>
  <c r="J727" i="7" s="1"/>
  <c r="J765" i="7"/>
  <c r="J769" i="7" s="1"/>
  <c r="M745" i="7"/>
  <c r="J357" i="3"/>
  <c r="N378" i="3"/>
  <c r="N382" i="3" s="1"/>
  <c r="N700" i="7"/>
  <c r="M700" i="7"/>
  <c r="M766" i="7"/>
  <c r="M724" i="7"/>
  <c r="Q111" i="5"/>
  <c r="P65" i="7" s="1"/>
  <c r="T135" i="5"/>
  <c r="U135" i="5" s="1"/>
  <c r="Q113" i="5"/>
  <c r="P67" i="7" s="1"/>
  <c r="S134" i="5"/>
  <c r="T134" i="5" s="1"/>
  <c r="O441" i="7"/>
  <c r="Q112" i="5"/>
  <c r="P66" i="7" s="1"/>
  <c r="O276" i="7"/>
  <c r="Q110" i="5"/>
  <c r="O133" i="7"/>
  <c r="L630" i="7"/>
  <c r="L450" i="7"/>
  <c r="L285" i="7"/>
  <c r="I706" i="7"/>
  <c r="O112" i="7"/>
  <c r="O141" i="7"/>
  <c r="O142" i="7"/>
  <c r="O119" i="7"/>
  <c r="O117" i="7"/>
  <c r="O118" i="7"/>
  <c r="O139" i="7"/>
  <c r="O140" i="7"/>
  <c r="O115" i="7"/>
  <c r="O116" i="7"/>
  <c r="P118" i="7"/>
  <c r="O114" i="7"/>
  <c r="L278" i="7"/>
  <c r="L623" i="7"/>
  <c r="L443" i="7"/>
  <c r="P112" i="3"/>
  <c r="P113" i="3"/>
  <c r="L622" i="7"/>
  <c r="L442" i="7"/>
  <c r="L277" i="7"/>
  <c r="L125" i="3"/>
  <c r="K359" i="3" s="1"/>
  <c r="L125" i="7"/>
  <c r="K704" i="7" s="1"/>
  <c r="P111" i="3"/>
  <c r="L121" i="3"/>
  <c r="L121" i="7"/>
  <c r="K705" i="7" s="1"/>
  <c r="P142" i="7"/>
  <c r="L122" i="3"/>
  <c r="L122" i="7"/>
  <c r="O614" i="7"/>
  <c r="N763" i="7" s="1"/>
  <c r="O269" i="7"/>
  <c r="N721" i="7" s="1"/>
  <c r="O434" i="7"/>
  <c r="N742" i="7" s="1"/>
  <c r="O435" i="7"/>
  <c r="O270" i="7"/>
  <c r="O615" i="7"/>
  <c r="O105" i="7"/>
  <c r="P103" i="7"/>
  <c r="P110" i="3"/>
  <c r="P105" i="3"/>
  <c r="O619" i="7"/>
  <c r="P619" i="7"/>
  <c r="O137" i="7"/>
  <c r="O138" i="7"/>
  <c r="O274" i="7"/>
  <c r="O439" i="7"/>
  <c r="O109" i="7"/>
  <c r="O111" i="7"/>
  <c r="O113" i="7"/>
  <c r="O620" i="7"/>
  <c r="O440" i="7"/>
  <c r="O275" i="7"/>
  <c r="O110" i="7"/>
  <c r="P134" i="3"/>
  <c r="P109" i="3"/>
  <c r="P135" i="3"/>
  <c r="P108" i="3"/>
  <c r="O618" i="7"/>
  <c r="O438" i="7"/>
  <c r="O273" i="7"/>
  <c r="O108" i="7"/>
  <c r="O165" i="7"/>
  <c r="O271" i="7"/>
  <c r="O136" i="7"/>
  <c r="L107" i="3"/>
  <c r="L107" i="7"/>
  <c r="L106" i="3"/>
  <c r="L106" i="7"/>
  <c r="O436" i="7"/>
  <c r="O616" i="7"/>
  <c r="O164" i="7"/>
  <c r="O163" i="7"/>
  <c r="O147" i="7"/>
  <c r="O157" i="7"/>
  <c r="P130" i="7"/>
  <c r="O148" i="7"/>
  <c r="O158" i="7"/>
  <c r="O120" i="7"/>
  <c r="O131" i="7"/>
  <c r="O645" i="7"/>
  <c r="O465" i="7"/>
  <c r="O300" i="7"/>
  <c r="O135" i="7"/>
  <c r="O299" i="7"/>
  <c r="O134" i="7"/>
  <c r="O644" i="7"/>
  <c r="O464" i="7"/>
  <c r="P132" i="7"/>
  <c r="P133" i="7"/>
  <c r="P272" i="3"/>
  <c r="O617" i="7"/>
  <c r="O437" i="7"/>
  <c r="O272" i="7"/>
  <c r="Q104" i="3"/>
  <c r="P271" i="3"/>
  <c r="L116" i="4"/>
  <c r="L113" i="4"/>
  <c r="L114" i="4"/>
  <c r="L115" i="4"/>
  <c r="L117" i="4"/>
  <c r="L120" i="4"/>
  <c r="L112" i="4"/>
  <c r="P578" i="7" l="1"/>
  <c r="P233" i="7"/>
  <c r="I365" i="3"/>
  <c r="I364" i="3"/>
  <c r="R104" i="5"/>
  <c r="S104" i="5" s="1"/>
  <c r="R58" i="7" s="1"/>
  <c r="J773" i="7"/>
  <c r="J772" i="7"/>
  <c r="J731" i="7"/>
  <c r="J730" i="7"/>
  <c r="P104" i="7"/>
  <c r="I710" i="7"/>
  <c r="I709" i="7"/>
  <c r="J752" i="7"/>
  <c r="J751" i="7"/>
  <c r="T107" i="5"/>
  <c r="U107" i="5" s="1"/>
  <c r="P68" i="7"/>
  <c r="N386" i="3"/>
  <c r="N385" i="3"/>
  <c r="P398" i="7"/>
  <c r="N269" i="8"/>
  <c r="P70" i="7"/>
  <c r="Q398" i="7"/>
  <c r="S68" i="5"/>
  <c r="R50" i="7" s="1"/>
  <c r="N698" i="7"/>
  <c r="N697" i="7"/>
  <c r="N696" i="7"/>
  <c r="Q578" i="7"/>
  <c r="Q233" i="7"/>
  <c r="R70" i="5"/>
  <c r="Q400" i="7" s="1"/>
  <c r="P390" i="7"/>
  <c r="P60" i="7"/>
  <c r="P59" i="7"/>
  <c r="O697" i="7"/>
  <c r="N699" i="7"/>
  <c r="N274" i="8"/>
  <c r="N280" i="8" s="1"/>
  <c r="Q90" i="7"/>
  <c r="Q62" i="7"/>
  <c r="Q87" i="7"/>
  <c r="P92" i="7"/>
  <c r="P64" i="7"/>
  <c r="Q86" i="7"/>
  <c r="Q58" i="7"/>
  <c r="P580" i="7"/>
  <c r="P225" i="7"/>
  <c r="R60" i="5"/>
  <c r="Q570" i="7" s="1"/>
  <c r="P235" i="7"/>
  <c r="R113" i="5"/>
  <c r="S113" i="5" s="1"/>
  <c r="R67" i="7" s="1"/>
  <c r="P95" i="7"/>
  <c r="T104" i="5"/>
  <c r="S58" i="7" s="1"/>
  <c r="R86" i="7"/>
  <c r="R71" i="5"/>
  <c r="Q53" i="7" s="1"/>
  <c r="P53" i="7"/>
  <c r="P88" i="7"/>
  <c r="R106" i="5"/>
  <c r="T108" i="5"/>
  <c r="S62" i="7" s="1"/>
  <c r="R90" i="7"/>
  <c r="R112" i="5"/>
  <c r="Q66" i="7" s="1"/>
  <c r="P94" i="7"/>
  <c r="T105" i="5"/>
  <c r="U105" i="5" s="1"/>
  <c r="R87" i="7"/>
  <c r="P570" i="7"/>
  <c r="S89" i="7"/>
  <c r="Q42" i="7"/>
  <c r="P696" i="7" s="1"/>
  <c r="P441" i="7"/>
  <c r="P93" i="7"/>
  <c r="S109" i="5"/>
  <c r="R63" i="7" s="1"/>
  <c r="Q91" i="7"/>
  <c r="N761" i="7"/>
  <c r="P400" i="7"/>
  <c r="Q52" i="7"/>
  <c r="Q71" i="3"/>
  <c r="Q61" i="3"/>
  <c r="O238" i="8" s="1"/>
  <c r="R61" i="5"/>
  <c r="P571" i="7"/>
  <c r="P226" i="7"/>
  <c r="P391" i="7"/>
  <c r="P61" i="7"/>
  <c r="Q70" i="3"/>
  <c r="O245" i="8" s="1"/>
  <c r="N740" i="7"/>
  <c r="N719" i="7"/>
  <c r="K703" i="7"/>
  <c r="P581" i="7"/>
  <c r="P401" i="7"/>
  <c r="P236" i="7"/>
  <c r="P71" i="7"/>
  <c r="O378" i="3"/>
  <c r="O382" i="3" s="1"/>
  <c r="O353" i="3"/>
  <c r="R107" i="2"/>
  <c r="Q69" i="3"/>
  <c r="K358" i="3"/>
  <c r="R106" i="2"/>
  <c r="Q68" i="3"/>
  <c r="R69" i="5"/>
  <c r="P579" i="7"/>
  <c r="P234" i="7"/>
  <c r="P399" i="7"/>
  <c r="P69" i="7"/>
  <c r="K744" i="7"/>
  <c r="K748" i="7" s="1"/>
  <c r="K701" i="7"/>
  <c r="K357" i="3"/>
  <c r="K723" i="7"/>
  <c r="K727" i="7" s="1"/>
  <c r="N745" i="7"/>
  <c r="N724" i="7"/>
  <c r="E85" i="8"/>
  <c r="K702" i="7"/>
  <c r="N766" i="7"/>
  <c r="K765" i="7"/>
  <c r="K769" i="7" s="1"/>
  <c r="K356" i="3"/>
  <c r="R111" i="5"/>
  <c r="Q65" i="7" s="1"/>
  <c r="P621" i="7"/>
  <c r="P276" i="7"/>
  <c r="P112" i="7"/>
  <c r="U134" i="5"/>
  <c r="V134" i="5" s="1"/>
  <c r="W134" i="5" s="1"/>
  <c r="X134" i="5" s="1"/>
  <c r="V135" i="5"/>
  <c r="W135" i="5" s="1"/>
  <c r="R110" i="5"/>
  <c r="Q64" i="7" s="1"/>
  <c r="M285" i="7"/>
  <c r="M630" i="7"/>
  <c r="M450" i="7"/>
  <c r="J706" i="7"/>
  <c r="J361" i="3"/>
  <c r="P140" i="7"/>
  <c r="P141" i="7"/>
  <c r="P119" i="7"/>
  <c r="Q118" i="7"/>
  <c r="Q142" i="7"/>
  <c r="P139" i="7"/>
  <c r="P116" i="7"/>
  <c r="P117" i="7"/>
  <c r="Q115" i="7"/>
  <c r="P114" i="7"/>
  <c r="P115" i="7"/>
  <c r="M443" i="7"/>
  <c r="M623" i="7"/>
  <c r="M278" i="7"/>
  <c r="Q112" i="3"/>
  <c r="Q113" i="3"/>
  <c r="M442" i="7"/>
  <c r="M622" i="7"/>
  <c r="M277" i="7"/>
  <c r="M125" i="3"/>
  <c r="L359" i="3" s="1"/>
  <c r="M125" i="7"/>
  <c r="L704" i="7" s="1"/>
  <c r="Q111" i="3"/>
  <c r="M121" i="3"/>
  <c r="M121" i="7"/>
  <c r="L705" i="7" s="1"/>
  <c r="M122" i="7"/>
  <c r="M122" i="3"/>
  <c r="P102" i="7"/>
  <c r="P614" i="7"/>
  <c r="O763" i="7" s="1"/>
  <c r="P434" i="7"/>
  <c r="O742" i="7" s="1"/>
  <c r="P269" i="7"/>
  <c r="O721" i="7" s="1"/>
  <c r="P274" i="7"/>
  <c r="P439" i="7"/>
  <c r="Q103" i="7"/>
  <c r="P270" i="7"/>
  <c r="P435" i="7"/>
  <c r="P615" i="7"/>
  <c r="P105" i="7"/>
  <c r="Q110" i="3"/>
  <c r="Q105" i="3"/>
  <c r="P138" i="7"/>
  <c r="P137" i="7"/>
  <c r="P111" i="7"/>
  <c r="P113" i="7"/>
  <c r="P109" i="7"/>
  <c r="Q134" i="3"/>
  <c r="Q109" i="3"/>
  <c r="P275" i="7"/>
  <c r="P620" i="7"/>
  <c r="P440" i="7"/>
  <c r="P110" i="7"/>
  <c r="P618" i="7"/>
  <c r="P438" i="7"/>
  <c r="P273" i="7"/>
  <c r="P108" i="7"/>
  <c r="Q135" i="3"/>
  <c r="Q108" i="3"/>
  <c r="P616" i="7"/>
  <c r="P165" i="7"/>
  <c r="P271" i="7"/>
  <c r="Q104" i="7"/>
  <c r="P436" i="7"/>
  <c r="M107" i="3"/>
  <c r="M107" i="7"/>
  <c r="M106" i="3"/>
  <c r="M106" i="7"/>
  <c r="P164" i="7"/>
  <c r="P163" i="7"/>
  <c r="P131" i="7"/>
  <c r="P136" i="7"/>
  <c r="P148" i="7"/>
  <c r="P158" i="7"/>
  <c r="P147" i="7"/>
  <c r="P157" i="7"/>
  <c r="P120" i="7"/>
  <c r="Q119" i="7"/>
  <c r="Q132" i="7"/>
  <c r="P645" i="7"/>
  <c r="O759" i="7" s="1"/>
  <c r="P135" i="7"/>
  <c r="P465" i="7"/>
  <c r="P300" i="7"/>
  <c r="Q133" i="7"/>
  <c r="P299" i="7"/>
  <c r="P134" i="7"/>
  <c r="P644" i="7"/>
  <c r="P464" i="7"/>
  <c r="R104" i="3"/>
  <c r="Q271" i="3"/>
  <c r="P617" i="7"/>
  <c r="P437" i="7"/>
  <c r="P272" i="7"/>
  <c r="Q272" i="3"/>
  <c r="M112" i="4"/>
  <c r="M114" i="4"/>
  <c r="M120" i="4"/>
  <c r="M117" i="4"/>
  <c r="M113" i="4"/>
  <c r="M115" i="4"/>
  <c r="M116" i="4"/>
  <c r="Q225" i="7" l="1"/>
  <c r="Q390" i="7"/>
  <c r="S70" i="5"/>
  <c r="R52" i="7" s="1"/>
  <c r="S60" i="5"/>
  <c r="R42" i="7" s="1"/>
  <c r="Q696" i="7" s="1"/>
  <c r="R578" i="7"/>
  <c r="R398" i="7"/>
  <c r="R233" i="7"/>
  <c r="T68" i="5"/>
  <c r="S50" i="7" s="1"/>
  <c r="O700" i="7"/>
  <c r="K731" i="7"/>
  <c r="K730" i="7"/>
  <c r="J365" i="3"/>
  <c r="J364" i="3"/>
  <c r="K773" i="7"/>
  <c r="K772" i="7"/>
  <c r="J710" i="7"/>
  <c r="J709" i="7"/>
  <c r="K752" i="7"/>
  <c r="K751" i="7"/>
  <c r="Q70" i="7"/>
  <c r="Q235" i="7"/>
  <c r="Q580" i="7"/>
  <c r="O386" i="3"/>
  <c r="O385" i="3"/>
  <c r="Q112" i="7"/>
  <c r="S71" i="5"/>
  <c r="R53" i="7" s="1"/>
  <c r="Q60" i="7"/>
  <c r="O699" i="7"/>
  <c r="O698" i="7"/>
  <c r="P353" i="3"/>
  <c r="O269" i="8"/>
  <c r="Q71" i="7"/>
  <c r="Q581" i="7"/>
  <c r="Q401" i="7"/>
  <c r="Q236" i="7"/>
  <c r="Q51" i="7"/>
  <c r="Q68" i="7"/>
  <c r="Q59" i="7"/>
  <c r="R59" i="7"/>
  <c r="O740" i="7"/>
  <c r="Q95" i="7"/>
  <c r="Q67" i="7"/>
  <c r="O745" i="7"/>
  <c r="S87" i="7"/>
  <c r="O719" i="7"/>
  <c r="R400" i="7"/>
  <c r="R91" i="7"/>
  <c r="T109" i="5"/>
  <c r="S63" i="7" s="1"/>
  <c r="T113" i="5"/>
  <c r="S67" i="7" s="1"/>
  <c r="R95" i="7"/>
  <c r="S110" i="5"/>
  <c r="T110" i="5" s="1"/>
  <c r="S64" i="7" s="1"/>
  <c r="Q92" i="7"/>
  <c r="O761" i="7"/>
  <c r="Q43" i="7"/>
  <c r="S112" i="5"/>
  <c r="R66" i="7" s="1"/>
  <c r="Q94" i="7"/>
  <c r="Q88" i="7"/>
  <c r="S106" i="5"/>
  <c r="U104" i="5"/>
  <c r="T58" i="7" s="1"/>
  <c r="S86" i="7"/>
  <c r="V105" i="5"/>
  <c r="T87" i="7"/>
  <c r="S111" i="5"/>
  <c r="R276" i="7" s="1"/>
  <c r="Q93" i="7"/>
  <c r="S61" i="5"/>
  <c r="R43" i="7" s="1"/>
  <c r="Q697" i="7" s="1"/>
  <c r="U108" i="5"/>
  <c r="T62" i="7" s="1"/>
  <c r="S90" i="7"/>
  <c r="V107" i="5"/>
  <c r="T89" i="7"/>
  <c r="R71" i="3"/>
  <c r="R61" i="3"/>
  <c r="P238" i="8" s="1"/>
  <c r="O274" i="8"/>
  <c r="O280" i="8" s="1"/>
  <c r="R70" i="3"/>
  <c r="P245" i="8" s="1"/>
  <c r="R60" i="3"/>
  <c r="P237" i="8" s="1"/>
  <c r="Q391" i="7"/>
  <c r="Q226" i="7"/>
  <c r="Q61" i="7"/>
  <c r="Q571" i="7"/>
  <c r="P355" i="3"/>
  <c r="L703" i="7"/>
  <c r="Q355" i="3"/>
  <c r="L358" i="3"/>
  <c r="S106" i="2"/>
  <c r="R68" i="3"/>
  <c r="S69" i="5"/>
  <c r="Q399" i="7"/>
  <c r="Q579" i="7"/>
  <c r="Q234" i="7"/>
  <c r="Q69" i="7"/>
  <c r="S107" i="2"/>
  <c r="R69" i="3"/>
  <c r="L765" i="7"/>
  <c r="L769" i="7" s="1"/>
  <c r="L702" i="7"/>
  <c r="L701" i="7"/>
  <c r="P700" i="7"/>
  <c r="L356" i="3"/>
  <c r="L357" i="3"/>
  <c r="L744" i="7"/>
  <c r="L748" i="7" s="1"/>
  <c r="O766" i="7"/>
  <c r="O724" i="7"/>
  <c r="L723" i="7"/>
  <c r="L727" i="7" s="1"/>
  <c r="P378" i="3"/>
  <c r="P382" i="3" s="1"/>
  <c r="Q276" i="7"/>
  <c r="Q621" i="7"/>
  <c r="Q441" i="7"/>
  <c r="Y134" i="5"/>
  <c r="Z134" i="5" s="1"/>
  <c r="X135" i="5"/>
  <c r="Y135" i="5" s="1"/>
  <c r="Z135" i="5" s="1"/>
  <c r="N630" i="7"/>
  <c r="N450" i="7"/>
  <c r="N285" i="7"/>
  <c r="K361" i="3"/>
  <c r="Q116" i="7"/>
  <c r="K706" i="7"/>
  <c r="R118" i="7"/>
  <c r="Q114" i="7"/>
  <c r="Q140" i="7"/>
  <c r="Q141" i="7"/>
  <c r="Q117" i="7"/>
  <c r="R117" i="7"/>
  <c r="R142" i="7"/>
  <c r="Q139" i="7"/>
  <c r="R112" i="3"/>
  <c r="R113" i="3"/>
  <c r="N443" i="7"/>
  <c r="N278" i="7"/>
  <c r="N623" i="7"/>
  <c r="N622" i="7"/>
  <c r="N442" i="7"/>
  <c r="N277" i="7"/>
  <c r="N125" i="3"/>
  <c r="M359" i="3" s="1"/>
  <c r="N125" i="7"/>
  <c r="M704" i="7" s="1"/>
  <c r="R111" i="3"/>
  <c r="N121" i="3"/>
  <c r="N121" i="7"/>
  <c r="M705" i="7" s="1"/>
  <c r="R274" i="7"/>
  <c r="Q274" i="7"/>
  <c r="Q439" i="7"/>
  <c r="Q619" i="7"/>
  <c r="N122" i="3"/>
  <c r="N122" i="7"/>
  <c r="Q102" i="7"/>
  <c r="Q614" i="7"/>
  <c r="P763" i="7" s="1"/>
  <c r="Q269" i="7"/>
  <c r="P721" i="7" s="1"/>
  <c r="Q434" i="7"/>
  <c r="P742" i="7" s="1"/>
  <c r="R103" i="7"/>
  <c r="Q615" i="7"/>
  <c r="Q270" i="7"/>
  <c r="Q435" i="7"/>
  <c r="Q105" i="7"/>
  <c r="R110" i="3"/>
  <c r="R105" i="3"/>
  <c r="R619" i="7"/>
  <c r="Q137" i="7"/>
  <c r="Q138" i="7"/>
  <c r="R439" i="7"/>
  <c r="Q109" i="7"/>
  <c r="Q111" i="7"/>
  <c r="Q113" i="7"/>
  <c r="R134" i="3"/>
  <c r="R109" i="3"/>
  <c r="Q440" i="7"/>
  <c r="Q620" i="7"/>
  <c r="Q275" i="7"/>
  <c r="Q110" i="7"/>
  <c r="Q618" i="7"/>
  <c r="Q273" i="7"/>
  <c r="Q438" i="7"/>
  <c r="Q108" i="7"/>
  <c r="R135" i="3"/>
  <c r="R108" i="3"/>
  <c r="Q165" i="7"/>
  <c r="Q130" i="7"/>
  <c r="Q136" i="7"/>
  <c r="Q163" i="7"/>
  <c r="Q616" i="7"/>
  <c r="Q271" i="7"/>
  <c r="Q436" i="7"/>
  <c r="R104" i="7"/>
  <c r="Q272" i="7"/>
  <c r="N107" i="3"/>
  <c r="N107" i="7"/>
  <c r="N106" i="7"/>
  <c r="N106" i="3"/>
  <c r="Q157" i="7"/>
  <c r="Q164" i="7"/>
  <c r="Q437" i="7"/>
  <c r="R119" i="7"/>
  <c r="R130" i="7"/>
  <c r="Q120" i="7"/>
  <c r="Q131" i="7"/>
  <c r="Q148" i="7"/>
  <c r="Q158" i="7"/>
  <c r="Q617" i="7"/>
  <c r="R120" i="7"/>
  <c r="R131" i="7"/>
  <c r="R132" i="7"/>
  <c r="Q147" i="7"/>
  <c r="R133" i="7"/>
  <c r="Q644" i="7"/>
  <c r="Q299" i="7"/>
  <c r="Q464" i="7"/>
  <c r="Q134" i="7"/>
  <c r="Q645" i="7"/>
  <c r="P759" i="7" s="1"/>
  <c r="Q300" i="7"/>
  <c r="P720" i="7" s="1"/>
  <c r="Q135" i="7"/>
  <c r="Q465" i="7"/>
  <c r="S104" i="3"/>
  <c r="R271" i="3"/>
  <c r="R272" i="3"/>
  <c r="N120" i="4"/>
  <c r="N113" i="4"/>
  <c r="N114" i="4"/>
  <c r="N116" i="4"/>
  <c r="N115" i="4"/>
  <c r="N117" i="4"/>
  <c r="N112" i="4"/>
  <c r="T70" i="5" l="1"/>
  <c r="S52" i="7" s="1"/>
  <c r="R580" i="7"/>
  <c r="R225" i="7"/>
  <c r="R235" i="7"/>
  <c r="U68" i="5"/>
  <c r="T50" i="7" s="1"/>
  <c r="S578" i="7"/>
  <c r="S233" i="7"/>
  <c r="T60" i="5"/>
  <c r="S42" i="7" s="1"/>
  <c r="R696" i="7" s="1"/>
  <c r="S398" i="7"/>
  <c r="R70" i="7"/>
  <c r="R570" i="7"/>
  <c r="R390" i="7"/>
  <c r="R581" i="7"/>
  <c r="R401" i="7"/>
  <c r="T71" i="5"/>
  <c r="S53" i="7" s="1"/>
  <c r="R61" i="7"/>
  <c r="K365" i="3"/>
  <c r="K364" i="3"/>
  <c r="K710" i="7"/>
  <c r="K709" i="7"/>
  <c r="R71" i="7"/>
  <c r="L731" i="7"/>
  <c r="L730" i="7"/>
  <c r="L773" i="7"/>
  <c r="L772" i="7"/>
  <c r="L752" i="7"/>
  <c r="L751" i="7"/>
  <c r="P386" i="3"/>
  <c r="P385" i="3"/>
  <c r="R236" i="7"/>
  <c r="R441" i="7"/>
  <c r="U70" i="5"/>
  <c r="T52" i="7" s="1"/>
  <c r="S235" i="7"/>
  <c r="P269" i="8"/>
  <c r="Q353" i="3"/>
  <c r="P698" i="7"/>
  <c r="P274" i="8"/>
  <c r="P280" i="8" s="1"/>
  <c r="P761" i="7"/>
  <c r="P699" i="7"/>
  <c r="S70" i="7"/>
  <c r="R226" i="7"/>
  <c r="R51" i="7"/>
  <c r="R68" i="7"/>
  <c r="T59" i="7"/>
  <c r="S59" i="7"/>
  <c r="U59" i="7"/>
  <c r="P697" i="7"/>
  <c r="R92" i="7"/>
  <c r="R64" i="7"/>
  <c r="P719" i="7"/>
  <c r="R621" i="7"/>
  <c r="R65" i="7"/>
  <c r="R88" i="7"/>
  <c r="R60" i="7"/>
  <c r="R571" i="7"/>
  <c r="R391" i="7"/>
  <c r="T111" i="5"/>
  <c r="S65" i="7" s="1"/>
  <c r="R93" i="7"/>
  <c r="P740" i="7"/>
  <c r="W107" i="5"/>
  <c r="U89" i="7"/>
  <c r="T112" i="5"/>
  <c r="R94" i="7"/>
  <c r="W105" i="5"/>
  <c r="U87" i="7"/>
  <c r="U113" i="5"/>
  <c r="T67" i="7" s="1"/>
  <c r="S95" i="7"/>
  <c r="U110" i="5"/>
  <c r="V110" i="5" s="1"/>
  <c r="U64" i="7" s="1"/>
  <c r="S92" i="7"/>
  <c r="V108" i="5"/>
  <c r="U62" i="7" s="1"/>
  <c r="T90" i="7"/>
  <c r="U109" i="5"/>
  <c r="T63" i="7" s="1"/>
  <c r="S91" i="7"/>
  <c r="V104" i="5"/>
  <c r="U58" i="7" s="1"/>
  <c r="T86" i="7"/>
  <c r="T61" i="5"/>
  <c r="S61" i="7" s="1"/>
  <c r="T106" i="5"/>
  <c r="S70" i="3"/>
  <c r="Q245" i="8" s="1"/>
  <c r="S60" i="3"/>
  <c r="Q237" i="8" s="1"/>
  <c r="S71" i="3"/>
  <c r="S61" i="3"/>
  <c r="Q238" i="8" s="1"/>
  <c r="M358" i="3"/>
  <c r="T107" i="2"/>
  <c r="S69" i="3"/>
  <c r="M702" i="7"/>
  <c r="M703" i="7"/>
  <c r="T233" i="7"/>
  <c r="T106" i="2"/>
  <c r="S68" i="3"/>
  <c r="T69" i="5"/>
  <c r="R399" i="7"/>
  <c r="R579" i="7"/>
  <c r="R234" i="7"/>
  <c r="R69" i="7"/>
  <c r="Q378" i="3"/>
  <c r="Q382" i="3" s="1"/>
  <c r="Q385" i="3" s="1"/>
  <c r="M723" i="7"/>
  <c r="M727" i="7" s="1"/>
  <c r="P724" i="7"/>
  <c r="M765" i="7"/>
  <c r="M769" i="7" s="1"/>
  <c r="Q700" i="7"/>
  <c r="M744" i="7"/>
  <c r="M748" i="7" s="1"/>
  <c r="M356" i="3"/>
  <c r="P745" i="7"/>
  <c r="P766" i="7"/>
  <c r="M357" i="3"/>
  <c r="M701" i="7"/>
  <c r="R112" i="7"/>
  <c r="O630" i="7"/>
  <c r="O285" i="7"/>
  <c r="O450" i="7"/>
  <c r="R116" i="7"/>
  <c r="R115" i="7"/>
  <c r="R114" i="7"/>
  <c r="L361" i="3"/>
  <c r="L706" i="7"/>
  <c r="R140" i="7"/>
  <c r="R141" i="7"/>
  <c r="S116" i="7"/>
  <c r="S117" i="7"/>
  <c r="S142" i="7"/>
  <c r="R139" i="7"/>
  <c r="S112" i="3"/>
  <c r="S113" i="3"/>
  <c r="O623" i="7"/>
  <c r="O443" i="7"/>
  <c r="O278" i="7"/>
  <c r="O622" i="7"/>
  <c r="O277" i="7"/>
  <c r="O442" i="7"/>
  <c r="O125" i="3"/>
  <c r="N359" i="3" s="1"/>
  <c r="O125" i="7"/>
  <c r="N704" i="7" s="1"/>
  <c r="S111" i="3"/>
  <c r="O121" i="3"/>
  <c r="O121" i="7"/>
  <c r="N705" i="7" s="1"/>
  <c r="O122" i="3"/>
  <c r="O122" i="7"/>
  <c r="R102" i="7"/>
  <c r="R614" i="7"/>
  <c r="Q763" i="7" s="1"/>
  <c r="R434" i="7"/>
  <c r="Q742" i="7" s="1"/>
  <c r="R269" i="7"/>
  <c r="Q721" i="7" s="1"/>
  <c r="S110" i="3"/>
  <c r="S105" i="3"/>
  <c r="R435" i="7"/>
  <c r="R270" i="7"/>
  <c r="R615" i="7"/>
  <c r="R105" i="7"/>
  <c r="S103" i="7"/>
  <c r="S439" i="7"/>
  <c r="R137" i="7"/>
  <c r="S274" i="7"/>
  <c r="R138" i="7"/>
  <c r="S619" i="7"/>
  <c r="R109" i="7"/>
  <c r="R111" i="7"/>
  <c r="R113" i="7"/>
  <c r="R275" i="7"/>
  <c r="R620" i="7"/>
  <c r="R440" i="7"/>
  <c r="R110" i="7"/>
  <c r="S134" i="3"/>
  <c r="S109" i="3"/>
  <c r="R618" i="7"/>
  <c r="R108" i="7"/>
  <c r="R273" i="7"/>
  <c r="R438" i="7"/>
  <c r="S135" i="3"/>
  <c r="S108" i="3"/>
  <c r="R136" i="7"/>
  <c r="R436" i="7"/>
  <c r="R134" i="7"/>
  <c r="R616" i="7"/>
  <c r="R271" i="7"/>
  <c r="O107" i="3"/>
  <c r="O107" i="7"/>
  <c r="O106" i="7"/>
  <c r="O106" i="3"/>
  <c r="R617" i="7"/>
  <c r="R164" i="7"/>
  <c r="R163" i="7"/>
  <c r="R272" i="7"/>
  <c r="R158" i="7"/>
  <c r="R165" i="7"/>
  <c r="R437" i="7"/>
  <c r="S120" i="7"/>
  <c r="S131" i="7"/>
  <c r="R147" i="7"/>
  <c r="R157" i="7"/>
  <c r="S119" i="7"/>
  <c r="S130" i="7"/>
  <c r="T119" i="7"/>
  <c r="S132" i="7"/>
  <c r="S133" i="7"/>
  <c r="R148" i="7"/>
  <c r="R464" i="7"/>
  <c r="R299" i="7"/>
  <c r="R644" i="7"/>
  <c r="R645" i="7"/>
  <c r="Q759" i="7" s="1"/>
  <c r="R465" i="7"/>
  <c r="R300" i="7"/>
  <c r="Q717" i="7" s="1"/>
  <c r="R135" i="7"/>
  <c r="S272" i="3"/>
  <c r="T104" i="3"/>
  <c r="S271" i="3"/>
  <c r="O114" i="4"/>
  <c r="O112" i="4"/>
  <c r="O117" i="4"/>
  <c r="O113" i="4"/>
  <c r="O115" i="4"/>
  <c r="O116" i="4"/>
  <c r="O120" i="4"/>
  <c r="T578" i="7" l="1"/>
  <c r="T398" i="7"/>
  <c r="S71" i="7"/>
  <c r="S401" i="7"/>
  <c r="S580" i="7"/>
  <c r="S400" i="7"/>
  <c r="V68" i="5"/>
  <c r="U50" i="7" s="1"/>
  <c r="U71" i="5"/>
  <c r="T53" i="7" s="1"/>
  <c r="S236" i="7"/>
  <c r="S581" i="7"/>
  <c r="S60" i="7"/>
  <c r="S390" i="7"/>
  <c r="S225" i="7"/>
  <c r="S570" i="7"/>
  <c r="U60" i="5"/>
  <c r="T42" i="7" s="1"/>
  <c r="S696" i="7" s="1"/>
  <c r="T400" i="7"/>
  <c r="V70" i="5"/>
  <c r="U52" i="7" s="1"/>
  <c r="M752" i="7"/>
  <c r="M751" i="7"/>
  <c r="L710" i="7"/>
  <c r="L709" i="7"/>
  <c r="M773" i="7"/>
  <c r="M772" i="7"/>
  <c r="L365" i="3"/>
  <c r="L364" i="3"/>
  <c r="M731" i="7"/>
  <c r="M730" i="7"/>
  <c r="T580" i="7"/>
  <c r="T235" i="7"/>
  <c r="Q269" i="8"/>
  <c r="T439" i="7"/>
  <c r="Q761" i="7"/>
  <c r="Q274" i="8"/>
  <c r="Q280" i="8" s="1"/>
  <c r="Q698" i="7"/>
  <c r="Q719" i="7"/>
  <c r="R353" i="3"/>
  <c r="Q740" i="7"/>
  <c r="V109" i="5"/>
  <c r="U63" i="7" s="1"/>
  <c r="S51" i="7"/>
  <c r="S68" i="7"/>
  <c r="V59" i="7"/>
  <c r="T70" i="7"/>
  <c r="N356" i="3"/>
  <c r="Q699" i="7"/>
  <c r="N701" i="7"/>
  <c r="S94" i="7"/>
  <c r="S66" i="7"/>
  <c r="T92" i="7"/>
  <c r="T64" i="7"/>
  <c r="W104" i="5"/>
  <c r="V58" i="7" s="1"/>
  <c r="U86" i="7"/>
  <c r="W108" i="5"/>
  <c r="V62" i="7" s="1"/>
  <c r="U90" i="7"/>
  <c r="U91" i="7"/>
  <c r="X107" i="5"/>
  <c r="V89" i="7"/>
  <c r="V113" i="5"/>
  <c r="U67" i="7" s="1"/>
  <c r="T95" i="7"/>
  <c r="S88" i="7"/>
  <c r="U106" i="5"/>
  <c r="T91" i="7"/>
  <c r="W110" i="5"/>
  <c r="V64" i="7" s="1"/>
  <c r="U92" i="7"/>
  <c r="S43" i="7"/>
  <c r="R697" i="7" s="1"/>
  <c r="S226" i="7"/>
  <c r="S391" i="7"/>
  <c r="S571" i="7"/>
  <c r="U61" i="5"/>
  <c r="T61" i="7" s="1"/>
  <c r="X105" i="5"/>
  <c r="V87" i="7"/>
  <c r="U111" i="5"/>
  <c r="T65" i="7" s="1"/>
  <c r="S93" i="7"/>
  <c r="S441" i="7"/>
  <c r="S621" i="7"/>
  <c r="S276" i="7"/>
  <c r="U112" i="5"/>
  <c r="T66" i="7" s="1"/>
  <c r="T70" i="3"/>
  <c r="R245" i="8" s="1"/>
  <c r="T60" i="3"/>
  <c r="R237" i="8" s="1"/>
  <c r="T71" i="3"/>
  <c r="T61" i="3"/>
  <c r="R238" i="8" s="1"/>
  <c r="N703" i="7"/>
  <c r="R355" i="3"/>
  <c r="U69" i="5"/>
  <c r="S579" i="7"/>
  <c r="S234" i="7"/>
  <c r="S399" i="7"/>
  <c r="S69" i="7"/>
  <c r="U106" i="2"/>
  <c r="T68" i="3"/>
  <c r="S355" i="3" s="1"/>
  <c r="N358" i="3"/>
  <c r="U107" i="2"/>
  <c r="T69" i="3"/>
  <c r="R378" i="3"/>
  <c r="R382" i="3" s="1"/>
  <c r="Q766" i="7"/>
  <c r="N357" i="3"/>
  <c r="N723" i="7"/>
  <c r="N727" i="7" s="1"/>
  <c r="Q724" i="7"/>
  <c r="N744" i="7"/>
  <c r="N748" i="7" s="1"/>
  <c r="Q745" i="7"/>
  <c r="Q386" i="3"/>
  <c r="C152" i="8"/>
  <c r="D94" i="8"/>
  <c r="C153" i="8"/>
  <c r="N702" i="7"/>
  <c r="N765" i="7"/>
  <c r="N769" i="7" s="1"/>
  <c r="S118" i="7"/>
  <c r="S112" i="7"/>
  <c r="P630" i="7"/>
  <c r="P285" i="7"/>
  <c r="P450" i="7"/>
  <c r="M361" i="3"/>
  <c r="S115" i="7"/>
  <c r="S114" i="7"/>
  <c r="M706" i="7"/>
  <c r="S136" i="7"/>
  <c r="S140" i="7"/>
  <c r="S141" i="7"/>
  <c r="T142" i="7"/>
  <c r="S139" i="7"/>
  <c r="T116" i="7"/>
  <c r="T117" i="7"/>
  <c r="T114" i="7"/>
  <c r="P623" i="7"/>
  <c r="P443" i="7"/>
  <c r="P278" i="7"/>
  <c r="T112" i="3"/>
  <c r="T113" i="3"/>
  <c r="P277" i="7"/>
  <c r="P442" i="7"/>
  <c r="P622" i="7"/>
  <c r="P125" i="3"/>
  <c r="O359" i="3" s="1"/>
  <c r="P125" i="7"/>
  <c r="O704" i="7" s="1"/>
  <c r="T111" i="3"/>
  <c r="P121" i="3"/>
  <c r="P121" i="7"/>
  <c r="O705" i="7" s="1"/>
  <c r="S104" i="7"/>
  <c r="R700" i="7" s="1"/>
  <c r="P122" i="3"/>
  <c r="P122" i="7"/>
  <c r="S102" i="7"/>
  <c r="S614" i="7"/>
  <c r="R763" i="7" s="1"/>
  <c r="S434" i="7"/>
  <c r="R742" i="7" s="1"/>
  <c r="S269" i="7"/>
  <c r="R721" i="7" s="1"/>
  <c r="S615" i="7"/>
  <c r="S270" i="7"/>
  <c r="S435" i="7"/>
  <c r="S105" i="7"/>
  <c r="T110" i="3"/>
  <c r="T105" i="3"/>
  <c r="T619" i="7"/>
  <c r="T274" i="7"/>
  <c r="S109" i="7"/>
  <c r="S111" i="7"/>
  <c r="S113" i="7"/>
  <c r="S165" i="7"/>
  <c r="S138" i="7"/>
  <c r="S163" i="7"/>
  <c r="S137" i="7"/>
  <c r="S440" i="7"/>
  <c r="S620" i="7"/>
  <c r="S275" i="7"/>
  <c r="S110" i="7"/>
  <c r="T134" i="3"/>
  <c r="T109" i="3"/>
  <c r="S108" i="7"/>
  <c r="S438" i="7"/>
  <c r="S618" i="7"/>
  <c r="S273" i="7"/>
  <c r="T135" i="3"/>
  <c r="T108" i="3"/>
  <c r="S271" i="7"/>
  <c r="S300" i="7"/>
  <c r="R717" i="7" s="1"/>
  <c r="S134" i="7"/>
  <c r="S616" i="7"/>
  <c r="S436" i="7"/>
  <c r="S465" i="7"/>
  <c r="P107" i="3"/>
  <c r="P107" i="7"/>
  <c r="P106" i="7"/>
  <c r="P106" i="3"/>
  <c r="S135" i="7"/>
  <c r="S617" i="7"/>
  <c r="S272" i="7"/>
  <c r="S437" i="7"/>
  <c r="T132" i="7"/>
  <c r="S164" i="7"/>
  <c r="T147" i="7"/>
  <c r="T157" i="7"/>
  <c r="U130" i="7"/>
  <c r="V130" i="7"/>
  <c r="S464" i="7"/>
  <c r="T120" i="7"/>
  <c r="T131" i="7"/>
  <c r="S644" i="7"/>
  <c r="S645" i="7"/>
  <c r="R759" i="7" s="1"/>
  <c r="S158" i="7"/>
  <c r="S147" i="7"/>
  <c r="S157" i="7"/>
  <c r="T133" i="7"/>
  <c r="S148" i="7"/>
  <c r="S299" i="7"/>
  <c r="T272" i="3"/>
  <c r="U104" i="3"/>
  <c r="T271" i="3"/>
  <c r="T106" i="3"/>
  <c r="R112" i="4"/>
  <c r="S112" i="4"/>
  <c r="Q112" i="4"/>
  <c r="R115" i="4"/>
  <c r="S115" i="4"/>
  <c r="Q115" i="4"/>
  <c r="S117" i="4"/>
  <c r="Q117" i="4"/>
  <c r="R117" i="4"/>
  <c r="R114" i="4"/>
  <c r="S114" i="4"/>
  <c r="Q114" i="4"/>
  <c r="S120" i="4"/>
  <c r="Q120" i="4"/>
  <c r="R120" i="4"/>
  <c r="R113" i="4"/>
  <c r="S113" i="4"/>
  <c r="Q113" i="4"/>
  <c r="S116" i="4"/>
  <c r="Q116" i="4"/>
  <c r="R116" i="4"/>
  <c r="P120" i="4"/>
  <c r="P113" i="4"/>
  <c r="P117" i="4"/>
  <c r="P112" i="4"/>
  <c r="P116" i="4"/>
  <c r="P115" i="4"/>
  <c r="P114" i="4"/>
  <c r="W68" i="5" l="1"/>
  <c r="V50" i="7" s="1"/>
  <c r="W109" i="5"/>
  <c r="X109" i="5" s="1"/>
  <c r="W63" i="7" s="1"/>
  <c r="U233" i="7"/>
  <c r="U578" i="7"/>
  <c r="T71" i="7"/>
  <c r="U398" i="7"/>
  <c r="T236" i="7"/>
  <c r="T401" i="7"/>
  <c r="V71" i="5"/>
  <c r="U53" i="7" s="1"/>
  <c r="T581" i="7"/>
  <c r="U580" i="7"/>
  <c r="U235" i="7"/>
  <c r="W70" i="5"/>
  <c r="V52" i="7" s="1"/>
  <c r="R698" i="7"/>
  <c r="T225" i="7"/>
  <c r="T570" i="7"/>
  <c r="T390" i="7"/>
  <c r="V60" i="5"/>
  <c r="U42" i="7" s="1"/>
  <c r="T696" i="7" s="1"/>
  <c r="U70" i="7"/>
  <c r="U400" i="7"/>
  <c r="R386" i="3"/>
  <c r="R385" i="3"/>
  <c r="M710" i="7"/>
  <c r="M709" i="7"/>
  <c r="N752" i="7"/>
  <c r="N751" i="7"/>
  <c r="N773" i="7"/>
  <c r="N772" i="7"/>
  <c r="N731" i="7"/>
  <c r="N730" i="7"/>
  <c r="M365" i="3"/>
  <c r="M364" i="3"/>
  <c r="D98" i="8"/>
  <c r="D96" i="8"/>
  <c r="R719" i="7"/>
  <c r="R761" i="7"/>
  <c r="R269" i="8"/>
  <c r="W59" i="7"/>
  <c r="T60" i="7"/>
  <c r="T51" i="7"/>
  <c r="T68" i="7"/>
  <c r="R699" i="7"/>
  <c r="R740" i="7"/>
  <c r="S378" i="3"/>
  <c r="S382" i="3" s="1"/>
  <c r="V91" i="7"/>
  <c r="V63" i="7"/>
  <c r="V106" i="5"/>
  <c r="T88" i="7"/>
  <c r="V112" i="5"/>
  <c r="U66" i="7" s="1"/>
  <c r="T94" i="7"/>
  <c r="X108" i="5"/>
  <c r="W62" i="7" s="1"/>
  <c r="V90" i="7"/>
  <c r="V111" i="5"/>
  <c r="U65" i="7" s="1"/>
  <c r="T93" i="7"/>
  <c r="T276" i="7"/>
  <c r="T621" i="7"/>
  <c r="T441" i="7"/>
  <c r="W113" i="5"/>
  <c r="V67" i="7" s="1"/>
  <c r="U95" i="7"/>
  <c r="T43" i="7"/>
  <c r="S697" i="7" s="1"/>
  <c r="T391" i="7"/>
  <c r="T571" i="7"/>
  <c r="T226" i="7"/>
  <c r="X110" i="5"/>
  <c r="W64" i="7" s="1"/>
  <c r="V92" i="7"/>
  <c r="X104" i="5"/>
  <c r="W58" i="7" s="1"/>
  <c r="V86" i="7"/>
  <c r="Y105" i="5"/>
  <c r="X59" i="7" s="1"/>
  <c r="W87" i="7"/>
  <c r="W91" i="7"/>
  <c r="Y107" i="5"/>
  <c r="W89" i="7"/>
  <c r="V61" i="5"/>
  <c r="U61" i="7" s="1"/>
  <c r="R274" i="8"/>
  <c r="R280" i="8" s="1"/>
  <c r="U70" i="3"/>
  <c r="S245" i="8" s="1"/>
  <c r="U60" i="3"/>
  <c r="S237" i="8" s="1"/>
  <c r="U71" i="3"/>
  <c r="U61" i="3"/>
  <c r="S238" i="8" s="1"/>
  <c r="O358" i="3"/>
  <c r="T355" i="3"/>
  <c r="W71" i="5"/>
  <c r="V53" i="7" s="1"/>
  <c r="U401" i="7"/>
  <c r="U581" i="7"/>
  <c r="U236" i="7"/>
  <c r="U71" i="7"/>
  <c r="S353" i="3"/>
  <c r="O702" i="7"/>
  <c r="O703" i="7"/>
  <c r="V106" i="2"/>
  <c r="U68" i="3"/>
  <c r="V107" i="2"/>
  <c r="U69" i="3"/>
  <c r="X68" i="5"/>
  <c r="W50" i="7" s="1"/>
  <c r="V233" i="7"/>
  <c r="V398" i="7"/>
  <c r="V578" i="7"/>
  <c r="V69" i="5"/>
  <c r="T234" i="7"/>
  <c r="T399" i="7"/>
  <c r="T579" i="7"/>
  <c r="T69" i="7"/>
  <c r="R745" i="7"/>
  <c r="O357" i="3"/>
  <c r="R724" i="7"/>
  <c r="O765" i="7"/>
  <c r="O769" i="7" s="1"/>
  <c r="O744" i="7"/>
  <c r="O748" i="7" s="1"/>
  <c r="O723" i="7"/>
  <c r="O727" i="7" s="1"/>
  <c r="O701" i="7"/>
  <c r="R766" i="7"/>
  <c r="O356" i="3"/>
  <c r="T118" i="7"/>
  <c r="T112" i="7"/>
  <c r="T450" i="7"/>
  <c r="T285" i="7"/>
  <c r="T630" i="7"/>
  <c r="S630" i="7"/>
  <c r="S285" i="7"/>
  <c r="S450" i="7"/>
  <c r="Q450" i="7"/>
  <c r="Q285" i="7"/>
  <c r="Q630" i="7"/>
  <c r="R630" i="7"/>
  <c r="R450" i="7"/>
  <c r="R285" i="7"/>
  <c r="T115" i="7"/>
  <c r="T278" i="7"/>
  <c r="U118" i="7"/>
  <c r="N361" i="3"/>
  <c r="N706" i="7"/>
  <c r="T136" i="7"/>
  <c r="U119" i="7"/>
  <c r="T140" i="7"/>
  <c r="T141" i="7"/>
  <c r="U116" i="7"/>
  <c r="U117" i="7"/>
  <c r="U142" i="7"/>
  <c r="T139" i="7"/>
  <c r="U114" i="7"/>
  <c r="U115" i="7"/>
  <c r="T443" i="7"/>
  <c r="U112" i="3"/>
  <c r="U113" i="3"/>
  <c r="R623" i="7"/>
  <c r="R443" i="7"/>
  <c r="R278" i="7"/>
  <c r="Q443" i="7"/>
  <c r="Q278" i="7"/>
  <c r="Q623" i="7"/>
  <c r="T623" i="7"/>
  <c r="S623" i="7"/>
  <c r="S443" i="7"/>
  <c r="S278" i="7"/>
  <c r="R277" i="7"/>
  <c r="R622" i="7"/>
  <c r="R442" i="7"/>
  <c r="S277" i="7"/>
  <c r="S442" i="7"/>
  <c r="S622" i="7"/>
  <c r="Q442" i="7"/>
  <c r="Q622" i="7"/>
  <c r="Q277" i="7"/>
  <c r="T442" i="7"/>
  <c r="T622" i="7"/>
  <c r="T277" i="7"/>
  <c r="R125" i="3"/>
  <c r="Q359" i="3" s="1"/>
  <c r="R125" i="7"/>
  <c r="Q704" i="7" s="1"/>
  <c r="S125" i="3"/>
  <c r="R359" i="3" s="1"/>
  <c r="S125" i="7"/>
  <c r="R704" i="7" s="1"/>
  <c r="Q125" i="3"/>
  <c r="P359" i="3" s="1"/>
  <c r="Q125" i="7"/>
  <c r="P704" i="7" s="1"/>
  <c r="T125" i="7"/>
  <c r="T125" i="3"/>
  <c r="S359" i="3" s="1"/>
  <c r="U111" i="3"/>
  <c r="R121" i="3"/>
  <c r="R121" i="7"/>
  <c r="Q705" i="7" s="1"/>
  <c r="S121" i="3"/>
  <c r="S121" i="7"/>
  <c r="R705" i="7" s="1"/>
  <c r="Q121" i="3"/>
  <c r="Q121" i="7"/>
  <c r="P705" i="7" s="1"/>
  <c r="T121" i="3"/>
  <c r="T121" i="7"/>
  <c r="T104" i="7"/>
  <c r="T122" i="7"/>
  <c r="T122" i="3"/>
  <c r="S122" i="3"/>
  <c r="S122" i="7"/>
  <c r="Q122" i="3"/>
  <c r="Q122" i="7"/>
  <c r="R122" i="3"/>
  <c r="R122" i="7"/>
  <c r="U102" i="7"/>
  <c r="U434" i="7"/>
  <c r="T742" i="7" s="1"/>
  <c r="U269" i="7"/>
  <c r="T721" i="7" s="1"/>
  <c r="U614" i="7"/>
  <c r="T763" i="7" s="1"/>
  <c r="U103" i="7"/>
  <c r="T103" i="7"/>
  <c r="T102" i="7"/>
  <c r="T614" i="7"/>
  <c r="S763" i="7" s="1"/>
  <c r="T269" i="7"/>
  <c r="S721" i="7" s="1"/>
  <c r="T434" i="7"/>
  <c r="S742" i="7" s="1"/>
  <c r="T615" i="7"/>
  <c r="T435" i="7"/>
  <c r="T270" i="7"/>
  <c r="T105" i="7"/>
  <c r="U110" i="3"/>
  <c r="U105" i="3"/>
  <c r="T137" i="7"/>
  <c r="T138" i="7"/>
  <c r="U619" i="7"/>
  <c r="U274" i="7"/>
  <c r="U439" i="7"/>
  <c r="T111" i="7"/>
  <c r="T113" i="7"/>
  <c r="T109" i="7"/>
  <c r="U134" i="3"/>
  <c r="U109" i="3"/>
  <c r="T275" i="7"/>
  <c r="T440" i="7"/>
  <c r="T620" i="7"/>
  <c r="T110" i="7"/>
  <c r="U135" i="3"/>
  <c r="U108" i="3"/>
  <c r="T618" i="7"/>
  <c r="T438" i="7"/>
  <c r="T273" i="7"/>
  <c r="T108" i="7"/>
  <c r="T134" i="7"/>
  <c r="T130" i="7"/>
  <c r="T436" i="7"/>
  <c r="T616" i="7"/>
  <c r="T106" i="7"/>
  <c r="T271" i="7"/>
  <c r="T299" i="7"/>
  <c r="T464" i="7"/>
  <c r="T272" i="7"/>
  <c r="T437" i="7"/>
  <c r="T107" i="7"/>
  <c r="T644" i="7"/>
  <c r="T617" i="7"/>
  <c r="U105" i="7"/>
  <c r="S107" i="3"/>
  <c r="S107" i="7"/>
  <c r="Q107" i="3"/>
  <c r="Q107" i="7"/>
  <c r="T107" i="3"/>
  <c r="S357" i="3" s="1"/>
  <c r="R107" i="3"/>
  <c r="R107" i="7"/>
  <c r="R106" i="7"/>
  <c r="R106" i="3"/>
  <c r="Q106" i="3"/>
  <c r="Q106" i="7"/>
  <c r="S106" i="7"/>
  <c r="S106" i="3"/>
  <c r="T135" i="7"/>
  <c r="T164" i="7"/>
  <c r="T163" i="7"/>
  <c r="S704" i="7" s="1"/>
  <c r="U132" i="7"/>
  <c r="T158" i="7"/>
  <c r="T165" i="7"/>
  <c r="W130" i="7"/>
  <c r="U147" i="7"/>
  <c r="U157" i="7"/>
  <c r="U120" i="7"/>
  <c r="U131" i="7"/>
  <c r="T148" i="7"/>
  <c r="T645" i="7"/>
  <c r="U133" i="7"/>
  <c r="T465" i="7"/>
  <c r="S738" i="7" s="1"/>
  <c r="T300" i="7"/>
  <c r="S717" i="7" s="1"/>
  <c r="V104" i="3"/>
  <c r="U271" i="3"/>
  <c r="U272" i="3"/>
  <c r="T115" i="4"/>
  <c r="T117" i="4"/>
  <c r="T116" i="4"/>
  <c r="T113" i="4"/>
  <c r="U107" i="3" s="1"/>
  <c r="T114" i="4"/>
  <c r="T112" i="4"/>
  <c r="T120" i="4"/>
  <c r="V70" i="7" l="1"/>
  <c r="V235" i="7"/>
  <c r="V580" i="7"/>
  <c r="V400" i="7"/>
  <c r="Y109" i="5"/>
  <c r="X63" i="7" s="1"/>
  <c r="X70" i="5"/>
  <c r="W52" i="7" s="1"/>
  <c r="U390" i="7"/>
  <c r="U225" i="7"/>
  <c r="U570" i="7"/>
  <c r="W60" i="5"/>
  <c r="V390" i="7" s="1"/>
  <c r="S719" i="7"/>
  <c r="N710" i="7"/>
  <c r="N709" i="7"/>
  <c r="O773" i="7"/>
  <c r="O772" i="7"/>
  <c r="N365" i="3"/>
  <c r="N364" i="3"/>
  <c r="S386" i="3"/>
  <c r="S385" i="3"/>
  <c r="O731" i="7"/>
  <c r="O730" i="7"/>
  <c r="O752" i="7"/>
  <c r="O751" i="7"/>
  <c r="V42" i="7"/>
  <c r="U696" i="7" s="1"/>
  <c r="S698" i="7"/>
  <c r="U60" i="7"/>
  <c r="U51" i="7"/>
  <c r="U68" i="7"/>
  <c r="S699" i="7"/>
  <c r="S705" i="7"/>
  <c r="S274" i="8"/>
  <c r="S280" i="8" s="1"/>
  <c r="S740" i="7"/>
  <c r="W111" i="5"/>
  <c r="V65" i="7" s="1"/>
  <c r="U93" i="7"/>
  <c r="U276" i="7"/>
  <c r="U621" i="7"/>
  <c r="U441" i="7"/>
  <c r="U43" i="7"/>
  <c r="T697" i="7" s="1"/>
  <c r="U226" i="7"/>
  <c r="U391" i="7"/>
  <c r="U571" i="7"/>
  <c r="Y104" i="5"/>
  <c r="X58" i="7" s="1"/>
  <c r="W86" i="7"/>
  <c r="Y108" i="5"/>
  <c r="X62" i="7" s="1"/>
  <c r="W90" i="7"/>
  <c r="Z105" i="5"/>
  <c r="X87" i="7"/>
  <c r="Z107" i="5"/>
  <c r="Y89" i="7" s="1"/>
  <c r="X89" i="7"/>
  <c r="X113" i="5"/>
  <c r="W67" i="7" s="1"/>
  <c r="V95" i="7"/>
  <c r="W92" i="7"/>
  <c r="Y110" i="5"/>
  <c r="X64" i="7" s="1"/>
  <c r="W112" i="5"/>
  <c r="V66" i="7" s="1"/>
  <c r="U94" i="7"/>
  <c r="Z109" i="5"/>
  <c r="X91" i="7"/>
  <c r="W61" i="5"/>
  <c r="S761" i="7"/>
  <c r="W106" i="5"/>
  <c r="U88" i="7"/>
  <c r="S269" i="8"/>
  <c r="V71" i="3"/>
  <c r="V61" i="3"/>
  <c r="T238" i="8" s="1"/>
  <c r="V70" i="3"/>
  <c r="T245" i="8" s="1"/>
  <c r="V60" i="3"/>
  <c r="T237" i="8" s="1"/>
  <c r="Q358" i="3"/>
  <c r="R703" i="7"/>
  <c r="P358" i="3"/>
  <c r="X71" i="5"/>
  <c r="W53" i="7" s="1"/>
  <c r="V401" i="7"/>
  <c r="V581" i="7"/>
  <c r="V236" i="7"/>
  <c r="V71" i="7"/>
  <c r="Y70" i="5"/>
  <c r="X52" i="7" s="1"/>
  <c r="W580" i="7"/>
  <c r="W400" i="7"/>
  <c r="W235" i="7"/>
  <c r="Q703" i="7"/>
  <c r="T353" i="3"/>
  <c r="E99" i="8" s="1"/>
  <c r="P703" i="7"/>
  <c r="W69" i="5"/>
  <c r="U399" i="7"/>
  <c r="U579" i="7"/>
  <c r="U234" i="7"/>
  <c r="U69" i="7"/>
  <c r="W107" i="2"/>
  <c r="V69" i="3"/>
  <c r="S358" i="3"/>
  <c r="W106" i="2"/>
  <c r="V68" i="3"/>
  <c r="U355" i="3" s="1"/>
  <c r="W233" i="7"/>
  <c r="W398" i="7"/>
  <c r="W578" i="7"/>
  <c r="Y68" i="5"/>
  <c r="X50" i="7" s="1"/>
  <c r="R358" i="3"/>
  <c r="S766" i="7"/>
  <c r="Q356" i="3"/>
  <c r="S765" i="7"/>
  <c r="Q701" i="7"/>
  <c r="Q702" i="7"/>
  <c r="S723" i="7"/>
  <c r="P765" i="7"/>
  <c r="P769" i="7" s="1"/>
  <c r="R723" i="7"/>
  <c r="R727" i="7" s="1"/>
  <c r="R357" i="3"/>
  <c r="Q723" i="7"/>
  <c r="Q727" i="7" s="1"/>
  <c r="S356" i="3"/>
  <c r="P357" i="3"/>
  <c r="R702" i="7"/>
  <c r="S700" i="7"/>
  <c r="P701" i="7"/>
  <c r="R765" i="7"/>
  <c r="R769" i="7" s="1"/>
  <c r="R744" i="7"/>
  <c r="R748" i="7" s="1"/>
  <c r="Q744" i="7"/>
  <c r="Q748" i="7" s="1"/>
  <c r="Q751" i="7" s="1"/>
  <c r="Q357" i="3"/>
  <c r="S724" i="7"/>
  <c r="R356" i="3"/>
  <c r="T378" i="3"/>
  <c r="T382" i="3" s="1"/>
  <c r="S702" i="7"/>
  <c r="S701" i="7"/>
  <c r="Q765" i="7"/>
  <c r="Q769" i="7" s="1"/>
  <c r="P723" i="7"/>
  <c r="P727" i="7" s="1"/>
  <c r="S744" i="7"/>
  <c r="P744" i="7"/>
  <c r="P748" i="7" s="1"/>
  <c r="P702" i="7"/>
  <c r="S703" i="7"/>
  <c r="P356" i="3"/>
  <c r="S745" i="7"/>
  <c r="R701" i="7"/>
  <c r="U112" i="7"/>
  <c r="U630" i="7"/>
  <c r="U450" i="7"/>
  <c r="U285" i="7"/>
  <c r="V116" i="7"/>
  <c r="O361" i="3"/>
  <c r="O706" i="7"/>
  <c r="W142" i="7"/>
  <c r="U141" i="7"/>
  <c r="V118" i="7"/>
  <c r="V119" i="7"/>
  <c r="U139" i="7"/>
  <c r="U140" i="7"/>
  <c r="V117" i="7"/>
  <c r="V114" i="7"/>
  <c r="V115" i="7"/>
  <c r="U623" i="7"/>
  <c r="V112" i="3"/>
  <c r="V113" i="3"/>
  <c r="U443" i="7"/>
  <c r="U278" i="7"/>
  <c r="U442" i="7"/>
  <c r="U622" i="7"/>
  <c r="U277" i="7"/>
  <c r="U125" i="3"/>
  <c r="T359" i="3" s="1"/>
  <c r="U125" i="7"/>
  <c r="V111" i="3"/>
  <c r="U121" i="3"/>
  <c r="U121" i="7"/>
  <c r="U615" i="7"/>
  <c r="V103" i="7"/>
  <c r="U270" i="7"/>
  <c r="U435" i="7"/>
  <c r="U122" i="7"/>
  <c r="U122" i="3"/>
  <c r="V102" i="7"/>
  <c r="V269" i="7"/>
  <c r="U721" i="7" s="1"/>
  <c r="V614" i="7"/>
  <c r="U763" i="7" s="1"/>
  <c r="V434" i="7"/>
  <c r="U742" i="7" s="1"/>
  <c r="U108" i="7"/>
  <c r="U271" i="7"/>
  <c r="U104" i="7"/>
  <c r="T700" i="7" s="1"/>
  <c r="V110" i="3"/>
  <c r="V105" i="3"/>
  <c r="W103" i="7"/>
  <c r="V274" i="7"/>
  <c r="V619" i="7"/>
  <c r="V439" i="7"/>
  <c r="U299" i="7"/>
  <c r="U137" i="7"/>
  <c r="U111" i="7"/>
  <c r="U113" i="7"/>
  <c r="U109" i="7"/>
  <c r="U135" i="7"/>
  <c r="U138" i="7"/>
  <c r="U273" i="7"/>
  <c r="U438" i="7"/>
  <c r="V618" i="7"/>
  <c r="U618" i="7"/>
  <c r="U275" i="7"/>
  <c r="U440" i="7"/>
  <c r="U620" i="7"/>
  <c r="U110" i="7"/>
  <c r="V134" i="3"/>
  <c r="V109" i="3"/>
  <c r="V135" i="3"/>
  <c r="V108" i="3"/>
  <c r="V133" i="7"/>
  <c r="V132" i="7"/>
  <c r="U136" i="7"/>
  <c r="U106" i="7"/>
  <c r="U436" i="7"/>
  <c r="U616" i="7"/>
  <c r="U437" i="7"/>
  <c r="U464" i="7"/>
  <c r="U617" i="7"/>
  <c r="U107" i="7"/>
  <c r="U134" i="7"/>
  <c r="U272" i="7"/>
  <c r="U106" i="3"/>
  <c r="T357" i="3" s="1"/>
  <c r="U164" i="7"/>
  <c r="U163" i="7"/>
  <c r="T704" i="7" s="1"/>
  <c r="U644" i="7"/>
  <c r="V163" i="7"/>
  <c r="U158" i="7"/>
  <c r="U165" i="7"/>
  <c r="T705" i="7" s="1"/>
  <c r="V131" i="7"/>
  <c r="X130" i="7"/>
  <c r="V147" i="7"/>
  <c r="V157" i="7"/>
  <c r="U148" i="7"/>
  <c r="U465" i="7"/>
  <c r="T738" i="7" s="1"/>
  <c r="E119" i="8" s="1"/>
  <c r="U645" i="7"/>
  <c r="U300" i="7"/>
  <c r="V164" i="7"/>
  <c r="V120" i="7"/>
  <c r="V272" i="3"/>
  <c r="W104" i="3"/>
  <c r="V271" i="3"/>
  <c r="V106" i="3"/>
  <c r="U120" i="4"/>
  <c r="U113" i="4"/>
  <c r="U112" i="4"/>
  <c r="U116" i="4"/>
  <c r="U117" i="4"/>
  <c r="U114" i="4"/>
  <c r="U115" i="4"/>
  <c r="E117" i="8" l="1"/>
  <c r="X60" i="5"/>
  <c r="W570" i="7" s="1"/>
  <c r="V225" i="7"/>
  <c r="V570" i="7"/>
  <c r="R773" i="7"/>
  <c r="R772" i="7"/>
  <c r="R731" i="7"/>
  <c r="R730" i="7"/>
  <c r="O365" i="3"/>
  <c r="O364" i="3"/>
  <c r="P773" i="7"/>
  <c r="P772" i="7"/>
  <c r="O710" i="7"/>
  <c r="O709" i="7"/>
  <c r="T386" i="3"/>
  <c r="T385" i="3"/>
  <c r="P752" i="7"/>
  <c r="P751" i="7"/>
  <c r="P731" i="7"/>
  <c r="P730" i="7"/>
  <c r="Q731" i="7"/>
  <c r="Q730" i="7"/>
  <c r="Q773" i="7"/>
  <c r="Q772" i="7"/>
  <c r="R752" i="7"/>
  <c r="R751" i="7"/>
  <c r="T698" i="7"/>
  <c r="T269" i="8"/>
  <c r="W42" i="7"/>
  <c r="V696" i="7" s="1"/>
  <c r="T761" i="7"/>
  <c r="V112" i="7"/>
  <c r="X61" i="5"/>
  <c r="W61" i="7" s="1"/>
  <c r="V61" i="7"/>
  <c r="V51" i="7"/>
  <c r="V68" i="7"/>
  <c r="W70" i="7"/>
  <c r="V60" i="7"/>
  <c r="T699" i="7"/>
  <c r="T274" i="8"/>
  <c r="T280" i="8" s="1"/>
  <c r="Y87" i="7"/>
  <c r="Y59" i="7"/>
  <c r="T719" i="7"/>
  <c r="Y91" i="7"/>
  <c r="Y63" i="7"/>
  <c r="W43" i="7"/>
  <c r="V697" i="7" s="1"/>
  <c r="T740" i="7"/>
  <c r="X106" i="5"/>
  <c r="V88" i="7"/>
  <c r="X112" i="5"/>
  <c r="W66" i="7" s="1"/>
  <c r="V94" i="7"/>
  <c r="Z110" i="5"/>
  <c r="X92" i="7"/>
  <c r="Z108" i="5"/>
  <c r="X90" i="7"/>
  <c r="V43" i="7"/>
  <c r="V571" i="7"/>
  <c r="V226" i="7"/>
  <c r="V391" i="7"/>
  <c r="Y113" i="5"/>
  <c r="X67" i="7" s="1"/>
  <c r="W95" i="7"/>
  <c r="Z104" i="5"/>
  <c r="X86" i="7"/>
  <c r="X111" i="5"/>
  <c r="W65" i="7" s="1"/>
  <c r="V93" i="7"/>
  <c r="V621" i="7"/>
  <c r="V276" i="7"/>
  <c r="V441" i="7"/>
  <c r="W71" i="3"/>
  <c r="W61" i="3"/>
  <c r="U238" i="8" s="1"/>
  <c r="W70" i="3"/>
  <c r="U245" i="8" s="1"/>
  <c r="W60" i="3"/>
  <c r="U237" i="8" s="1"/>
  <c r="Z70" i="5"/>
  <c r="Y52" i="7" s="1"/>
  <c r="X580" i="7"/>
  <c r="X400" i="7"/>
  <c r="X235" i="7"/>
  <c r="Y71" i="5"/>
  <c r="X53" i="7" s="1"/>
  <c r="W581" i="7"/>
  <c r="W401" i="7"/>
  <c r="W236" i="7"/>
  <c r="W71" i="7"/>
  <c r="U353" i="3"/>
  <c r="S361" i="3"/>
  <c r="X107" i="2"/>
  <c r="W69" i="3"/>
  <c r="X106" i="2"/>
  <c r="X60" i="3" s="1"/>
  <c r="V237" i="8" s="1"/>
  <c r="W68" i="3"/>
  <c r="T358" i="3"/>
  <c r="Z68" i="5"/>
  <c r="Y50" i="7" s="1"/>
  <c r="X398" i="7"/>
  <c r="X578" i="7"/>
  <c r="X233" i="7"/>
  <c r="V579" i="7"/>
  <c r="V399" i="7"/>
  <c r="V234" i="7"/>
  <c r="V69" i="7"/>
  <c r="X69" i="5"/>
  <c r="T765" i="7"/>
  <c r="T701" i="7"/>
  <c r="T356" i="3"/>
  <c r="T724" i="7"/>
  <c r="T702" i="7"/>
  <c r="U378" i="3"/>
  <c r="U382" i="3" s="1"/>
  <c r="T766" i="7"/>
  <c r="Q752" i="7"/>
  <c r="C159" i="8"/>
  <c r="C160" i="8"/>
  <c r="T723" i="7"/>
  <c r="T744" i="7"/>
  <c r="T703" i="7"/>
  <c r="T745" i="7"/>
  <c r="D152" i="8"/>
  <c r="D153" i="8"/>
  <c r="V443" i="7"/>
  <c r="V630" i="7"/>
  <c r="V450" i="7"/>
  <c r="V285" i="7"/>
  <c r="R361" i="3"/>
  <c r="Q706" i="7"/>
  <c r="Q709" i="7" s="1"/>
  <c r="S727" i="7"/>
  <c r="S769" i="7"/>
  <c r="S748" i="7"/>
  <c r="Q361" i="3"/>
  <c r="Q364" i="3" s="1"/>
  <c r="P361" i="3"/>
  <c r="S706" i="7"/>
  <c r="P706" i="7"/>
  <c r="R706" i="7"/>
  <c r="V139" i="7"/>
  <c r="V142" i="7"/>
  <c r="W118" i="7"/>
  <c r="W119" i="7"/>
  <c r="W140" i="7"/>
  <c r="W141" i="7"/>
  <c r="V140" i="7"/>
  <c r="V141" i="7"/>
  <c r="W116" i="7"/>
  <c r="W117" i="7"/>
  <c r="X142" i="7"/>
  <c r="W139" i="7"/>
  <c r="W114" i="7"/>
  <c r="W115" i="7"/>
  <c r="W112" i="3"/>
  <c r="W113" i="3"/>
  <c r="V623" i="7"/>
  <c r="V278" i="7"/>
  <c r="V277" i="7"/>
  <c r="V622" i="7"/>
  <c r="V442" i="7"/>
  <c r="V125" i="3"/>
  <c r="U359" i="3" s="1"/>
  <c r="V125" i="7"/>
  <c r="U704" i="7" s="1"/>
  <c r="W111" i="3"/>
  <c r="V121" i="3"/>
  <c r="V121" i="7"/>
  <c r="V270" i="7"/>
  <c r="V435" i="7"/>
  <c r="V615" i="7"/>
  <c r="V122" i="7"/>
  <c r="V122" i="3"/>
  <c r="X102" i="7"/>
  <c r="X434" i="7"/>
  <c r="W742" i="7" s="1"/>
  <c r="X614" i="7"/>
  <c r="W763" i="7" s="1"/>
  <c r="X269" i="7"/>
  <c r="W721" i="7" s="1"/>
  <c r="W102" i="7"/>
  <c r="W614" i="7"/>
  <c r="V763" i="7" s="1"/>
  <c r="W269" i="7"/>
  <c r="V721" i="7" s="1"/>
  <c r="W434" i="7"/>
  <c r="V742" i="7" s="1"/>
  <c r="V436" i="7"/>
  <c r="V104" i="7"/>
  <c r="U700" i="7" s="1"/>
  <c r="V105" i="7"/>
  <c r="W615" i="7"/>
  <c r="W435" i="7"/>
  <c r="W270" i="7"/>
  <c r="W105" i="7"/>
  <c r="W110" i="3"/>
  <c r="W105" i="3"/>
  <c r="X103" i="7"/>
  <c r="W439" i="7"/>
  <c r="W619" i="7"/>
  <c r="W274" i="7"/>
  <c r="V108" i="7"/>
  <c r="V272" i="7"/>
  <c r="V136" i="7"/>
  <c r="V138" i="7"/>
  <c r="V644" i="7"/>
  <c r="V137" i="7"/>
  <c r="V111" i="7"/>
  <c r="V113" i="7"/>
  <c r="V617" i="7"/>
  <c r="V109" i="7"/>
  <c r="V438" i="7"/>
  <c r="V299" i="7"/>
  <c r="V273" i="7"/>
  <c r="V440" i="7"/>
  <c r="V620" i="7"/>
  <c r="V275" i="7"/>
  <c r="V110" i="7"/>
  <c r="W134" i="3"/>
  <c r="W109" i="3"/>
  <c r="V437" i="7"/>
  <c r="V107" i="7"/>
  <c r="W135" i="3"/>
  <c r="W108" i="3"/>
  <c r="V271" i="7"/>
  <c r="V616" i="7"/>
  <c r="V464" i="7"/>
  <c r="W133" i="7"/>
  <c r="V106" i="7"/>
  <c r="W132" i="7"/>
  <c r="V134" i="7"/>
  <c r="V135" i="7"/>
  <c r="V107" i="3"/>
  <c r="U357" i="3" s="1"/>
  <c r="W272" i="7"/>
  <c r="W437" i="7"/>
  <c r="W163" i="7"/>
  <c r="V158" i="7"/>
  <c r="V165" i="7"/>
  <c r="U705" i="7" s="1"/>
  <c r="W617" i="7"/>
  <c r="W147" i="7"/>
  <c r="W157" i="7"/>
  <c r="Y130" i="7"/>
  <c r="W120" i="7"/>
  <c r="W131" i="7"/>
  <c r="X120" i="7"/>
  <c r="V148" i="7"/>
  <c r="V300" i="7"/>
  <c r="V465" i="7"/>
  <c r="V645" i="7"/>
  <c r="U759" i="7" s="1"/>
  <c r="W164" i="7"/>
  <c r="W272" i="3"/>
  <c r="X104" i="3"/>
  <c r="W271" i="3"/>
  <c r="W106" i="3"/>
  <c r="V116" i="4"/>
  <c r="V117" i="4"/>
  <c r="V113" i="4"/>
  <c r="V115" i="4"/>
  <c r="V114" i="4"/>
  <c r="V112" i="4"/>
  <c r="V120" i="4"/>
  <c r="W60" i="7" l="1"/>
  <c r="W225" i="7"/>
  <c r="Y60" i="5"/>
  <c r="Z60" i="5" s="1"/>
  <c r="W390" i="7"/>
  <c r="W226" i="7"/>
  <c r="W571" i="7"/>
  <c r="R710" i="7"/>
  <c r="R709" i="7"/>
  <c r="U386" i="3"/>
  <c r="U385" i="3"/>
  <c r="P365" i="3"/>
  <c r="P364" i="3"/>
  <c r="S365" i="3"/>
  <c r="S364" i="3"/>
  <c r="P710" i="7"/>
  <c r="P709" i="7"/>
  <c r="R365" i="3"/>
  <c r="R364" i="3"/>
  <c r="S752" i="7"/>
  <c r="S751" i="7"/>
  <c r="S710" i="7"/>
  <c r="S709" i="7"/>
  <c r="S773" i="7"/>
  <c r="S772" i="7"/>
  <c r="S731" i="7"/>
  <c r="S730" i="7"/>
  <c r="U274" i="8"/>
  <c r="U280" i="8" s="1"/>
  <c r="X42" i="7"/>
  <c r="W696" i="7" s="1"/>
  <c r="U698" i="7"/>
  <c r="V353" i="3"/>
  <c r="U269" i="8"/>
  <c r="U761" i="7"/>
  <c r="Y61" i="5"/>
  <c r="X571" i="7" s="1"/>
  <c r="W391" i="7"/>
  <c r="W51" i="7"/>
  <c r="W68" i="7"/>
  <c r="X70" i="7"/>
  <c r="U699" i="7"/>
  <c r="U697" i="7"/>
  <c r="U719" i="7"/>
  <c r="U740" i="7"/>
  <c r="Y86" i="7"/>
  <c r="Y58" i="7"/>
  <c r="Y92" i="7"/>
  <c r="Y64" i="7"/>
  <c r="Y90" i="7"/>
  <c r="Y62" i="7"/>
  <c r="Y111" i="5"/>
  <c r="X65" i="7" s="1"/>
  <c r="W93" i="7"/>
  <c r="W276" i="7"/>
  <c r="W621" i="7"/>
  <c r="W441" i="7"/>
  <c r="Y112" i="5"/>
  <c r="X66" i="7" s="1"/>
  <c r="W94" i="7"/>
  <c r="Z113" i="5"/>
  <c r="X95" i="7"/>
  <c r="Y106" i="5"/>
  <c r="W88" i="7"/>
  <c r="X71" i="3"/>
  <c r="X61" i="3"/>
  <c r="V238" i="8" s="1"/>
  <c r="X70" i="3"/>
  <c r="V245" i="8" s="1"/>
  <c r="V355" i="3"/>
  <c r="W355" i="3"/>
  <c r="Z71" i="5"/>
  <c r="Y53" i="7" s="1"/>
  <c r="X581" i="7"/>
  <c r="X401" i="7"/>
  <c r="X236" i="7"/>
  <c r="X71" i="7"/>
  <c r="Y400" i="7"/>
  <c r="Y580" i="7"/>
  <c r="Y235" i="7"/>
  <c r="Y70" i="7"/>
  <c r="T361" i="3"/>
  <c r="Y106" i="2"/>
  <c r="Y60" i="3" s="1"/>
  <c r="W237" i="8" s="1"/>
  <c r="X68" i="3"/>
  <c r="Y69" i="5"/>
  <c r="W399" i="7"/>
  <c r="W234" i="7"/>
  <c r="V719" i="7" s="1"/>
  <c r="W579" i="7"/>
  <c r="W69" i="7"/>
  <c r="Y107" i="2"/>
  <c r="Y61" i="3" s="1"/>
  <c r="W238" i="8" s="1"/>
  <c r="X69" i="3"/>
  <c r="U358" i="3"/>
  <c r="Y398" i="7"/>
  <c r="Y233" i="7"/>
  <c r="Y578" i="7"/>
  <c r="U766" i="7"/>
  <c r="U765" i="7"/>
  <c r="V378" i="3"/>
  <c r="V382" i="3" s="1"/>
  <c r="U724" i="7"/>
  <c r="U745" i="7"/>
  <c r="Q365" i="3"/>
  <c r="C150" i="8"/>
  <c r="G149" i="8" s="1"/>
  <c r="C151" i="8"/>
  <c r="D93" i="8"/>
  <c r="U701" i="7"/>
  <c r="Q710" i="7"/>
  <c r="C157" i="8"/>
  <c r="C158" i="8"/>
  <c r="U723" i="7"/>
  <c r="U703" i="7"/>
  <c r="U702" i="7"/>
  <c r="U744" i="7"/>
  <c r="U356" i="3"/>
  <c r="U361" i="3" s="1"/>
  <c r="W112" i="7"/>
  <c r="W285" i="7"/>
  <c r="W630" i="7"/>
  <c r="W450" i="7"/>
  <c r="W278" i="7"/>
  <c r="T706" i="7"/>
  <c r="T769" i="7"/>
  <c r="T748" i="7"/>
  <c r="T727" i="7"/>
  <c r="X118" i="7"/>
  <c r="X119" i="7"/>
  <c r="X140" i="7"/>
  <c r="X141" i="7"/>
  <c r="X116" i="7"/>
  <c r="X117" i="7"/>
  <c r="X139" i="7"/>
  <c r="X114" i="7"/>
  <c r="X115" i="7"/>
  <c r="W443" i="7"/>
  <c r="W623" i="7"/>
  <c r="Y120" i="7"/>
  <c r="X112" i="3"/>
  <c r="X113" i="3"/>
  <c r="W442" i="7"/>
  <c r="W622" i="7"/>
  <c r="W277" i="7"/>
  <c r="W125" i="3"/>
  <c r="V359" i="3" s="1"/>
  <c r="W125" i="7"/>
  <c r="V704" i="7" s="1"/>
  <c r="Y113" i="3"/>
  <c r="X111" i="3"/>
  <c r="W121" i="3"/>
  <c r="W121" i="7"/>
  <c r="W122" i="7"/>
  <c r="W122" i="3"/>
  <c r="W108" i="7"/>
  <c r="Y102" i="7"/>
  <c r="Y434" i="7"/>
  <c r="X742" i="7" s="1"/>
  <c r="Y614" i="7"/>
  <c r="X763" i="7" s="1"/>
  <c r="Y269" i="7"/>
  <c r="X721" i="7" s="1"/>
  <c r="W616" i="7"/>
  <c r="W104" i="7"/>
  <c r="V700" i="7" s="1"/>
  <c r="Y103" i="7"/>
  <c r="X615" i="7"/>
  <c r="X435" i="7"/>
  <c r="X270" i="7"/>
  <c r="X105" i="7"/>
  <c r="X110" i="3"/>
  <c r="X105" i="3"/>
  <c r="X439" i="7"/>
  <c r="X274" i="7"/>
  <c r="X619" i="7"/>
  <c r="W138" i="7"/>
  <c r="X132" i="7"/>
  <c r="W137" i="7"/>
  <c r="W111" i="7"/>
  <c r="W113" i="7"/>
  <c r="X133" i="7"/>
  <c r="W136" i="7"/>
  <c r="W107" i="7"/>
  <c r="W109" i="7"/>
  <c r="W273" i="7"/>
  <c r="W618" i="7"/>
  <c r="W438" i="7"/>
  <c r="X113" i="7"/>
  <c r="W620" i="7"/>
  <c r="W440" i="7"/>
  <c r="W275" i="7"/>
  <c r="W110" i="7"/>
  <c r="X134" i="3"/>
  <c r="X109" i="3"/>
  <c r="X135" i="3"/>
  <c r="X108" i="3"/>
  <c r="W106" i="7"/>
  <c r="W436" i="7"/>
  <c r="W271" i="7"/>
  <c r="W134" i="7"/>
  <c r="W299" i="7"/>
  <c r="W464" i="7"/>
  <c r="W644" i="7"/>
  <c r="W135" i="7"/>
  <c r="X437" i="7"/>
  <c r="X617" i="7"/>
  <c r="W107" i="3"/>
  <c r="V357" i="3" s="1"/>
  <c r="X163" i="7"/>
  <c r="Y136" i="7"/>
  <c r="X131" i="7"/>
  <c r="X136" i="7"/>
  <c r="W158" i="7"/>
  <c r="W165" i="7"/>
  <c r="V705" i="7" s="1"/>
  <c r="X272" i="7"/>
  <c r="Y131" i="7"/>
  <c r="X147" i="7"/>
  <c r="X157" i="7"/>
  <c r="X164" i="7"/>
  <c r="W148" i="7"/>
  <c r="W645" i="7"/>
  <c r="W465" i="7"/>
  <c r="V738" i="7" s="1"/>
  <c r="W300" i="7"/>
  <c r="Y104" i="3"/>
  <c r="X271" i="3"/>
  <c r="X106" i="3"/>
  <c r="X272" i="3"/>
  <c r="W120" i="4"/>
  <c r="W117" i="4"/>
  <c r="W115" i="4"/>
  <c r="W113" i="4"/>
  <c r="X443" i="7" s="1"/>
  <c r="W112" i="4"/>
  <c r="W114" i="4"/>
  <c r="W116" i="4"/>
  <c r="V761" i="7" l="1"/>
  <c r="X60" i="7"/>
  <c r="X570" i="7"/>
  <c r="X390" i="7"/>
  <c r="X225" i="7"/>
  <c r="U365" i="3"/>
  <c r="U364" i="3"/>
  <c r="T731" i="7"/>
  <c r="T730" i="7"/>
  <c r="V386" i="3"/>
  <c r="V385" i="3"/>
  <c r="T365" i="3"/>
  <c r="T364" i="3"/>
  <c r="T752" i="7"/>
  <c r="T751" i="7"/>
  <c r="T710" i="7"/>
  <c r="T709" i="7"/>
  <c r="T773" i="7"/>
  <c r="T772" i="7"/>
  <c r="Y42" i="7"/>
  <c r="X696" i="7" s="1"/>
  <c r="Y390" i="7"/>
  <c r="Y225" i="7"/>
  <c r="Y570" i="7"/>
  <c r="D97" i="8"/>
  <c r="D95" i="8"/>
  <c r="X226" i="7"/>
  <c r="V740" i="7"/>
  <c r="X112" i="7"/>
  <c r="V698" i="7"/>
  <c r="X43" i="7"/>
  <c r="W697" i="7" s="1"/>
  <c r="Z61" i="5"/>
  <c r="X61" i="7"/>
  <c r="X391" i="7"/>
  <c r="X51" i="7"/>
  <c r="X68" i="7"/>
  <c r="V699" i="7"/>
  <c r="V701" i="7"/>
  <c r="V274" i="8"/>
  <c r="V280" i="8" s="1"/>
  <c r="Y95" i="7"/>
  <c r="Y67" i="7"/>
  <c r="Z112" i="5"/>
  <c r="Y112" i="7" s="1"/>
  <c r="X94" i="7"/>
  <c r="Z106" i="5"/>
  <c r="X88" i="7"/>
  <c r="Z111" i="5"/>
  <c r="Y65" i="7" s="1"/>
  <c r="X93" i="7"/>
  <c r="X441" i="7"/>
  <c r="X621" i="7"/>
  <c r="X276" i="7"/>
  <c r="V269" i="8"/>
  <c r="D150" i="8"/>
  <c r="D151" i="8"/>
  <c r="X355" i="3"/>
  <c r="Y68" i="3"/>
  <c r="Y70" i="3"/>
  <c r="W245" i="8" s="1"/>
  <c r="Y69" i="3"/>
  <c r="Y71" i="3"/>
  <c r="Y581" i="7"/>
  <c r="Y401" i="7"/>
  <c r="Y236" i="7"/>
  <c r="Y71" i="7"/>
  <c r="W353" i="3"/>
  <c r="Z69" i="5"/>
  <c r="X579" i="7"/>
  <c r="W761" i="7" s="1"/>
  <c r="X234" i="7"/>
  <c r="X399" i="7"/>
  <c r="X69" i="7"/>
  <c r="V358" i="3"/>
  <c r="V724" i="7"/>
  <c r="W378" i="3"/>
  <c r="W382" i="3" s="1"/>
  <c r="V702" i="7"/>
  <c r="V356" i="3"/>
  <c r="V744" i="7"/>
  <c r="V766" i="7"/>
  <c r="V765" i="7"/>
  <c r="V745" i="7"/>
  <c r="V703" i="7"/>
  <c r="V723" i="7"/>
  <c r="D159" i="8"/>
  <c r="D160" i="8"/>
  <c r="D157" i="8"/>
  <c r="D158" i="8"/>
  <c r="E107" i="8"/>
  <c r="E111" i="8" s="1"/>
  <c r="X630" i="7"/>
  <c r="X285" i="7"/>
  <c r="X450" i="7"/>
  <c r="U769" i="7"/>
  <c r="U727" i="7"/>
  <c r="U748" i="7"/>
  <c r="U706" i="7"/>
  <c r="Y141" i="7"/>
  <c r="Y142" i="7"/>
  <c r="Y118" i="7"/>
  <c r="Y119" i="7"/>
  <c r="Y139" i="7"/>
  <c r="Y140" i="7"/>
  <c r="Y116" i="7"/>
  <c r="Y117" i="7"/>
  <c r="Y114" i="7"/>
  <c r="Y115" i="7"/>
  <c r="X623" i="7"/>
  <c r="X278" i="7"/>
  <c r="X277" i="7"/>
  <c r="X622" i="7"/>
  <c r="X442" i="7"/>
  <c r="Y111" i="3"/>
  <c r="Y112" i="3"/>
  <c r="X125" i="3"/>
  <c r="W359" i="3" s="1"/>
  <c r="X125" i="7"/>
  <c r="W704" i="7" s="1"/>
  <c r="X121" i="3"/>
  <c r="X121" i="7"/>
  <c r="X122" i="3"/>
  <c r="X122" i="7"/>
  <c r="X108" i="7"/>
  <c r="X271" i="7"/>
  <c r="X104" i="7"/>
  <c r="W700" i="7" s="1"/>
  <c r="Y110" i="3"/>
  <c r="Y105" i="3"/>
  <c r="Y615" i="7"/>
  <c r="Y435" i="7"/>
  <c r="Y270" i="7"/>
  <c r="Y105" i="7"/>
  <c r="X137" i="7"/>
  <c r="Y274" i="7"/>
  <c r="Y439" i="7"/>
  <c r="Y619" i="7"/>
  <c r="X138" i="7"/>
  <c r="X299" i="7"/>
  <c r="X644" i="7"/>
  <c r="Y133" i="7"/>
  <c r="X134" i="7"/>
  <c r="X464" i="7"/>
  <c r="X107" i="7"/>
  <c r="Y110" i="7"/>
  <c r="X111" i="7"/>
  <c r="X109" i="7"/>
  <c r="X438" i="7"/>
  <c r="X273" i="7"/>
  <c r="X618" i="7"/>
  <c r="Y134" i="3"/>
  <c r="Y109" i="3"/>
  <c r="X620" i="7"/>
  <c r="X440" i="7"/>
  <c r="X275" i="7"/>
  <c r="X110" i="7"/>
  <c r="Y135" i="3"/>
  <c r="Y108" i="3"/>
  <c r="X436" i="7"/>
  <c r="X106" i="7"/>
  <c r="X616" i="7"/>
  <c r="X135" i="7"/>
  <c r="X107" i="3"/>
  <c r="W357" i="3" s="1"/>
  <c r="Y272" i="7"/>
  <c r="Y163" i="7"/>
  <c r="Y617" i="7"/>
  <c r="Y437" i="7"/>
  <c r="X158" i="7"/>
  <c r="X165" i="7"/>
  <c r="Y147" i="7"/>
  <c r="Y157" i="7"/>
  <c r="Y164" i="7"/>
  <c r="X148" i="7"/>
  <c r="X645" i="7"/>
  <c r="W759" i="7" s="1"/>
  <c r="X465" i="7"/>
  <c r="X300" i="7"/>
  <c r="Y272" i="3"/>
  <c r="Y271" i="3"/>
  <c r="X113" i="4"/>
  <c r="Y443" i="7" s="1"/>
  <c r="X120" i="4"/>
  <c r="X116" i="4"/>
  <c r="X114" i="4"/>
  <c r="X115" i="4"/>
  <c r="X112" i="4"/>
  <c r="X117" i="4"/>
  <c r="U710" i="7" l="1"/>
  <c r="U709" i="7"/>
  <c r="U752" i="7"/>
  <c r="U751" i="7"/>
  <c r="U731" i="7"/>
  <c r="U730" i="7"/>
  <c r="U773" i="7"/>
  <c r="U772" i="7"/>
  <c r="W386" i="3"/>
  <c r="W385" i="3"/>
  <c r="W719" i="7"/>
  <c r="X353" i="3"/>
  <c r="F99" i="8" s="1"/>
  <c r="W698" i="7"/>
  <c r="W740" i="7"/>
  <c r="Y43" i="7"/>
  <c r="X697" i="7" s="1"/>
  <c r="Y571" i="7"/>
  <c r="Y61" i="7"/>
  <c r="Y391" i="7"/>
  <c r="Y226" i="7"/>
  <c r="Y51" i="7"/>
  <c r="Y68" i="7"/>
  <c r="Y88" i="7"/>
  <c r="Y60" i="7"/>
  <c r="Y94" i="7"/>
  <c r="Y66" i="7"/>
  <c r="W705" i="7"/>
  <c r="W699" i="7"/>
  <c r="Y93" i="7"/>
  <c r="Y441" i="7"/>
  <c r="Y621" i="7"/>
  <c r="Y276" i="7"/>
  <c r="V361" i="3"/>
  <c r="W274" i="8"/>
  <c r="W280" i="8" s="1"/>
  <c r="W269" i="8"/>
  <c r="W358" i="3"/>
  <c r="Y234" i="7"/>
  <c r="Y399" i="7"/>
  <c r="Y579" i="7"/>
  <c r="Y69" i="7"/>
  <c r="X378" i="3"/>
  <c r="X382" i="3" s="1"/>
  <c r="W356" i="3"/>
  <c r="W744" i="7"/>
  <c r="W724" i="7"/>
  <c r="W701" i="7"/>
  <c r="W765" i="7"/>
  <c r="W745" i="7"/>
  <c r="W703" i="7"/>
  <c r="W723" i="7"/>
  <c r="W766" i="7"/>
  <c r="W702" i="7"/>
  <c r="H112" i="8"/>
  <c r="H106" i="8"/>
  <c r="Y450" i="7"/>
  <c r="Y630" i="7"/>
  <c r="Y285" i="7"/>
  <c r="V706" i="7"/>
  <c r="V727" i="7"/>
  <c r="V748" i="7"/>
  <c r="V769" i="7"/>
  <c r="Y623" i="7"/>
  <c r="Y278" i="7"/>
  <c r="Y622" i="7"/>
  <c r="Y442" i="7"/>
  <c r="Y277" i="7"/>
  <c r="Y125" i="3"/>
  <c r="X359" i="3" s="1"/>
  <c r="Y125" i="7"/>
  <c r="X704" i="7" s="1"/>
  <c r="Y121" i="3"/>
  <c r="Y121" i="7"/>
  <c r="Y122" i="3"/>
  <c r="Y122" i="7"/>
  <c r="Y108" i="7"/>
  <c r="Y134" i="7"/>
  <c r="Y132" i="7"/>
  <c r="Y616" i="7"/>
  <c r="Y104" i="7"/>
  <c r="X700" i="7" s="1"/>
  <c r="Y299" i="7"/>
  <c r="Y464" i="7"/>
  <c r="Y644" i="7"/>
  <c r="Y137" i="7"/>
  <c r="Y138" i="7"/>
  <c r="Y111" i="7"/>
  <c r="Y113" i="7"/>
  <c r="Y620" i="7"/>
  <c r="Y109" i="7"/>
  <c r="Y273" i="7"/>
  <c r="Y618" i="7"/>
  <c r="Y438" i="7"/>
  <c r="Y107" i="7"/>
  <c r="Y275" i="7"/>
  <c r="Y440" i="7"/>
  <c r="Y436" i="7"/>
  <c r="Y106" i="7"/>
  <c r="Y271" i="7"/>
  <c r="Y135" i="7"/>
  <c r="Y107" i="3"/>
  <c r="Y106" i="3"/>
  <c r="Y158" i="7"/>
  <c r="Y165" i="7"/>
  <c r="X705" i="7" s="1"/>
  <c r="Y148" i="7"/>
  <c r="Y300" i="7"/>
  <c r="Y645" i="7"/>
  <c r="Y465" i="7"/>
  <c r="F117" i="8" l="1"/>
  <c r="X761" i="7"/>
  <c r="V752" i="7"/>
  <c r="V751" i="7"/>
  <c r="V710" i="7"/>
  <c r="V709" i="7"/>
  <c r="X386" i="3"/>
  <c r="X385" i="3"/>
  <c r="V365" i="3"/>
  <c r="V364" i="3"/>
  <c r="V773" i="7"/>
  <c r="V772" i="7"/>
  <c r="V731" i="7"/>
  <c r="V730" i="7"/>
  <c r="X740" i="7"/>
  <c r="X719" i="7"/>
  <c r="X699" i="7"/>
  <c r="X698" i="7"/>
  <c r="X358" i="3"/>
  <c r="W361" i="3"/>
  <c r="X766" i="7"/>
  <c r="X701" i="7"/>
  <c r="X723" i="7"/>
  <c r="X357" i="3"/>
  <c r="X745" i="7"/>
  <c r="X356" i="3"/>
  <c r="X702" i="7"/>
  <c r="X744" i="7"/>
  <c r="X765" i="7"/>
  <c r="X703" i="7"/>
  <c r="X724" i="7"/>
  <c r="E153" i="8"/>
  <c r="E152" i="8"/>
  <c r="W748" i="7"/>
  <c r="W769" i="7"/>
  <c r="W706" i="7"/>
  <c r="W727" i="7"/>
  <c r="K213" i="8"/>
  <c r="K220" i="8" s="1"/>
  <c r="K209" i="8"/>
  <c r="W752" i="7" l="1"/>
  <c r="W751" i="7"/>
  <c r="W731" i="7"/>
  <c r="W730" i="7"/>
  <c r="W710" i="7"/>
  <c r="W709" i="7"/>
  <c r="W365" i="3"/>
  <c r="W364" i="3"/>
  <c r="W773" i="7"/>
  <c r="W772" i="7"/>
  <c r="X769" i="7"/>
  <c r="X361" i="3"/>
  <c r="X748" i="7"/>
  <c r="X706" i="7"/>
  <c r="X727" i="7"/>
  <c r="L209" i="8"/>
  <c r="L213" i="8"/>
  <c r="L220" i="8" s="1"/>
  <c r="X710" i="7" l="1"/>
  <c r="X709" i="7"/>
  <c r="X365" i="3"/>
  <c r="X364" i="3"/>
  <c r="X731" i="7"/>
  <c r="X730" i="7"/>
  <c r="X773" i="7"/>
  <c r="X772" i="7"/>
  <c r="X752" i="7"/>
  <c r="X751" i="7"/>
  <c r="E157" i="8"/>
  <c r="E158" i="8"/>
  <c r="E160" i="8"/>
  <c r="E159" i="8"/>
  <c r="E151" i="8"/>
  <c r="E150" i="8"/>
  <c r="M213" i="8"/>
  <c r="M220" i="8" s="1"/>
  <c r="M209" i="8"/>
  <c r="N213" i="8" l="1"/>
  <c r="N220" i="8" s="1"/>
  <c r="N209" i="8"/>
  <c r="O213" i="8" l="1"/>
  <c r="O220" i="8" s="1"/>
  <c r="O209" i="8"/>
  <c r="P213" i="8" l="1"/>
  <c r="P220" i="8" s="1"/>
  <c r="P209" i="8"/>
  <c r="Q213" i="8" l="1"/>
  <c r="Q220" i="8" s="1"/>
  <c r="Q209" i="8"/>
  <c r="R213" i="8" l="1"/>
  <c r="R220" i="8" s="1"/>
  <c r="R209" i="8"/>
  <c r="E94" i="8"/>
  <c r="E93" i="8"/>
  <c r="E95" i="8" s="1"/>
  <c r="E98" i="8" l="1"/>
  <c r="E96" i="8"/>
  <c r="H111" i="8"/>
  <c r="E97" i="8"/>
  <c r="E109" i="8"/>
  <c r="E115" i="8"/>
  <c r="E110" i="8"/>
  <c r="E116" i="8"/>
  <c r="E113" i="8"/>
  <c r="E108" i="8"/>
  <c r="E112" i="8" s="1"/>
  <c r="E114" i="8"/>
  <c r="S213" i="8"/>
  <c r="S220" i="8" s="1"/>
  <c r="S209" i="8"/>
  <c r="T213" i="8" l="1"/>
  <c r="T220" i="8" s="1"/>
  <c r="T209" i="8"/>
  <c r="U213" i="8" l="1"/>
  <c r="U220" i="8" s="1"/>
  <c r="U209" i="8"/>
  <c r="V213" i="8" l="1"/>
  <c r="V220" i="8" s="1"/>
  <c r="V209" i="8"/>
  <c r="F113" i="8"/>
  <c r="F94" i="8"/>
  <c r="F93" i="8"/>
  <c r="F95" i="8" s="1"/>
  <c r="F98" i="8" l="1"/>
  <c r="F96" i="8"/>
  <c r="H92" i="8"/>
  <c r="F97" i="8"/>
  <c r="F110" i="8"/>
  <c r="F116" i="8"/>
  <c r="F108" i="8"/>
  <c r="F114" i="8"/>
  <c r="F107" i="8"/>
  <c r="F111" i="8" s="1"/>
  <c r="F109" i="8"/>
  <c r="F112" i="8" s="1"/>
  <c r="F115" i="8"/>
  <c r="W213" i="8"/>
  <c r="W220" i="8" s="1"/>
  <c r="W209" i="8"/>
  <c r="D164" i="3" l="1"/>
  <c r="I41" i="13" l="1"/>
  <c r="C41" i="13"/>
  <c r="E41" i="13"/>
  <c r="F41" i="13"/>
  <c r="H41" i="13"/>
  <c r="J41" i="13"/>
  <c r="D41" i="13"/>
  <c r="G41" i="13"/>
  <c r="D103" i="8" s="1"/>
  <c r="K4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tc={C9520175-C01A-4E19-9EB2-C61410B7465B}</author>
  </authors>
  <commentList>
    <comment ref="E79" authorId="0" shapeId="0" xr:uid="{C9520175-C01A-4E19-9EB2-C61410B7465B}">
      <text>
        <r>
          <rPr>
            <sz val="11"/>
            <color theme="1"/>
            <rFont val="Calibri"/>
            <family val="2"/>
            <scheme val="minor"/>
          </rPr>
          <t>In diese Spalte können eigene Mobilitätssektoren eingetragen werden. Die Bezeichnungen werden in der Dateneingabe und -auswertung übernommen.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D20" authorId="0" shapeId="0" xr:uid="{6E0367DD-BE52-4F64-80F4-CB67900250EA}">
      <text>
        <r>
          <rPr>
            <sz val="9"/>
            <color indexed="81"/>
            <rFont val="Segoe UI"/>
            <family val="2"/>
          </rPr>
          <t>Weitere Eingaben sind im Tabellenblatt "Strommix &amp; BHKW" notwendig.</t>
        </r>
      </text>
    </comment>
    <comment ref="D21" authorId="0" shapeId="0" xr:uid="{DD071798-9F19-4324-8326-9D26C4E03F29}">
      <text>
        <r>
          <rPr>
            <sz val="9"/>
            <color indexed="81"/>
            <rFont val="Segoe UI"/>
            <family val="2"/>
          </rPr>
          <t>Weitere Eingaben sind im Tabellenblatt "Strommix &amp; BHKW" notwendig.</t>
        </r>
      </text>
    </comment>
    <comment ref="D22" authorId="0" shapeId="0" xr:uid="{AE444082-31B1-4F62-A189-82D0BA4EF25D}">
      <text>
        <r>
          <rPr>
            <sz val="9"/>
            <color indexed="81"/>
            <rFont val="Segoe UI"/>
            <family val="2"/>
          </rPr>
          <t>Weitere Eingaben sind im Tabellenblatt "Strommix &amp; BHKW" notwendig.</t>
        </r>
      </text>
    </comment>
    <comment ref="D23" authorId="0" shapeId="0" xr:uid="{A1A45490-FF72-47A2-AE21-9472B687877D}">
      <text>
        <r>
          <rPr>
            <sz val="9"/>
            <color indexed="81"/>
            <rFont val="Segoe UI"/>
            <family val="2"/>
          </rPr>
          <t>Weitere Eingaben sind im Tabellenblatt "Strommix &amp; BHKW" notwendig.</t>
        </r>
      </text>
    </comment>
    <comment ref="D24" authorId="0" shapeId="0" xr:uid="{E48FE8F7-744A-45D4-AFDF-F7534442EFF6}">
      <text>
        <r>
          <rPr>
            <sz val="9"/>
            <color indexed="81"/>
            <rFont val="Segoe UI"/>
            <family val="2"/>
          </rPr>
          <t>Weitere Eingaben sind im Tabellenblatt "Strommix &amp; BHKW" notwendig.</t>
        </r>
      </text>
    </comment>
    <comment ref="D25" authorId="0" shapeId="0" xr:uid="{13FDA7CC-55A3-45EB-80F2-6707C6C02D37}">
      <text>
        <r>
          <rPr>
            <sz val="9"/>
            <color indexed="81"/>
            <rFont val="Segoe UI"/>
            <family val="2"/>
          </rPr>
          <t>Weitere Eingaben sind im Tabellenblatt "Strommix &amp; BHKW" notwendig.</t>
        </r>
      </text>
    </comment>
    <comment ref="D32" authorId="0" shapeId="0" xr:uid="{DEF1AEDE-7B2C-443D-9E8B-325C9DE4E10A}">
      <text>
        <r>
          <rPr>
            <sz val="9"/>
            <color indexed="81"/>
            <rFont val="Segoe UI"/>
            <family val="2"/>
          </rPr>
          <t>Weitere Eingaben sind im Tabellenblatt "Emissionsfaktoren" notwendig.</t>
        </r>
      </text>
    </comment>
    <comment ref="D42" authorId="0" shapeId="0" xr:uid="{7436B61F-CC86-44C4-BCB7-BBEEC321716D}">
      <text>
        <r>
          <rPr>
            <sz val="9"/>
            <color indexed="81"/>
            <rFont val="Segoe UI"/>
            <family val="2"/>
          </rPr>
          <t>Weitere Eingaben sind im Tabellenblatt "Emissionsfaktoren" notwendig.</t>
        </r>
      </text>
    </comment>
    <comment ref="D48" authorId="0" shapeId="0" xr:uid="{145A3EFC-C235-4BCB-91C3-550B78958994}">
      <text>
        <r>
          <rPr>
            <sz val="9"/>
            <color indexed="81"/>
            <rFont val="Segoe UI"/>
            <family val="2"/>
          </rPr>
          <t>Werte in Liter können auch im Tabellenblatt "Umrechnen" eingetragen werden.</t>
        </r>
      </text>
    </comment>
    <comment ref="D49" authorId="0" shapeId="0" xr:uid="{9287D8ED-D1CD-4573-BF2D-4C2C0D09B613}">
      <text>
        <r>
          <rPr>
            <sz val="9"/>
            <color indexed="81"/>
            <rFont val="Segoe UI"/>
            <family val="2"/>
          </rPr>
          <t>Werte in Liter können auch im Tabellenblatt "Umrechnen" eingetragen werden.</t>
        </r>
      </text>
    </comment>
    <comment ref="D61" authorId="0" shapeId="0" xr:uid="{E7F20228-58CD-4378-AB43-E261025D0DF2}">
      <text>
        <r>
          <rPr>
            <sz val="9"/>
            <color indexed="81"/>
            <rFont val="Segoe UI"/>
            <family val="2"/>
          </rPr>
          <t>Werte in Liter können auch im Tabellenblatt "Umrechnen" eingetragen werden.</t>
        </r>
      </text>
    </comment>
    <comment ref="D62" authorId="0" shapeId="0" xr:uid="{3605DBA3-0B67-421F-A126-4C144083A8F7}">
      <text>
        <r>
          <rPr>
            <sz val="9"/>
            <color indexed="81"/>
            <rFont val="Segoe UI"/>
            <family val="2"/>
          </rPr>
          <t>Werte in Liter können auch im Tabellenblatt "Umrechnen" eingetragen werden.</t>
        </r>
      </text>
    </comment>
    <comment ref="D63" authorId="0" shapeId="0" xr:uid="{4883F613-D0F0-40CF-8D2D-FAE5D798DDC2}">
      <text>
        <r>
          <rPr>
            <sz val="9"/>
            <color indexed="81"/>
            <rFont val="Segoe UI"/>
            <family val="2"/>
          </rPr>
          <t>Werte in Liter können auch im Tabellenblatt "Umrechnen" eingetragen werden.</t>
        </r>
      </text>
    </comment>
    <comment ref="D64" authorId="0" shapeId="0" xr:uid="{07B24AB0-A6C4-4D81-8DB0-2BF0A6793C5C}">
      <text>
        <r>
          <rPr>
            <sz val="9"/>
            <color indexed="81"/>
            <rFont val="Segoe UI"/>
            <family val="2"/>
          </rPr>
          <t>Werte in Liter können auch im Tabellenblatt "Umrechnen" eingetragen werden.</t>
        </r>
      </text>
    </comment>
    <comment ref="D84" authorId="0" shapeId="0" xr:uid="{AF12FCAB-4A0B-46D2-A5F8-C655FFA8C085}">
      <text>
        <r>
          <rPr>
            <sz val="9"/>
            <color indexed="81"/>
            <rFont val="Segoe UI"/>
            <family val="2"/>
          </rPr>
          <t>Werte in Liter können auch im Tabellenblatt "Umrechnen" eingetragen werden.</t>
        </r>
      </text>
    </comment>
    <comment ref="D85" authorId="0" shapeId="0" xr:uid="{5B303908-9B76-4A40-8096-9697167D1B1D}">
      <text>
        <r>
          <rPr>
            <sz val="9"/>
            <color indexed="81"/>
            <rFont val="Segoe UI"/>
            <family val="2"/>
          </rPr>
          <t>Werte in Liter können auch im Tabellenblatt "Umrechnen" eingetragen werden.</t>
        </r>
      </text>
    </comment>
    <comment ref="D106" authorId="0" shapeId="0" xr:uid="{6B093FB1-8CB7-4E0D-8A95-5618766CA4A5}">
      <text>
        <r>
          <rPr>
            <sz val="9"/>
            <color indexed="81"/>
            <rFont val="Segoe UI"/>
            <family val="2"/>
          </rPr>
          <t>Werte in Blatt Papier können auch im Tabellenblatt "Umrechnen" eingetragen werden.</t>
        </r>
      </text>
    </comment>
    <comment ref="D107" authorId="0" shapeId="0" xr:uid="{1E9790DA-E1E7-4C79-A592-77E01331631E}">
      <text>
        <r>
          <rPr>
            <sz val="9"/>
            <color indexed="81"/>
            <rFont val="Segoe UI"/>
            <family val="2"/>
          </rPr>
          <t>Werte in Blatt Papier können auch im Tabellenblatt "Umrechnen" eingetragen werden.</t>
        </r>
      </text>
    </comment>
    <comment ref="D165" authorId="0" shapeId="0" xr:uid="{D6458ACD-E8DE-4CA2-9C3D-FA5840676785}">
      <text>
        <r>
          <rPr>
            <sz val="9"/>
            <color indexed="81"/>
            <rFont val="Segoe UI"/>
            <family val="2"/>
          </rPr>
          <t>Kompensation &gt;0 (bspw. -100); sollten Kriterien von Standards einhalten (bspw. Zusätzlichkeit, Permanenz, keine Doppelzählungen, Berechnung, Monitoring und Verifizierung inkl. Referenzszenario).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D47" authorId="0" shapeId="0" xr:uid="{92E660B2-AB3F-4762-A955-F796D7D0131E}">
      <text>
        <r>
          <rPr>
            <sz val="9"/>
            <color indexed="81"/>
            <rFont val="Segoe UI"/>
            <family val="2"/>
          </rPr>
          <t xml:space="preserve">Einstellung des Diagramms 
1. Rechtsklick auf das Diagramm   
2. "Daten auswählen"    
3. Jahr und Kategorien auswählen   
4. "OK"    
5. Diagrammtitel anpassen   
6. Ggf. Achsen und Legende skalieren </t>
        </r>
      </text>
    </comment>
    <comment ref="B72" authorId="0" shapeId="0" xr:uid="{9D77B9A5-198D-46D1-BCFE-1A2FC2725F8F}">
      <text>
        <r>
          <rPr>
            <sz val="9"/>
            <color indexed="81"/>
            <rFont val="Segoe UI"/>
            <family val="2"/>
          </rPr>
          <t>Die in die Scopes eingeteiliten Emissionsfaktoren beziehen sich ausschließlich auf das Jahr 2021.</t>
        </r>
      </text>
    </comment>
    <comment ref="H86" authorId="0" shapeId="0" xr:uid="{D5DE3409-0E96-4CBF-B5EA-589118640B47}">
      <text>
        <r>
          <rPr>
            <b/>
            <sz val="9"/>
            <color indexed="81"/>
            <rFont val="Segoe UI"/>
            <family val="2"/>
          </rPr>
          <t>Einstellung des Diagramms</t>
        </r>
        <r>
          <rPr>
            <sz val="9"/>
            <color indexed="81"/>
            <rFont val="Segoe UI"/>
            <family val="2"/>
          </rPr>
          <t xml:space="preserve">
1. Rechtsklick auf das Diagramm  
2. "Daten auswählen"   
3. Häkchen setzen (Jahr und Handlungsfelder) 
4. "OK"   
5. Ggf. Achsen und Legende skalieren</t>
        </r>
      </text>
    </comment>
    <comment ref="E92" authorId="0" shapeId="0" xr:uid="{99D6BC0D-A4CF-4C69-823E-0C53BFF661EB}">
      <text>
        <r>
          <rPr>
            <sz val="9"/>
            <color indexed="81"/>
            <rFont val="Segoe UI"/>
            <family val="2"/>
          </rPr>
          <t>Wählen Sie hier das Jahr aus, mit dem Sie das Referenzjahr vergleichen wollen.</t>
        </r>
      </text>
    </comment>
    <comment ref="F92" authorId="0" shapeId="0" xr:uid="{9F5FE704-F2C4-4374-A45A-537A7BFE4AB3}">
      <text>
        <r>
          <rPr>
            <sz val="9"/>
            <color indexed="81"/>
            <rFont val="Segoe UI"/>
            <family val="2"/>
          </rPr>
          <t xml:space="preserve">Wählen Sie hier das Jahr aus, mit dem Sie das Referenzjahr vergleichen wollen.
</t>
        </r>
      </text>
    </comment>
    <comment ref="E106" authorId="0" shapeId="0" xr:uid="{C91FF507-D302-435E-AE5B-C738E9818A91}">
      <text>
        <r>
          <rPr>
            <sz val="9"/>
            <color indexed="81"/>
            <rFont val="Segoe UI"/>
            <family val="2"/>
          </rPr>
          <t>Wählen Sie hier das Jahr aus, mit dem Sie das Referenzjahr vergleichen wollen.</t>
        </r>
      </text>
    </comment>
    <comment ref="F106" authorId="0" shapeId="0" xr:uid="{15E37658-CEDE-4443-A507-939F6F1826F3}">
      <text>
        <r>
          <rPr>
            <sz val="9"/>
            <color indexed="81"/>
            <rFont val="Segoe UI"/>
            <family val="2"/>
          </rPr>
          <t>Wählen Sie hier das Jahr aus, mit dem Sie das Referenzjahr vergleichen wollen.</t>
        </r>
      </text>
    </comment>
    <comment ref="B142" authorId="0" shapeId="0" xr:uid="{51C4B47A-8AB3-45C2-A8E4-F2266442D3C4}">
      <text>
        <r>
          <rPr>
            <b/>
            <sz val="9"/>
            <color indexed="81"/>
            <rFont val="Segoe UI"/>
            <family val="2"/>
          </rPr>
          <t>Einstellung des Diagramms</t>
        </r>
        <r>
          <rPr>
            <sz val="9"/>
            <color indexed="81"/>
            <rFont val="Segoe UI"/>
            <family val="2"/>
          </rPr>
          <t xml:space="preserve">
1. Rechtsklick auf das Diagramm  
2. "Daten auswählen"   
3. Häkchen setzen (Jahre und Szenarien) 
4. "OK"   
5. Ggf. Achsen und Legende skalieren</t>
        </r>
      </text>
    </comment>
    <comment ref="D149" authorId="0" shapeId="0" xr:uid="{BEBBEDF2-DBE5-4221-8276-B96587FF07CB}">
      <text>
        <r>
          <rPr>
            <sz val="9"/>
            <color indexed="81"/>
            <rFont val="Segoe UI"/>
            <family val="2"/>
          </rPr>
          <t>Wählen Sie hier das Jahr aus, mit dem Sie das Referenzjahr vergleichen wollen.</t>
        </r>
      </text>
    </comment>
    <comment ref="E149" authorId="0" shapeId="0" xr:uid="{0D398613-DF33-4153-BEEF-0E8A37326D71}">
      <text>
        <r>
          <rPr>
            <sz val="9"/>
            <color indexed="81"/>
            <rFont val="Segoe UI"/>
            <family val="2"/>
          </rPr>
          <t>Wählen Sie hier das Jahr aus, mit dem Sie das Referenzjahr vergleichen wollen.</t>
        </r>
      </text>
    </comment>
    <comment ref="D156" authorId="0" shapeId="0" xr:uid="{0E8089F3-3AE0-4C08-9515-B178DB014EA6}">
      <text>
        <r>
          <rPr>
            <sz val="9"/>
            <color indexed="81"/>
            <rFont val="Segoe UI"/>
            <family val="2"/>
          </rPr>
          <t>Wählen Sie hier das Jahr aus, mit dem Sie das Referenzjahr vergleichen wollen.</t>
        </r>
      </text>
    </comment>
    <comment ref="E156" authorId="0" shapeId="0" xr:uid="{8CC62793-E743-4515-989F-A11ED9EAC19C}">
      <text>
        <r>
          <rPr>
            <sz val="9"/>
            <color indexed="81"/>
            <rFont val="Segoe UI"/>
            <family val="2"/>
          </rPr>
          <t>Wählen Sie hier das Jahr aus, mit dem Sie das Referenzjahr vergleichen wollen.</t>
        </r>
      </text>
    </comment>
    <comment ref="B299" authorId="0" shapeId="0" xr:uid="{57A663AB-00E4-48B5-9910-CC7D22FA6473}">
      <text>
        <r>
          <rPr>
            <b/>
            <sz val="9"/>
            <color indexed="81"/>
            <rFont val="Segoe UI"/>
            <family val="2"/>
          </rPr>
          <t xml:space="preserve">Einstellung des Diagramms </t>
        </r>
        <r>
          <rPr>
            <sz val="9"/>
            <color indexed="81"/>
            <rFont val="Segoe UI"/>
            <family val="2"/>
          </rPr>
          <t xml:space="preserve">
1. Zeilen 200 bis 2044 einblenden 
2. Rechtsklick auf das Diagramm   
3. "Daten auswählen"    
4. Jahr und Kategorien auswählen   
5. "OK"    
6. Diagrammtitel anpassen   
7. Ggf. Achsen und Legende skalieren 
</t>
        </r>
      </text>
    </comment>
    <comment ref="D315" authorId="0" shapeId="0" xr:uid="{384AC632-2109-450E-BBCE-7446FDD7DC99}">
      <text>
        <r>
          <rPr>
            <b/>
            <sz val="9"/>
            <color indexed="81"/>
            <rFont val="Segoe UI"/>
            <family val="2"/>
          </rPr>
          <t xml:space="preserve">Einstellung des Diagramms </t>
        </r>
        <r>
          <rPr>
            <sz val="9"/>
            <color indexed="81"/>
            <rFont val="Segoe UI"/>
            <family val="2"/>
          </rPr>
          <t xml:space="preserve">
1. Zeilen 200 bis 2044 einblenden 
2. Rechtsklick auf das Diagramm   
3. "Daten auswählen"    
4. Jahr und Kategorien auswählen   
5. "OK"    
6. Diagrammtitel anpassen   
7. Ggf. Achsen und Legende skalieren 
</t>
        </r>
      </text>
    </comment>
    <comment ref="K315" authorId="0" shapeId="0" xr:uid="{7FDAE6CD-9C67-426B-AE02-CDA1FE67632B}">
      <text>
        <r>
          <rPr>
            <b/>
            <sz val="9"/>
            <color indexed="81"/>
            <rFont val="Segoe UI"/>
            <family val="2"/>
          </rPr>
          <t xml:space="preserve">Einstellung des Diagramms </t>
        </r>
        <r>
          <rPr>
            <sz val="9"/>
            <color indexed="81"/>
            <rFont val="Segoe UI"/>
            <family val="2"/>
          </rPr>
          <t xml:space="preserve">
1. Zeilen 200 bis 2044 einblenden 
2. Rechtsklick auf das Diagramm   
3. "Daten auswählen"    
4. Jahr und Kategorien auswählen   
5. "OK"    
6. Diagrammtitel anpassen   
7. Ggf. Achsen und Legende skalieren </t>
        </r>
      </text>
    </comment>
    <comment ref="R315" authorId="0" shapeId="0" xr:uid="{425103F8-A6E7-4319-A250-AD76A4632B84}">
      <text>
        <r>
          <rPr>
            <b/>
            <sz val="9"/>
            <color indexed="81"/>
            <rFont val="Segoe UI"/>
            <family val="2"/>
          </rPr>
          <t>Julia Zigann:</t>
        </r>
        <r>
          <rPr>
            <sz val="9"/>
            <color indexed="81"/>
            <rFont val="Segoe UI"/>
            <family val="2"/>
          </rPr>
          <t xml:space="preserve">
</t>
        </r>
        <r>
          <rPr>
            <b/>
            <sz val="9"/>
            <color indexed="81"/>
            <rFont val="Segoe UI"/>
            <family val="2"/>
          </rPr>
          <t xml:space="preserve">Einstellung des Diagramms </t>
        </r>
        <r>
          <rPr>
            <sz val="9"/>
            <color indexed="81"/>
            <rFont val="Segoe UI"/>
            <family val="2"/>
          </rPr>
          <t xml:space="preserve">
1. Zeilen 200 bis 2044 einblenden 
2. Rechtsklick auf das Diagramm   
3. "Daten auswählen"    
4. Jahr und Kategorien auswählen   
5. "OK"    
6. Diagrammtitel anpassen   
7. Ggf. Achsen und Legende skalieren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Julia Zigann</author>
    <author>Benjamin Gugel</author>
    <author>Hans Hertle</author>
  </authors>
  <commentList>
    <comment ref="B146" authorId="0" shapeId="0" xr:uid="{2C07116D-2C37-4F7B-A048-E3AB702BF738}">
      <text>
        <r>
          <rPr>
            <sz val="9"/>
            <color indexed="81"/>
            <rFont val="Segoe UI"/>
            <family val="2"/>
          </rPr>
          <t>Gesamter Brennstoffinput (Erdgas unterer Heizwert!)</t>
        </r>
      </text>
    </comment>
    <comment ref="B147" authorId="0" shapeId="0" xr:uid="{DE1F354D-E050-4810-969A-E2ACD6B74223}">
      <text>
        <r>
          <rPr>
            <sz val="9"/>
            <color indexed="81"/>
            <rFont val="Segoe UI"/>
            <family val="2"/>
          </rPr>
          <t>Gesamter Brennstoffinput (Erdgas unterer Heizwert!)</t>
        </r>
      </text>
    </comment>
    <comment ref="B148" authorId="0" shapeId="0" xr:uid="{38B599CD-06F5-4C01-8663-1629FD3F5C3C}">
      <text>
        <r>
          <rPr>
            <sz val="9"/>
            <color indexed="81"/>
            <rFont val="Segoe UI"/>
            <family val="2"/>
          </rPr>
          <t>Gesamter Brennstoffinput (Erdgas unterer Heizwert!)</t>
        </r>
      </text>
    </comment>
    <comment ref="B150" authorId="0" shapeId="0" xr:uid="{2007EB1A-9653-4A43-BE0A-3A17B65756E0}">
      <text>
        <r>
          <rPr>
            <sz val="9"/>
            <color indexed="81"/>
            <rFont val="Segoe UI"/>
            <family val="2"/>
          </rPr>
          <t>Gesamter nutzbarer (= verkaufter) Wärmeoutput</t>
        </r>
      </text>
    </comment>
    <comment ref="B151" authorId="0" shapeId="0" xr:uid="{749E5C32-538E-412A-AFB7-19AB2FCD366E}">
      <text>
        <r>
          <rPr>
            <sz val="9"/>
            <color indexed="81"/>
            <rFont val="Segoe UI"/>
            <family val="2"/>
          </rPr>
          <t xml:space="preserve">Gesamte nutzbare Stromerzeugung (Eigenstrom bereits abgezogen) </t>
        </r>
      </text>
    </comment>
    <comment ref="B152" authorId="0" shapeId="0" xr:uid="{1B026AAE-18F0-4E7A-A128-8643BD90AB02}">
      <text>
        <r>
          <rPr>
            <sz val="9"/>
            <color indexed="81"/>
            <rFont val="Segoe UI"/>
            <family val="2"/>
          </rPr>
          <t>Resultierende Wärmeverluste des (B)HKWs</t>
        </r>
      </text>
    </comment>
    <comment ref="B153" authorId="0" shapeId="0" xr:uid="{4573474F-16ED-4A0F-B455-4C8D6E01C9AB}">
      <text>
        <r>
          <rPr>
            <sz val="9"/>
            <color indexed="81"/>
            <rFont val="Segoe UI"/>
            <family val="2"/>
          </rPr>
          <t>Gesamter nutzbarer (= verkaufter) Wärmeoutput</t>
        </r>
      </text>
    </comment>
    <comment ref="B154" authorId="0" shapeId="0" xr:uid="{A9B2E978-D1DC-4803-850C-458B887CBF95}">
      <text>
        <r>
          <rPr>
            <sz val="9"/>
            <color indexed="81"/>
            <rFont val="Segoe UI"/>
            <family val="2"/>
          </rPr>
          <t xml:space="preserve">Gesamte nutzbare Stromerzeugung (Eigenstrom bereits abgezogen) </t>
        </r>
      </text>
    </comment>
    <comment ref="D173" authorId="1" shapeId="0" xr:uid="{9DB35AAD-5338-4052-9233-5B34D926BD7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E173" authorId="1" shapeId="0" xr:uid="{E91CC509-5511-4BA1-AA47-6C2E2D13D0B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F173" authorId="1" shapeId="0" xr:uid="{B1519005-3422-435B-B884-5D94768B2849}">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G173" authorId="1" shapeId="0" xr:uid="{E2E59633-398F-469E-850D-6644BA82CA4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H173" authorId="1" shapeId="0" xr:uid="{6A02BC40-5D26-4888-85C6-51A4928C6DD4}">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I173" authorId="1" shapeId="0" xr:uid="{3804EABD-CF67-4839-BB3F-EAD5C471B21E}">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J173" authorId="1" shapeId="0" xr:uid="{48764FC3-1AD1-49A9-BD9B-B463DEFB7C4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K173" authorId="1" shapeId="0" xr:uid="{81ECAD51-4477-4C86-9CC1-316F525D8C90}">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L173" authorId="1" shapeId="0" xr:uid="{2C221AA9-9752-42AB-B699-4F25D71C116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M173" authorId="1" shapeId="0" xr:uid="{970521BE-AD4A-4ECA-9802-D8844D7ED98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N173" authorId="1" shapeId="0" xr:uid="{663CF0C3-D289-4064-B09E-953AFC841AFC}">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O173" authorId="1" shapeId="0" xr:uid="{31384FBD-EF5B-4471-A470-2E7BE085EF75}">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P173" authorId="1" shapeId="0" xr:uid="{9127C464-B7C5-4C90-B1C7-47C488E14ACF}">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Q173" authorId="1" shapeId="0" xr:uid="{54A1434C-9543-4ACE-8B1B-7CFA838E8E1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R173" authorId="1" shapeId="0" xr:uid="{F843FA3F-D406-4EB5-8078-9A83E9E74023}">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S173" authorId="1" shapeId="0" xr:uid="{3F7330CF-5B18-4EDE-A61A-41AA26FC9BF7}">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T173" authorId="1" shapeId="0" xr:uid="{FF665A40-C023-406D-BC6D-1A0DBC5ADB9A}">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U173" authorId="1" shapeId="0" xr:uid="{60621122-FB5E-48BD-8B43-730C94D08272}">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V173" authorId="1" shapeId="0" xr:uid="{ACE7B08C-3A0F-424F-BA13-D912C52D4D9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W173" authorId="1" shapeId="0" xr:uid="{2AAA1307-5FBC-465A-9453-D11D16CA4308}">
      <text>
        <r>
          <rPr>
            <b/>
            <sz val="9"/>
            <color indexed="81"/>
            <rFont val="Tahoma"/>
            <family val="2"/>
          </rPr>
          <t xml:space="preserve">ifeu: </t>
        </r>
        <r>
          <rPr>
            <sz val="9"/>
            <color indexed="81"/>
            <rFont val="Tahoma"/>
            <family val="2"/>
          </rPr>
          <t xml:space="preserve">Wählbar nach mittlerem Temperaturniveau nach Carnot
0,21 entsprechend Hertle, 2016, Emissionsfaktor Fernwärme der SWH in Heidelberg
</t>
        </r>
      </text>
    </comment>
    <comment ref="D175" authorId="2" shapeId="0" xr:uid="{09618528-236D-48FB-89F3-4A84B010B0E7}">
      <text>
        <r>
          <rPr>
            <b/>
            <sz val="8"/>
            <color indexed="81"/>
            <rFont val="Tahoma"/>
            <family val="2"/>
          </rPr>
          <t>ifeu:</t>
        </r>
        <r>
          <rPr>
            <sz val="8"/>
            <color indexed="81"/>
            <rFont val="Tahoma"/>
            <family val="2"/>
          </rPr>
          <t xml:space="preserve">
Exergieanteil Strom bezogen auf gesamten Exergiegehalt </t>
        </r>
      </text>
    </comment>
    <comment ref="E175" authorId="2" shapeId="0" xr:uid="{E919F757-C92A-487E-9DAB-F449537E5FEC}">
      <text>
        <r>
          <rPr>
            <b/>
            <sz val="8"/>
            <color indexed="81"/>
            <rFont val="Tahoma"/>
            <family val="2"/>
          </rPr>
          <t>ifeu:</t>
        </r>
        <r>
          <rPr>
            <sz val="8"/>
            <color indexed="81"/>
            <rFont val="Tahoma"/>
            <family val="2"/>
          </rPr>
          <t xml:space="preserve">
Exergieanteil Strom bezogen auf gesamten Exergiegehalt </t>
        </r>
      </text>
    </comment>
    <comment ref="F175" authorId="2" shapeId="0" xr:uid="{185F2A9A-B342-40BE-BB67-5139339848CD}">
      <text>
        <r>
          <rPr>
            <b/>
            <sz val="8"/>
            <color indexed="81"/>
            <rFont val="Tahoma"/>
            <family val="2"/>
          </rPr>
          <t>ifeu:</t>
        </r>
        <r>
          <rPr>
            <sz val="8"/>
            <color indexed="81"/>
            <rFont val="Tahoma"/>
            <family val="2"/>
          </rPr>
          <t xml:space="preserve">
Exergieanteil Strom bezogen auf gesamten Exergiegehalt </t>
        </r>
      </text>
    </comment>
    <comment ref="G175" authorId="2" shapeId="0" xr:uid="{FE358305-0832-4F76-9246-5D75E8B48B0B}">
      <text>
        <r>
          <rPr>
            <b/>
            <sz val="8"/>
            <color indexed="81"/>
            <rFont val="Tahoma"/>
            <family val="2"/>
          </rPr>
          <t>ifeu:</t>
        </r>
        <r>
          <rPr>
            <sz val="8"/>
            <color indexed="81"/>
            <rFont val="Tahoma"/>
            <family val="2"/>
          </rPr>
          <t xml:space="preserve">
Exergieanteil Strom bezogen auf gesamten Exergiegehalt </t>
        </r>
      </text>
    </comment>
    <comment ref="H175" authorId="2" shapeId="0" xr:uid="{EC64B172-4026-494B-9DD6-41909A8AC89A}">
      <text>
        <r>
          <rPr>
            <b/>
            <sz val="8"/>
            <color indexed="81"/>
            <rFont val="Tahoma"/>
            <family val="2"/>
          </rPr>
          <t>ifeu:</t>
        </r>
        <r>
          <rPr>
            <sz val="8"/>
            <color indexed="81"/>
            <rFont val="Tahoma"/>
            <family val="2"/>
          </rPr>
          <t xml:space="preserve">
Exergieanteil Strom bezogen auf gesamten Exergiegehalt </t>
        </r>
      </text>
    </comment>
    <comment ref="I175" authorId="2" shapeId="0" xr:uid="{B959ACAE-CA48-4836-8991-FA0F22D8D728}">
      <text>
        <r>
          <rPr>
            <b/>
            <sz val="8"/>
            <color indexed="81"/>
            <rFont val="Tahoma"/>
            <family val="2"/>
          </rPr>
          <t>ifeu:</t>
        </r>
        <r>
          <rPr>
            <sz val="8"/>
            <color indexed="81"/>
            <rFont val="Tahoma"/>
            <family val="2"/>
          </rPr>
          <t xml:space="preserve">
Exergieanteil Strom bezogen auf gesamten Exergiegehalt </t>
        </r>
      </text>
    </comment>
    <comment ref="J175" authorId="2" shapeId="0" xr:uid="{5D734D66-68A5-4485-945C-2A78C770BBB8}">
      <text>
        <r>
          <rPr>
            <b/>
            <sz val="8"/>
            <color indexed="81"/>
            <rFont val="Tahoma"/>
            <family val="2"/>
          </rPr>
          <t>ifeu:</t>
        </r>
        <r>
          <rPr>
            <sz val="8"/>
            <color indexed="81"/>
            <rFont val="Tahoma"/>
            <family val="2"/>
          </rPr>
          <t xml:space="preserve">
Exergieanteil Strom bezogen auf gesamten Exergiegehalt </t>
        </r>
      </text>
    </comment>
    <comment ref="K175" authorId="2" shapeId="0" xr:uid="{23EDBC73-E0F2-48C7-A68D-6144239061B0}">
      <text>
        <r>
          <rPr>
            <b/>
            <sz val="8"/>
            <color indexed="81"/>
            <rFont val="Tahoma"/>
            <family val="2"/>
          </rPr>
          <t>ifeu:</t>
        </r>
        <r>
          <rPr>
            <sz val="8"/>
            <color indexed="81"/>
            <rFont val="Tahoma"/>
            <family val="2"/>
          </rPr>
          <t xml:space="preserve">
Exergieanteil Strom bezogen auf gesamten Exergiegehalt </t>
        </r>
      </text>
    </comment>
    <comment ref="L175" authorId="2" shapeId="0" xr:uid="{5E1612D6-74FE-49FF-8D6A-B2CC7B1A99C1}">
      <text>
        <r>
          <rPr>
            <b/>
            <sz val="8"/>
            <color indexed="81"/>
            <rFont val="Tahoma"/>
            <family val="2"/>
          </rPr>
          <t>ifeu:</t>
        </r>
        <r>
          <rPr>
            <sz val="8"/>
            <color indexed="81"/>
            <rFont val="Tahoma"/>
            <family val="2"/>
          </rPr>
          <t xml:space="preserve">
Exergieanteil Strom bezogen auf gesamten Exergiegehalt </t>
        </r>
      </text>
    </comment>
    <comment ref="M175" authorId="2" shapeId="0" xr:uid="{D69F8497-B60F-4A22-A0FC-357B30F15085}">
      <text>
        <r>
          <rPr>
            <b/>
            <sz val="8"/>
            <color indexed="81"/>
            <rFont val="Tahoma"/>
            <family val="2"/>
          </rPr>
          <t>ifeu:</t>
        </r>
        <r>
          <rPr>
            <sz val="8"/>
            <color indexed="81"/>
            <rFont val="Tahoma"/>
            <family val="2"/>
          </rPr>
          <t xml:space="preserve">
Exergieanteil Strom bezogen auf gesamten Exergiegehalt </t>
        </r>
      </text>
    </comment>
    <comment ref="N175" authorId="2" shapeId="0" xr:uid="{927BBFC8-F13B-4A72-A828-E1524351212E}">
      <text>
        <r>
          <rPr>
            <b/>
            <sz val="8"/>
            <color indexed="81"/>
            <rFont val="Tahoma"/>
            <family val="2"/>
          </rPr>
          <t>ifeu:</t>
        </r>
        <r>
          <rPr>
            <sz val="8"/>
            <color indexed="81"/>
            <rFont val="Tahoma"/>
            <family val="2"/>
          </rPr>
          <t xml:space="preserve">
Exergieanteil Strom bezogen auf gesamten Exergiegehalt </t>
        </r>
      </text>
    </comment>
    <comment ref="O175" authorId="2" shapeId="0" xr:uid="{10E9BD44-D902-4C60-8B9C-F6EEBBC1AF96}">
      <text>
        <r>
          <rPr>
            <b/>
            <sz val="8"/>
            <color indexed="81"/>
            <rFont val="Tahoma"/>
            <family val="2"/>
          </rPr>
          <t>ifeu:</t>
        </r>
        <r>
          <rPr>
            <sz val="8"/>
            <color indexed="81"/>
            <rFont val="Tahoma"/>
            <family val="2"/>
          </rPr>
          <t xml:space="preserve">
Exergieanteil Strom bezogen auf gesamten Exergiegehalt </t>
        </r>
      </text>
    </comment>
    <comment ref="P175" authorId="2" shapeId="0" xr:uid="{B3B47121-929A-474E-91C5-A515F297C807}">
      <text>
        <r>
          <rPr>
            <b/>
            <sz val="8"/>
            <color indexed="81"/>
            <rFont val="Tahoma"/>
            <family val="2"/>
          </rPr>
          <t>ifeu:</t>
        </r>
        <r>
          <rPr>
            <sz val="8"/>
            <color indexed="81"/>
            <rFont val="Tahoma"/>
            <family val="2"/>
          </rPr>
          <t xml:space="preserve">
Exergieanteil Strom bezogen auf gesamten Exergiegehalt </t>
        </r>
      </text>
    </comment>
    <comment ref="Q175" authorId="2" shapeId="0" xr:uid="{279E9E4F-B59A-4AAC-93C6-B048D286486D}">
      <text>
        <r>
          <rPr>
            <b/>
            <sz val="8"/>
            <color indexed="81"/>
            <rFont val="Tahoma"/>
            <family val="2"/>
          </rPr>
          <t>ifeu:</t>
        </r>
        <r>
          <rPr>
            <sz val="8"/>
            <color indexed="81"/>
            <rFont val="Tahoma"/>
            <family val="2"/>
          </rPr>
          <t xml:space="preserve">
Exergieanteil Strom bezogen auf gesamten Exergiegehalt </t>
        </r>
      </text>
    </comment>
    <comment ref="R175" authorId="2" shapeId="0" xr:uid="{4B1AEEE0-71B1-46B3-9398-CF1FA897B062}">
      <text>
        <r>
          <rPr>
            <b/>
            <sz val="8"/>
            <color indexed="81"/>
            <rFont val="Tahoma"/>
            <family val="2"/>
          </rPr>
          <t>ifeu:</t>
        </r>
        <r>
          <rPr>
            <sz val="8"/>
            <color indexed="81"/>
            <rFont val="Tahoma"/>
            <family val="2"/>
          </rPr>
          <t xml:space="preserve">
Exergieanteil Strom bezogen auf gesamten Exergiegehalt </t>
        </r>
      </text>
    </comment>
    <comment ref="S175" authorId="2" shapeId="0" xr:uid="{FC186D55-398E-4461-B0AE-493C32317F99}">
      <text>
        <r>
          <rPr>
            <b/>
            <sz val="8"/>
            <color indexed="81"/>
            <rFont val="Tahoma"/>
            <family val="2"/>
          </rPr>
          <t>ifeu:</t>
        </r>
        <r>
          <rPr>
            <sz val="8"/>
            <color indexed="81"/>
            <rFont val="Tahoma"/>
            <family val="2"/>
          </rPr>
          <t xml:space="preserve">
Exergieanteil Strom bezogen auf gesamten Exergiegehalt </t>
        </r>
      </text>
    </comment>
    <comment ref="T175" authorId="2" shapeId="0" xr:uid="{CDBA9A65-17B0-48C2-855A-9CF22D98A2FD}">
      <text>
        <r>
          <rPr>
            <b/>
            <sz val="8"/>
            <color indexed="81"/>
            <rFont val="Tahoma"/>
            <family val="2"/>
          </rPr>
          <t>ifeu:</t>
        </r>
        <r>
          <rPr>
            <sz val="8"/>
            <color indexed="81"/>
            <rFont val="Tahoma"/>
            <family val="2"/>
          </rPr>
          <t xml:space="preserve">
Exergieanteil Strom bezogen auf gesamten Exergiegehalt </t>
        </r>
      </text>
    </comment>
    <comment ref="U175" authorId="2" shapeId="0" xr:uid="{19F517EE-6EAA-4630-8E4E-9C0388F6A4B2}">
      <text>
        <r>
          <rPr>
            <b/>
            <sz val="8"/>
            <color indexed="81"/>
            <rFont val="Tahoma"/>
            <family val="2"/>
          </rPr>
          <t>ifeu:</t>
        </r>
        <r>
          <rPr>
            <sz val="8"/>
            <color indexed="81"/>
            <rFont val="Tahoma"/>
            <family val="2"/>
          </rPr>
          <t xml:space="preserve">
Exergieanteil Strom bezogen auf gesamten Exergiegehalt </t>
        </r>
      </text>
    </comment>
    <comment ref="V175" authorId="2" shapeId="0" xr:uid="{8CE5ECF6-48E9-4C4B-A3B0-8E4D85A09162}">
      <text>
        <r>
          <rPr>
            <b/>
            <sz val="8"/>
            <color indexed="81"/>
            <rFont val="Tahoma"/>
            <family val="2"/>
          </rPr>
          <t>ifeu:</t>
        </r>
        <r>
          <rPr>
            <sz val="8"/>
            <color indexed="81"/>
            <rFont val="Tahoma"/>
            <family val="2"/>
          </rPr>
          <t xml:space="preserve">
Exergieanteil Strom bezogen auf gesamten Exergiegehalt </t>
        </r>
      </text>
    </comment>
    <comment ref="W175" authorId="2" shapeId="0" xr:uid="{521E5D96-61CF-49E3-8922-2411DC0ED2AF}">
      <text>
        <r>
          <rPr>
            <b/>
            <sz val="8"/>
            <color indexed="81"/>
            <rFont val="Tahoma"/>
            <family val="2"/>
          </rPr>
          <t>ifeu:</t>
        </r>
        <r>
          <rPr>
            <sz val="8"/>
            <color indexed="81"/>
            <rFont val="Tahoma"/>
            <family val="2"/>
          </rPr>
          <t xml:space="preserve">
Exergieanteil Strom bezogen auf gesamten Exergiegehalt </t>
        </r>
      </text>
    </comment>
    <comment ref="D179" authorId="2" shapeId="0" xr:uid="{74DA1C40-D46F-4E8B-8312-4545D08BF453}">
      <text>
        <r>
          <rPr>
            <b/>
            <sz val="8"/>
            <color indexed="81"/>
            <rFont val="Tahoma"/>
            <family val="2"/>
          </rPr>
          <t>ifeu:</t>
        </r>
        <r>
          <rPr>
            <sz val="8"/>
            <color indexed="81"/>
            <rFont val="Tahoma"/>
            <family val="2"/>
          </rPr>
          <t xml:space="preserve">
Gesamtemissionen mal Exergieanteil</t>
        </r>
      </text>
    </comment>
    <comment ref="E179" authorId="2" shapeId="0" xr:uid="{F2B9BF56-D455-4C95-82F4-FFF60826D871}">
      <text>
        <r>
          <rPr>
            <b/>
            <sz val="8"/>
            <color indexed="81"/>
            <rFont val="Tahoma"/>
            <family val="2"/>
          </rPr>
          <t>ifeu:</t>
        </r>
        <r>
          <rPr>
            <sz val="8"/>
            <color indexed="81"/>
            <rFont val="Tahoma"/>
            <family val="2"/>
          </rPr>
          <t xml:space="preserve">
Gesamtemissionen mal Exergieanteil</t>
        </r>
      </text>
    </comment>
    <comment ref="F179" authorId="2" shapeId="0" xr:uid="{AFD61E17-641C-4EFF-AB9A-5F7D3E99CD07}">
      <text>
        <r>
          <rPr>
            <b/>
            <sz val="8"/>
            <color indexed="81"/>
            <rFont val="Tahoma"/>
            <family val="2"/>
          </rPr>
          <t>ifeu:</t>
        </r>
        <r>
          <rPr>
            <sz val="8"/>
            <color indexed="81"/>
            <rFont val="Tahoma"/>
            <family val="2"/>
          </rPr>
          <t xml:space="preserve">
Gesamtemissionen mal Exergieanteil</t>
        </r>
      </text>
    </comment>
    <comment ref="G179" authorId="2" shapeId="0" xr:uid="{4762579F-EBBA-4AD0-A781-4ED8D20D1E7D}">
      <text>
        <r>
          <rPr>
            <b/>
            <sz val="8"/>
            <color indexed="81"/>
            <rFont val="Tahoma"/>
            <family val="2"/>
          </rPr>
          <t>ifeu:</t>
        </r>
        <r>
          <rPr>
            <sz val="8"/>
            <color indexed="81"/>
            <rFont val="Tahoma"/>
            <family val="2"/>
          </rPr>
          <t xml:space="preserve">
Gesamtemissionen mal Exergieanteil</t>
        </r>
      </text>
    </comment>
    <comment ref="H179" authorId="2" shapeId="0" xr:uid="{E91C75A6-C999-4DAA-B114-C7933E928B4A}">
      <text>
        <r>
          <rPr>
            <b/>
            <sz val="8"/>
            <color indexed="81"/>
            <rFont val="Tahoma"/>
            <family val="2"/>
          </rPr>
          <t>ifeu:</t>
        </r>
        <r>
          <rPr>
            <sz val="8"/>
            <color indexed="81"/>
            <rFont val="Tahoma"/>
            <family val="2"/>
          </rPr>
          <t xml:space="preserve">
Gesamtemissionen mal Exergieanteil</t>
        </r>
      </text>
    </comment>
    <comment ref="I179" authorId="2" shapeId="0" xr:uid="{5AF15AC7-EFAB-4E15-A0B5-4EBD2ECE3432}">
      <text>
        <r>
          <rPr>
            <b/>
            <sz val="8"/>
            <color indexed="81"/>
            <rFont val="Tahoma"/>
            <family val="2"/>
          </rPr>
          <t>ifeu:</t>
        </r>
        <r>
          <rPr>
            <sz val="8"/>
            <color indexed="81"/>
            <rFont val="Tahoma"/>
            <family val="2"/>
          </rPr>
          <t xml:space="preserve">
Gesamtemissionen mal Exergieanteil</t>
        </r>
      </text>
    </comment>
    <comment ref="J179" authorId="2" shapeId="0" xr:uid="{A47B442F-2B2A-4E77-87B3-5C6D192395F1}">
      <text>
        <r>
          <rPr>
            <b/>
            <sz val="8"/>
            <color indexed="81"/>
            <rFont val="Tahoma"/>
            <family val="2"/>
          </rPr>
          <t>ifeu:</t>
        </r>
        <r>
          <rPr>
            <sz val="8"/>
            <color indexed="81"/>
            <rFont val="Tahoma"/>
            <family val="2"/>
          </rPr>
          <t xml:space="preserve">
Gesamtemissionen mal Exergieanteil</t>
        </r>
      </text>
    </comment>
    <comment ref="K179" authorId="2" shapeId="0" xr:uid="{FB83E81A-4C10-4133-A945-E45784BE6228}">
      <text>
        <r>
          <rPr>
            <b/>
            <sz val="8"/>
            <color indexed="81"/>
            <rFont val="Tahoma"/>
            <family val="2"/>
          </rPr>
          <t>ifeu:</t>
        </r>
        <r>
          <rPr>
            <sz val="8"/>
            <color indexed="81"/>
            <rFont val="Tahoma"/>
            <family val="2"/>
          </rPr>
          <t xml:space="preserve">
Gesamtemissionen mal Exergieanteil</t>
        </r>
      </text>
    </comment>
    <comment ref="L179" authorId="2" shapeId="0" xr:uid="{DE51951F-A096-4C99-8F5C-C65B6B806F5F}">
      <text>
        <r>
          <rPr>
            <b/>
            <sz val="8"/>
            <color indexed="81"/>
            <rFont val="Tahoma"/>
            <family val="2"/>
          </rPr>
          <t>ifeu:</t>
        </r>
        <r>
          <rPr>
            <sz val="8"/>
            <color indexed="81"/>
            <rFont val="Tahoma"/>
            <family val="2"/>
          </rPr>
          <t xml:space="preserve">
Gesamtemissionen mal Exergieanteil</t>
        </r>
      </text>
    </comment>
    <comment ref="M179" authorId="2" shapeId="0" xr:uid="{5A6ADFDE-5582-4A69-8AFB-E5D7714E9088}">
      <text>
        <r>
          <rPr>
            <b/>
            <sz val="8"/>
            <color indexed="81"/>
            <rFont val="Tahoma"/>
            <family val="2"/>
          </rPr>
          <t>ifeu:</t>
        </r>
        <r>
          <rPr>
            <sz val="8"/>
            <color indexed="81"/>
            <rFont val="Tahoma"/>
            <family val="2"/>
          </rPr>
          <t xml:space="preserve">
Gesamtemissionen mal Exergieanteil</t>
        </r>
      </text>
    </comment>
    <comment ref="N179" authorId="2" shapeId="0" xr:uid="{49DFBA9B-91AC-4877-8041-2157D38AF28A}">
      <text>
        <r>
          <rPr>
            <b/>
            <sz val="8"/>
            <color indexed="81"/>
            <rFont val="Tahoma"/>
            <family val="2"/>
          </rPr>
          <t>ifeu:</t>
        </r>
        <r>
          <rPr>
            <sz val="8"/>
            <color indexed="81"/>
            <rFont val="Tahoma"/>
            <family val="2"/>
          </rPr>
          <t xml:space="preserve">
Gesamtemissionen mal Exergieanteil</t>
        </r>
      </text>
    </comment>
    <comment ref="O179" authorId="2" shapeId="0" xr:uid="{045F0D1F-7EDB-4D83-BF7A-F5BD10C73B2B}">
      <text>
        <r>
          <rPr>
            <b/>
            <sz val="8"/>
            <color indexed="81"/>
            <rFont val="Tahoma"/>
            <family val="2"/>
          </rPr>
          <t>ifeu:</t>
        </r>
        <r>
          <rPr>
            <sz val="8"/>
            <color indexed="81"/>
            <rFont val="Tahoma"/>
            <family val="2"/>
          </rPr>
          <t xml:space="preserve">
Gesamtemissionen mal Exergieanteil</t>
        </r>
      </text>
    </comment>
    <comment ref="P179" authorId="2" shapeId="0" xr:uid="{2B1638C2-5801-4A63-A7FC-FF301A35927E}">
      <text>
        <r>
          <rPr>
            <b/>
            <sz val="8"/>
            <color indexed="81"/>
            <rFont val="Tahoma"/>
            <family val="2"/>
          </rPr>
          <t>ifeu:</t>
        </r>
        <r>
          <rPr>
            <sz val="8"/>
            <color indexed="81"/>
            <rFont val="Tahoma"/>
            <family val="2"/>
          </rPr>
          <t xml:space="preserve">
Gesamtemissionen mal Exergieanteil</t>
        </r>
      </text>
    </comment>
    <comment ref="Q179" authorId="2" shapeId="0" xr:uid="{E9030916-B90D-4B7B-B7CA-1D251AC885A2}">
      <text>
        <r>
          <rPr>
            <b/>
            <sz val="8"/>
            <color indexed="81"/>
            <rFont val="Tahoma"/>
            <family val="2"/>
          </rPr>
          <t>ifeu:</t>
        </r>
        <r>
          <rPr>
            <sz val="8"/>
            <color indexed="81"/>
            <rFont val="Tahoma"/>
            <family val="2"/>
          </rPr>
          <t xml:space="preserve">
Gesamtemissionen mal Exergieanteil</t>
        </r>
      </text>
    </comment>
    <comment ref="R179" authorId="2" shapeId="0" xr:uid="{79864653-0850-4D66-88DD-6D0DCC3B5C78}">
      <text>
        <r>
          <rPr>
            <b/>
            <sz val="8"/>
            <color indexed="81"/>
            <rFont val="Tahoma"/>
            <family val="2"/>
          </rPr>
          <t>ifeu:</t>
        </r>
        <r>
          <rPr>
            <sz val="8"/>
            <color indexed="81"/>
            <rFont val="Tahoma"/>
            <family val="2"/>
          </rPr>
          <t xml:space="preserve">
Gesamtemissionen mal Exergieanteil</t>
        </r>
      </text>
    </comment>
    <comment ref="S179" authorId="2" shapeId="0" xr:uid="{2F6D4E46-CC4E-4902-A13C-64CA45119972}">
      <text>
        <r>
          <rPr>
            <b/>
            <sz val="8"/>
            <color indexed="81"/>
            <rFont val="Tahoma"/>
            <family val="2"/>
          </rPr>
          <t>ifeu:</t>
        </r>
        <r>
          <rPr>
            <sz val="8"/>
            <color indexed="81"/>
            <rFont val="Tahoma"/>
            <family val="2"/>
          </rPr>
          <t xml:space="preserve">
Gesamtemissionen mal Exergieanteil</t>
        </r>
      </text>
    </comment>
    <comment ref="T179" authorId="2" shapeId="0" xr:uid="{363B8B82-F96B-468D-92D3-58ED0E6AFE4A}">
      <text>
        <r>
          <rPr>
            <b/>
            <sz val="8"/>
            <color indexed="81"/>
            <rFont val="Tahoma"/>
            <family val="2"/>
          </rPr>
          <t>ifeu:</t>
        </r>
        <r>
          <rPr>
            <sz val="8"/>
            <color indexed="81"/>
            <rFont val="Tahoma"/>
            <family val="2"/>
          </rPr>
          <t xml:space="preserve">
Gesamtemissionen mal Exergieanteil</t>
        </r>
      </text>
    </comment>
    <comment ref="U179" authorId="2" shapeId="0" xr:uid="{23EA45A6-1466-45DE-8F98-47492F9AD108}">
      <text>
        <r>
          <rPr>
            <b/>
            <sz val="8"/>
            <color indexed="81"/>
            <rFont val="Tahoma"/>
            <family val="2"/>
          </rPr>
          <t>ifeu:</t>
        </r>
        <r>
          <rPr>
            <sz val="8"/>
            <color indexed="81"/>
            <rFont val="Tahoma"/>
            <family val="2"/>
          </rPr>
          <t xml:space="preserve">
Gesamtemissionen mal Exergieanteil</t>
        </r>
      </text>
    </comment>
    <comment ref="V179" authorId="2" shapeId="0" xr:uid="{F4EDABAF-2AA2-455B-A244-17ADBC4F7927}">
      <text>
        <r>
          <rPr>
            <b/>
            <sz val="8"/>
            <color indexed="81"/>
            <rFont val="Tahoma"/>
            <family val="2"/>
          </rPr>
          <t>ifeu:</t>
        </r>
        <r>
          <rPr>
            <sz val="8"/>
            <color indexed="81"/>
            <rFont val="Tahoma"/>
            <family val="2"/>
          </rPr>
          <t xml:space="preserve">
Gesamtemissionen mal Exergieanteil</t>
        </r>
      </text>
    </comment>
    <comment ref="W179" authorId="2" shapeId="0" xr:uid="{3922F743-E46C-4F94-8F3E-9346C55A068C}">
      <text>
        <r>
          <rPr>
            <b/>
            <sz val="8"/>
            <color indexed="81"/>
            <rFont val="Tahoma"/>
            <family val="2"/>
          </rPr>
          <t>ifeu:</t>
        </r>
        <r>
          <rPr>
            <sz val="8"/>
            <color indexed="81"/>
            <rFont val="Tahoma"/>
            <family val="2"/>
          </rPr>
          <t xml:space="preserve">
Gesamtemissionen mal Exergieanteil</t>
        </r>
      </text>
    </comment>
    <comment ref="D180" authorId="2" shapeId="0" xr:uid="{8820EB6A-5824-40AA-9F15-0AB967BFB40A}">
      <text>
        <r>
          <rPr>
            <b/>
            <sz val="8"/>
            <color indexed="81"/>
            <rFont val="Tahoma"/>
            <family val="2"/>
          </rPr>
          <t>ifeu:</t>
        </r>
        <r>
          <rPr>
            <sz val="8"/>
            <color indexed="81"/>
            <rFont val="Tahoma"/>
            <family val="2"/>
          </rPr>
          <t xml:space="preserve">
Gesamtemissionen mal Exergieanteil</t>
        </r>
      </text>
    </comment>
    <comment ref="E180" authorId="2" shapeId="0" xr:uid="{57672158-039B-4283-84A2-65D4FA979BD2}">
      <text>
        <r>
          <rPr>
            <b/>
            <sz val="8"/>
            <color indexed="81"/>
            <rFont val="Tahoma"/>
            <family val="2"/>
          </rPr>
          <t>ifeu:</t>
        </r>
        <r>
          <rPr>
            <sz val="8"/>
            <color indexed="81"/>
            <rFont val="Tahoma"/>
            <family val="2"/>
          </rPr>
          <t xml:space="preserve">
Gesamtemissionen mal Exergieanteil</t>
        </r>
      </text>
    </comment>
    <comment ref="F180" authorId="2" shapeId="0" xr:uid="{AF7F1CF5-23EC-4A44-B1D2-C13CFA28ACDE}">
      <text>
        <r>
          <rPr>
            <b/>
            <sz val="8"/>
            <color indexed="81"/>
            <rFont val="Tahoma"/>
            <family val="2"/>
          </rPr>
          <t>ifeu:</t>
        </r>
        <r>
          <rPr>
            <sz val="8"/>
            <color indexed="81"/>
            <rFont val="Tahoma"/>
            <family val="2"/>
          </rPr>
          <t xml:space="preserve">
Gesamtemissionen mal Exergieanteil</t>
        </r>
      </text>
    </comment>
    <comment ref="G180" authorId="2" shapeId="0" xr:uid="{89EEB0D4-C626-4ED7-8552-B1CD284AAC34}">
      <text>
        <r>
          <rPr>
            <b/>
            <sz val="8"/>
            <color indexed="81"/>
            <rFont val="Tahoma"/>
            <family val="2"/>
          </rPr>
          <t>ifeu:</t>
        </r>
        <r>
          <rPr>
            <sz val="8"/>
            <color indexed="81"/>
            <rFont val="Tahoma"/>
            <family val="2"/>
          </rPr>
          <t xml:space="preserve">
Gesamtemissionen mal Exergieanteil</t>
        </r>
      </text>
    </comment>
    <comment ref="H180" authorId="2" shapeId="0" xr:uid="{9A03AD1F-3B17-4129-912F-A40EF80B4887}">
      <text>
        <r>
          <rPr>
            <b/>
            <sz val="8"/>
            <color indexed="81"/>
            <rFont val="Tahoma"/>
            <family val="2"/>
          </rPr>
          <t>ifeu:</t>
        </r>
        <r>
          <rPr>
            <sz val="8"/>
            <color indexed="81"/>
            <rFont val="Tahoma"/>
            <family val="2"/>
          </rPr>
          <t xml:space="preserve">
Gesamtemissionen mal Exergieanteil</t>
        </r>
      </text>
    </comment>
    <comment ref="I180" authorId="2" shapeId="0" xr:uid="{7FD8BB7D-1E4C-4B73-B06B-DB1A3B2DB77A}">
      <text>
        <r>
          <rPr>
            <b/>
            <sz val="8"/>
            <color indexed="81"/>
            <rFont val="Tahoma"/>
            <family val="2"/>
          </rPr>
          <t>ifeu:</t>
        </r>
        <r>
          <rPr>
            <sz val="8"/>
            <color indexed="81"/>
            <rFont val="Tahoma"/>
            <family val="2"/>
          </rPr>
          <t xml:space="preserve">
Gesamtemissionen mal Exergieanteil</t>
        </r>
      </text>
    </comment>
    <comment ref="J180" authorId="2" shapeId="0" xr:uid="{1DCC40CC-9CA7-4E0E-BD6F-1B5E3095E7B2}">
      <text>
        <r>
          <rPr>
            <b/>
            <sz val="8"/>
            <color indexed="81"/>
            <rFont val="Tahoma"/>
            <family val="2"/>
          </rPr>
          <t>ifeu:</t>
        </r>
        <r>
          <rPr>
            <sz val="8"/>
            <color indexed="81"/>
            <rFont val="Tahoma"/>
            <family val="2"/>
          </rPr>
          <t xml:space="preserve">
Gesamtemissionen mal Exergieanteil</t>
        </r>
      </text>
    </comment>
    <comment ref="K180" authorId="2" shapeId="0" xr:uid="{CF090F7F-0B51-4472-8BC0-3585B9F1B7C8}">
      <text>
        <r>
          <rPr>
            <b/>
            <sz val="8"/>
            <color indexed="81"/>
            <rFont val="Tahoma"/>
            <family val="2"/>
          </rPr>
          <t>ifeu:</t>
        </r>
        <r>
          <rPr>
            <sz val="8"/>
            <color indexed="81"/>
            <rFont val="Tahoma"/>
            <family val="2"/>
          </rPr>
          <t xml:space="preserve">
Gesamtemissionen mal Exergieanteil</t>
        </r>
      </text>
    </comment>
    <comment ref="L180" authorId="2" shapeId="0" xr:uid="{BE5F1AFB-4A81-4C87-B099-42A9DC5329AF}">
      <text>
        <r>
          <rPr>
            <b/>
            <sz val="8"/>
            <color indexed="81"/>
            <rFont val="Tahoma"/>
            <family val="2"/>
          </rPr>
          <t>ifeu:</t>
        </r>
        <r>
          <rPr>
            <sz val="8"/>
            <color indexed="81"/>
            <rFont val="Tahoma"/>
            <family val="2"/>
          </rPr>
          <t xml:space="preserve">
Gesamtemissionen mal Exergieanteil</t>
        </r>
      </text>
    </comment>
    <comment ref="M180" authorId="2" shapeId="0" xr:uid="{A14EB85F-CC3A-4A30-A16B-6B68DAD3DD6F}">
      <text>
        <r>
          <rPr>
            <b/>
            <sz val="8"/>
            <color indexed="81"/>
            <rFont val="Tahoma"/>
            <family val="2"/>
          </rPr>
          <t>ifeu:</t>
        </r>
        <r>
          <rPr>
            <sz val="8"/>
            <color indexed="81"/>
            <rFont val="Tahoma"/>
            <family val="2"/>
          </rPr>
          <t xml:space="preserve">
Gesamtemissionen mal Exergieanteil</t>
        </r>
      </text>
    </comment>
    <comment ref="N180" authorId="2" shapeId="0" xr:uid="{D946010C-4CA9-4672-A76B-383F47DE7679}">
      <text>
        <r>
          <rPr>
            <b/>
            <sz val="8"/>
            <color indexed="81"/>
            <rFont val="Tahoma"/>
            <family val="2"/>
          </rPr>
          <t>ifeu:</t>
        </r>
        <r>
          <rPr>
            <sz val="8"/>
            <color indexed="81"/>
            <rFont val="Tahoma"/>
            <family val="2"/>
          </rPr>
          <t xml:space="preserve">
Gesamtemissionen mal Exergieanteil</t>
        </r>
      </text>
    </comment>
    <comment ref="O180" authorId="2" shapeId="0" xr:uid="{27C8004F-F199-4C44-A9EB-58D01353220B}">
      <text>
        <r>
          <rPr>
            <b/>
            <sz val="8"/>
            <color indexed="81"/>
            <rFont val="Tahoma"/>
            <family val="2"/>
          </rPr>
          <t>ifeu:</t>
        </r>
        <r>
          <rPr>
            <sz val="8"/>
            <color indexed="81"/>
            <rFont val="Tahoma"/>
            <family val="2"/>
          </rPr>
          <t xml:space="preserve">
Gesamtemissionen mal Exergieanteil</t>
        </r>
      </text>
    </comment>
    <comment ref="P180" authorId="2" shapeId="0" xr:uid="{418C3AAB-4E4B-4D6E-9A15-38EA64AEDBD0}">
      <text>
        <r>
          <rPr>
            <b/>
            <sz val="8"/>
            <color indexed="81"/>
            <rFont val="Tahoma"/>
            <family val="2"/>
          </rPr>
          <t>ifeu:</t>
        </r>
        <r>
          <rPr>
            <sz val="8"/>
            <color indexed="81"/>
            <rFont val="Tahoma"/>
            <family val="2"/>
          </rPr>
          <t xml:space="preserve">
Gesamtemissionen mal Exergieanteil</t>
        </r>
      </text>
    </comment>
    <comment ref="Q180" authorId="2" shapeId="0" xr:uid="{475E53D9-5E09-4789-B804-473AB06E62B7}">
      <text>
        <r>
          <rPr>
            <b/>
            <sz val="8"/>
            <color indexed="81"/>
            <rFont val="Tahoma"/>
            <family val="2"/>
          </rPr>
          <t>ifeu:</t>
        </r>
        <r>
          <rPr>
            <sz val="8"/>
            <color indexed="81"/>
            <rFont val="Tahoma"/>
            <family val="2"/>
          </rPr>
          <t xml:space="preserve">
Gesamtemissionen mal Exergieanteil</t>
        </r>
      </text>
    </comment>
    <comment ref="R180" authorId="2" shapeId="0" xr:uid="{9B014A12-FBC5-4752-A6CB-362FF316734B}">
      <text>
        <r>
          <rPr>
            <b/>
            <sz val="8"/>
            <color indexed="81"/>
            <rFont val="Tahoma"/>
            <family val="2"/>
          </rPr>
          <t>ifeu:</t>
        </r>
        <r>
          <rPr>
            <sz val="8"/>
            <color indexed="81"/>
            <rFont val="Tahoma"/>
            <family val="2"/>
          </rPr>
          <t xml:space="preserve">
Gesamtemissionen mal Exergieanteil</t>
        </r>
      </text>
    </comment>
    <comment ref="S180" authorId="2" shapeId="0" xr:uid="{C34DD3F4-5F55-42E2-B89B-96B44E4F46EC}">
      <text>
        <r>
          <rPr>
            <b/>
            <sz val="8"/>
            <color indexed="81"/>
            <rFont val="Tahoma"/>
            <family val="2"/>
          </rPr>
          <t>ifeu:</t>
        </r>
        <r>
          <rPr>
            <sz val="8"/>
            <color indexed="81"/>
            <rFont val="Tahoma"/>
            <family val="2"/>
          </rPr>
          <t xml:space="preserve">
Gesamtemissionen mal Exergieanteil</t>
        </r>
      </text>
    </comment>
    <comment ref="T180" authorId="2" shapeId="0" xr:uid="{ED5C8E0A-7155-4711-9DCF-D92445F007E3}">
      <text>
        <r>
          <rPr>
            <b/>
            <sz val="8"/>
            <color indexed="81"/>
            <rFont val="Tahoma"/>
            <family val="2"/>
          </rPr>
          <t>ifeu:</t>
        </r>
        <r>
          <rPr>
            <sz val="8"/>
            <color indexed="81"/>
            <rFont val="Tahoma"/>
            <family val="2"/>
          </rPr>
          <t xml:space="preserve">
Gesamtemissionen mal Exergieanteil</t>
        </r>
      </text>
    </comment>
    <comment ref="U180" authorId="2" shapeId="0" xr:uid="{1ECEECD5-3832-436A-8321-CD37F9AE4654}">
      <text>
        <r>
          <rPr>
            <b/>
            <sz val="8"/>
            <color indexed="81"/>
            <rFont val="Tahoma"/>
            <family val="2"/>
          </rPr>
          <t>ifeu:</t>
        </r>
        <r>
          <rPr>
            <sz val="8"/>
            <color indexed="81"/>
            <rFont val="Tahoma"/>
            <family val="2"/>
          </rPr>
          <t xml:space="preserve">
Gesamtemissionen mal Exergieanteil</t>
        </r>
      </text>
    </comment>
    <comment ref="V180" authorId="2" shapeId="0" xr:uid="{F59DC5FD-8D6A-4CF9-93FE-FD6F57821AC2}">
      <text>
        <r>
          <rPr>
            <b/>
            <sz val="8"/>
            <color indexed="81"/>
            <rFont val="Tahoma"/>
            <family val="2"/>
          </rPr>
          <t>ifeu:</t>
        </r>
        <r>
          <rPr>
            <sz val="8"/>
            <color indexed="81"/>
            <rFont val="Tahoma"/>
            <family val="2"/>
          </rPr>
          <t xml:space="preserve">
Gesamtemissionen mal Exergieanteil</t>
        </r>
      </text>
    </comment>
    <comment ref="W180" authorId="2" shapeId="0" xr:uid="{AAE29916-A3AF-4853-9FCA-B1CB5F1CD2B0}">
      <text>
        <r>
          <rPr>
            <b/>
            <sz val="8"/>
            <color indexed="81"/>
            <rFont val="Tahoma"/>
            <family val="2"/>
          </rPr>
          <t>ifeu:</t>
        </r>
        <r>
          <rPr>
            <sz val="8"/>
            <color indexed="81"/>
            <rFont val="Tahoma"/>
            <family val="2"/>
          </rPr>
          <t xml:space="preserve">
Gesamtemissionen mal Exergieanteil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32" authorId="0" shapeId="0" xr:uid="{3DA8A2AA-E7D6-4037-B285-8AEBB6771C84}">
      <text>
        <r>
          <rPr>
            <sz val="9"/>
            <color indexed="81"/>
            <rFont val="Segoe UI"/>
            <family val="2"/>
          </rPr>
          <t>Sowie Zeile 209 ausfüllen</t>
        </r>
      </text>
    </comment>
    <comment ref="C42" authorId="0" shapeId="0" xr:uid="{682AF6D1-1364-4271-8CEF-140DD9F0402E}">
      <text>
        <r>
          <rPr>
            <sz val="9"/>
            <color indexed="81"/>
            <rFont val="Segoe UI"/>
            <family val="2"/>
          </rPr>
          <t>Sowie Zeile 219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Julia Zigann</author>
  </authors>
  <commentList>
    <comment ref="C390" authorId="0" shapeId="0" xr:uid="{3234CB23-9931-41F6-B615-182C3DED0A03}">
      <text>
        <r>
          <rPr>
            <sz val="9"/>
            <color indexed="81"/>
            <rFont val="Segoe UI"/>
            <family val="2"/>
          </rPr>
          <t xml:space="preserve">Als Grundlage zur Berechnung wurden hier die Emissionsfaktoren aus 2021 angewendet. Hier kann man das Jahr auswählen, aus welchem der Verbrauch mit den Emissionsfaktoren aus 2021 kalkuliert werden soll. </t>
        </r>
      </text>
    </comment>
  </commentList>
</comments>
</file>

<file path=xl/sharedStrings.xml><?xml version="1.0" encoding="utf-8"?>
<sst xmlns="http://schemas.openxmlformats.org/spreadsheetml/2006/main" count="3800" uniqueCount="633">
  <si>
    <t>Navigation</t>
  </si>
  <si>
    <t>Name der Institution:</t>
  </si>
  <si>
    <t>Einheit</t>
  </si>
  <si>
    <t>2015</t>
  </si>
  <si>
    <t>2016</t>
  </si>
  <si>
    <t>2017</t>
  </si>
  <si>
    <t>2018</t>
  </si>
  <si>
    <t>2019</t>
  </si>
  <si>
    <t>2020</t>
  </si>
  <si>
    <t>2021</t>
  </si>
  <si>
    <t>2022</t>
  </si>
  <si>
    <t>2023</t>
  </si>
  <si>
    <t>2024</t>
  </si>
  <si>
    <t>2025</t>
  </si>
  <si>
    <t>2026</t>
  </si>
  <si>
    <t>2030</t>
  </si>
  <si>
    <t>2035</t>
  </si>
  <si>
    <t>2040</t>
  </si>
  <si>
    <t>2045</t>
  </si>
  <si>
    <t>2050</t>
  </si>
  <si>
    <t>l</t>
  </si>
  <si>
    <t>Recyclingpapier</t>
  </si>
  <si>
    <t>Anzahl A3 Blatt</t>
  </si>
  <si>
    <t>Frischfaserpapier</t>
  </si>
  <si>
    <t>Anzahl A4 Blatt</t>
  </si>
  <si>
    <t>Zentrale Drucker MD (Firma Schön), Zentrale Drucker SDL (Firma Delta): Nur Mitarbeitendenabrechnungen ohne Studis, ISFORT Bestellungen; ohne StuRa bis 2020</t>
  </si>
  <si>
    <t>Anzahl A5 Blatt</t>
  </si>
  <si>
    <t>Legende</t>
  </si>
  <si>
    <t>Handlungsfeld</t>
  </si>
  <si>
    <r>
      <t>kg CO</t>
    </r>
    <r>
      <rPr>
        <vertAlign val="subscript"/>
        <sz val="11"/>
        <color theme="1"/>
        <rFont val="Calibri"/>
        <family val="2"/>
        <scheme val="minor"/>
      </rPr>
      <t>2</t>
    </r>
    <r>
      <rPr>
        <sz val="11"/>
        <color theme="1"/>
        <rFont val="Calibri"/>
        <family val="2"/>
        <scheme val="minor"/>
      </rPr>
      <t>-Äq./MWh</t>
    </r>
  </si>
  <si>
    <t xml:space="preserve">GEMIS V. 5.1 </t>
  </si>
  <si>
    <t>GEMIS V. 5.1</t>
  </si>
  <si>
    <t>Abwasser</t>
  </si>
  <si>
    <t xml:space="preserve"> </t>
  </si>
  <si>
    <t>Trinkwasser</t>
  </si>
  <si>
    <t>Emissionsfaktoren</t>
  </si>
  <si>
    <t>Quelle</t>
  </si>
  <si>
    <t>Bemerkung</t>
  </si>
  <si>
    <t>ID</t>
  </si>
  <si>
    <t>Ergebnis</t>
  </si>
  <si>
    <t>Bei Bedarf</t>
  </si>
  <si>
    <t>km</t>
  </si>
  <si>
    <t>MWh</t>
  </si>
  <si>
    <t>Pkm</t>
  </si>
  <si>
    <t>kg</t>
  </si>
  <si>
    <t>Bemerkungen</t>
  </si>
  <si>
    <t xml:space="preserve">Emissionsfaktoren </t>
  </si>
  <si>
    <t>Altholz</t>
  </si>
  <si>
    <t>Altglas</t>
  </si>
  <si>
    <t>Restmüll</t>
  </si>
  <si>
    <t>Sperrmüll</t>
  </si>
  <si>
    <t>Bioabfall (Verbrennung)</t>
  </si>
  <si>
    <t>Bioabfall, Grünschnitt (Kompostierung)</t>
  </si>
  <si>
    <t>DEFRA 2015, 2016, 2017, 2018, 2019, 2020, 2021, 2022: Waste disposal, https://www.gov.uk/government/collections/government-conversion-factors-for-company-reporting</t>
  </si>
  <si>
    <t>Beamer</t>
  </si>
  <si>
    <t>Docking-Station</t>
  </si>
  <si>
    <t>Toner</t>
  </si>
  <si>
    <t>Notebook/Laptop</t>
  </si>
  <si>
    <t>Toilettenpapier (Recycling)</t>
  </si>
  <si>
    <t>Papierhandtücher (Recycling)</t>
  </si>
  <si>
    <t>Pendeln</t>
  </si>
  <si>
    <t>DR</t>
  </si>
  <si>
    <t>Kompensation</t>
  </si>
  <si>
    <t>Kies</t>
  </si>
  <si>
    <t>Sand</t>
  </si>
  <si>
    <t>Beton</t>
  </si>
  <si>
    <t>Branntkalk</t>
  </si>
  <si>
    <t>Gips</t>
  </si>
  <si>
    <t>Steinwolle</t>
  </si>
  <si>
    <t>Zement (Portland)</t>
  </si>
  <si>
    <t>Stahl-mix</t>
  </si>
  <si>
    <t>Stahl-Elektro</t>
  </si>
  <si>
    <t>Kalksandstein</t>
  </si>
  <si>
    <t>Mineralwolle</t>
  </si>
  <si>
    <t>Glaswolle</t>
  </si>
  <si>
    <t>Gipsplatte</t>
  </si>
  <si>
    <t>"Steinde-Erden\CaO-fein-DE-Jahr" (2015, 2020, 2030, 2050)</t>
  </si>
  <si>
    <t>"Steine-Erden\Gipsplatte-DE-Jahr" (2010)</t>
  </si>
  <si>
    <t>Glas (flach)</t>
  </si>
  <si>
    <t>"Steine-Erden\Gips-DE-Jahr" (2010)</t>
  </si>
  <si>
    <t>"Steine-Erden\Glas-flach-DE-Jahr" (2015, 2020, 2030, 2050)</t>
  </si>
  <si>
    <t>Gussasphalt</t>
  </si>
  <si>
    <t>"Steine-Erden\Gussasphalt-DE-Jahr" (2010)</t>
  </si>
  <si>
    <t>"Steine-Erden\Porenbetonstein-DE-Jahr" (2000)</t>
  </si>
  <si>
    <t>"Steine-Erden\Steinwolle-DE-Jahr" (2015, 2020, 2030, 2050)</t>
  </si>
  <si>
    <t>Porenbetonstein</t>
  </si>
  <si>
    <t>Tonziegel (fürs Dach)</t>
  </si>
  <si>
    <t>"Steine-Erden\Zement-DE-Jahr" (2015, 2020, 2030, 2050)</t>
  </si>
  <si>
    <t>"Steine-Erden\Tonziegel-DE-Jahr" (2000)</t>
  </si>
  <si>
    <t>"Steine-Erden\Kalksandstein-DE-Jahr" (2000)</t>
  </si>
  <si>
    <t>"Xtra-Abbau\Kies-DE-Jahr" (2015, 2020, 2030, 2050)</t>
  </si>
  <si>
    <t>"Xtra-Abbau\Sand-DE-Jahr" (2015, 2020, 2030, 2050)</t>
  </si>
  <si>
    <t>Kupferdraht</t>
  </si>
  <si>
    <t>Kupferrohr</t>
  </si>
  <si>
    <t>"Metall\Kupfer-Draht-EU-Jahr" (2005)</t>
  </si>
  <si>
    <t>"Metall\Kupfer-Rohr-EU-Jahr" (2005)</t>
  </si>
  <si>
    <t>Stahl-Blech</t>
  </si>
  <si>
    <t>Stahl-Blech verzinkt</t>
  </si>
  <si>
    <t>"Metall\Stahl-Blech-EU-Jahr" (2010, 2020, 2030)</t>
  </si>
  <si>
    <t>"Metall\Stahl-Blech-verzinkt-EU-Jahr" (2015, 2020, 2030, 2050)</t>
  </si>
  <si>
    <t>"Metall\Stahl-Elektro-EU-Jahr" (2015, 2020, 2030, 2050)</t>
  </si>
  <si>
    <t>"Metall\Stahl-mix-EU-Jahr" (2015, 2020, 2030, 2050)</t>
  </si>
  <si>
    <t>"Steine-Erden\Beton-EU-Jahr" (2015, 2020, 2030, 2050)</t>
  </si>
  <si>
    <t>"Glaswolle" (2004)</t>
  </si>
  <si>
    <t>Holzfaserdämmpatte (flexibe Matte)</t>
  </si>
  <si>
    <t>Ökobaudat</t>
  </si>
  <si>
    <r>
      <t>kg CO</t>
    </r>
    <r>
      <rPr>
        <vertAlign val="subscript"/>
        <sz val="11"/>
        <color theme="1"/>
        <rFont val="Calibri"/>
        <family val="2"/>
        <scheme val="minor"/>
      </rPr>
      <t>2</t>
    </r>
    <r>
      <rPr>
        <sz val="11"/>
        <color theme="1"/>
        <rFont val="Calibri"/>
        <family val="2"/>
        <scheme val="minor"/>
      </rPr>
      <t>-Äq./MWh</t>
    </r>
  </si>
  <si>
    <t>Konstruktionsvollholz</t>
  </si>
  <si>
    <t>Spanplatte</t>
  </si>
  <si>
    <t>"Spanplatte" (2004)</t>
  </si>
  <si>
    <t>Plastik- und Verpackungsabfall</t>
  </si>
  <si>
    <t>Papierabfall</t>
  </si>
  <si>
    <t>E-Großgeräte (Abfall)</t>
  </si>
  <si>
    <t>Metalle (Abfall)</t>
  </si>
  <si>
    <t>"Konstruktionsvollholz (Durchschnitt DE)" (2023, [A1-3]+A[5], GWP total, Dichte=492,92kg/m³)</t>
  </si>
  <si>
    <t>"Holzfaserdämmstoff flexible Matte (Durchschnitt DE)" (2023, [A1-3]+A[5], GWP total)</t>
  </si>
  <si>
    <t>Perlit</t>
  </si>
  <si>
    <t>"Perlite 0-3" (2022, A1-A3, GWP total)</t>
  </si>
  <si>
    <t>Stahlbeton Fertigteil Decke (20cm Dicke)</t>
  </si>
  <si>
    <t>"Betonfertigteil Decke, Dicke 20cm (de)" (2022, A1-A3, GWP total)</t>
  </si>
  <si>
    <t>Stahlbeton Fertigteil Wand (12cm Dicke)</t>
  </si>
  <si>
    <t>"Betonfertigteil Wand, Dicke 12cm (de)" (2022, A1-A3, GWP total)</t>
  </si>
  <si>
    <t xml:space="preserve">Stahlbeton Fertigteil Treppe (1,1 m Breite, 9 Stufen a 16 cm) </t>
  </si>
  <si>
    <t>"Betonfertigteil Treppe (1,1 m Breite, 9 Stufen a 16 cm) (de)" (2022, A1-A3, GWP total)</t>
  </si>
  <si>
    <t>"Mineralwolle (Innenausbau-Dämmung) (de)" (2022, A1-A3, GWP total)</t>
  </si>
  <si>
    <t>Mauerziegel (ungefüllt)</t>
  </si>
  <si>
    <t>"Mauerziegel (ungefüllt) (de)" (2021, A1-A3, GWP total)</t>
  </si>
  <si>
    <t>Desktop-PC mit Monitor</t>
  </si>
  <si>
    <t>"Holz-Pellett-Holzwirtsch.-Heizung-10kW-DE-Jahr" (2015, 2020, 2030, 2050)</t>
  </si>
  <si>
    <t>"Öl-Heizung-DE-Jahr" (2015, 2020, 2030, 2050)</t>
  </si>
  <si>
    <t>Erdgas</t>
  </si>
  <si>
    <t>"Holz-Pellett-Holzwirtsch.-Heizung-50kW-DE-Jahr" (2015)</t>
  </si>
  <si>
    <t xml:space="preserve">Berücksichtigung einer Jahresarbeitszahl (JAZ) von 4 </t>
  </si>
  <si>
    <t>Tabellenblatt Stommix</t>
  </si>
  <si>
    <t>"Gas-Heizung-DE-[Jahr]-car" (Jahre: 2015, 2020, 2030)</t>
  </si>
  <si>
    <t>"Solar-PV-multi-Rahmen-mit-Rack-DE-[Jahr]" (Jahre: 2015, 2020, 2030 und 2050)</t>
  </si>
  <si>
    <t>Datensatz, Hinweise</t>
  </si>
  <si>
    <t>"Organic: garden waste" (Composting)</t>
  </si>
  <si>
    <t>"Organic: food and drink waste" (Combustion)</t>
  </si>
  <si>
    <t>"Paper and board: mixed" (Combustion)</t>
  </si>
  <si>
    <t>"Muncipal Waste" (Combustion)</t>
  </si>
  <si>
    <t>"Wood" (Combustion)</t>
  </si>
  <si>
    <t>"Glass" (Combustion)</t>
  </si>
  <si>
    <t>"Metal: mixed cans" (Combustion)</t>
  </si>
  <si>
    <t>"WEEE - mixed" (Combustion)</t>
  </si>
  <si>
    <t>"Plastics: average plastics" (Combustion)</t>
  </si>
  <si>
    <t>Bauschutt</t>
  </si>
  <si>
    <t>"Tyres" (Closed-loop)</t>
  </si>
  <si>
    <t>"Average construction" (Closed-loop)</t>
  </si>
  <si>
    <t>Outgesourcte Leistungen des Rechenzentrums</t>
  </si>
  <si>
    <r>
      <t>kg CO</t>
    </r>
    <r>
      <rPr>
        <vertAlign val="subscript"/>
        <sz val="11"/>
        <color theme="1"/>
        <rFont val="Calibri"/>
        <family val="2"/>
        <scheme val="minor"/>
      </rPr>
      <t>2</t>
    </r>
    <r>
      <rPr>
        <sz val="11"/>
        <color theme="1"/>
        <rFont val="Calibri"/>
        <family val="2"/>
        <scheme val="minor"/>
      </rPr>
      <t>-Äq./kg</t>
    </r>
  </si>
  <si>
    <r>
      <t>kg CO</t>
    </r>
    <r>
      <rPr>
        <vertAlign val="subscript"/>
        <sz val="11"/>
        <color theme="1"/>
        <rFont val="Calibri"/>
        <family val="2"/>
        <scheme val="minor"/>
      </rPr>
      <t>2</t>
    </r>
    <r>
      <rPr>
        <sz val="11"/>
        <color theme="1"/>
        <rFont val="Calibri"/>
        <family val="2"/>
        <scheme val="minor"/>
      </rPr>
      <t>-Äq./Pkm</t>
    </r>
  </si>
  <si>
    <r>
      <t>kg CO</t>
    </r>
    <r>
      <rPr>
        <vertAlign val="subscript"/>
        <sz val="11"/>
        <color theme="1"/>
        <rFont val="Calibri"/>
        <family val="2"/>
        <scheme val="minor"/>
      </rPr>
      <t>2</t>
    </r>
    <r>
      <rPr>
        <sz val="11"/>
        <color theme="1"/>
        <rFont val="Calibri"/>
        <family val="2"/>
        <scheme val="minor"/>
      </rPr>
      <t>-Äq./l</t>
    </r>
  </si>
  <si>
    <r>
      <t>kg CO</t>
    </r>
    <r>
      <rPr>
        <vertAlign val="subscript"/>
        <sz val="11"/>
        <color theme="1"/>
        <rFont val="Calibri"/>
        <family val="2"/>
        <scheme val="minor"/>
      </rPr>
      <t>2</t>
    </r>
    <r>
      <rPr>
        <sz val="11"/>
        <color theme="1"/>
        <rFont val="Calibri"/>
        <family val="2"/>
        <scheme val="minor"/>
      </rPr>
      <t>-Äq./t</t>
    </r>
  </si>
  <si>
    <r>
      <t>kg CO</t>
    </r>
    <r>
      <rPr>
        <vertAlign val="subscript"/>
        <sz val="11"/>
        <color theme="1"/>
        <rFont val="Calibri"/>
        <family val="2"/>
        <scheme val="minor"/>
      </rPr>
      <t>2</t>
    </r>
    <r>
      <rPr>
        <sz val="11"/>
        <color theme="1"/>
        <rFont val="Calibri"/>
        <family val="2"/>
        <scheme val="minor"/>
      </rPr>
      <t>-Äq./Stk</t>
    </r>
  </si>
  <si>
    <r>
      <t>kg CO</t>
    </r>
    <r>
      <rPr>
        <vertAlign val="subscript"/>
        <sz val="11"/>
        <color theme="1"/>
        <rFont val="Calibri"/>
        <family val="2"/>
        <scheme val="minor"/>
      </rPr>
      <t>2</t>
    </r>
    <r>
      <rPr>
        <sz val="11"/>
        <color theme="1"/>
        <rFont val="Calibri"/>
        <family val="2"/>
        <scheme val="minor"/>
      </rPr>
      <t>-Äq./m³</t>
    </r>
  </si>
  <si>
    <r>
      <t>kg CO</t>
    </r>
    <r>
      <rPr>
        <vertAlign val="subscript"/>
        <sz val="11"/>
        <color theme="1"/>
        <rFont val="Calibri"/>
        <family val="2"/>
        <scheme val="minor"/>
      </rPr>
      <t>2</t>
    </r>
    <r>
      <rPr>
        <sz val="11"/>
        <color theme="1"/>
        <rFont val="Calibri"/>
        <family val="2"/>
        <scheme val="minor"/>
      </rPr>
      <t>-Äq./m²</t>
    </r>
  </si>
  <si>
    <t>Formel: EF(Strom)*30W/1000</t>
  </si>
  <si>
    <r>
      <t>kg CO</t>
    </r>
    <r>
      <rPr>
        <vertAlign val="subscript"/>
        <sz val="11"/>
        <color theme="1"/>
        <rFont val="Calibri"/>
        <family val="2"/>
        <scheme val="minor"/>
      </rPr>
      <t>2</t>
    </r>
    <r>
      <rPr>
        <sz val="11"/>
        <color theme="1"/>
        <rFont val="Calibri"/>
        <family val="2"/>
        <scheme val="minor"/>
      </rPr>
      <t>-Äq./GByte</t>
    </r>
  </si>
  <si>
    <t>UBA 2020: Ökologische Bewertung von Verkehrsarten - Ergebnisse für Fahrzeugherstellung, -wartung und -entsorgung (Tabelle 73)</t>
  </si>
  <si>
    <t>"Fahrrad"</t>
  </si>
  <si>
    <t>Datengüte</t>
  </si>
  <si>
    <t>Faktor</t>
  </si>
  <si>
    <t>Primärdaten und Hochrechnung</t>
  </si>
  <si>
    <t>Regionale Primärdaten</t>
  </si>
  <si>
    <t>Bundesweite Kennzahlen</t>
  </si>
  <si>
    <t>&gt; 80</t>
  </si>
  <si>
    <t>&gt; 65-80</t>
  </si>
  <si>
    <t>&gt; 50-65</t>
  </si>
  <si>
    <t>Bis 50</t>
  </si>
  <si>
    <t>A - gut belastbar</t>
  </si>
  <si>
    <t>B - belastbar</t>
  </si>
  <si>
    <t>C - relativ belastbar</t>
  </si>
  <si>
    <t>D - bedingt belastbar</t>
  </si>
  <si>
    <t>Anteilige Datengüte (%)</t>
  </si>
  <si>
    <t>Datengüte des Endergebnisses</t>
  </si>
  <si>
    <t>Dell 2021 LCA von Dockingstations: https://www.dell.com/de-de/dt/corporate/social-impact/advancing-sustainability/climate-action/product-carbon-footprints.htm#tab0=5</t>
  </si>
  <si>
    <t>Mittelwert aus WD19TBS, WD19S, WD19DCS</t>
  </si>
  <si>
    <t>t</t>
  </si>
  <si>
    <t>GByte</t>
  </si>
  <si>
    <t>Stk</t>
  </si>
  <si>
    <t>m³</t>
  </si>
  <si>
    <t>m²</t>
  </si>
  <si>
    <t>Laserdrucker</t>
  </si>
  <si>
    <t>"market for printer laser colour printer laser colour cutoff u GLO" (ReCiPe Midpoint (H))</t>
  </si>
  <si>
    <t>Ecoinvent V. 3.5 cut</t>
  </si>
  <si>
    <t>"market for toner module, laser printer, colour / toner module, laser printer, colour / cutoff, U - GLO" (ReCiPe Midpoint (H))</t>
  </si>
  <si>
    <t>Lexmark 2016 S. 8: https://csr.lexmark.com/pdfs/2.23.16/101.1_Lexmark_EPD_CS820DE.pdf</t>
  </si>
  <si>
    <t>Lexmark 2019, S. 9: https://csr.lexmark.com/env-epd_7_2464496062.pdf</t>
  </si>
  <si>
    <t>Lexmark multi-functional laser printer CS820DE "GWP Printer" (Produktion)</t>
  </si>
  <si>
    <t>Lexmark multi-functional laser printer CS421DN "GWP Printer" (Produktion)</t>
  </si>
  <si>
    <t>Lexmark multi-functional laser printer CX820DTE "GWP Printer" (Produktion)</t>
  </si>
  <si>
    <t>Multifunktionsdrucker klein (31 x 44 x 42 cm)</t>
  </si>
  <si>
    <t>Multifunktionsdrucker mittel (54 x 56 x 52 cm)</t>
  </si>
  <si>
    <t>Multifunktionsdrucker groß (114 x 65 x 59 cm)</t>
  </si>
  <si>
    <r>
      <t>t CO</t>
    </r>
    <r>
      <rPr>
        <vertAlign val="subscript"/>
        <sz val="11"/>
        <color theme="1"/>
        <rFont val="Calibri"/>
        <family val="2"/>
        <scheme val="minor"/>
      </rPr>
      <t>2</t>
    </r>
    <r>
      <rPr>
        <sz val="11"/>
        <color theme="1"/>
        <rFont val="Calibri"/>
        <family val="2"/>
        <scheme val="minor"/>
      </rPr>
      <t>-Äq.</t>
    </r>
  </si>
  <si>
    <t xml:space="preserve">Jahresarbeitszahl (JAZ): </t>
  </si>
  <si>
    <t>Fuhrpark</t>
  </si>
  <si>
    <t>Elektrischer Strom</t>
  </si>
  <si>
    <t>Wärme</t>
  </si>
  <si>
    <t>Kälte</t>
  </si>
  <si>
    <t>Abfall</t>
  </si>
  <si>
    <t>Exkursionen</t>
  </si>
  <si>
    <t>An- und Abreise von Gästen</t>
  </si>
  <si>
    <t>Studierendenreisen (Outgoing)</t>
  </si>
  <si>
    <t>Studierendenreisen (Incoming)</t>
  </si>
  <si>
    <t>Gesamtemissionen pro Person</t>
  </si>
  <si>
    <t>Gesamtemissionen pro m²</t>
  </si>
  <si>
    <r>
      <t>t CO</t>
    </r>
    <r>
      <rPr>
        <vertAlign val="subscript"/>
        <sz val="11"/>
        <color theme="1"/>
        <rFont val="Calibri"/>
        <family val="2"/>
        <scheme val="minor"/>
      </rPr>
      <t>2</t>
    </r>
    <r>
      <rPr>
        <sz val="11"/>
        <color theme="1"/>
        <rFont val="Calibri"/>
        <family val="2"/>
        <scheme val="minor"/>
      </rPr>
      <t>-Äq./Person</t>
    </r>
  </si>
  <si>
    <r>
      <t>t CO</t>
    </r>
    <r>
      <rPr>
        <vertAlign val="subscript"/>
        <sz val="11"/>
        <color theme="1"/>
        <rFont val="Calibri"/>
        <family val="2"/>
        <scheme val="minor"/>
      </rPr>
      <t>2</t>
    </r>
    <r>
      <rPr>
        <sz val="11"/>
        <color theme="1"/>
        <rFont val="Calibri"/>
        <family val="2"/>
        <scheme val="minor"/>
      </rPr>
      <t>-Äq./m²</t>
    </r>
  </si>
  <si>
    <t>Personen</t>
  </si>
  <si>
    <t>l/100km</t>
  </si>
  <si>
    <t>Diesel:</t>
  </si>
  <si>
    <t>Benzin:</t>
  </si>
  <si>
    <t>Annahme: Bj. 2009-2015, Mittelklasse, https://www.quarks.de/umwelt/klimawandel/co2-rechner-fuer-auto-flugzeug-und-co/</t>
  </si>
  <si>
    <t>Einheiten umrechnen</t>
  </si>
  <si>
    <t>2027</t>
  </si>
  <si>
    <t>2028</t>
  </si>
  <si>
    <t>2029</t>
  </si>
  <si>
    <t>Werte können auch im Tabellenblatt "Umrechnen" eingetragen werden</t>
  </si>
  <si>
    <t>Weitere Eingaben sind im Tabellenblatt "Emissionsfaktoren" notwendig</t>
  </si>
  <si>
    <t>Weitere Eingaben sind im Tabellenblatt "Strommix &amp; BHKW" notwendig</t>
  </si>
  <si>
    <t>Nichts eintragen</t>
  </si>
  <si>
    <t>Bis 2029: Bundesmix "el-mix-DE-[Jahr]" (Jahre: 2015-2021), Ab 2030 "el-mix-de-[Jahr] (KS80)" (Jahre: 2030,2050)</t>
  </si>
  <si>
    <t>Bundesmix "el-mix-DE-[Jahr]" (Jahre: 2015-2021, 2030 (LSB))</t>
  </si>
  <si>
    <t>Wird im Tabellenblatt "Umrechnen" berechnet und im Tabellenblatt "Emissionen" addiert.</t>
  </si>
  <si>
    <t>Die Bereitstellung von Wärme mittels Holzhackschnitzel in der Hausverteilung: "Holz-Stücke-Heizung-DE-[Jahr]" (Jahre: 2015, 2020 und 2030)</t>
  </si>
  <si>
    <t>Methodik:</t>
  </si>
  <si>
    <t>Sonder-Emissionsfaktoren</t>
  </si>
  <si>
    <t>für Windkraft: "Wind-KW-DE-[Jahr]_Binnenland" (Jahre: 2010, 2020 und 2030)</t>
  </si>
  <si>
    <t>Elektrischer Strom (Windkraft)</t>
  </si>
  <si>
    <t>kg CO2-Äq./MWh</t>
  </si>
  <si>
    <t>Name:</t>
  </si>
  <si>
    <t>Emissionen</t>
  </si>
  <si>
    <t xml:space="preserve">Name: </t>
  </si>
  <si>
    <t>Literverbrauch Diesel</t>
  </si>
  <si>
    <t>Literverbrauch Benzin</t>
  </si>
  <si>
    <t>Kilometer Diesel</t>
  </si>
  <si>
    <t>Kilometer Benzin</t>
  </si>
  <si>
    <t>KliMax - Auswertung</t>
  </si>
  <si>
    <t>Ergebnis (umgerechnet)</t>
  </si>
  <si>
    <t>Verkehrsmittel der Gruppen</t>
  </si>
  <si>
    <t>Zusammenfassung der Gruppen</t>
  </si>
  <si>
    <t>Wert nicht vorhanden</t>
  </si>
  <si>
    <t>s. Tabellenblatt "Strommix &amp; BHKW"</t>
  </si>
  <si>
    <t>Datengüte (Ergebnis)</t>
  </si>
  <si>
    <t>Datengüte (Faktor)</t>
  </si>
  <si>
    <t>Auswertung</t>
  </si>
  <si>
    <t>Startjahr der Zukunftsszenarien</t>
  </si>
  <si>
    <t>DR = Dienstreisen (ohne Fuhrpark)</t>
  </si>
  <si>
    <t xml:space="preserve">  </t>
  </si>
  <si>
    <t>Energieträger</t>
  </si>
  <si>
    <r>
      <t>kg CO</t>
    </r>
    <r>
      <rPr>
        <vertAlign val="subscript"/>
        <sz val="11"/>
        <color indexed="8"/>
        <rFont val="Calibri"/>
        <family val="2"/>
      </rPr>
      <t>2</t>
    </r>
    <r>
      <rPr>
        <sz val="11"/>
        <color theme="1"/>
        <rFont val="Calibri"/>
        <family val="2"/>
        <scheme val="minor"/>
      </rPr>
      <t>-Äq./MWh</t>
    </r>
  </si>
  <si>
    <t>Steinkohle</t>
  </si>
  <si>
    <t>"Kohle-Brikett-Heizung-DE-Jahr (Endenergie)" (2015, 2020)</t>
  </si>
  <si>
    <t>Braunkohle</t>
  </si>
  <si>
    <t>"Braunkohle-Brikett-Heizung-DE-Gebiet-Jahr (Endenergie)" (Gebiet: Mittelwert aus rheinisch/Lausitz) (2015, 2020)</t>
  </si>
  <si>
    <t>Heizöl</t>
  </si>
  <si>
    <t>"Öl-Heizung-DE-Jahr (Endenergie)" (2015, 2020, 2030, 2050)</t>
  </si>
  <si>
    <t>Bis 2019: " Müll-HKW-DT-DE-2015-th/car", ab 2020: "Müll-KW-DT-DE-Jahr (Endenergie 100%)" (2020, 2030)</t>
  </si>
  <si>
    <t>Biogas</t>
  </si>
  <si>
    <t>Bis 2019: "Biogas-Gülle-BHKW-GM 500-DE-2010/brutto", ab 2020: "Biogas-Gülle-BHKW 500-OxKat-Jahr/brutto" (2020, 2030)</t>
  </si>
  <si>
    <t>Biomasse</t>
  </si>
  <si>
    <t>"Holz-Pellett-Holzwirtsch.-Heizung-10kW-DE-Jahr (Endenergie)" (2015, 2020, 2030, 2050)</t>
  </si>
  <si>
    <t>Flüssiggas</t>
  </si>
  <si>
    <t>"Flüssiggas (LPG)-Heizung-DE-Jahr (Endenergie)" (2015, 2020, 2030, 2050)</t>
  </si>
  <si>
    <t>Sonstige konventionelle Energieträger</t>
  </si>
  <si>
    <t>Sonstige erneuerbare Energieträger</t>
  </si>
  <si>
    <t>1. Individueller Strommix</t>
  </si>
  <si>
    <t>2.1 Carnot-Methode</t>
  </si>
  <si>
    <t>2.2 Finnische Methode</t>
  </si>
  <si>
    <t>Einrichtungen mit unterschiedlichen Stromtarifen</t>
  </si>
  <si>
    <t>Name der Einrichtung</t>
  </si>
  <si>
    <t>Tarif</t>
  </si>
  <si>
    <t>Einrichtung 1</t>
  </si>
  <si>
    <t>Einrichtung 2</t>
  </si>
  <si>
    <t>Einrichtung 3</t>
  </si>
  <si>
    <t>Einrichtung 4</t>
  </si>
  <si>
    <t>Einrichtung 5</t>
  </si>
  <si>
    <t>Einrichtung 6</t>
  </si>
  <si>
    <t>Stromerzeugung</t>
  </si>
  <si>
    <t>Kernkraft</t>
  </si>
  <si>
    <t>Kohle</t>
  </si>
  <si>
    <t>Sonstige fossile Energieträger</t>
  </si>
  <si>
    <t>Erneuerbare Energien</t>
  </si>
  <si>
    <t>Erechneter Emissionsfaktor</t>
  </si>
  <si>
    <t>Kontrolle (100%)</t>
  </si>
  <si>
    <t>Berechnungsgrundlagen für die Emissionsfaktoren von Kohle, Erdgas und sonstige fossile Energieträger</t>
  </si>
  <si>
    <t>Ergebnis Emissionsfaktoren in kg CO2-Äq./MWh</t>
  </si>
  <si>
    <t>Quelle: Gemis V. 5.1 "El-mix-DE-Jahr" (2010, 2011, 2012, 2013, 2014, 2015, 2026, 2017, 2018, 2019, 2020, 2021, 2030 (LSB))</t>
  </si>
  <si>
    <t>Lieferant</t>
  </si>
  <si>
    <t>Kohle-KW-DT-DE-2005</t>
  </si>
  <si>
    <t>Kohle-KW-DT-DE-2010</t>
  </si>
  <si>
    <t>Kohle-KW-DT-DE-Import-2005</t>
  </si>
  <si>
    <t>Kohle-KW-DT-DE-Import-2015</t>
  </si>
  <si>
    <t>Braunkohle-KW-DT-DE-2005-rheinisch</t>
  </si>
  <si>
    <t>Braunkohle-KW-DT-DE-2010-rheinisch</t>
  </si>
  <si>
    <t>Braunkohle-KW-DT-DE-2005-ostdeutsch</t>
  </si>
  <si>
    <t>Braunkohle-KW-DT-DE-2010-Lausitz</t>
  </si>
  <si>
    <t>Gas-KW-GuD-DE-2005</t>
  </si>
  <si>
    <t>Gas-KW-GuD-DE-2015</t>
  </si>
  <si>
    <t>Gas-KW-GuD-DE-2020</t>
  </si>
  <si>
    <t>Gichtgas-KW-GT-DE-2015</t>
  </si>
  <si>
    <t>Öl-schwer-KW-DT-DE-2005</t>
  </si>
  <si>
    <t>Müll-KW-DT-DE-2000</t>
  </si>
  <si>
    <t>Müll-KW-DT-DE-2010</t>
  </si>
  <si>
    <t>Müll-KW-DT-DE-2020</t>
  </si>
  <si>
    <t>Emissionsfaktoren in kg/TJ</t>
  </si>
  <si>
    <t xml:space="preserve">Quelle: Gemis V. 5.1 </t>
  </si>
  <si>
    <t>Datensatzname (Gemis V. 5.1)</t>
  </si>
  <si>
    <t>Einordnung</t>
  </si>
  <si>
    <t>2. Institutionseigenes BHKW</t>
  </si>
  <si>
    <t>Eingabe</t>
  </si>
  <si>
    <t>Input Grunddaten</t>
  </si>
  <si>
    <t>Energieträger Input (Hu)</t>
  </si>
  <si>
    <t>Output Wärme</t>
  </si>
  <si>
    <t>Output Strom netto</t>
  </si>
  <si>
    <t>Verluste</t>
  </si>
  <si>
    <t>Netzeinspeisung Wärme</t>
  </si>
  <si>
    <t>Netzeinspeisung Strom</t>
  </si>
  <si>
    <t>Eigenverbrauch Wärme</t>
  </si>
  <si>
    <t>Eigenverbrauch Strom</t>
  </si>
  <si>
    <t>Wahl Wärmenetz</t>
  </si>
  <si>
    <t>Emissionsfaktor Input</t>
  </si>
  <si>
    <t>[kg / MWh]</t>
  </si>
  <si>
    <t xml:space="preserve">Exergiefaktoren Wärmenetze </t>
  </si>
  <si>
    <t>Dampf</t>
  </si>
  <si>
    <t>Dampfnetz</t>
  </si>
  <si>
    <t>Heißwasser</t>
  </si>
  <si>
    <t xml:space="preserve">Heißwasser z.B. 130°C zu 70°C gleitend </t>
  </si>
  <si>
    <t>Warmwasser</t>
  </si>
  <si>
    <t xml:space="preserve">Warmwasser z.B. 90°C zu 60°C </t>
  </si>
  <si>
    <t>Niedertemperatur</t>
  </si>
  <si>
    <t xml:space="preserve">Warmwasser z.B. 70°C zu 50°C </t>
  </si>
  <si>
    <t>Schritt 1: Allokation CO2 der Anlage</t>
  </si>
  <si>
    <t>Emissionen Input</t>
  </si>
  <si>
    <t>[t/a]</t>
  </si>
  <si>
    <t>Exergiefaktor Strom</t>
  </si>
  <si>
    <t>[1]</t>
  </si>
  <si>
    <t>Exergiefaktor Wärme</t>
  </si>
  <si>
    <t>Strom Exergie Anteil</t>
  </si>
  <si>
    <t>[%]</t>
  </si>
  <si>
    <t>Wärme Exergie Anteil</t>
  </si>
  <si>
    <t>Schritt 2: Strom-Wärme Emissionen</t>
  </si>
  <si>
    <t xml:space="preserve">Strom Emissionen </t>
  </si>
  <si>
    <t xml:space="preserve">Wärme Emissionen </t>
  </si>
  <si>
    <t>Schritt 3: Ermittlung Faktoren Anlage</t>
  </si>
  <si>
    <t>Ergebnisse</t>
  </si>
  <si>
    <r>
      <t>EXERGIE spez. CO</t>
    </r>
    <r>
      <rPr>
        <sz val="8"/>
        <rFont val="Calibri"/>
        <family val="2"/>
      </rPr>
      <t>2</t>
    </r>
    <r>
      <rPr>
        <sz val="12"/>
        <rFont val="Calibri"/>
        <family val="2"/>
      </rPr>
      <t xml:space="preserve"> - Faktor Wärme</t>
    </r>
    <r>
      <rPr>
        <vertAlign val="subscript"/>
        <sz val="12"/>
        <rFont val="Calibri"/>
        <family val="2"/>
      </rPr>
      <t xml:space="preserve"> SE</t>
    </r>
  </si>
  <si>
    <t>[t / MWh]</t>
  </si>
  <si>
    <t>Verluste Wärmenetz</t>
  </si>
  <si>
    <r>
      <t>EXERGIE spez. CO</t>
    </r>
    <r>
      <rPr>
        <b/>
        <sz val="8"/>
        <rFont val="Calibri"/>
        <family val="2"/>
      </rPr>
      <t>2</t>
    </r>
    <r>
      <rPr>
        <b/>
        <sz val="12"/>
        <rFont val="Calibri"/>
        <family val="2"/>
      </rPr>
      <t xml:space="preserve"> - Faktor Wärme </t>
    </r>
  </si>
  <si>
    <r>
      <t>EXERGIE spez. CO</t>
    </r>
    <r>
      <rPr>
        <b/>
        <sz val="8"/>
        <rFont val="Calibri"/>
        <family val="2"/>
      </rPr>
      <t>2</t>
    </r>
    <r>
      <rPr>
        <b/>
        <sz val="12"/>
        <rFont val="Calibri"/>
        <family val="2"/>
      </rPr>
      <t xml:space="preserve"> - Faktor Strom</t>
    </r>
  </si>
  <si>
    <t xml:space="preserve">Annahmen </t>
  </si>
  <si>
    <t>Wirkungsgrad (für alle)</t>
  </si>
  <si>
    <t>Annahme: Prof. Kati Jagnow</t>
  </si>
  <si>
    <t>ς (&lt; 500 kW)</t>
  </si>
  <si>
    <t>Quelle: Arbeitsgemeinschaft für sparsamen und umweltfreundlichen Energieverbrauch e.V. (2005): BHKW Kenndaten 2005. Abb. 2-2. Wert für: 500 kW</t>
  </si>
  <si>
    <t>ς (500 - 1.000 kW)</t>
  </si>
  <si>
    <t>Quelle: Arbeitsgemeinschaft für sparsamen und umweltfreundlichen Energieverbrauch e.V. (2005): BHKW Kenndaten 2005. Abb. 2-2. Wert für 1.000 kW</t>
  </si>
  <si>
    <t>ς (1.000 - 2.000 kW)</t>
  </si>
  <si>
    <t>Quelle: Arbeitsgemeinschaft für sparsamen und umweltfreundlichen Energieverbrauch e.V. (2005): BHKW Kenndaten 2005. Abb. 2-2. Wert für 2.000 kW</t>
  </si>
  <si>
    <t>BHKW &lt; 500 kW</t>
  </si>
  <si>
    <t>Verbrauch Erdgas BHKW</t>
  </si>
  <si>
    <t xml:space="preserve">Emissionen Erdgas </t>
  </si>
  <si>
    <t>Emissionen Stromsektor</t>
  </si>
  <si>
    <t>Emissionen Wärmesektor</t>
  </si>
  <si>
    <t>BHKW 500 - 1.000 kW</t>
  </si>
  <si>
    <t>Emissionen Erdgas</t>
  </si>
  <si>
    <t>BHKW 1.000 - 2.000 kW</t>
  </si>
  <si>
    <t>Zukunft (keine Werte eintragen)</t>
  </si>
  <si>
    <t>Bearbeiter:in:</t>
  </si>
  <si>
    <t>Nächste Aktualisierung:</t>
  </si>
  <si>
    <t>Referenzszenario Verbräuche</t>
  </si>
  <si>
    <t>Beispiel: Umstellung der Landesliegenschaften auf Windkraft</t>
  </si>
  <si>
    <t>Kennwerte</t>
  </si>
  <si>
    <t>Umweltbundesamt (2019: Ist Atomstrom wirklich CO2-frei?. Abrufbar unter: https://www.umweltbundesamt.de/service/uba-fragen/ist-atomstrom-wirklich-co2-frei (da GEMIS 5.1 ein EF=0 angibt)</t>
  </si>
  <si>
    <t>Kalkuliert mit dem Bundesstrommix ID 1</t>
  </si>
  <si>
    <t>Kalkuliert mit dem Bundesstrommix ID 1 (veränderbar), Jahresarbeitszahl (JAZ) (in Spalte W "Refz-Verbräuche" eingeben)</t>
  </si>
  <si>
    <t>Fkm</t>
  </si>
  <si>
    <t>"Reisebus" (Bezugsjahre: 2016, 2017, 2018, 2019, 2021), ab 2022 "Linienbus, Fernverkehr"</t>
  </si>
  <si>
    <t>"Linienbus" (Bezugsjahre: 2016, 2017, 2018, 2019, 2021), ab 2022 "Linienbus, Nahverkehr"</t>
  </si>
  <si>
    <t>"Eisenbahn, Nahverkehr" (Bezugsjahre: 2016, 2017, 2018, 2019, 2021, 2022)</t>
  </si>
  <si>
    <t xml:space="preserve">"Eisenbahn, Fernverkehr" (Bezugsjahre: 2016, 2017, 2018, 2019, 2021, 2022) </t>
  </si>
  <si>
    <t>"SolarKollektor-Flach-DE-Jahr" (2015, 2020, 2030, 2050)</t>
  </si>
  <si>
    <t>"Fernwärme - überwiegend Abfall KWK"</t>
  </si>
  <si>
    <t>Kalkuliert mit Ökostrom ID 10</t>
  </si>
  <si>
    <t>Berücksichtigung einer Jahresarbeitszahl (JAZ) von 4</t>
  </si>
  <si>
    <t>UBA 2020: Ökologische Bewertung von Verkehrsarten - Ergebnisse für Fahrzeugherstellung, -wartung und -entsorgung (Tabelle 73); UBA (2024): Vergleich der durchschnittlichen Emissionen einzelner Verkehrsmittel im Personenverkehr in Deutschland gemäß TREMOD 6.51. https://www.umweltbundesamt.de/themen/verkehr/emissionsdaten#verkehrsmittelvergleich</t>
  </si>
  <si>
    <t>"Fahrrad" + "E-Bike"</t>
  </si>
  <si>
    <t>"Motorisierte Zweiräder" Mittelwert aus Autobahnen, Außerortsstraßen und Innerortsstraßen</t>
  </si>
  <si>
    <t>Sektor</t>
  </si>
  <si>
    <t>Klimaschutzszenario</t>
  </si>
  <si>
    <t>Referenzszenario</t>
  </si>
  <si>
    <t>Scope 1 und 2 (Bundesmix)</t>
  </si>
  <si>
    <t>Scope 1 und 2 (Bundesmix KS80)</t>
  </si>
  <si>
    <t>Scope 1 und 2 (Regiomix)</t>
  </si>
  <si>
    <t>Scope 1 und 2  (Regiomix)</t>
  </si>
  <si>
    <t>Gesamt (Regiomix)</t>
  </si>
  <si>
    <t>Gesamt (Bundesmix)</t>
  </si>
  <si>
    <t>Gesamt (Bundemix KS80)</t>
  </si>
  <si>
    <t>2.1 Referenzszenario Bundesmix</t>
  </si>
  <si>
    <t>2.2 Referenzszenario Regiomix</t>
  </si>
  <si>
    <t>2.1 Klimasschutzzenario Bundesmix</t>
  </si>
  <si>
    <t>2.2 Klimaschutzszenario Bundesmix (KS80)</t>
  </si>
  <si>
    <t>2.3 Klimaschutzszenario Regiomix</t>
  </si>
  <si>
    <t>2.4 Eigenes Klimaschutzszenario</t>
  </si>
  <si>
    <t>Datengüte der Endenergie</t>
  </si>
  <si>
    <t>Summe Personen</t>
  </si>
  <si>
    <t>Pro-Kopf Emissionen (Bundesmix)</t>
  </si>
  <si>
    <t>Pro-Kopf Emissionen (Regiomix)</t>
  </si>
  <si>
    <t>Pro-qm Emissionen (Bundesmix)</t>
  </si>
  <si>
    <t>Pro-qm Emissionen (Regiomix)</t>
  </si>
  <si>
    <t>Ergebnis (Gewicht)</t>
  </si>
  <si>
    <r>
      <t>Beispiel: "</t>
    </r>
    <r>
      <rPr>
        <i/>
        <sz val="11"/>
        <color rgb="FF000000"/>
        <rFont val="Calibri"/>
        <family val="2"/>
        <scheme val="minor"/>
      </rPr>
      <t>Umstellung der Energieversorgung auf Windenergie, PV-Eigennutzung bleibt</t>
    </r>
    <r>
      <rPr>
        <sz val="11"/>
        <color rgb="FF000000"/>
        <rFont val="Calibri"/>
        <family val="2"/>
        <scheme val="minor"/>
      </rPr>
      <t>"</t>
    </r>
  </si>
  <si>
    <t>1.1 Referenzszenario Bundesmix</t>
  </si>
  <si>
    <t>1.2 Referenzszenario Regiomix</t>
  </si>
  <si>
    <t>1.1 Klimaschutzszenario Bundesmix</t>
  </si>
  <si>
    <r>
      <t>kg CO</t>
    </r>
    <r>
      <rPr>
        <vertAlign val="subscript"/>
        <sz val="11"/>
        <color theme="1"/>
        <rFont val="Calibri"/>
        <family val="2"/>
        <scheme val="minor"/>
      </rPr>
      <t>2</t>
    </r>
    <r>
      <rPr>
        <sz val="11"/>
        <color theme="1"/>
        <rFont val="Calibri"/>
        <family val="2"/>
        <scheme val="minor"/>
      </rPr>
      <t>-Äq./Fkm</t>
    </r>
  </si>
  <si>
    <t>Teilergebnisse</t>
  </si>
  <si>
    <t>Datensatz: Green Late Szenario, Diesel 2020 (BJ. 2020) und 2030 (Bj. 2030), Green Supreme 2050 (BJ. 2050)</t>
  </si>
  <si>
    <t>Verflechtungsmaß für verbundene Einheiten</t>
  </si>
  <si>
    <t>Handelt es sich um eine rechtlich eigenständige Organisation?</t>
  </si>
  <si>
    <t>Fehlermeldung: Bitte achten Sie darauf, dass eine Mehrfachauswahl je Frage nicht erlaubt ist!</t>
  </si>
  <si>
    <t>Finanziert sich die Einheit über Mittel der Institution?</t>
  </si>
  <si>
    <t>Ist Personal der Einheit an der Institution angestellt?</t>
  </si>
  <si>
    <t>Nutzt die Einheit die Infrastruktur der Institution?</t>
  </si>
  <si>
    <t>Führt die Einheit wesentliche Kernaufgaben für die Institution durch (bspw. bei Hochschulen: Lehrveranstaltungen)?</t>
  </si>
  <si>
    <t>Führt die Einheit Projekte zur Forschung und Entwicklung durch, die dem Ansehen der Institution dienen?</t>
  </si>
  <si>
    <t>Individueller Strommix und institutionseigenes BHKW</t>
  </si>
  <si>
    <t>3. Auswertung</t>
  </si>
  <si>
    <t>Zusatz: Unterstützende Tools zur Dateneingabe</t>
  </si>
  <si>
    <t>Für Klimaprofis</t>
  </si>
  <si>
    <t>2. Dateneingabe für Zukunftsszenarien und Datengüte</t>
  </si>
  <si>
    <t>Referenzszenario - Verbräuche</t>
  </si>
  <si>
    <t>Datenpunkt</t>
  </si>
  <si>
    <t>Datenpunkt der Endenergie</t>
  </si>
  <si>
    <r>
      <rPr>
        <sz val="11"/>
        <color theme="10"/>
        <rFont val="Calibri"/>
        <family val="2"/>
        <scheme val="minor"/>
      </rPr>
      <t xml:space="preserve">      </t>
    </r>
    <r>
      <rPr>
        <u/>
        <sz val="11"/>
        <color theme="10"/>
        <rFont val="Calibri"/>
        <family val="2"/>
        <scheme val="minor"/>
      </rPr>
      <t>2.1 Referenzszenario Bundesmix</t>
    </r>
  </si>
  <si>
    <r>
      <rPr>
        <sz val="11"/>
        <color theme="10"/>
        <rFont val="Calibri"/>
        <family val="2"/>
        <scheme val="minor"/>
      </rPr>
      <t xml:space="preserve">      </t>
    </r>
    <r>
      <rPr>
        <u/>
        <sz val="11"/>
        <color theme="10"/>
        <rFont val="Calibri"/>
        <family val="2"/>
        <scheme val="minor"/>
      </rPr>
      <t>2.2 Referenzszenario Regiomix</t>
    </r>
  </si>
  <si>
    <r>
      <rPr>
        <sz val="11"/>
        <color theme="10"/>
        <rFont val="Calibri"/>
        <family val="2"/>
        <scheme val="minor"/>
      </rPr>
      <t xml:space="preserve">      </t>
    </r>
    <r>
      <rPr>
        <u/>
        <sz val="11"/>
        <color theme="10"/>
        <rFont val="Calibri"/>
        <family val="2"/>
        <scheme val="minor"/>
      </rPr>
      <t>1.1 Referenzszenario Bundesmix</t>
    </r>
  </si>
  <si>
    <r>
      <rPr>
        <sz val="11"/>
        <color theme="10"/>
        <rFont val="Calibri"/>
        <family val="2"/>
        <scheme val="minor"/>
      </rPr>
      <t xml:space="preserve">      </t>
    </r>
    <r>
      <rPr>
        <u/>
        <sz val="11"/>
        <color theme="10"/>
        <rFont val="Calibri"/>
        <family val="2"/>
        <scheme val="minor"/>
      </rPr>
      <t>1.2 Referenzszenario Regiomix</t>
    </r>
  </si>
  <si>
    <r>
      <rPr>
        <sz val="11"/>
        <color theme="10"/>
        <rFont val="Calibri"/>
        <family val="2"/>
        <scheme val="minor"/>
      </rPr>
      <t xml:space="preserve">      </t>
    </r>
    <r>
      <rPr>
        <u/>
        <sz val="11"/>
        <color theme="10"/>
        <rFont val="Calibri"/>
        <family val="2"/>
        <scheme val="minor"/>
      </rPr>
      <t>1.1 Klimaschutzszenario Bundesmix</t>
    </r>
  </si>
  <si>
    <r>
      <rPr>
        <sz val="11"/>
        <color theme="10"/>
        <rFont val="Calibri"/>
        <family val="2"/>
        <scheme val="minor"/>
      </rPr>
      <t xml:space="preserve">      </t>
    </r>
    <r>
      <rPr>
        <u/>
        <sz val="11"/>
        <color theme="10"/>
        <rFont val="Calibri"/>
        <family val="2"/>
        <scheme val="minor"/>
      </rPr>
      <t>1.2 Klimaschutzszenario Bundesmix (KS80)</t>
    </r>
  </si>
  <si>
    <r>
      <rPr>
        <sz val="11"/>
        <color theme="10"/>
        <rFont val="Calibri"/>
        <family val="2"/>
        <scheme val="minor"/>
      </rPr>
      <t xml:space="preserve">      </t>
    </r>
    <r>
      <rPr>
        <u/>
        <sz val="11"/>
        <color theme="10"/>
        <rFont val="Calibri"/>
        <family val="2"/>
        <scheme val="minor"/>
      </rPr>
      <t>1.3 Klimaschutzszenario Regiomix</t>
    </r>
  </si>
  <si>
    <r>
      <rPr>
        <sz val="11"/>
        <color theme="10"/>
        <rFont val="Calibri"/>
        <family val="2"/>
        <scheme val="minor"/>
      </rPr>
      <t xml:space="preserve">      </t>
    </r>
    <r>
      <rPr>
        <u/>
        <sz val="11"/>
        <color theme="10"/>
        <rFont val="Calibri"/>
        <family val="2"/>
        <scheme val="minor"/>
      </rPr>
      <t>1.4 Eigenes Klimaszenario</t>
    </r>
  </si>
  <si>
    <r>
      <rPr>
        <sz val="11"/>
        <color theme="10"/>
        <rFont val="Calibri"/>
        <family val="2"/>
        <scheme val="minor"/>
      </rPr>
      <t xml:space="preserve">      </t>
    </r>
    <r>
      <rPr>
        <u/>
        <sz val="11"/>
        <color theme="10"/>
        <rFont val="Calibri"/>
        <family val="2"/>
        <scheme val="minor"/>
      </rPr>
      <t>2.1 Klimaschutzszenario Bundesmix</t>
    </r>
  </si>
  <si>
    <r>
      <rPr>
        <sz val="11"/>
        <color theme="10"/>
        <rFont val="Calibri"/>
        <family val="2"/>
        <scheme val="minor"/>
      </rPr>
      <t xml:space="preserve">      </t>
    </r>
    <r>
      <rPr>
        <u/>
        <sz val="11"/>
        <color theme="10"/>
        <rFont val="Calibri"/>
        <family val="2"/>
        <scheme val="minor"/>
      </rPr>
      <t>2.2 KlimaschutzszenarioBundesmix (KS80)</t>
    </r>
  </si>
  <si>
    <r>
      <rPr>
        <sz val="11"/>
        <color theme="10"/>
        <rFont val="Calibri"/>
        <family val="2"/>
        <scheme val="minor"/>
      </rPr>
      <t xml:space="preserve">      </t>
    </r>
    <r>
      <rPr>
        <u/>
        <sz val="11"/>
        <color theme="10"/>
        <rFont val="Calibri"/>
        <family val="2"/>
        <scheme val="minor"/>
      </rPr>
      <t>2.3 Klimaschutzszenario Regiomix</t>
    </r>
  </si>
  <si>
    <r>
      <rPr>
        <sz val="11"/>
        <color theme="10"/>
        <rFont val="Calibri"/>
        <family val="2"/>
        <scheme val="minor"/>
      </rPr>
      <t xml:space="preserve">      </t>
    </r>
    <r>
      <rPr>
        <u/>
        <sz val="11"/>
        <color theme="10"/>
        <rFont val="Calibri"/>
        <family val="2"/>
        <scheme val="minor"/>
      </rPr>
      <t>2.4 Eigenes Klimaschutzszenario</t>
    </r>
  </si>
  <si>
    <t>Aufteilung der Verkehsmittel in Kilometer (Referenzszenario)</t>
  </si>
  <si>
    <r>
      <t>Emissionen der Vekehrsmittel in t CO</t>
    </r>
    <r>
      <rPr>
        <b/>
        <sz val="8"/>
        <color theme="1"/>
        <rFont val="Calibri"/>
        <family val="2"/>
        <scheme val="minor"/>
      </rPr>
      <t>2</t>
    </r>
    <r>
      <rPr>
        <b/>
        <sz val="12"/>
        <color theme="1"/>
        <rFont val="Calibri"/>
        <family val="2"/>
        <scheme val="minor"/>
      </rPr>
      <t>-Äq. (Referenzszenario)</t>
    </r>
  </si>
  <si>
    <t>Zusammenfassung der Mobilitätssektoren in Pkm (Referenzszenario)</t>
  </si>
  <si>
    <t>Zusammenfassung Mobilitätssektoren in t CO2-Äq. (Referenzszenario)</t>
  </si>
  <si>
    <t xml:space="preserve">"Flugzeug" (Bezugsjahre: 2016, 2017, 2018, 2019, 2021, 2022) </t>
  </si>
  <si>
    <t>Wärme: Emissionsfaktoren für die Berechnung der Emissionen des institutionseigenen BHKW (Carnot-Methode)</t>
  </si>
  <si>
    <t>Klimaschutzszenarien - Emissionen</t>
  </si>
  <si>
    <t>Referenzszenarien - Emissionen</t>
  </si>
  <si>
    <t>Klimaschutzszenarien - Verbräuche</t>
  </si>
  <si>
    <r>
      <rPr>
        <sz val="11"/>
        <color theme="10"/>
        <rFont val="Calibri"/>
        <family val="2"/>
        <scheme val="minor"/>
      </rPr>
      <t xml:space="preserve">   </t>
    </r>
    <r>
      <rPr>
        <u/>
        <sz val="11"/>
        <color theme="10"/>
        <rFont val="Calibri"/>
        <family val="2"/>
        <scheme val="minor"/>
      </rPr>
      <t>1. Mobilität (Liter in Kilometer)</t>
    </r>
  </si>
  <si>
    <t>1. Mobilität (Liter in Kilometer)</t>
  </si>
  <si>
    <t>2. Papier (Blatt in Kilogramm)</t>
  </si>
  <si>
    <t>Referenzjahr:</t>
  </si>
  <si>
    <t>Annahmen</t>
  </si>
  <si>
    <t>Ausgefüllt am:</t>
  </si>
  <si>
    <t xml:space="preserve"> = "Fahrrad" + "E-Bike"</t>
  </si>
  <si>
    <t>UBA ProBas 2021, https://www.probas.umweltbundesamt.de/php/prozessdetails.php?id=%7b4AA00B29-8EB5-4695-8CE9-FF98139D48F2%7d</t>
  </si>
  <si>
    <t>UBA ProBas 2021, https://www.probas.umweltbundesamt.de/php/prozessdetails.php?id={611FF321-CDF7-456E-B8AE-A3016C1163B4}</t>
  </si>
  <si>
    <t>"Recyclingfaser, integriert"</t>
  </si>
  <si>
    <t>UBA 2022, S. 37, Abb. 6: Ökobilanz von Graphik- und Hygienepapier, aufgerufen unter: https://www.umweltbundesamt.de/sites/default/files/medien/479/publikationen/texte_123-2022_aktualisierte_oekobilanz_von_grafik-_und_hygienepapier.pdf</t>
  </si>
  <si>
    <t>Mittelwert aus "Primärfaser, integriert" und ""Primärfaser, nicht integriert"</t>
  </si>
  <si>
    <t>UBA 2022, S. 53, Abb. 22: Ökobilanz von Graphik- und Hygienepapier, aufgerufen unter: https://www.umweltbundesamt.de/sites/default/files/medien/479/publikationen/texte_123-2022_aktualisierte_oekobilanz_von_grafik-_und_hygienepapier.pdf</t>
  </si>
  <si>
    <t>UBA 2018, 2020, 2022, 2024: Vergleich der durchschnittlichen Emissionen einzelner Verkehrsmittel im Personenverkehr in Deutschland gemäß TREMOD 5.72, 5.82, 6.03, 6.21, 6.51. https://www.umweltbundesamt.de/themen/verkehr/emissionsdaten#verkehrsmittelvergleich</t>
  </si>
  <si>
    <t>UBA 2024: Analyse der Umweltbilanz von Kraftfahrzeugen mit alternativen Antrieben oder Kraftstoffen auf dem Weg zu einem treibhausgasneutralen Verkehr. S. 103 f. und Anhang (Excel), aufgerufen unter: https://www.umweltbundesamt.de/sites/default/files/medien/11850/publikationen/13_2024_texte_analyse_der_umweltbilanz_von_kraftfahrzeugen_0.pdf sowie eigene Berechnungen gemäß der jährlichen Neuzulassungen (2018-2022) aufgerufen unter: https://www.dena.de/fileadmin/dena/Publikationen/PDFs/2022/dena-Monitoringbericht_Neuzulassungen_alternativer_Antriebe_in_Deutschland_2022.pdf S. 2</t>
  </si>
  <si>
    <t>"Kältemittel R22"</t>
  </si>
  <si>
    <t>"Kältemittel R134A"</t>
  </si>
  <si>
    <t>"Kältemittel R404A"</t>
  </si>
  <si>
    <t>"Kältemittel R410A"</t>
  </si>
  <si>
    <t>ifeu 2024: BISKO</t>
  </si>
  <si>
    <t>ifeu 2024: Kommunale Energie- und THG-Bilanzen, Tabellen zu den THG-Emissionsfaktoren</t>
  </si>
  <si>
    <t>UBA 2009: ProBas, https://data.probas.umweltbundesamt.de/datasetdetail/process.xhtml?uuid=1ec0f056-3e30-464c-81b0-527406e7703a&amp;version=02.44.152&amp;stock=PUBLIC&amp;lang=de</t>
  </si>
  <si>
    <t>UBA 2009: ProBas, https://data.probas.umweltbundesamt.de/datasetdetail/process.xhtml?uuid=7d10df19-e5fe-44e0-9157-620f1084bbf7&amp;version=02.44.152&amp;stock=PUBLIC&amp;lang=de</t>
  </si>
  <si>
    <t>ifeu Annahme für Endenergie Wärme "Sonstige erneuerbare Energieträger"</t>
  </si>
  <si>
    <t>ifeu Annahme für Endenergie Wärme "Sonstige konventionelle Energieträger"</t>
  </si>
  <si>
    <t>"Computer-Monitor"</t>
  </si>
  <si>
    <t>"Laptop"</t>
  </si>
  <si>
    <t>"Desktop-PC mit Monitor"</t>
  </si>
  <si>
    <t>"Fernwärme-Heizung-DE-[Jahr]-car" (Jahre: 2015, 2020, 2030, 2050)</t>
  </si>
  <si>
    <t>UBA et. al. 2013: Carbon Footprint - Ökoinstitut + IFEU: Carbon Footprint - Teilgutachten "Monitoring für den CO2-Ausstoß in der Logistikkette". Tabelle 6 S. 32 https://www.dslv.org/fileadmin/Redaktion/PDFs/07_Publikationen/Leitfaeden/DSLV-Leitfaden_Berechnung_von_THG-Emissionen_Stand_03-2013.pdf, S. 32</t>
  </si>
  <si>
    <t>UBA, et. al. 2020: Digitaler CO2-Fußabdruck, Tab. 5-1, https://www.oeko.de/fileadmin/oekodoc/Digitaler-CO2-Fussabdruck.pdf</t>
  </si>
  <si>
    <t>Kontakt</t>
  </si>
  <si>
    <t>Werden Angehörige der Institution (bspw. Studierende) in die Aktivitäten der Einheit eingebunden?</t>
  </si>
  <si>
    <t>Jährlicher Minderungs- faktor</t>
  </si>
  <si>
    <r>
      <rPr>
        <sz val="11"/>
        <color theme="10"/>
        <rFont val="Calibri"/>
        <family val="2"/>
        <scheme val="minor"/>
      </rPr>
      <t xml:space="preserve">     </t>
    </r>
    <r>
      <rPr>
        <u/>
        <sz val="11"/>
        <color theme="10"/>
        <rFont val="Calibri"/>
        <family val="2"/>
        <scheme val="minor"/>
      </rPr>
      <t>2.1 Carnot-Methode</t>
    </r>
  </si>
  <si>
    <r>
      <rPr>
        <sz val="11"/>
        <color theme="10"/>
        <rFont val="Calibri"/>
        <family val="2"/>
        <scheme val="minor"/>
      </rPr>
      <t xml:space="preserve">     </t>
    </r>
    <r>
      <rPr>
        <u/>
        <sz val="11"/>
        <color theme="10"/>
        <rFont val="Calibri"/>
        <family val="2"/>
        <scheme val="minor"/>
      </rPr>
      <t>2.2 Finnische Methode</t>
    </r>
  </si>
  <si>
    <t>Nachfüllmenge Kältemittel (R22)</t>
  </si>
  <si>
    <t>Nachfüllmenge Kältemittel (R134A)</t>
  </si>
  <si>
    <t>Nachfüllmenge Kältemittel (R404A)</t>
  </si>
  <si>
    <t>Nachfüllmenge Kältemittel (R410A)</t>
  </si>
  <si>
    <t>Datenbasis</t>
  </si>
  <si>
    <t>Unterstützung zur Auswertung</t>
  </si>
  <si>
    <t>Datensatz: Green Late Szenario, Benzin 2020 (BJ. 2020) und 2030 (Bj. 2030), Green Supreme 2050 (BJ. 2050)</t>
  </si>
  <si>
    <t>Datensatz: Green Late Szenario, BEV 2020 (BJ. 2020) und 2030 (Bj. 2030), Green Supreme 2050 (BJ. 2050)</t>
  </si>
  <si>
    <t>Datensatz: Green Late Szenario, FCEV 2020 (BJ. 2020) und 2030 (Bj. 2030), Green Supreme 2050 (BJ. 2050)</t>
  </si>
  <si>
    <t>Datensatz: Green Late Szenario, CNG 2020 (BJ. 2020) und 2030 (Bj. 2030), Green Supreme 2050 (BJ. 2050)</t>
  </si>
  <si>
    <t>Datensatz: Green Late Szenario, PHEV 2020 (BJ. 2020) und 2030 (Bj. 2030), Green Supreme 2050 (BJ. 2050)</t>
  </si>
  <si>
    <t>"Gas-Heizung-DE-[Jahr]-(car)" (Jahre: 2015, 2020, 2030)</t>
  </si>
  <si>
    <t>Grunddaten</t>
  </si>
  <si>
    <t>Systemgrenze</t>
  </si>
  <si>
    <t>Mobilität der Institution</t>
  </si>
  <si>
    <t>Bezeichnung</t>
  </si>
  <si>
    <t>Mobilität 1</t>
  </si>
  <si>
    <t>Mobilität 2</t>
  </si>
  <si>
    <t>Mobilitätssektor</t>
  </si>
  <si>
    <t>Startseite</t>
  </si>
  <si>
    <t>Außerhalb der Institution</t>
  </si>
  <si>
    <t>Wasser</t>
  </si>
  <si>
    <t>Waren und Dienstleistungen</t>
  </si>
  <si>
    <t>Baugüter</t>
  </si>
  <si>
    <t>Waren mit negativem GWP total</t>
  </si>
  <si>
    <t>Bundesmix</t>
  </si>
  <si>
    <t>Bundesmix KS80</t>
  </si>
  <si>
    <t>BHKW</t>
  </si>
  <si>
    <t>Ökostrom</t>
  </si>
  <si>
    <t>PV-Eigennutzung</t>
  </si>
  <si>
    <t>Individueller Emissionsfaktor</t>
  </si>
  <si>
    <t>Holzhackschnitzel</t>
  </si>
  <si>
    <t>Holzpellets, 10kW/kleinere Zentralheizung</t>
  </si>
  <si>
    <t>Holzpellets, 50kW/größere Zentralheizung</t>
  </si>
  <si>
    <t>Fernwärme Mix</t>
  </si>
  <si>
    <t>Fernwärme Abfall</t>
  </si>
  <si>
    <t>Solarthermie</t>
  </si>
  <si>
    <t>Sole-Wasser-Wärmepumpe; Bundesstrommix</t>
  </si>
  <si>
    <t>Sole-Wasser-Wärmepumpe; Ökostrom</t>
  </si>
  <si>
    <t>Gesamt</t>
  </si>
  <si>
    <t>Scope 1</t>
  </si>
  <si>
    <t>Scope 2</t>
  </si>
  <si>
    <t>Scope 3</t>
  </si>
  <si>
    <t>"Solar-PV-multi-Rahmen-mit-Rack-DE-2020"</t>
  </si>
  <si>
    <t>"Gas-Heizung-DE-2020"</t>
  </si>
  <si>
    <t>"Biogas-Gülle-BHKW 500-OxKat-2020/brutto"</t>
  </si>
  <si>
    <t>Die Bereitstellung von Wärme mittels Holzhackschnitzel in der Hausverteilung: "Holz-Stücke-Heizung-DE-2020"</t>
  </si>
  <si>
    <t>"Holz-Pellett-Holzwirtsch.-Heizung-10kW-DE-2020"</t>
  </si>
  <si>
    <t>"Holz-Pellett-Holzwirtsch.-Heizung-50kW-DE-2015"</t>
  </si>
  <si>
    <t>"Öl-Heizung-DE-2020"</t>
  </si>
  <si>
    <t>"SolarKollektor-Flach-DE-2020"</t>
  </si>
  <si>
    <t>Eigene Berechnungen nach UBA 2024: Analyse der Umweltbilanz von Kraftfahrzeugen mit alternativen Antrieben oder Kraftstoffen auf dem Weg zu einem treibhausgasneutralen Verkehr. S. 103 f. und Anhang (Excel), aufgerufen unter: https://www.umweltbundesamt.de/sites/default/files/medien/11850/publikationen/13_2024_texte_analyse_der_umweltbilanz_von_kraftfahrzeugen_0.pdf sowie eigene Berechnungen gemäß der jährlichen Neuzulassungen (2018-2022) aufgerufen unter: https://www.dena.de/fileadmin/dena/Publikationen/PDFs/2022/dena-Monitoringbericht_Neuzulassungen_alternativer_Antriebe_in_Deutschland_2022.pdf S. 2</t>
  </si>
  <si>
    <t>Datensatz: Green Late Szenario, Diesel 2020 (BJ. 2020), Scope 1: Nutzungsemissionen + Kraftstoff, Scope 2: Rest</t>
  </si>
  <si>
    <t>Handlungsfeld in t CO2-Äq.</t>
  </si>
  <si>
    <t>3. Aufteilung in die Scopes (Bundesmix)</t>
  </si>
  <si>
    <t>Eigene Bemerkungen</t>
  </si>
  <si>
    <t>Von der Institution finanzierte Outgoing-Studierendenreisen (ohne Zwischenbesuche)</t>
  </si>
  <si>
    <t xml:space="preserve">Grün markierte Zellen = Eingabezellen </t>
  </si>
  <si>
    <t>→</t>
  </si>
  <si>
    <t>Navigation der Tabellenblätter</t>
  </si>
  <si>
    <t>Beginn Zukunftsszenarien:</t>
  </si>
  <si>
    <t>Allgemein</t>
  </si>
  <si>
    <r>
      <rPr>
        <sz val="11"/>
        <color theme="10"/>
        <rFont val="Calibri"/>
        <family val="2"/>
        <scheme val="minor"/>
      </rPr>
      <t xml:space="preserve">      </t>
    </r>
    <r>
      <rPr>
        <u/>
        <sz val="11"/>
        <color theme="10"/>
        <rFont val="Calibri"/>
        <family val="2"/>
        <scheme val="minor"/>
      </rPr>
      <t>Zur Navigation</t>
    </r>
  </si>
  <si>
    <t>Name der Einheit:</t>
  </si>
  <si>
    <t>Organisation:</t>
  </si>
  <si>
    <t>Kernaufgaben:</t>
  </si>
  <si>
    <t>Forschung und Entwicklung:</t>
  </si>
  <si>
    <t>Einbindung von Angehörigen der Institution:</t>
  </si>
  <si>
    <t>Personal:</t>
  </si>
  <si>
    <t>Finanzen:</t>
  </si>
  <si>
    <t>Infrastruktur:</t>
  </si>
  <si>
    <r>
      <rPr>
        <sz val="11"/>
        <color theme="10"/>
        <rFont val="Calibri"/>
        <family val="2"/>
        <scheme val="minor"/>
      </rPr>
      <t xml:space="preserve">       </t>
    </r>
    <r>
      <rPr>
        <u/>
        <sz val="11"/>
        <color theme="10"/>
        <rFont val="Calibri"/>
        <family val="2"/>
        <scheme val="minor"/>
      </rPr>
      <t>Weiter</t>
    </r>
  </si>
  <si>
    <t>Systemgrenzen der Mobilität</t>
  </si>
  <si>
    <t xml:space="preserve">      Den durchschnittlichen Verbrauch der Fahrzeuge in l/100km Diesel und Benzin können Sie bei Bedarf anpassen.</t>
  </si>
  <si>
    <t>Strommix und BHKW</t>
  </si>
  <si>
    <t>1. Teilergebnisse</t>
  </si>
  <si>
    <t>… davon Mitarbeitende*</t>
  </si>
  <si>
    <t>… davon Studierende (WS)</t>
  </si>
  <si>
    <r>
      <rPr>
        <b/>
        <sz val="11"/>
        <color theme="1"/>
        <rFont val="Calibri"/>
        <family val="2"/>
        <scheme val="minor"/>
      </rPr>
      <t>Nettofläche</t>
    </r>
    <r>
      <rPr>
        <sz val="11"/>
        <color theme="1"/>
        <rFont val="Calibri"/>
        <family val="2"/>
        <scheme val="minor"/>
      </rPr>
      <t xml:space="preserve"> (DIN 277)</t>
    </r>
  </si>
  <si>
    <t>1. Dateneingabe für die Ist-Bilanz</t>
  </si>
  <si>
    <t>2. Ist-Bilanz</t>
  </si>
  <si>
    <t xml:space="preserve">   1. Datenpunkte</t>
  </si>
  <si>
    <t xml:space="preserve">   2. Handlungsfelder</t>
  </si>
  <si>
    <t xml:space="preserve">   2. Handlungsfelder (Summe der Datenpunkte)</t>
  </si>
  <si>
    <t>Referenzszenario - Emissionen (Teilergebnisse)</t>
  </si>
  <si>
    <t>Klimaschutzszenarien - Emissionen (Teilergebnisse)</t>
  </si>
  <si>
    <t>2. Handlungsfelder</t>
  </si>
  <si>
    <t>1. Datenpunkte</t>
  </si>
  <si>
    <r>
      <rPr>
        <sz val="11"/>
        <color theme="10"/>
        <rFont val="Calibri"/>
        <family val="2"/>
        <scheme val="minor"/>
      </rPr>
      <t xml:space="preserve">   </t>
    </r>
    <r>
      <rPr>
        <u/>
        <sz val="11"/>
        <color theme="10"/>
        <rFont val="Calibri"/>
        <family val="2"/>
        <scheme val="minor"/>
      </rPr>
      <t>1. Teilergebnisse</t>
    </r>
  </si>
  <si>
    <r>
      <rPr>
        <sz val="11"/>
        <color theme="10"/>
        <rFont val="Calibri"/>
        <family val="2"/>
        <scheme val="minor"/>
      </rPr>
      <t xml:space="preserve">   </t>
    </r>
    <r>
      <rPr>
        <u/>
        <sz val="11"/>
        <color theme="10"/>
        <rFont val="Calibri"/>
        <family val="2"/>
        <scheme val="minor"/>
      </rPr>
      <t>2. Ist-Bilanz</t>
    </r>
  </si>
  <si>
    <t>Energie und Mobilität 1 (Bundesmix)</t>
  </si>
  <si>
    <t>Energie und Mobilität 1 (Regiomix)</t>
  </si>
  <si>
    <t>Energie, Kälte und Mobilität 1 (Bundesmix)</t>
  </si>
  <si>
    <t>Energie, Kälte und Mobilität 1 (Bundesmix KS80)</t>
  </si>
  <si>
    <t>Energie, Kälte und Mobilität 1 (Regiomix)</t>
  </si>
  <si>
    <t>Scope 1 und 2 (Eigenes Klimaschutzstenario)</t>
  </si>
  <si>
    <t>Energie, Kälte und Mobilität 1 (Eigenes Klimaschutzszenario)</t>
  </si>
  <si>
    <t>Gesamt (Eigenes Klimaschutzszenario)</t>
  </si>
  <si>
    <t>Anteil Gersamtmobilität an den Gesamtemissionen (Bundesmix)</t>
  </si>
  <si>
    <t>Anteil Mobilität 1 an den Gesamtemissionen (Bundesmix)</t>
  </si>
  <si>
    <t>Anteil der Gesamtmobilität an den Gesamtemissionen (Regiomix)</t>
  </si>
  <si>
    <t>Anteil Mobilität 1 an den Gesamtemissionen (Regiomix)</t>
  </si>
  <si>
    <t>Anteil der Gesamtmobilität an den Gesamtemissionen (Bundesmix)</t>
  </si>
  <si>
    <t>Anteil Gesamtmobilität an den Gesamtemissionen (Regiomix)</t>
  </si>
  <si>
    <t>Die Teilergebnisse der Datenpunkte und Handlungsfelder können in folgenden Tabellenblättern nachvollzogen werden:</t>
  </si>
  <si>
    <t>Hinweis: * Stichtag 31.12. inkl. TVL/Beamte, Hiwi/Aushilfen, Azubis und Praktikanten</t>
  </si>
  <si>
    <t>Verbundene Einheiten</t>
  </si>
  <si>
    <t>MWh/a</t>
  </si>
  <si>
    <t>t / MWh</t>
  </si>
  <si>
    <t>1.2 Klimaschutzszenario Bundesmix (KS80)</t>
  </si>
  <si>
    <t>1.3 Klimaschutzszenario Regiomix</t>
  </si>
  <si>
    <t>1.4 Eigenes Klimaschutzszenario</t>
  </si>
  <si>
    <r>
      <rPr>
        <sz val="11"/>
        <color theme="10"/>
        <rFont val="Calibri"/>
        <family val="2"/>
        <scheme val="minor"/>
      </rPr>
      <t xml:space="preserve">   </t>
    </r>
    <r>
      <rPr>
        <u/>
        <sz val="11"/>
        <color theme="10"/>
        <rFont val="Calibri"/>
        <family val="2"/>
        <scheme val="minor"/>
      </rPr>
      <t>3. Scopes</t>
    </r>
  </si>
  <si>
    <t xml:space="preserve">   2. Papier (Blatt in Kilogramm)</t>
  </si>
  <si>
    <t>Aufteilung in Scopes für das Jahr 2021 (Bundesmix)</t>
  </si>
  <si>
    <t>3. Zukunftsszenarien</t>
  </si>
  <si>
    <t>4. Mobilität</t>
  </si>
  <si>
    <t>4.1 Mobilitätsemissionen im Vergleich</t>
  </si>
  <si>
    <t>4.2 Zurückgelegte Kilometer</t>
  </si>
  <si>
    <t xml:space="preserve">4.3 Mobilitätsemissionen </t>
  </si>
  <si>
    <r>
      <rPr>
        <sz val="11"/>
        <color theme="10"/>
        <rFont val="Calibri"/>
        <family val="2"/>
        <scheme val="minor"/>
      </rPr>
      <t xml:space="preserve">   </t>
    </r>
    <r>
      <rPr>
        <u/>
        <sz val="11"/>
        <color theme="10"/>
        <rFont val="Calibri"/>
        <family val="2"/>
        <scheme val="minor"/>
      </rPr>
      <t>3. Zukunftsszenarien</t>
    </r>
  </si>
  <si>
    <r>
      <rPr>
        <sz val="11"/>
        <color theme="10"/>
        <rFont val="Calibri"/>
        <family val="2"/>
        <scheme val="minor"/>
      </rPr>
      <t xml:space="preserve">   </t>
    </r>
    <r>
      <rPr>
        <u/>
        <sz val="11"/>
        <color theme="10"/>
        <rFont val="Calibri"/>
        <family val="2"/>
        <scheme val="minor"/>
      </rPr>
      <t>4. Mobilitätsdaten</t>
    </r>
  </si>
  <si>
    <r>
      <rPr>
        <sz val="11"/>
        <color theme="10"/>
        <rFont val="Calibri"/>
        <family val="2"/>
        <scheme val="minor"/>
      </rPr>
      <t xml:space="preserve">      </t>
    </r>
    <r>
      <rPr>
        <u/>
        <sz val="11"/>
        <color theme="10"/>
        <rFont val="Calibri"/>
        <family val="2"/>
        <scheme val="minor"/>
      </rPr>
      <t>4.2 Zurückgelegte Kilometer</t>
    </r>
  </si>
  <si>
    <r>
      <rPr>
        <sz val="11"/>
        <color theme="10"/>
        <rFont val="Calibri"/>
        <family val="2"/>
        <scheme val="minor"/>
      </rPr>
      <t xml:space="preserve">      </t>
    </r>
    <r>
      <rPr>
        <u/>
        <sz val="11"/>
        <color theme="10"/>
        <rFont val="Calibri"/>
        <family val="2"/>
        <scheme val="minor"/>
      </rPr>
      <t>4.3 Mobilitätsemissionen</t>
    </r>
  </si>
  <si>
    <r>
      <rPr>
        <sz val="11"/>
        <color theme="10"/>
        <rFont val="Calibri"/>
        <family val="2"/>
        <scheme val="minor"/>
      </rPr>
      <t xml:space="preserve">      </t>
    </r>
    <r>
      <rPr>
        <u/>
        <sz val="11"/>
        <color theme="10"/>
        <rFont val="Calibri"/>
        <family val="2"/>
        <scheme val="minor"/>
      </rPr>
      <t>4.1 Mobilitätsemissionen im Vergleich</t>
    </r>
  </si>
  <si>
    <t>Für die Anzeige der Streckenangaben der einzelnen Verkehsmittel blenden Sie die Zeilen 165 bis 209 ein.</t>
  </si>
  <si>
    <t>Für die Anzeige der Emissionen der einzelnen Verkehsmittel blenden Sie die Zeilen 255 bis 269 ein. Dies ist auch erforderlich, wenn Sie alle vorgeschlagenen Diagramme nutzen wollen.</t>
  </si>
  <si>
    <t>Regionale Kennwerte und Statistiken sowie Zukunft</t>
  </si>
  <si>
    <t xml:space="preserve">Schlussfolgerung: </t>
  </si>
  <si>
    <t>Individuelle Wärmepumpe</t>
  </si>
  <si>
    <t>GEMIS V. 5.1, für Scope 3 keine Angabe vorhanden</t>
  </si>
  <si>
    <t>Bundesmix "el-mix-DE-2021", für Scope 3 keine Angabe vorhanden</t>
  </si>
  <si>
    <t>"Fernwärme-Heizung-DE-[Jahr]-car- 2020", für Scope 3 keine Angabe vorhanden</t>
  </si>
  <si>
    <t>"Fernwärme - überwiegend Abfall KWK", für Scope 3 keine Angabe vorhanden</t>
  </si>
  <si>
    <r>
      <t>Handlungsfeld in t CO</t>
    </r>
    <r>
      <rPr>
        <b/>
        <sz val="8"/>
        <color theme="0"/>
        <rFont val="Calibri"/>
        <family val="2"/>
        <scheme val="minor"/>
      </rPr>
      <t>2</t>
    </r>
    <r>
      <rPr>
        <b/>
        <sz val="11"/>
        <color theme="0"/>
        <rFont val="Calibri"/>
        <family val="2"/>
        <scheme val="minor"/>
      </rPr>
      <t xml:space="preserve">-Äq.      </t>
    </r>
  </si>
  <si>
    <r>
      <t xml:space="preserve">Emissionsfaktoren aufgeteilt in die Scopes für das Jahr </t>
    </r>
    <r>
      <rPr>
        <b/>
        <u/>
        <sz val="11"/>
        <color rgb="FF000000"/>
        <rFont val="Calibri"/>
        <family val="2"/>
      </rPr>
      <t>2021</t>
    </r>
  </si>
  <si>
    <t>Zum Handbuch (Download)</t>
  </si>
  <si>
    <t>Zum Handbuch</t>
  </si>
  <si>
    <t>In Gemis wurden bei den gelb markierten Datenpunkten keine Vorketten (hier Scope 3) angegeben.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</si>
</sst>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
    <numFmt numFmtId="170" formatCode="_-[$€-2]* #,##0.00_-;\-[$€-2]* #,##0.00_-;_-[$€-2]* &quot;-&quot;??_-"/>
    <numFmt numFmtId="171" formatCode="[&gt;0.5]#,##0;[&lt;-0.5]\-#,##0;\-"/>
    <numFmt numFmtId="172" formatCode="_-* #,##0\ _F_-;\-* #,##0\ _F_-;_-* &quot;-&quot;\ _F_-;_-@_-"/>
    <numFmt numFmtId="173" formatCode="_-* #,##0.00\ _F_-;\-* #,##0.00\ _F_-;_-* &quot;-&quot;??\ _F_-;_-@_-"/>
    <numFmt numFmtId="174" formatCode="_-* #,##0\ &quot;F&quot;_-;\-* #,##0\ &quot;F&quot;_-;_-* &quot;-&quot;\ &quot;F&quot;_-;_-@_-"/>
    <numFmt numFmtId="175" formatCode="_-* #,##0.00\ &quot;F&quot;_-;\-* #,##0.00\ &quot;F&quot;_-;_-* &quot;-&quot;??\ &quot;F&quot;_-;_-@_-"/>
    <numFmt numFmtId="176" formatCode="###.0"/>
    <numFmt numFmtId="177" formatCode="##.0"/>
    <numFmt numFmtId="178" formatCode="#,###,##0"/>
    <numFmt numFmtId="179" formatCode="#,##0.00000"/>
    <numFmt numFmtId="180" formatCode="_-* #,##0.00\ _D_M_-;\-* #,##0.00\ _D_M_-;_-* &quot;-&quot;??\ _D_M_-;_-@_-"/>
  </numFmts>
  <fonts count="142">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name val="Calibri"/>
      <family val="2"/>
      <scheme val="minor"/>
    </font>
    <font>
      <sz val="11"/>
      <color rgb="FFFF0000"/>
      <name val="Calibri"/>
      <family val="2"/>
      <scheme val="minor"/>
    </font>
    <font>
      <b/>
      <sz val="11"/>
      <color theme="0"/>
      <name val="Calibri"/>
      <family val="2"/>
      <scheme val="minor"/>
    </font>
    <font>
      <vertAlign val="subscript"/>
      <sz val="11"/>
      <color theme="1"/>
      <name val="Calibri"/>
      <family val="2"/>
      <scheme val="minor"/>
    </font>
    <font>
      <sz val="8"/>
      <name val="Calibri"/>
      <family val="2"/>
      <scheme val="minor"/>
    </font>
    <font>
      <sz val="11"/>
      <color theme="1"/>
      <name val="Calibri"/>
      <family val="2"/>
      <scheme val="minor"/>
    </font>
    <font>
      <sz val="18"/>
      <color theme="3"/>
      <name val="Calibri Light"/>
      <family val="2"/>
      <scheme val="major"/>
    </font>
    <font>
      <sz val="11"/>
      <color rgb="FF006100"/>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sz val="10"/>
      <color theme="1"/>
      <name val="Arial"/>
      <family val="2"/>
    </font>
    <font>
      <sz val="10"/>
      <name val="Arial"/>
      <family val="2"/>
    </font>
    <font>
      <u/>
      <sz val="11"/>
      <color indexed="12"/>
      <name val="Calibri"/>
      <family val="2"/>
    </font>
    <font>
      <sz val="10"/>
      <color theme="9" tint="-0.499984740745262"/>
      <name val="Arial"/>
      <family val="2"/>
    </font>
    <font>
      <i/>
      <sz val="10"/>
      <color rgb="FFFF0000"/>
      <name val="Arial"/>
      <family val="2"/>
    </font>
    <font>
      <u/>
      <sz val="10"/>
      <color theme="11"/>
      <name val="Arial"/>
      <family val="2"/>
    </font>
    <font>
      <u/>
      <sz val="11"/>
      <color theme="10"/>
      <name val="Calibri"/>
      <family val="2"/>
    </font>
    <font>
      <b/>
      <sz val="10"/>
      <color theme="0"/>
      <name val="Arial"/>
      <family val="2"/>
    </font>
    <font>
      <sz val="11"/>
      <color rgb="FF002060"/>
      <name val="Calibri"/>
      <family val="2"/>
      <scheme val="minor"/>
    </font>
    <font>
      <sz val="11"/>
      <color theme="1"/>
      <name val="Arial"/>
      <family val="2"/>
    </font>
    <font>
      <b/>
      <sz val="12"/>
      <name val="Helv"/>
    </font>
    <font>
      <sz val="12"/>
      <color indexed="10"/>
      <name val="Arial"/>
      <family val="2"/>
    </font>
    <font>
      <b/>
      <sz val="18"/>
      <color indexed="56"/>
      <name val="Cambria"/>
      <family val="2"/>
    </font>
    <font>
      <sz val="8"/>
      <name val="Helv"/>
    </font>
    <font>
      <sz val="11"/>
      <color indexed="8"/>
      <name val="Arial"/>
      <family val="2"/>
    </font>
    <font>
      <i/>
      <sz val="12"/>
      <name val="Times New Roman"/>
      <family val="1"/>
    </font>
    <font>
      <b/>
      <sz val="12"/>
      <color indexed="8"/>
      <name val="Arial"/>
      <family val="2"/>
    </font>
    <font>
      <u/>
      <sz val="10"/>
      <color indexed="12"/>
      <name val="Arial"/>
      <family val="2"/>
    </font>
    <font>
      <b/>
      <sz val="10"/>
      <color indexed="18"/>
      <name val="Arial"/>
      <family val="2"/>
    </font>
    <font>
      <sz val="12"/>
      <color indexed="62"/>
      <name val="Arial"/>
      <family val="2"/>
    </font>
    <font>
      <b/>
      <sz val="13"/>
      <color indexed="56"/>
      <name val="Arial"/>
      <family val="2"/>
    </font>
    <font>
      <sz val="12"/>
      <color indexed="8"/>
      <name val="Arial"/>
      <family val="2"/>
    </font>
    <font>
      <i/>
      <sz val="12"/>
      <color indexed="23"/>
      <name val="Arial"/>
      <family val="2"/>
    </font>
    <font>
      <sz val="14"/>
      <name val="Arial"/>
      <family val="2"/>
    </font>
    <font>
      <b/>
      <sz val="14"/>
      <name val="Helv"/>
    </font>
    <font>
      <sz val="12"/>
      <color indexed="17"/>
      <name val="Arial"/>
      <family val="2"/>
    </font>
    <font>
      <b/>
      <sz val="12"/>
      <color indexed="63"/>
      <name val="Arial"/>
      <family val="2"/>
    </font>
    <font>
      <b/>
      <sz val="9"/>
      <name val="Times New Roman"/>
      <family val="1"/>
    </font>
    <font>
      <sz val="12"/>
      <color indexed="20"/>
      <name val="Arial"/>
      <family val="2"/>
    </font>
    <font>
      <sz val="12"/>
      <color indexed="60"/>
      <name val="Arial"/>
      <family val="2"/>
    </font>
    <font>
      <b/>
      <sz val="12"/>
      <color indexed="9"/>
      <name val="Arial"/>
      <family val="2"/>
    </font>
    <font>
      <sz val="9"/>
      <name val="Times New Roman"/>
      <family val="1"/>
    </font>
    <font>
      <b/>
      <sz val="12"/>
      <color indexed="12"/>
      <name val="Arial"/>
      <family val="2"/>
    </font>
    <font>
      <b/>
      <sz val="12"/>
      <color indexed="52"/>
      <name val="Arial"/>
      <family val="2"/>
    </font>
    <font>
      <sz val="12"/>
      <color indexed="9"/>
      <name val="Arial"/>
      <family val="2"/>
    </font>
    <font>
      <sz val="10"/>
      <name val="Arial Cyr"/>
      <charset val="204"/>
    </font>
    <font>
      <sz val="12"/>
      <color indexed="52"/>
      <name val="Arial"/>
      <family val="2"/>
    </font>
    <font>
      <b/>
      <sz val="10"/>
      <color indexed="8"/>
      <name val="Arial"/>
      <family val="2"/>
    </font>
    <font>
      <b/>
      <sz val="15"/>
      <color indexed="56"/>
      <name val="Arial"/>
      <family val="2"/>
    </font>
    <font>
      <b/>
      <sz val="11"/>
      <color indexed="56"/>
      <name val="Arial"/>
      <family val="2"/>
    </font>
    <font>
      <sz val="10"/>
      <name val="Times New Roman"/>
      <family val="1"/>
    </font>
    <font>
      <u/>
      <sz val="10"/>
      <color theme="10"/>
      <name val="Arial"/>
      <family val="2"/>
    </font>
    <font>
      <b/>
      <sz val="14"/>
      <color theme="1"/>
      <name val="Calibri"/>
      <family val="2"/>
      <scheme val="minor"/>
    </font>
    <font>
      <sz val="10"/>
      <color indexed="8"/>
      <name val="Arial"/>
      <family val="2"/>
    </font>
    <font>
      <sz val="11"/>
      <color theme="9" tint="-0.499984740745262"/>
      <name val="Calibri"/>
      <family val="2"/>
      <scheme val="minor"/>
    </font>
    <font>
      <b/>
      <sz val="11"/>
      <name val="Calibri"/>
      <family val="2"/>
      <scheme val="minor"/>
    </font>
    <font>
      <sz val="11"/>
      <color rgb="FF7030A0"/>
      <name val="Calibri"/>
      <family val="2"/>
      <scheme val="minor"/>
    </font>
    <font>
      <i/>
      <sz val="11"/>
      <color theme="1"/>
      <name val="Calibri"/>
      <family val="2"/>
      <scheme val="minor"/>
    </font>
    <font>
      <sz val="11"/>
      <color theme="5" tint="-0.249977111117893"/>
      <name val="Calibri"/>
      <family val="2"/>
      <scheme val="minor"/>
    </font>
    <font>
      <b/>
      <sz val="12"/>
      <color rgb="FFFF0000"/>
      <name val="Calibri"/>
      <family val="2"/>
      <scheme val="minor"/>
    </font>
    <font>
      <sz val="11"/>
      <color theme="7" tint="-0.499984740745262"/>
      <name val="Calibri"/>
      <family val="2"/>
      <scheme val="minor"/>
    </font>
    <font>
      <b/>
      <sz val="11"/>
      <color theme="5" tint="-0.249977111117893"/>
      <name val="Calibri"/>
      <family val="2"/>
      <scheme val="minor"/>
    </font>
    <font>
      <b/>
      <sz val="11"/>
      <color theme="7" tint="-0.499984740745262"/>
      <name val="Calibri"/>
      <family val="2"/>
      <scheme val="minor"/>
    </font>
    <font>
      <b/>
      <sz val="11"/>
      <color rgb="FF7030A0"/>
      <name val="Calibri"/>
      <family val="2"/>
      <scheme val="minor"/>
    </font>
    <font>
      <b/>
      <sz val="11"/>
      <color rgb="FFFF0000"/>
      <name val="Calibri"/>
      <family val="2"/>
      <scheme val="minor"/>
    </font>
    <font>
      <sz val="12"/>
      <color theme="1"/>
      <name val="Calibri"/>
      <family val="2"/>
      <scheme val="minor"/>
    </font>
    <font>
      <vertAlign val="subscript"/>
      <sz val="11"/>
      <color indexed="8"/>
      <name val="Calibri"/>
      <family val="2"/>
    </font>
    <font>
      <sz val="9"/>
      <color indexed="81"/>
      <name val="Segoe UI"/>
      <family val="2"/>
    </font>
    <font>
      <b/>
      <sz val="9"/>
      <color indexed="81"/>
      <name val="Segoe UI"/>
      <family val="2"/>
    </font>
    <font>
      <b/>
      <sz val="14"/>
      <name val="Calibri"/>
      <family val="2"/>
      <scheme val="minor"/>
    </font>
    <font>
      <b/>
      <sz val="12"/>
      <name val="Calibri"/>
      <family val="2"/>
      <scheme val="minor"/>
    </font>
    <font>
      <sz val="12"/>
      <name val="Calibri"/>
      <family val="2"/>
      <scheme val="minor"/>
    </font>
    <font>
      <b/>
      <sz val="8"/>
      <color indexed="81"/>
      <name val="Tahoma"/>
      <family val="2"/>
    </font>
    <font>
      <sz val="8"/>
      <color indexed="81"/>
      <name val="Tahoma"/>
      <family val="2"/>
    </font>
    <font>
      <sz val="12"/>
      <color theme="1" tint="4.9989318521683403E-2"/>
      <name val="Calibri"/>
      <family val="2"/>
      <scheme val="minor"/>
    </font>
    <font>
      <sz val="8"/>
      <name val="Calibri"/>
      <family val="2"/>
    </font>
    <font>
      <sz val="12"/>
      <name val="Calibri"/>
      <family val="2"/>
    </font>
    <font>
      <vertAlign val="subscript"/>
      <sz val="12"/>
      <name val="Calibri"/>
      <family val="2"/>
    </font>
    <font>
      <b/>
      <sz val="8"/>
      <name val="Calibri"/>
      <family val="2"/>
    </font>
    <font>
      <b/>
      <sz val="12"/>
      <name val="Calibri"/>
      <family val="2"/>
    </font>
    <font>
      <b/>
      <sz val="9"/>
      <color indexed="81"/>
      <name val="Tahoma"/>
      <family val="2"/>
    </font>
    <font>
      <sz val="9"/>
      <color indexed="81"/>
      <name val="Tahoma"/>
      <family val="2"/>
    </font>
    <font>
      <sz val="11"/>
      <color rgb="FF000000"/>
      <name val="Calibri"/>
      <family val="2"/>
      <scheme val="minor"/>
    </font>
    <font>
      <i/>
      <sz val="11"/>
      <color rgb="FF000000"/>
      <name val="Calibri"/>
      <family val="2"/>
      <scheme val="minor"/>
    </font>
    <font>
      <b/>
      <sz val="12"/>
      <color theme="0"/>
      <name val="Calibri"/>
      <family val="2"/>
      <scheme val="minor"/>
    </font>
    <font>
      <sz val="11"/>
      <color theme="10"/>
      <name val="Calibri"/>
      <family val="2"/>
      <scheme val="minor"/>
    </font>
    <font>
      <b/>
      <sz val="8"/>
      <color theme="1"/>
      <name val="Calibri"/>
      <family val="2"/>
      <scheme val="minor"/>
    </font>
    <font>
      <sz val="12"/>
      <color theme="0"/>
      <name val="Calibri"/>
      <family val="2"/>
      <scheme val="minor"/>
    </font>
    <font>
      <sz val="8"/>
      <color rgb="FF000000"/>
      <name val="Segoe UI"/>
      <family val="2"/>
    </font>
    <font>
      <sz val="11"/>
      <color rgb="FFA7C539"/>
      <name val="Calibri"/>
      <family val="2"/>
      <scheme val="minor"/>
    </font>
    <font>
      <b/>
      <sz val="11"/>
      <color rgb="FF000000"/>
      <name val="Calibri"/>
      <family val="2"/>
    </font>
    <font>
      <sz val="11"/>
      <color theme="1"/>
      <name val="Calibri"/>
      <family val="2"/>
    </font>
    <font>
      <b/>
      <sz val="11"/>
      <color rgb="FFFFFFFF"/>
      <name val="Calibri"/>
      <family val="2"/>
    </font>
    <font>
      <sz val="11"/>
      <name val="Calibri"/>
      <family val="2"/>
    </font>
    <font>
      <sz val="12"/>
      <color theme="1"/>
      <name val="Futura BkBT"/>
      <family val="2"/>
    </font>
    <font>
      <sz val="11"/>
      <color indexed="8"/>
      <name val="ＭＳ Ｐゴシック"/>
      <family val="3"/>
      <charset val="128"/>
    </font>
    <font>
      <sz val="12"/>
      <color theme="0"/>
      <name val="Futura BkBT"/>
      <family val="2"/>
    </font>
    <font>
      <sz val="11"/>
      <color indexed="9"/>
      <name val="ＭＳ Ｐゴシック"/>
      <family val="3"/>
      <charset val="128"/>
    </font>
    <font>
      <b/>
      <sz val="12"/>
      <color rgb="FF3F3F3F"/>
      <name val="Futura BkBT"/>
      <family val="2"/>
    </font>
    <font>
      <b/>
      <sz val="12"/>
      <color rgb="FFFA7D00"/>
      <name val="Futura BkBT"/>
      <family val="2"/>
    </font>
    <font>
      <sz val="12"/>
      <color rgb="FF3F3F76"/>
      <name val="Futura BkBT"/>
      <family val="2"/>
    </font>
    <font>
      <b/>
      <sz val="12"/>
      <color theme="1"/>
      <name val="Futura BkBT"/>
      <family val="2"/>
    </font>
    <font>
      <i/>
      <sz val="12"/>
      <color rgb="FF7F7F7F"/>
      <name val="Futura BkBT"/>
      <family val="2"/>
    </font>
    <font>
      <sz val="12"/>
      <color rgb="FF006100"/>
      <name val="Futura BkBT"/>
      <family val="2"/>
    </font>
    <font>
      <sz val="12"/>
      <color rgb="FF9C6500"/>
      <name val="Futura BkBT"/>
      <family val="2"/>
    </font>
    <font>
      <sz val="10"/>
      <name val="Arial"/>
      <family val="2"/>
      <charset val="238"/>
    </font>
    <font>
      <sz val="12"/>
      <color rgb="FF9C0006"/>
      <name val="Futura BkBT"/>
      <family val="2"/>
    </font>
    <font>
      <sz val="10"/>
      <name val="Futura Bk BT"/>
      <family val="2"/>
    </font>
    <font>
      <sz val="12"/>
      <color theme="1"/>
      <name val="Futura Bk Bt"/>
      <family val="2"/>
    </font>
    <font>
      <b/>
      <sz val="15"/>
      <color theme="3"/>
      <name val="Futura BkBT"/>
      <family val="2"/>
    </font>
    <font>
      <b/>
      <sz val="13"/>
      <color theme="3"/>
      <name val="Futura BkBT"/>
      <family val="2"/>
    </font>
    <font>
      <b/>
      <sz val="11"/>
      <color theme="3"/>
      <name val="Futura BkBT"/>
      <family val="2"/>
    </font>
    <font>
      <sz val="12"/>
      <color rgb="FFFA7D00"/>
      <name val="Futura BkBT"/>
      <family val="2"/>
    </font>
    <font>
      <sz val="12"/>
      <color rgb="FFFF0000"/>
      <name val="Futura BkBT"/>
      <family val="2"/>
    </font>
    <font>
      <b/>
      <sz val="12"/>
      <color theme="0"/>
      <name val="Futura BkBT"/>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b/>
      <sz val="16"/>
      <name val="Calibri"/>
      <family val="2"/>
      <scheme val="minor"/>
    </font>
    <font>
      <b/>
      <sz val="11"/>
      <color rgb="FF000000"/>
      <name val="Calibri"/>
      <family val="2"/>
      <scheme val="minor"/>
    </font>
    <font>
      <sz val="11"/>
      <color theme="9" tint="-0.249977111117893"/>
      <name val="Calibri"/>
      <family val="2"/>
      <scheme val="minor"/>
    </font>
    <font>
      <u/>
      <sz val="11"/>
      <color theme="0"/>
      <name val="Calibri"/>
      <family val="2"/>
      <scheme val="minor"/>
    </font>
    <font>
      <sz val="11"/>
      <color theme="3"/>
      <name val="Calibri"/>
      <family val="2"/>
      <scheme val="minor"/>
    </font>
    <font>
      <b/>
      <sz val="8"/>
      <color theme="0"/>
      <name val="Calibri"/>
      <family val="2"/>
      <scheme val="minor"/>
    </font>
    <font>
      <b/>
      <u/>
      <sz val="11"/>
      <color rgb="FF000000"/>
      <name val="Calibri"/>
      <family val="2"/>
    </font>
  </fonts>
  <fills count="10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4"/>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99FF"/>
        <bgColor indexed="64"/>
      </patternFill>
    </fill>
    <fill>
      <patternFill patternType="solid">
        <fgColor theme="7" tint="0.39997558519241921"/>
        <bgColor rgb="FF000000"/>
      </patternFill>
    </fill>
    <fill>
      <patternFill patternType="solid">
        <fgColor rgb="FFFFFF99"/>
        <bgColor indexed="64"/>
      </patternFill>
    </fill>
    <fill>
      <patternFill patternType="solid">
        <fgColor rgb="FF92D050"/>
        <bgColor indexed="64"/>
      </patternFill>
    </fill>
    <fill>
      <patternFill patternType="solid">
        <fgColor rgb="FF002060"/>
        <bgColor indexed="64"/>
      </patternFill>
    </fill>
    <fill>
      <patternFill patternType="solid">
        <fgColor theme="4" tint="0.79998168889431442"/>
        <bgColor rgb="FF000000"/>
      </patternFill>
    </fill>
    <fill>
      <patternFill patternType="solid">
        <fgColor rgb="FFFFFF99"/>
        <bgColor rgb="FF000000"/>
      </patternFill>
    </fill>
    <fill>
      <patternFill patternType="solid">
        <fgColor indexed="45"/>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1"/>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31"/>
        <bgColor indexed="64"/>
      </patternFill>
    </fill>
    <fill>
      <patternFill patternType="solid">
        <fgColor indexed="52"/>
        <bgColor indexed="64"/>
      </patternFill>
    </fill>
    <fill>
      <patternFill patternType="solid">
        <fgColor indexed="47"/>
        <bgColor indexed="64"/>
      </patternFill>
    </fill>
    <fill>
      <patternFill patternType="solid">
        <fgColor indexed="27"/>
        <bgColor indexed="64"/>
      </patternFill>
    </fill>
    <fill>
      <patternFill patternType="solid">
        <fgColor indexed="55"/>
        <bgColor indexed="64"/>
      </patternFill>
    </fill>
    <fill>
      <patternFill patternType="solid">
        <fgColor indexed="29"/>
        <bgColor indexed="64"/>
      </patternFill>
    </fill>
    <fill>
      <patternFill patternType="solid">
        <fgColor indexed="30"/>
        <bgColor indexed="64"/>
      </patternFill>
    </fill>
    <fill>
      <patternFill patternType="solid">
        <fgColor indexed="36"/>
        <bgColor indexed="64"/>
      </patternFill>
    </fill>
    <fill>
      <patternFill patternType="solid">
        <fgColor indexed="62"/>
        <bgColor indexed="64"/>
      </patternFill>
    </fill>
    <fill>
      <patternFill patternType="solid">
        <fgColor indexed="10"/>
        <bgColor indexed="64"/>
      </patternFill>
    </fill>
    <fill>
      <patternFill patternType="solid">
        <fgColor indexed="46"/>
        <bgColor indexed="64"/>
      </patternFill>
    </fill>
    <fill>
      <patternFill patternType="solid">
        <fgColor indexed="26"/>
        <bgColor indexed="64"/>
      </patternFill>
    </fill>
    <fill>
      <patternFill patternType="gray0625">
        <fgColor indexed="9"/>
      </patternFill>
    </fill>
    <fill>
      <patternFill patternType="solid">
        <fgColor indexed="53"/>
        <bgColor indexed="64"/>
      </patternFill>
    </fill>
    <fill>
      <patternFill patternType="solid">
        <fgColor indexed="49"/>
        <bgColor indexed="64"/>
      </patternFill>
    </fill>
    <fill>
      <patternFill patternType="lightGray">
        <fgColor indexed="9"/>
      </patternFill>
    </fill>
    <fill>
      <patternFill patternType="darkDown">
        <bgColor rgb="FFD9D9D9"/>
      </patternFill>
    </fill>
    <fill>
      <patternFill patternType="solid">
        <fgColor theme="4" tint="0.79998168889431442"/>
        <bgColor theme="4" tint="0.79998168889431442"/>
      </patternFill>
    </fill>
    <fill>
      <patternFill patternType="solid">
        <fgColor theme="2"/>
        <bgColor theme="4" tint="0.79998168889431442"/>
      </patternFill>
    </fill>
    <fill>
      <patternFill patternType="solid">
        <fgColor rgb="FFFFC000"/>
        <bgColor theme="4" tint="0.79998168889431442"/>
      </patternFill>
    </fill>
    <fill>
      <patternFill patternType="solid">
        <fgColor rgb="FFA7C539"/>
        <bgColor indexed="64"/>
      </patternFill>
    </fill>
    <fill>
      <patternFill patternType="solid">
        <fgColor rgb="FFA7C539"/>
        <bgColor theme="4" tint="0.79998168889431442"/>
      </patternFill>
    </fill>
    <fill>
      <patternFill patternType="solid">
        <fgColor theme="0" tint="-0.14999847407452621"/>
        <bgColor indexed="64"/>
      </patternFill>
    </fill>
    <fill>
      <patternFill patternType="solid">
        <fgColor theme="4"/>
        <bgColor indexed="64"/>
      </patternFill>
    </fill>
    <fill>
      <patternFill patternType="solid">
        <fgColor rgb="FFFFC000"/>
        <bgColor indexed="64"/>
      </patternFill>
    </fill>
    <fill>
      <patternFill patternType="solid">
        <fgColor rgb="FF7030A0"/>
        <bgColor indexed="64"/>
      </patternFill>
    </fill>
    <fill>
      <patternFill patternType="solid">
        <fgColor rgb="FF4472C4"/>
        <bgColor rgb="FF4472C4"/>
      </patternFill>
    </fill>
    <fill>
      <patternFill patternType="solid">
        <fgColor rgb="FFA7C539"/>
        <bgColor rgb="FF000000"/>
      </patternFill>
    </fill>
    <fill>
      <patternFill patternType="solid">
        <fgColor rgb="FFFFCC99"/>
      </patternFill>
    </fill>
    <fill>
      <patternFill patternType="solid">
        <fgColor rgb="FFF2F2F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5" tint="0.59999389629810485"/>
        <bgColor indexed="64"/>
      </patternFill>
    </fill>
    <fill>
      <patternFill patternType="solid">
        <fgColor theme="7"/>
        <bgColor indexed="64"/>
      </patternFill>
    </fill>
    <fill>
      <patternFill patternType="solid">
        <fgColor rgb="FFFFFF0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n">
        <color rgb="FF053D5F"/>
      </right>
      <top style="thin">
        <color rgb="FF053D5F"/>
      </top>
      <bottom style="thin">
        <color rgb="FF053D5F"/>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style="double">
        <color theme="0"/>
      </right>
      <top/>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thin">
        <color theme="4"/>
      </top>
      <bottom/>
      <diagonal/>
    </border>
    <border>
      <left/>
      <right/>
      <top style="thin">
        <color rgb="FF4472C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thin">
        <color theme="4"/>
      </left>
      <right/>
      <top style="thin">
        <color theme="4"/>
      </top>
      <bottom/>
      <diagonal/>
    </border>
    <border>
      <left/>
      <right/>
      <top style="thin">
        <color theme="4"/>
      </top>
      <bottom style="thin">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4"/>
      </right>
      <top style="thin">
        <color theme="4"/>
      </top>
      <bottom/>
      <diagonal/>
    </border>
    <border>
      <left/>
      <right style="thin">
        <color theme="4"/>
      </right>
      <top style="thin">
        <color theme="4"/>
      </top>
      <bottom style="thin">
        <color theme="4"/>
      </bottom>
      <diagonal/>
    </border>
    <border>
      <left/>
      <right/>
      <top style="thin">
        <color theme="8" tint="-0.249977111117893"/>
      </top>
      <bottom/>
      <diagonal/>
    </border>
    <border>
      <left style="thin">
        <color theme="8" tint="-0.249977111117893"/>
      </left>
      <right/>
      <top/>
      <bottom/>
      <diagonal/>
    </border>
    <border>
      <left/>
      <right/>
      <top/>
      <bottom style="thin">
        <color theme="4"/>
      </bottom>
      <diagonal/>
    </border>
    <border>
      <left style="thin">
        <color theme="8" tint="-0.249977111117893"/>
      </left>
      <right/>
      <top style="thin">
        <color theme="8" tint="-0.249977111117893"/>
      </top>
      <bottom/>
      <diagonal/>
    </border>
    <border>
      <left style="thin">
        <color theme="8" tint="-0.249977111117893"/>
      </left>
      <right/>
      <top/>
      <bottom style="thin">
        <color theme="4"/>
      </bottom>
      <diagonal/>
    </border>
    <border>
      <left style="thin">
        <color theme="8" tint="-0.249977111117893"/>
      </left>
      <right style="thin">
        <color theme="8" tint="-0.249977111117893"/>
      </right>
      <top style="thin">
        <color theme="8" tint="-0.249977111117893"/>
      </top>
      <bottom/>
      <diagonal/>
    </border>
    <border>
      <left style="thin">
        <color theme="8" tint="-0.249977111117893"/>
      </left>
      <right style="thin">
        <color theme="8" tint="-0.249977111117893"/>
      </right>
      <top/>
      <bottom style="thin">
        <color theme="8" tint="-0.249977111117893"/>
      </bottom>
      <diagonal/>
    </border>
    <border>
      <left style="double">
        <color theme="0"/>
      </left>
      <right style="double">
        <color theme="0"/>
      </right>
      <top/>
      <bottom/>
      <diagonal/>
    </border>
    <border>
      <left/>
      <right/>
      <top style="thin">
        <color rgb="FF0070C0"/>
      </top>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double">
        <color theme="0"/>
      </left>
      <right/>
      <top style="double">
        <color theme="0"/>
      </top>
      <bottom/>
      <diagonal/>
    </border>
    <border>
      <left/>
      <right/>
      <top style="double">
        <color theme="0"/>
      </top>
      <bottom/>
      <diagonal/>
    </border>
    <border>
      <left/>
      <right/>
      <top/>
      <bottom style="thin">
        <color theme="0"/>
      </bottom>
      <diagonal/>
    </border>
    <border>
      <left/>
      <right/>
      <top/>
      <bottom style="thin">
        <color indexed="64"/>
      </bottom>
      <diagonal/>
    </border>
  </borders>
  <cellStyleXfs count="1449">
    <xf numFmtId="4" fontId="0" fillId="0" borderId="0"/>
    <xf numFmtId="0" fontId="2" fillId="0" borderId="0" applyNumberFormat="0" applyFill="0" applyBorder="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6" fillId="8" borderId="2" applyNumberFormat="0" applyAlignment="0" applyProtection="0"/>
    <xf numFmtId="0" fontId="14"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14"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14"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14"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14"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14"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5" fillId="0" borderId="0"/>
    <xf numFmtId="0" fontId="18" fillId="35" borderId="7" applyNumberFormat="0" applyProtection="0">
      <alignment vertical="center"/>
    </xf>
    <xf numFmtId="165" fontId="15" fillId="0" borderId="0" applyFon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9" fillId="0" borderId="0"/>
    <xf numFmtId="0" fontId="9" fillId="0" borderId="0"/>
    <xf numFmtId="0" fontId="16" fillId="0" borderId="0"/>
    <xf numFmtId="0" fontId="15" fillId="0" borderId="0"/>
    <xf numFmtId="0" fontId="16" fillId="39" borderId="10" applyNumberFormat="0" applyProtection="0">
      <alignment vertical="center"/>
    </xf>
    <xf numFmtId="0" fontId="41" fillId="43" borderId="13" applyNumberFormat="0" applyAlignment="0" applyProtection="0"/>
    <xf numFmtId="0" fontId="9" fillId="0" borderId="0"/>
    <xf numFmtId="0" fontId="16" fillId="34" borderId="6" applyNumberFormat="0" applyAlignment="0" applyProtection="0"/>
    <xf numFmtId="165" fontId="15" fillId="0" borderId="0" applyFont="0" applyFill="0" applyBorder="0" applyAlignment="0" applyProtection="0"/>
    <xf numFmtId="0" fontId="20" fillId="0" borderId="0" applyNumberFormat="0" applyFill="0" applyBorder="0" applyAlignment="0" applyProtection="0"/>
    <xf numFmtId="0" fontId="16" fillId="36" borderId="1" applyNumberFormat="0" applyBorder="0" applyAlignment="0" applyProtection="0"/>
    <xf numFmtId="0" fontId="16" fillId="40" borderId="0">
      <alignment vertical="center"/>
    </xf>
    <xf numFmtId="0" fontId="16" fillId="37" borderId="8" applyNumberFormat="0" applyAlignment="0" applyProtection="0"/>
    <xf numFmtId="0" fontId="15" fillId="9" borderId="3" applyNumberFormat="0" applyFont="0" applyAlignment="0" applyProtection="0"/>
    <xf numFmtId="0" fontId="22" fillId="38" borderId="9" applyNumberFormat="0" applyAlignment="0" applyProtection="0"/>
    <xf numFmtId="9" fontId="24" fillId="0" borderId="0" applyFont="0" applyFill="0" applyBorder="0" applyAlignment="0" applyProtection="0"/>
    <xf numFmtId="0" fontId="44" fillId="42" borderId="0" applyNumberFormat="0" applyBorder="0" applyAlignment="0" applyProtection="0"/>
    <xf numFmtId="0" fontId="22" fillId="3" borderId="0" applyNumberFormat="0" applyBorder="0" applyAlignment="0" applyProtection="0"/>
    <xf numFmtId="0" fontId="39" fillId="0" borderId="0">
      <alignment horizontal="left" vertical="top"/>
    </xf>
    <xf numFmtId="0" fontId="28" fillId="0" borderId="0">
      <alignment horizontal="left"/>
    </xf>
    <xf numFmtId="13" fontId="16" fillId="0" borderId="0" applyFont="0" applyFill="0" applyProtection="0"/>
    <xf numFmtId="0" fontId="32" fillId="0" borderId="0" applyNumberFormat="0" applyFill="0" applyBorder="0" applyAlignment="0" applyProtection="0">
      <alignment vertical="top"/>
      <protection locked="0"/>
    </xf>
    <xf numFmtId="0" fontId="36" fillId="41" borderId="0" applyNumberFormat="0" applyBorder="0" applyAlignment="0" applyProtection="0"/>
    <xf numFmtId="0" fontId="36" fillId="45" borderId="0" applyNumberFormat="0" applyBorder="0" applyAlignment="0" applyProtection="0"/>
    <xf numFmtId="0" fontId="9" fillId="0" borderId="0"/>
    <xf numFmtId="0" fontId="49" fillId="47" borderId="0" applyNumberFormat="0" applyBorder="0" applyAlignment="0" applyProtection="0"/>
    <xf numFmtId="0" fontId="49" fillId="48" borderId="0" applyNumberFormat="0" applyBorder="0" applyAlignment="0" applyProtection="0"/>
    <xf numFmtId="0" fontId="36" fillId="49" borderId="0" applyNumberFormat="0" applyBorder="0" applyAlignment="0" applyProtection="0"/>
    <xf numFmtId="0" fontId="36" fillId="48" borderId="0" applyNumberFormat="0" applyBorder="0" applyAlignment="0" applyProtection="0"/>
    <xf numFmtId="0" fontId="49" fillId="50" borderId="0" applyNumberFormat="0" applyBorder="0" applyAlignment="0" applyProtection="0"/>
    <xf numFmtId="0" fontId="24" fillId="0" borderId="0"/>
    <xf numFmtId="0" fontId="36" fillId="46" borderId="0" applyNumberFormat="0" applyBorder="0" applyAlignment="0" applyProtection="0"/>
    <xf numFmtId="0" fontId="31" fillId="0" borderId="14" applyNumberFormat="0" applyFill="0" applyAlignment="0" applyProtection="0"/>
    <xf numFmtId="176" fontId="16" fillId="0" borderId="0" applyFont="0" applyFill="0" applyBorder="0" applyAlignment="0" applyProtection="0">
      <alignment horizontal="left"/>
    </xf>
    <xf numFmtId="9" fontId="24" fillId="0" borderId="0" applyFont="0" applyFill="0" applyBorder="0" applyAlignment="0" applyProtection="0"/>
    <xf numFmtId="0" fontId="48" fillId="43" borderId="15" applyNumberFormat="0" applyAlignment="0" applyProtection="0"/>
    <xf numFmtId="0" fontId="36" fillId="44" borderId="0" applyNumberFormat="0" applyBorder="0" applyAlignment="0" applyProtection="0"/>
    <xf numFmtId="0" fontId="36" fillId="41" borderId="0" applyNumberFormat="0" applyBorder="0" applyAlignment="0" applyProtection="0"/>
    <xf numFmtId="0" fontId="16" fillId="0" borderId="0"/>
    <xf numFmtId="0" fontId="54" fillId="0" borderId="0" applyNumberFormat="0" applyFill="0" applyBorder="0" applyAlignment="0" applyProtection="0"/>
    <xf numFmtId="0" fontId="36" fillId="44" borderId="0" applyNumberFormat="0" applyBorder="0" applyAlignment="0" applyProtection="0"/>
    <xf numFmtId="0" fontId="48" fillId="43" borderId="15" applyNumberFormat="0" applyAlignment="0" applyProtection="0"/>
    <xf numFmtId="4" fontId="46" fillId="0" borderId="5">
      <alignment horizontal="right" vertical="center"/>
    </xf>
    <xf numFmtId="0" fontId="16" fillId="51" borderId="0" applyNumberFormat="0" applyFont="0" applyBorder="0" applyAlignment="0"/>
    <xf numFmtId="0" fontId="9" fillId="0" borderId="0"/>
    <xf numFmtId="177" fontId="16" fillId="0" borderId="0" applyFont="0" applyFill="0" applyBorder="0" applyAlignment="0" applyProtection="0">
      <alignment horizontal="left"/>
    </xf>
    <xf numFmtId="0" fontId="9" fillId="0" borderId="0"/>
    <xf numFmtId="0" fontId="36" fillId="52" borderId="0" applyNumberFormat="0" applyBorder="0" applyAlignment="0" applyProtection="0"/>
    <xf numFmtId="0" fontId="46" fillId="53" borderId="4"/>
    <xf numFmtId="0" fontId="24" fillId="0" borderId="0"/>
    <xf numFmtId="9" fontId="9" fillId="0" borderId="0" applyFont="0" applyFill="0" applyBorder="0" applyAlignment="0" applyProtection="0"/>
    <xf numFmtId="0" fontId="34" fillId="51" borderId="15" applyNumberFormat="0" applyAlignment="0" applyProtection="0"/>
    <xf numFmtId="0" fontId="36" fillId="54" borderId="0" applyNumberFormat="0" applyBorder="0" applyAlignment="0" applyProtection="0"/>
    <xf numFmtId="0" fontId="9" fillId="0" borderId="0"/>
    <xf numFmtId="177" fontId="16" fillId="0" borderId="0" applyFont="0" applyFill="0" applyBorder="0" applyAlignment="0" applyProtection="0">
      <alignment horizontal="left"/>
    </xf>
    <xf numFmtId="0" fontId="36" fillId="48" borderId="0" applyNumberFormat="0" applyBorder="0" applyAlignment="0" applyProtection="0"/>
    <xf numFmtId="9" fontId="24" fillId="0" borderId="0" applyFont="0" applyFill="0" applyBorder="0" applyAlignment="0" applyProtection="0"/>
    <xf numFmtId="0" fontId="49" fillId="55" borderId="0" applyNumberFormat="0" applyBorder="0" applyAlignment="0" applyProtection="0"/>
    <xf numFmtId="165" fontId="16" fillId="0" borderId="0" applyFont="0" applyFill="0" applyBorder="0" applyAlignment="0" applyProtection="0"/>
    <xf numFmtId="168" fontId="16" fillId="0" borderId="0" applyFont="0" applyFill="0" applyBorder="0" applyAlignment="0" applyProtection="0"/>
    <xf numFmtId="0" fontId="49" fillId="56" borderId="0" applyNumberFormat="0" applyBorder="0" applyAlignment="0" applyProtection="0"/>
    <xf numFmtId="0" fontId="36" fillId="46" borderId="0" applyNumberFormat="0" applyBorder="0" applyAlignment="0" applyProtection="0"/>
    <xf numFmtId="49" fontId="16" fillId="0" borderId="0" applyFill="0" applyBorder="0" applyProtection="0">
      <alignment horizontal="left"/>
    </xf>
    <xf numFmtId="164" fontId="16" fillId="0" borderId="0" applyFont="0" applyFill="0" applyBorder="0" applyAlignment="0" applyProtection="0"/>
    <xf numFmtId="0" fontId="49" fillId="57" borderId="0" applyNumberFormat="0" applyBorder="0" applyAlignment="0" applyProtection="0"/>
    <xf numFmtId="0" fontId="40" fillId="44" borderId="0" applyNumberFormat="0" applyBorder="0" applyAlignment="0" applyProtection="0"/>
    <xf numFmtId="0" fontId="16" fillId="0" borderId="0"/>
    <xf numFmtId="0" fontId="36" fillId="45" borderId="0" applyNumberFormat="0" applyBorder="0" applyAlignment="0" applyProtection="0"/>
    <xf numFmtId="165" fontId="9" fillId="0" borderId="0" applyFont="0" applyFill="0" applyBorder="0" applyAlignment="0" applyProtection="0"/>
    <xf numFmtId="0" fontId="49" fillId="58" borderId="0" applyNumberFormat="0" applyBorder="0" applyAlignment="0" applyProtection="0"/>
    <xf numFmtId="0" fontId="9" fillId="0" borderId="0"/>
    <xf numFmtId="0" fontId="36" fillId="45" borderId="0" applyNumberFormat="0" applyBorder="0" applyAlignment="0" applyProtection="0"/>
    <xf numFmtId="0" fontId="41" fillId="43" borderId="13" applyNumberFormat="0" applyAlignment="0" applyProtection="0"/>
    <xf numFmtId="0" fontId="36" fillId="59" borderId="0" applyNumberFormat="0" applyBorder="0" applyAlignment="0" applyProtection="0"/>
    <xf numFmtId="0" fontId="34" fillId="51" borderId="15" applyNumberFormat="0" applyAlignment="0" applyProtection="0"/>
    <xf numFmtId="0" fontId="45" fillId="53" borderId="16" applyNumberFormat="0" applyAlignment="0" applyProtection="0"/>
    <xf numFmtId="169" fontId="16" fillId="0" borderId="0" applyFont="0" applyFill="0" applyBorder="0" applyAlignment="0" applyProtection="0">
      <alignment horizontal="left"/>
    </xf>
    <xf numFmtId="0" fontId="48" fillId="43" borderId="15" applyNumberFormat="0" applyAlignment="0" applyProtection="0"/>
    <xf numFmtId="177" fontId="16" fillId="0" borderId="0" applyFont="0" applyFill="0" applyBorder="0" applyAlignment="0" applyProtection="0">
      <alignment horizontal="left"/>
    </xf>
    <xf numFmtId="0" fontId="41" fillId="43" borderId="13" applyNumberFormat="0" applyAlignment="0" applyProtection="0"/>
    <xf numFmtId="0" fontId="36" fillId="59" borderId="0" applyNumberFormat="0" applyBorder="0" applyAlignment="0" applyProtection="0"/>
    <xf numFmtId="178" fontId="52" fillId="61" borderId="0" applyNumberFormat="0" applyBorder="0">
      <protection locked="0"/>
    </xf>
    <xf numFmtId="0" fontId="49" fillId="62" borderId="0" applyNumberFormat="0" applyBorder="0" applyAlignment="0" applyProtection="0"/>
    <xf numFmtId="0" fontId="36" fillId="49" borderId="0" applyNumberFormat="0" applyBorder="0" applyAlignment="0" applyProtection="0"/>
    <xf numFmtId="169" fontId="16" fillId="0" borderId="0" applyFont="0" applyFill="0" applyBorder="0" applyAlignment="0" applyProtection="0">
      <alignment horizontal="left"/>
    </xf>
    <xf numFmtId="0" fontId="49" fillId="47" borderId="0" applyNumberFormat="0" applyBorder="0" applyAlignment="0" applyProtection="0"/>
    <xf numFmtId="17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48" fillId="43" borderId="15" applyNumberFormat="0" applyAlignment="0" applyProtection="0"/>
    <xf numFmtId="0" fontId="48" fillId="43" borderId="15" applyNumberFormat="0" applyAlignment="0" applyProtection="0"/>
    <xf numFmtId="0" fontId="36" fillId="51" borderId="0" applyNumberFormat="0" applyBorder="0" applyAlignment="0" applyProtection="0"/>
    <xf numFmtId="0" fontId="36" fillId="52" borderId="0" applyNumberFormat="0" applyBorder="0" applyAlignment="0" applyProtection="0"/>
    <xf numFmtId="0" fontId="36" fillId="46" borderId="0" applyNumberFormat="0" applyBorder="0" applyAlignment="0" applyProtection="0"/>
    <xf numFmtId="0" fontId="36" fillId="44" borderId="0" applyNumberFormat="0" applyBorder="0" applyAlignment="0" applyProtection="0"/>
    <xf numFmtId="0" fontId="49" fillId="50" borderId="0" applyNumberFormat="0" applyBorder="0" applyAlignment="0" applyProtection="0"/>
    <xf numFmtId="0" fontId="9" fillId="0" borderId="0"/>
    <xf numFmtId="0" fontId="34" fillId="51" borderId="15" applyNumberFormat="0" applyAlignment="0" applyProtection="0"/>
    <xf numFmtId="0" fontId="49" fillId="55" borderId="0" applyNumberFormat="0" applyBorder="0" applyAlignment="0" applyProtection="0"/>
    <xf numFmtId="0" fontId="36" fillId="44" borderId="0" applyNumberFormat="0" applyBorder="0" applyAlignment="0" applyProtection="0"/>
    <xf numFmtId="0" fontId="24" fillId="0" borderId="0"/>
    <xf numFmtId="0" fontId="9" fillId="0" borderId="0"/>
    <xf numFmtId="9" fontId="16" fillId="0" borderId="0" applyFont="0" applyFill="0" applyBorder="0" applyAlignment="0" applyProtection="0"/>
    <xf numFmtId="0" fontId="49" fillId="48" borderId="0" applyNumberFormat="0" applyBorder="0" applyAlignment="0" applyProtection="0"/>
    <xf numFmtId="165" fontId="16" fillId="0" borderId="0" applyFont="0" applyFill="0" applyBorder="0" applyAlignment="0" applyProtection="0"/>
    <xf numFmtId="0" fontId="36" fillId="59" borderId="0" applyNumberFormat="0" applyBorder="0" applyAlignment="0" applyProtection="0"/>
    <xf numFmtId="0" fontId="9" fillId="0" borderId="0"/>
    <xf numFmtId="0" fontId="34" fillId="51" borderId="15" applyNumberFormat="0" applyAlignment="0" applyProtection="0"/>
    <xf numFmtId="0" fontId="34" fillId="51" borderId="15" applyNumberFormat="0" applyAlignment="0" applyProtection="0"/>
    <xf numFmtId="0" fontId="43" fillId="41" borderId="0" applyNumberFormat="0" applyBorder="0" applyAlignment="0" applyProtection="0"/>
    <xf numFmtId="9" fontId="29" fillId="0" borderId="0" applyFont="0" applyFill="0" applyBorder="0" applyAlignment="0" applyProtection="0"/>
    <xf numFmtId="0" fontId="16" fillId="0" borderId="0"/>
    <xf numFmtId="0" fontId="40" fillId="44" borderId="0" applyNumberFormat="0" applyBorder="0" applyAlignment="0" applyProtection="0"/>
    <xf numFmtId="0" fontId="51" fillId="0" borderId="17" applyNumberFormat="0" applyFill="0" applyAlignment="0" applyProtection="0"/>
    <xf numFmtId="0" fontId="49" fillId="48" borderId="0" applyNumberFormat="0" applyBorder="0" applyAlignment="0" applyProtection="0"/>
    <xf numFmtId="0" fontId="36" fillId="51" borderId="0" applyNumberFormat="0" applyBorder="0" applyAlignment="0" applyProtection="0"/>
    <xf numFmtId="0" fontId="49" fillId="57" borderId="0" applyNumberFormat="0" applyBorder="0" applyAlignment="0" applyProtection="0"/>
    <xf numFmtId="0" fontId="54" fillId="0" borderId="18" applyNumberFormat="0" applyFill="0" applyAlignment="0" applyProtection="0"/>
    <xf numFmtId="0" fontId="48" fillId="43" borderId="15" applyNumberFormat="0" applyAlignment="0" applyProtection="0"/>
    <xf numFmtId="0" fontId="36" fillId="46" borderId="0" applyNumberFormat="0" applyBorder="0" applyAlignment="0" applyProtection="0"/>
    <xf numFmtId="0" fontId="16" fillId="0" borderId="0"/>
    <xf numFmtId="0" fontId="9" fillId="0" borderId="0"/>
    <xf numFmtId="0" fontId="27" fillId="0" borderId="0" applyNumberFormat="0" applyFill="0" applyBorder="0" applyAlignment="0" applyProtection="0"/>
    <xf numFmtId="0" fontId="49" fillId="62" borderId="0" applyNumberFormat="0" applyBorder="0" applyAlignment="0" applyProtection="0"/>
    <xf numFmtId="0" fontId="49" fillId="62" borderId="0" applyNumberFormat="0" applyBorder="0" applyAlignment="0" applyProtection="0"/>
    <xf numFmtId="0" fontId="36" fillId="60" borderId="19" applyNumberFormat="0" applyFont="0" applyAlignment="0" applyProtection="0"/>
    <xf numFmtId="0" fontId="49" fillId="56" borderId="0" applyNumberFormat="0" applyBorder="0" applyAlignment="0" applyProtection="0"/>
    <xf numFmtId="9" fontId="24" fillId="0" borderId="0" applyFont="0" applyFill="0" applyBorder="0" applyAlignment="0" applyProtection="0"/>
    <xf numFmtId="0" fontId="36" fillId="60" borderId="19" applyNumberFormat="0" applyFont="0" applyAlignment="0" applyProtection="0"/>
    <xf numFmtId="0" fontId="44" fillId="42" borderId="0" applyNumberFormat="0" applyBorder="0" applyAlignment="0" applyProtection="0"/>
    <xf numFmtId="0" fontId="24" fillId="0" borderId="0"/>
    <xf numFmtId="0" fontId="36" fillId="52" borderId="0" applyNumberFormat="0" applyBorder="0" applyAlignment="0" applyProtection="0"/>
    <xf numFmtId="0" fontId="16" fillId="0" borderId="0"/>
    <xf numFmtId="0" fontId="36" fillId="52" borderId="0" applyNumberFormat="0" applyBorder="0" applyAlignment="0" applyProtection="0"/>
    <xf numFmtId="0" fontId="34" fillId="51" borderId="15" applyNumberFormat="0" applyAlignment="0" applyProtection="0"/>
    <xf numFmtId="0" fontId="48" fillId="43" borderId="15" applyNumberFormat="0" applyAlignment="0" applyProtection="0"/>
    <xf numFmtId="0" fontId="9" fillId="0" borderId="0"/>
    <xf numFmtId="0" fontId="9" fillId="0" borderId="0"/>
    <xf numFmtId="0" fontId="49" fillId="56" borderId="0" applyNumberFormat="0" applyBorder="0" applyAlignment="0" applyProtection="0"/>
    <xf numFmtId="0" fontId="56" fillId="0" borderId="0" applyNumberFormat="0" applyFill="0" applyBorder="0" applyAlignment="0" applyProtection="0">
      <alignment vertical="top"/>
      <protection locked="0"/>
    </xf>
    <xf numFmtId="0" fontId="30" fillId="0" borderId="0"/>
    <xf numFmtId="0" fontId="24" fillId="0" borderId="0"/>
    <xf numFmtId="0" fontId="36" fillId="41"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4" fontId="46" fillId="52" borderId="4">
      <alignment horizontal="right" vertical="center"/>
    </xf>
    <xf numFmtId="0" fontId="21" fillId="0" borderId="0" applyNumberFormat="0" applyFill="0" applyBorder="0" applyAlignment="0" applyProtection="0">
      <alignment vertical="top"/>
      <protection locked="0"/>
    </xf>
    <xf numFmtId="169" fontId="16" fillId="0" borderId="0" applyFont="0" applyFill="0" applyBorder="0" applyAlignment="0" applyProtection="0">
      <alignment horizontal="left"/>
    </xf>
    <xf numFmtId="0" fontId="49" fillId="47" borderId="0" applyNumberFormat="0" applyBorder="0" applyAlignment="0" applyProtection="0"/>
    <xf numFmtId="0" fontId="41" fillId="43" borderId="13" applyNumberFormat="0" applyAlignment="0" applyProtection="0"/>
    <xf numFmtId="0" fontId="48" fillId="43" borderId="15" applyNumberFormat="0" applyAlignment="0" applyProtection="0"/>
    <xf numFmtId="0" fontId="49" fillId="54" borderId="0" applyNumberFormat="0" applyBorder="0" applyAlignment="0" applyProtection="0"/>
    <xf numFmtId="0" fontId="50" fillId="53" borderId="0" applyNumberFormat="0" applyFont="0" applyBorder="0" applyAlignment="0" applyProtection="0"/>
    <xf numFmtId="0" fontId="36" fillId="60" borderId="19" applyNumberFormat="0" applyFont="0" applyAlignment="0" applyProtection="0"/>
    <xf numFmtId="170" fontId="16" fillId="0" borderId="0" applyFont="0" applyFill="0" applyBorder="0" applyAlignment="0" applyProtection="0"/>
    <xf numFmtId="0" fontId="36" fillId="45" borderId="0" applyNumberFormat="0" applyBorder="0" applyAlignment="0" applyProtection="0"/>
    <xf numFmtId="0" fontId="34" fillId="51" borderId="15" applyNumberFormat="0" applyAlignment="0" applyProtection="0"/>
    <xf numFmtId="0" fontId="48" fillId="43" borderId="15" applyNumberFormat="0" applyAlignment="0" applyProtection="0"/>
    <xf numFmtId="165" fontId="16" fillId="0" borderId="0" applyFont="0" applyFill="0" applyBorder="0" applyAlignment="0" applyProtection="0"/>
    <xf numFmtId="0" fontId="36" fillId="46" borderId="0" applyNumberFormat="0" applyBorder="0" applyAlignment="0" applyProtection="0"/>
    <xf numFmtId="165" fontId="9" fillId="0" borderId="0" applyFont="0" applyFill="0" applyBorder="0" applyAlignment="0" applyProtection="0"/>
    <xf numFmtId="0" fontId="49" fillId="54" borderId="0" applyNumberFormat="0" applyBorder="0" applyAlignment="0" applyProtection="0"/>
    <xf numFmtId="0" fontId="45" fillId="53" borderId="16" applyNumberFormat="0" applyAlignment="0" applyProtection="0"/>
    <xf numFmtId="0" fontId="31" fillId="0" borderId="14" applyNumberFormat="0" applyFill="0" applyAlignment="0" applyProtection="0"/>
    <xf numFmtId="0" fontId="34" fillId="51" borderId="15" applyNumberFormat="0" applyAlignment="0" applyProtection="0"/>
    <xf numFmtId="0" fontId="40" fillId="44" borderId="0" applyNumberFormat="0" applyBorder="0" applyAlignment="0" applyProtection="0"/>
    <xf numFmtId="170" fontId="16" fillId="0" borderId="0" applyFont="0" applyFill="0" applyBorder="0" applyAlignment="0" applyProtection="0"/>
    <xf numFmtId="0" fontId="49" fillId="54" borderId="0" applyNumberFormat="0" applyBorder="0" applyAlignment="0" applyProtection="0"/>
    <xf numFmtId="0" fontId="9" fillId="0" borderId="0"/>
    <xf numFmtId="0" fontId="36" fillId="59" borderId="0" applyNumberFormat="0" applyBorder="0" applyAlignment="0" applyProtection="0"/>
    <xf numFmtId="49" fontId="16" fillId="0" borderId="0" applyFill="0" applyBorder="0" applyProtection="0">
      <alignment horizontal="left"/>
    </xf>
    <xf numFmtId="0" fontId="37" fillId="0" borderId="0" applyNumberFormat="0" applyFill="0" applyBorder="0" applyAlignment="0" applyProtection="0"/>
    <xf numFmtId="0" fontId="9" fillId="0" borderId="0"/>
    <xf numFmtId="0" fontId="46" fillId="53" borderId="4"/>
    <xf numFmtId="175" fontId="16" fillId="0" borderId="0" applyFont="0" applyFill="0" applyBorder="0" applyAlignment="0" applyProtection="0"/>
    <xf numFmtId="0" fontId="53" fillId="0" borderId="20" applyNumberFormat="0" applyFill="0" applyAlignment="0" applyProtection="0"/>
    <xf numFmtId="0" fontId="49" fillId="62" borderId="0" applyNumberFormat="0" applyBorder="0" applyAlignment="0" applyProtection="0"/>
    <xf numFmtId="0" fontId="49" fillId="63" borderId="0" applyNumberFormat="0" applyBorder="0" applyAlignment="0" applyProtection="0"/>
    <xf numFmtId="0" fontId="47" fillId="42" borderId="0">
      <alignment horizontal="left" vertical="center" indent="1"/>
    </xf>
    <xf numFmtId="0" fontId="16" fillId="0" borderId="0"/>
    <xf numFmtId="0" fontId="16" fillId="0" borderId="0"/>
    <xf numFmtId="9" fontId="24" fillId="0" borderId="0" applyFont="0" applyFill="0" applyBorder="0" applyAlignment="0" applyProtection="0"/>
    <xf numFmtId="0" fontId="36" fillId="59" borderId="0" applyNumberFormat="0" applyBorder="0" applyAlignment="0" applyProtection="0"/>
    <xf numFmtId="0" fontId="34" fillId="51" borderId="15" applyNumberFormat="0" applyAlignment="0" applyProtection="0"/>
    <xf numFmtId="0" fontId="16" fillId="0" borderId="0"/>
    <xf numFmtId="0" fontId="49" fillId="50" borderId="0" applyNumberFormat="0" applyBorder="0" applyAlignment="0" applyProtection="0"/>
    <xf numFmtId="0" fontId="49" fillId="63" borderId="0" applyNumberFormat="0" applyBorder="0" applyAlignment="0" applyProtection="0"/>
    <xf numFmtId="0" fontId="9" fillId="0" borderId="0"/>
    <xf numFmtId="0" fontId="49" fillId="56" borderId="0" applyNumberFormat="0" applyBorder="0" applyAlignment="0" applyProtection="0"/>
    <xf numFmtId="0" fontId="49" fillId="56" borderId="0" applyNumberFormat="0" applyBorder="0" applyAlignment="0" applyProtection="0"/>
    <xf numFmtId="0" fontId="48" fillId="43" borderId="15" applyNumberFormat="0" applyAlignment="0" applyProtection="0"/>
    <xf numFmtId="0" fontId="49" fillId="57" borderId="0" applyNumberFormat="0" applyBorder="0" applyAlignment="0" applyProtection="0"/>
    <xf numFmtId="0" fontId="9" fillId="0" borderId="0"/>
    <xf numFmtId="0" fontId="9" fillId="0" borderId="0"/>
    <xf numFmtId="0" fontId="44" fillId="42" borderId="0" applyNumberFormat="0" applyBorder="0" applyAlignment="0" applyProtection="0"/>
    <xf numFmtId="0" fontId="36" fillId="41" borderId="0" applyNumberFormat="0" applyBorder="0" applyAlignment="0" applyProtection="0"/>
    <xf numFmtId="177" fontId="16" fillId="0" borderId="0" applyFont="0" applyFill="0" applyBorder="0" applyAlignment="0" applyProtection="0">
      <alignment horizontal="left"/>
    </xf>
    <xf numFmtId="0" fontId="26" fillId="0" borderId="0" applyNumberFormat="0" applyFill="0" applyBorder="0" applyAlignment="0" applyProtection="0"/>
    <xf numFmtId="0" fontId="49" fillId="63" borderId="0" applyNumberFormat="0" applyBorder="0" applyAlignment="0" applyProtection="0"/>
    <xf numFmtId="0" fontId="49" fillId="50"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4" fontId="46" fillId="0" borderId="0"/>
    <xf numFmtId="0" fontId="36" fillId="60" borderId="19" applyNumberFormat="0" applyFont="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165" fontId="16" fillId="0" borderId="0" applyFont="0" applyFill="0" applyBorder="0" applyAlignment="0" applyProtection="0"/>
    <xf numFmtId="0" fontId="49" fillId="57" borderId="0" applyNumberFormat="0" applyBorder="0" applyAlignment="0" applyProtection="0"/>
    <xf numFmtId="0" fontId="36" fillId="49" borderId="0" applyNumberFormat="0" applyBorder="0" applyAlignment="0" applyProtection="0"/>
    <xf numFmtId="0" fontId="41" fillId="43" borderId="13" applyNumberFormat="0" applyAlignment="0" applyProtection="0"/>
    <xf numFmtId="0" fontId="36" fillId="46" borderId="0" applyNumberFormat="0" applyBorder="0" applyAlignment="0" applyProtection="0"/>
    <xf numFmtId="176" fontId="16" fillId="0" borderId="0" applyFont="0" applyFill="0" applyBorder="0" applyAlignment="0" applyProtection="0">
      <alignment horizontal="left"/>
    </xf>
    <xf numFmtId="0" fontId="49" fillId="54" borderId="0" applyNumberFormat="0" applyBorder="0" applyAlignment="0" applyProtection="0"/>
    <xf numFmtId="0" fontId="9" fillId="0" borderId="0"/>
    <xf numFmtId="172" fontId="16" fillId="0" borderId="0" applyFont="0" applyFill="0" applyBorder="0" applyAlignment="0" applyProtection="0"/>
    <xf numFmtId="0" fontId="16" fillId="0" borderId="0"/>
    <xf numFmtId="0" fontId="49" fillId="58" borderId="0" applyNumberFormat="0" applyBorder="0" applyAlignment="0" applyProtection="0"/>
    <xf numFmtId="0" fontId="49" fillId="55" borderId="0" applyNumberFormat="0" applyBorder="0" applyAlignment="0" applyProtection="0"/>
    <xf numFmtId="165" fontId="16" fillId="0" borderId="0" applyFont="0" applyFill="0" applyBorder="0" applyAlignment="0" applyProtection="0"/>
    <xf numFmtId="0" fontId="24" fillId="0" borderId="0"/>
    <xf numFmtId="0" fontId="36" fillId="59" borderId="0" applyNumberFormat="0" applyBorder="0" applyAlignment="0" applyProtection="0"/>
    <xf numFmtId="0" fontId="40" fillId="44" borderId="0" applyNumberFormat="0" applyBorder="0" applyAlignment="0" applyProtection="0"/>
    <xf numFmtId="0" fontId="49" fillId="56" borderId="0" applyNumberFormat="0" applyBorder="0" applyAlignment="0" applyProtection="0"/>
    <xf numFmtId="171" fontId="55" fillId="0" borderId="0" applyFill="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9" fontId="16" fillId="0" borderId="0" applyFont="0" applyFill="0" applyBorder="0" applyAlignment="0" applyProtection="0"/>
    <xf numFmtId="0" fontId="56" fillId="0" borderId="0" applyNumberFormat="0" applyFill="0" applyBorder="0" applyAlignment="0" applyProtection="0">
      <alignment vertical="top"/>
      <protection locked="0"/>
    </xf>
    <xf numFmtId="0" fontId="36" fillId="48" borderId="0" applyNumberFormat="0" applyBorder="0" applyAlignment="0" applyProtection="0"/>
    <xf numFmtId="0" fontId="44" fillId="42" borderId="0" applyNumberFormat="0" applyBorder="0" applyAlignment="0" applyProtection="0"/>
    <xf numFmtId="0" fontId="49" fillId="48" borderId="0" applyNumberFormat="0" applyBorder="0" applyAlignment="0" applyProtection="0"/>
    <xf numFmtId="0" fontId="36" fillId="60" borderId="19" applyNumberFormat="0" applyFont="0" applyAlignment="0" applyProtection="0"/>
    <xf numFmtId="0" fontId="24" fillId="0" borderId="0"/>
    <xf numFmtId="0" fontId="34" fillId="51" borderId="15" applyNumberFormat="0" applyAlignment="0" applyProtection="0"/>
    <xf numFmtId="0" fontId="36" fillId="54" borderId="0" applyNumberFormat="0" applyBorder="0" applyAlignment="0" applyProtection="0"/>
    <xf numFmtId="0" fontId="43" fillId="41" borderId="0" applyNumberFormat="0" applyBorder="0" applyAlignment="0" applyProtection="0"/>
    <xf numFmtId="0" fontId="36" fillId="60" borderId="19" applyNumberFormat="0" applyFont="0" applyAlignment="0" applyProtection="0"/>
    <xf numFmtId="49" fontId="16" fillId="0" borderId="0" applyFill="0" applyBorder="0" applyProtection="0">
      <alignment horizontal="left"/>
    </xf>
    <xf numFmtId="0" fontId="9" fillId="0" borderId="0"/>
    <xf numFmtId="0" fontId="48" fillId="43" borderId="15" applyNumberFormat="0" applyAlignment="0" applyProtection="0"/>
    <xf numFmtId="0" fontId="16" fillId="42" borderId="0" applyNumberFormat="0" applyFont="0" applyBorder="0" applyAlignment="0"/>
    <xf numFmtId="0" fontId="49" fillId="47" borderId="0" applyNumberFormat="0" applyBorder="0" applyAlignment="0" applyProtection="0"/>
    <xf numFmtId="4" fontId="42" fillId="0" borderId="12" applyFill="0" applyBorder="0" applyProtection="0">
      <alignment horizontal="right" vertical="center"/>
    </xf>
    <xf numFmtId="0" fontId="24" fillId="0" borderId="0"/>
    <xf numFmtId="178" fontId="33" fillId="64" borderId="0" applyNumberFormat="0" applyBorder="0">
      <protection locked="0"/>
    </xf>
    <xf numFmtId="0" fontId="49" fillId="55" borderId="0" applyNumberFormat="0" applyBorder="0" applyAlignment="0" applyProtection="0"/>
    <xf numFmtId="0" fontId="36" fillId="60" borderId="19" applyNumberFormat="0" applyFont="0" applyAlignment="0" applyProtection="0"/>
    <xf numFmtId="0" fontId="48" fillId="43" borderId="15" applyNumberFormat="0" applyAlignment="0" applyProtection="0"/>
    <xf numFmtId="0" fontId="36" fillId="48" borderId="0" applyNumberFormat="0" applyBorder="0" applyAlignment="0" applyProtection="0"/>
    <xf numFmtId="0" fontId="41" fillId="43" borderId="13" applyNumberFormat="0" applyAlignment="0" applyProtection="0"/>
    <xf numFmtId="0" fontId="49" fillId="56" borderId="0" applyNumberFormat="0" applyBorder="0" applyAlignment="0" applyProtection="0"/>
    <xf numFmtId="0" fontId="36" fillId="59" borderId="0" applyNumberFormat="0" applyBorder="0" applyAlignment="0" applyProtection="0"/>
    <xf numFmtId="176" fontId="16" fillId="0" borderId="0" applyFont="0" applyFill="0" applyBorder="0" applyAlignment="0" applyProtection="0">
      <alignment horizontal="left"/>
    </xf>
    <xf numFmtId="0" fontId="43" fillId="41" borderId="0" applyNumberFormat="0" applyBorder="0" applyAlignment="0" applyProtection="0"/>
    <xf numFmtId="0" fontId="25" fillId="0" borderId="0">
      <alignment horizontal="left"/>
    </xf>
    <xf numFmtId="0" fontId="36" fillId="51" borderId="0" applyNumberFormat="0" applyBorder="0" applyAlignment="0" applyProtection="0"/>
    <xf numFmtId="0" fontId="49" fillId="63" borderId="0" applyNumberFormat="0" applyBorder="0" applyAlignment="0" applyProtection="0"/>
    <xf numFmtId="0" fontId="45" fillId="53" borderId="16" applyNumberFormat="0" applyAlignment="0" applyProtection="0"/>
    <xf numFmtId="0" fontId="49" fillId="58" borderId="0" applyNumberFormat="0" applyBorder="0" applyAlignment="0" applyProtection="0"/>
    <xf numFmtId="0" fontId="34" fillId="51" borderId="15" applyNumberFormat="0" applyAlignment="0" applyProtection="0"/>
    <xf numFmtId="9" fontId="15" fillId="0" borderId="0" applyFont="0" applyFill="0" applyBorder="0" applyAlignment="0" applyProtection="0"/>
    <xf numFmtId="9" fontId="29" fillId="0" borderId="0" applyFont="0" applyFill="0" applyBorder="0" applyAlignment="0" applyProtection="0"/>
    <xf numFmtId="171" fontId="38" fillId="0" borderId="0">
      <alignment horizontal="left" vertical="center"/>
    </xf>
    <xf numFmtId="0" fontId="36" fillId="49" borderId="0" applyNumberFormat="0" applyBorder="0" applyAlignment="0" applyProtection="0"/>
    <xf numFmtId="0" fontId="36" fillId="54" borderId="0" applyNumberFormat="0" applyBorder="0" applyAlignment="0" applyProtection="0"/>
    <xf numFmtId="9" fontId="24" fillId="0" borderId="0" applyFont="0" applyFill="0" applyBorder="0" applyAlignment="0" applyProtection="0"/>
    <xf numFmtId="0" fontId="41" fillId="43" borderId="13" applyNumberFormat="0" applyAlignment="0" applyProtection="0"/>
    <xf numFmtId="0" fontId="16" fillId="0" borderId="0"/>
    <xf numFmtId="0" fontId="36" fillId="51" borderId="0" applyNumberFormat="0" applyBorder="0" applyAlignment="0" applyProtection="0"/>
    <xf numFmtId="0" fontId="41" fillId="43" borderId="13" applyNumberFormat="0" applyAlignment="0" applyProtection="0"/>
    <xf numFmtId="173" fontId="16" fillId="0" borderId="0" applyFont="0" applyFill="0" applyBorder="0" applyAlignment="0" applyProtection="0"/>
    <xf numFmtId="0" fontId="50" fillId="0" borderId="0" applyNumberFormat="0" applyFont="0" applyFill="0" applyBorder="0" applyProtection="0">
      <alignment horizontal="left" vertical="center" indent="5"/>
    </xf>
    <xf numFmtId="0" fontId="43" fillId="41" borderId="0" applyNumberFormat="0" applyBorder="0" applyAlignment="0" applyProtection="0"/>
    <xf numFmtId="0" fontId="36" fillId="54" borderId="0" applyNumberFormat="0" applyBorder="0" applyAlignment="0" applyProtection="0"/>
    <xf numFmtId="0" fontId="46" fillId="53" borderId="4"/>
    <xf numFmtId="169" fontId="16" fillId="0" borderId="0" applyFont="0" applyFill="0" applyBorder="0" applyAlignment="0" applyProtection="0">
      <alignment horizontal="left"/>
    </xf>
    <xf numFmtId="0" fontId="2" fillId="0" borderId="0" applyNumberFormat="0" applyFill="0" applyBorder="0" applyAlignment="0" applyProtection="0"/>
    <xf numFmtId="0" fontId="36" fillId="60" borderId="19" applyNumberFormat="0" applyFont="0" applyAlignment="0" applyProtection="0"/>
    <xf numFmtId="0" fontId="28" fillId="0" borderId="0">
      <alignment horizontal="right"/>
    </xf>
    <xf numFmtId="0" fontId="36" fillId="46" borderId="0" applyNumberFormat="0" applyBorder="0" applyAlignment="0" applyProtection="0"/>
    <xf numFmtId="9" fontId="9" fillId="0" borderId="0" applyFont="0" applyFill="0" applyBorder="0" applyAlignment="0" applyProtection="0"/>
    <xf numFmtId="0" fontId="34" fillId="51" borderId="15" applyNumberFormat="0" applyAlignment="0" applyProtection="0"/>
    <xf numFmtId="0" fontId="35" fillId="0" borderId="21" applyNumberFormat="0" applyFill="0" applyAlignment="0" applyProtection="0"/>
    <xf numFmtId="0" fontId="36" fillId="46" borderId="0" applyNumberFormat="0" applyBorder="0" applyAlignment="0" applyProtection="0"/>
    <xf numFmtId="49" fontId="16" fillId="0" borderId="0" applyFill="0" applyBorder="0" applyProtection="0">
      <alignment horizontal="left"/>
    </xf>
    <xf numFmtId="0" fontId="9" fillId="0" borderId="0"/>
    <xf numFmtId="165" fontId="9" fillId="0" borderId="0" applyFont="0" applyFill="0" applyBorder="0" applyAlignment="0" applyProtection="0"/>
    <xf numFmtId="0" fontId="9" fillId="0" borderId="0"/>
    <xf numFmtId="0" fontId="9" fillId="0" borderId="0"/>
    <xf numFmtId="0" fontId="15" fillId="0" borderId="0"/>
    <xf numFmtId="0" fontId="9" fillId="0" borderId="0"/>
    <xf numFmtId="0" fontId="9" fillId="0" borderId="0"/>
    <xf numFmtId="0" fontId="9" fillId="0" borderId="0"/>
    <xf numFmtId="0" fontId="15" fillId="0" borderId="0"/>
    <xf numFmtId="0" fontId="9" fillId="0" borderId="0"/>
    <xf numFmtId="0" fontId="23" fillId="65" borderId="11" applyBorder="0"/>
    <xf numFmtId="0" fontId="16"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165" fontId="15"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58"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100" fillId="79" borderId="0" applyNumberFormat="0" applyBorder="0" applyAlignment="0" applyProtection="0">
      <alignment vertical="center"/>
    </xf>
    <xf numFmtId="0" fontId="100" fillId="80" borderId="0" applyNumberFormat="0" applyBorder="0" applyAlignment="0" applyProtection="0">
      <alignment vertical="center"/>
    </xf>
    <xf numFmtId="0" fontId="100" fillId="81" borderId="0" applyNumberFormat="0" applyBorder="0" applyAlignment="0" applyProtection="0">
      <alignment vertical="center"/>
    </xf>
    <xf numFmtId="0" fontId="100" fillId="82" borderId="0" applyNumberFormat="0" applyBorder="0" applyAlignment="0" applyProtection="0">
      <alignment vertical="center"/>
    </xf>
    <xf numFmtId="0" fontId="100" fillId="83" borderId="0" applyNumberFormat="0" applyBorder="0" applyAlignment="0" applyProtection="0">
      <alignment vertical="center"/>
    </xf>
    <xf numFmtId="0" fontId="100" fillId="84" borderId="0" applyNumberFormat="0" applyBorder="0" applyAlignment="0" applyProtection="0">
      <alignment vertical="center"/>
    </xf>
    <xf numFmtId="0" fontId="99" fillId="12" borderId="0" applyNumberFormat="0" applyBorder="0" applyAlignment="0" applyProtection="0"/>
    <xf numFmtId="0" fontId="99" fillId="16" borderId="0" applyNumberFormat="0" applyBorder="0" applyAlignment="0" applyProtection="0"/>
    <xf numFmtId="0" fontId="99" fillId="20" borderId="0" applyNumberFormat="0" applyBorder="0" applyAlignment="0" applyProtection="0"/>
    <xf numFmtId="0" fontId="99" fillId="24" borderId="0" applyNumberFormat="0" applyBorder="0" applyAlignment="0" applyProtection="0"/>
    <xf numFmtId="0" fontId="99" fillId="28" borderId="0" applyNumberFormat="0" applyBorder="0" applyAlignment="0" applyProtection="0"/>
    <xf numFmtId="0" fontId="99" fillId="32" borderId="0" applyNumberFormat="0" applyBorder="0" applyAlignment="0" applyProtection="0"/>
    <xf numFmtId="0" fontId="100" fillId="85" borderId="0" applyNumberFormat="0" applyBorder="0" applyAlignment="0" applyProtection="0">
      <alignment vertical="center"/>
    </xf>
    <xf numFmtId="0" fontId="100" fillId="86" borderId="0" applyNumberFormat="0" applyBorder="0" applyAlignment="0" applyProtection="0">
      <alignment vertical="center"/>
    </xf>
    <xf numFmtId="0" fontId="100" fillId="87" borderId="0" applyNumberFormat="0" applyBorder="0" applyAlignment="0" applyProtection="0">
      <alignment vertical="center"/>
    </xf>
    <xf numFmtId="0" fontId="100" fillId="82" borderId="0" applyNumberFormat="0" applyBorder="0" applyAlignment="0" applyProtection="0">
      <alignment vertical="center"/>
    </xf>
    <xf numFmtId="0" fontId="100" fillId="85" borderId="0" applyNumberFormat="0" applyBorder="0" applyAlignment="0" applyProtection="0">
      <alignment vertical="center"/>
    </xf>
    <xf numFmtId="0" fontId="100" fillId="88" borderId="0" applyNumberFormat="0" applyBorder="0" applyAlignment="0" applyProtection="0">
      <alignment vertical="center"/>
    </xf>
    <xf numFmtId="0" fontId="101" fillId="13" borderId="0" applyNumberFormat="0" applyBorder="0" applyAlignment="0" applyProtection="0"/>
    <xf numFmtId="0" fontId="101" fillId="17" borderId="0" applyNumberFormat="0" applyBorder="0" applyAlignment="0" applyProtection="0"/>
    <xf numFmtId="0" fontId="101" fillId="21" borderId="0" applyNumberFormat="0" applyBorder="0" applyAlignment="0" applyProtection="0"/>
    <xf numFmtId="0" fontId="101" fillId="25" borderId="0" applyNumberFormat="0" applyBorder="0" applyAlignment="0" applyProtection="0"/>
    <xf numFmtId="0" fontId="101" fillId="29" borderId="0" applyNumberFormat="0" applyBorder="0" applyAlignment="0" applyProtection="0"/>
    <xf numFmtId="0" fontId="101" fillId="33" borderId="0" applyNumberFormat="0" applyBorder="0" applyAlignment="0" applyProtection="0"/>
    <xf numFmtId="0" fontId="102" fillId="89" borderId="0" applyNumberFormat="0" applyBorder="0" applyAlignment="0" applyProtection="0">
      <alignment vertical="center"/>
    </xf>
    <xf numFmtId="0" fontId="102" fillId="86" borderId="0" applyNumberFormat="0" applyBorder="0" applyAlignment="0" applyProtection="0">
      <alignment vertical="center"/>
    </xf>
    <xf numFmtId="0" fontId="102" fillId="87" borderId="0" applyNumberFormat="0" applyBorder="0" applyAlignment="0" applyProtection="0">
      <alignment vertical="center"/>
    </xf>
    <xf numFmtId="0" fontId="102" fillId="90" borderId="0" applyNumberFormat="0" applyBorder="0" applyAlignment="0" applyProtection="0">
      <alignment vertical="center"/>
    </xf>
    <xf numFmtId="0" fontId="102" fillId="91" borderId="0" applyNumberFormat="0" applyBorder="0" applyAlignment="0" applyProtection="0">
      <alignment vertical="center"/>
    </xf>
    <xf numFmtId="0" fontId="102" fillId="92" borderId="0" applyNumberFormat="0" applyBorder="0" applyAlignment="0" applyProtection="0">
      <alignment vertical="center"/>
    </xf>
    <xf numFmtId="0" fontId="101" fillId="10" borderId="0" applyNumberFormat="0" applyBorder="0" applyAlignment="0" applyProtection="0"/>
    <xf numFmtId="0" fontId="101" fillId="14" borderId="0" applyNumberFormat="0" applyBorder="0" applyAlignment="0" applyProtection="0"/>
    <xf numFmtId="0" fontId="101" fillId="18" borderId="0" applyNumberFormat="0" applyBorder="0" applyAlignment="0" applyProtection="0"/>
    <xf numFmtId="0" fontId="101" fillId="22" borderId="0" applyNumberFormat="0" applyBorder="0" applyAlignment="0" applyProtection="0"/>
    <xf numFmtId="0" fontId="101" fillId="26" borderId="0" applyNumberFormat="0" applyBorder="0" applyAlignment="0" applyProtection="0"/>
    <xf numFmtId="0" fontId="101" fillId="30" borderId="0" applyNumberFormat="0" applyBorder="0" applyAlignment="0" applyProtection="0"/>
    <xf numFmtId="0" fontId="103" fillId="78" borderId="39" applyNumberFormat="0" applyAlignment="0" applyProtection="0"/>
    <xf numFmtId="0" fontId="104" fillId="78" borderId="1" applyNumberFormat="0" applyAlignment="0" applyProtection="0"/>
    <xf numFmtId="43" fontId="15" fillId="0" borderId="0" applyFont="0" applyFill="0" applyBorder="0" applyAlignment="0" applyProtection="0"/>
    <xf numFmtId="41" fontId="15" fillId="0" borderId="0" applyFont="0" applyFill="0" applyBorder="0" applyAlignment="0" applyProtection="0"/>
    <xf numFmtId="44" fontId="15" fillId="0" borderId="0" applyFont="0" applyFill="0" applyBorder="0" applyAlignment="0" applyProtection="0"/>
    <xf numFmtId="42"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05" fillId="77" borderId="1" applyNumberFormat="0" applyAlignment="0" applyProtection="0"/>
    <xf numFmtId="0" fontId="106" fillId="0" borderId="41" applyNumberFormat="0" applyFill="0" applyAlignment="0" applyProtection="0"/>
    <xf numFmtId="0" fontId="107" fillId="0" borderId="0" applyNumberForma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08" fillId="5" borderId="0" applyNumberFormat="0" applyBorder="0" applyAlignment="0" applyProtection="0"/>
    <xf numFmtId="0" fontId="32" fillId="0" borderId="0" applyNumberFormat="0" applyFill="0" applyBorder="0" applyAlignment="0" applyProtection="0"/>
    <xf numFmtId="43" fontId="99" fillId="0" borderId="0" applyFont="0" applyFill="0" applyBorder="0" applyAlignment="0" applyProtection="0"/>
    <xf numFmtId="43" fontId="16"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43" fontId="16" fillId="0" borderId="0" applyFont="0" applyFill="0" applyBorder="0" applyAlignment="0" applyProtection="0"/>
    <xf numFmtId="0" fontId="109" fillId="7" borderId="0" applyNumberFormat="0" applyBorder="0" applyAlignment="0" applyProtection="0"/>
    <xf numFmtId="0" fontId="15" fillId="0" borderId="0"/>
    <xf numFmtId="0" fontId="110" fillId="0" borderId="0"/>
    <xf numFmtId="0" fontId="99" fillId="9" borderId="3" applyNumberFormat="0" applyFont="0" applyAlignment="0" applyProtection="0"/>
    <xf numFmtId="0" fontId="99" fillId="9" borderId="3" applyNumberFormat="0" applyFont="0" applyAlignment="0" applyProtection="0"/>
    <xf numFmtId="9" fontId="1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0" fontId="111" fillId="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99" fillId="0" borderId="0"/>
    <xf numFmtId="0" fontId="16" fillId="0" borderId="0"/>
    <xf numFmtId="0" fontId="99" fillId="0" borderId="0"/>
    <xf numFmtId="0" fontId="9" fillId="0" borderId="0"/>
    <xf numFmtId="0" fontId="112" fillId="0" borderId="0"/>
    <xf numFmtId="0" fontId="15"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3" fillId="0" borderId="0"/>
    <xf numFmtId="0" fontId="112"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16" fillId="0" borderId="0"/>
    <xf numFmtId="0" fontId="114" fillId="0" borderId="36" applyNumberFormat="0" applyFill="0" applyAlignment="0" applyProtection="0"/>
    <xf numFmtId="0" fontId="115" fillId="0" borderId="37" applyNumberFormat="0" applyFill="0" applyAlignment="0" applyProtection="0"/>
    <xf numFmtId="0" fontId="116" fillId="0" borderId="38" applyNumberFormat="0" applyFill="0" applyAlignment="0" applyProtection="0"/>
    <xf numFmtId="0" fontId="116" fillId="0" borderId="0" applyNumberFormat="0" applyFill="0" applyBorder="0" applyAlignment="0" applyProtection="0"/>
    <xf numFmtId="0" fontId="117" fillId="0" borderId="40" applyNumberFormat="0" applyFill="0" applyAlignment="0" applyProtection="0"/>
    <xf numFmtId="0" fontId="118" fillId="0" borderId="0" applyNumberFormat="0" applyFill="0" applyBorder="0" applyAlignment="0" applyProtection="0"/>
    <xf numFmtId="0" fontId="119" fillId="8" borderId="2" applyNumberFormat="0" applyAlignment="0" applyProtection="0"/>
    <xf numFmtId="0" fontId="102" fillId="93" borderId="0" applyNumberFormat="0" applyBorder="0" applyAlignment="0" applyProtection="0">
      <alignment vertical="center"/>
    </xf>
    <xf numFmtId="0" fontId="102" fillId="94" borderId="0" applyNumberFormat="0" applyBorder="0" applyAlignment="0" applyProtection="0">
      <alignment vertical="center"/>
    </xf>
    <xf numFmtId="0" fontId="102" fillId="95" borderId="0" applyNumberFormat="0" applyBorder="0" applyAlignment="0" applyProtection="0">
      <alignment vertical="center"/>
    </xf>
    <xf numFmtId="0" fontId="102" fillId="90" borderId="0" applyNumberFormat="0" applyBorder="0" applyAlignment="0" applyProtection="0">
      <alignment vertical="center"/>
    </xf>
    <xf numFmtId="0" fontId="102" fillId="91" borderId="0" applyNumberFormat="0" applyBorder="0" applyAlignment="0" applyProtection="0">
      <alignment vertical="center"/>
    </xf>
    <xf numFmtId="0" fontId="102" fillId="96" borderId="0" applyNumberFormat="0" applyBorder="0" applyAlignment="0" applyProtection="0">
      <alignment vertical="center"/>
    </xf>
    <xf numFmtId="0" fontId="120" fillId="0" borderId="0" applyNumberFormat="0" applyFill="0" applyBorder="0" applyAlignment="0" applyProtection="0">
      <alignment vertical="center"/>
    </xf>
    <xf numFmtId="0" fontId="121" fillId="97" borderId="16" applyNumberFormat="0" applyAlignment="0" applyProtection="0">
      <alignment vertical="center"/>
    </xf>
    <xf numFmtId="0" fontId="122" fillId="98" borderId="0" applyNumberFormat="0" applyBorder="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6" fillId="99" borderId="44" applyNumberFormat="0" applyFont="0" applyAlignment="0" applyProtection="0">
      <alignment vertical="center"/>
    </xf>
    <xf numFmtId="0" fontId="123" fillId="0" borderId="17" applyNumberFormat="0" applyFill="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4" fillId="84" borderId="45"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5" fillId="100" borderId="46" applyNumberFormat="0" applyAlignment="0" applyProtection="0">
      <alignment vertical="center"/>
    </xf>
    <xf numFmtId="0" fontId="126" fillId="80" borderId="0" applyNumberFormat="0" applyBorder="0" applyAlignment="0" applyProtection="0">
      <alignment vertical="center"/>
    </xf>
    <xf numFmtId="0" fontId="127" fillId="81" borderId="0" applyNumberFormat="0" applyBorder="0" applyAlignment="0" applyProtection="0">
      <alignment vertical="center"/>
    </xf>
    <xf numFmtId="0" fontId="128" fillId="0" borderId="20" applyNumberFormat="0" applyFill="0" applyAlignment="0" applyProtection="0">
      <alignment vertical="center"/>
    </xf>
    <xf numFmtId="0" fontId="129" fillId="0" borderId="21" applyNumberFormat="0" applyFill="0" applyAlignment="0" applyProtection="0">
      <alignment vertical="center"/>
    </xf>
    <xf numFmtId="0" fontId="130" fillId="0" borderId="18" applyNumberFormat="0" applyFill="0" applyAlignment="0" applyProtection="0">
      <alignment vertical="center"/>
    </xf>
    <xf numFmtId="0" fontId="130" fillId="0" borderId="0" applyNumberFormat="0" applyFill="0" applyBorder="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1" fillId="100" borderId="45" applyNumberFormat="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34" fillId="0" borderId="47" applyNumberFormat="0" applyFill="0" applyAlignment="0" applyProtection="0">
      <alignment vertical="center"/>
    </xf>
    <xf numFmtId="0" fontId="16" fillId="0" borderId="0"/>
  </cellStyleXfs>
  <cellXfs count="292">
    <xf numFmtId="4" fontId="0" fillId="0" borderId="0" xfId="0"/>
    <xf numFmtId="4" fontId="1" fillId="0" borderId="0" xfId="0" applyFont="1"/>
    <xf numFmtId="4" fontId="0" fillId="0" borderId="0" xfId="0" applyAlignment="1">
      <alignment horizontal="right"/>
    </xf>
    <xf numFmtId="0" fontId="2" fillId="0" borderId="0" xfId="1"/>
    <xf numFmtId="0" fontId="2" fillId="2" borderId="0" xfId="1" applyFill="1" applyAlignment="1">
      <alignment vertical="center"/>
    </xf>
    <xf numFmtId="4" fontId="0" fillId="2" borderId="0" xfId="0" applyFill="1" applyAlignment="1">
      <alignment vertical="center"/>
    </xf>
    <xf numFmtId="4" fontId="3" fillId="0" borderId="0" xfId="0" applyFont="1"/>
    <xf numFmtId="4" fontId="0" fillId="0" borderId="0" xfId="0" applyAlignment="1">
      <alignment wrapText="1"/>
    </xf>
    <xf numFmtId="4" fontId="5" fillId="0" borderId="0" xfId="0" applyFont="1"/>
    <xf numFmtId="4" fontId="0" fillId="0" borderId="0" xfId="0" applyAlignment="1">
      <alignment vertical="center"/>
    </xf>
    <xf numFmtId="4" fontId="1" fillId="0" borderId="0" xfId="0" applyFont="1" applyAlignment="1">
      <alignment vertical="center"/>
    </xf>
    <xf numFmtId="4" fontId="0" fillId="0" borderId="0" xfId="0" applyAlignment="1">
      <alignment horizontal="left"/>
    </xf>
    <xf numFmtId="4" fontId="1" fillId="4" borderId="0" xfId="0" applyFont="1" applyFill="1" applyAlignment="1">
      <alignment vertical="center"/>
    </xf>
    <xf numFmtId="4" fontId="4" fillId="0" borderId="0" xfId="0" applyFont="1"/>
    <xf numFmtId="3" fontId="0" fillId="0" borderId="0" xfId="0" applyNumberFormat="1"/>
    <xf numFmtId="2" fontId="0" fillId="0" borderId="0" xfId="0" applyNumberFormat="1" applyAlignment="1">
      <alignment vertical="center"/>
    </xf>
    <xf numFmtId="4" fontId="5" fillId="0" borderId="0" xfId="0" applyFont="1" applyAlignment="1">
      <alignment vertical="center"/>
    </xf>
    <xf numFmtId="1" fontId="0" fillId="0" borderId="0" xfId="0" applyNumberFormat="1" applyAlignment="1">
      <alignment horizontal="left" vertical="center"/>
    </xf>
    <xf numFmtId="2" fontId="1" fillId="0" borderId="0" xfId="0" applyNumberFormat="1" applyFont="1" applyAlignment="1">
      <alignment vertical="center"/>
    </xf>
    <xf numFmtId="3" fontId="0" fillId="0" borderId="0" xfId="0" applyNumberFormat="1" applyAlignment="1">
      <alignment vertical="center"/>
    </xf>
    <xf numFmtId="4" fontId="4" fillId="2" borderId="0" xfId="0" applyFont="1" applyFill="1" applyAlignment="1">
      <alignment vertical="center"/>
    </xf>
    <xf numFmtId="166" fontId="0" fillId="0" borderId="0" xfId="0" applyNumberFormat="1" applyAlignment="1">
      <alignment vertical="center"/>
    </xf>
    <xf numFmtId="166" fontId="0" fillId="0" borderId="0" xfId="0" applyNumberFormat="1"/>
    <xf numFmtId="0" fontId="0" fillId="0" borderId="0" xfId="0" applyNumberFormat="1"/>
    <xf numFmtId="4" fontId="57" fillId="0" borderId="0" xfId="0" applyFont="1"/>
    <xf numFmtId="4" fontId="2" fillId="0" borderId="0" xfId="1" applyNumberFormat="1"/>
    <xf numFmtId="49" fontId="0" fillId="0" borderId="0" xfId="0" applyNumberFormat="1"/>
    <xf numFmtId="4" fontId="1" fillId="0" borderId="0" xfId="0" applyFont="1" applyAlignment="1">
      <alignment horizontal="right"/>
    </xf>
    <xf numFmtId="3" fontId="4" fillId="0" borderId="0" xfId="0" applyNumberFormat="1" applyFont="1" applyAlignment="1">
      <alignment vertical="center"/>
    </xf>
    <xf numFmtId="4" fontId="14" fillId="0" borderId="0" xfId="0" applyFont="1"/>
    <xf numFmtId="4" fontId="14" fillId="0" borderId="0" xfId="0" applyFont="1" applyAlignment="1">
      <alignment vertical="center"/>
    </xf>
    <xf numFmtId="3" fontId="0" fillId="0" borderId="22" xfId="0" applyNumberFormat="1" applyBorder="1" applyAlignment="1">
      <alignment vertical="center"/>
    </xf>
    <xf numFmtId="4" fontId="6" fillId="4" borderId="25" xfId="0" applyFont="1" applyFill="1" applyBorder="1" applyAlignment="1">
      <alignment vertical="center"/>
    </xf>
    <xf numFmtId="4" fontId="6" fillId="4" borderId="26" xfId="0" applyFont="1" applyFill="1" applyBorder="1" applyAlignment="1">
      <alignment vertical="center"/>
    </xf>
    <xf numFmtId="4" fontId="62" fillId="0" borderId="0" xfId="0" applyFont="1"/>
    <xf numFmtId="4" fontId="61" fillId="0" borderId="0" xfId="0" applyFont="1" applyAlignment="1">
      <alignment vertical="center"/>
    </xf>
    <xf numFmtId="4" fontId="61" fillId="0" borderId="0" xfId="0" applyFont="1"/>
    <xf numFmtId="4" fontId="64" fillId="0" borderId="0" xfId="0" applyFont="1"/>
    <xf numFmtId="3" fontId="0" fillId="67" borderId="22" xfId="0" applyNumberFormat="1" applyFill="1" applyBorder="1"/>
    <xf numFmtId="4" fontId="63" fillId="0" borderId="0" xfId="0" applyFont="1"/>
    <xf numFmtId="4" fontId="65" fillId="0" borderId="0" xfId="0" applyFont="1"/>
    <xf numFmtId="3" fontId="0" fillId="0" borderId="0" xfId="0" applyNumberFormat="1" applyAlignment="1">
      <alignment horizontal="left"/>
    </xf>
    <xf numFmtId="4" fontId="66" fillId="0" borderId="0" xfId="0" applyFont="1" applyAlignment="1">
      <alignment vertical="center"/>
    </xf>
    <xf numFmtId="4" fontId="67" fillId="0" borderId="0" xfId="0" applyFont="1" applyAlignment="1">
      <alignment vertical="center"/>
    </xf>
    <xf numFmtId="4" fontId="68" fillId="0" borderId="0" xfId="0" applyFont="1" applyAlignment="1">
      <alignment vertical="center"/>
    </xf>
    <xf numFmtId="4" fontId="69" fillId="0" borderId="0" xfId="0" applyFont="1"/>
    <xf numFmtId="3" fontId="1" fillId="0" borderId="0" xfId="0" applyNumberFormat="1" applyFont="1" applyAlignment="1">
      <alignment vertical="center"/>
    </xf>
    <xf numFmtId="166" fontId="16" fillId="0" borderId="0" xfId="0" applyNumberFormat="1" applyFont="1"/>
    <xf numFmtId="3" fontId="1" fillId="0" borderId="0" xfId="0" applyNumberFormat="1" applyFont="1" applyAlignment="1">
      <alignment horizontal="left"/>
    </xf>
    <xf numFmtId="3" fontId="4" fillId="0" borderId="0" xfId="0" applyNumberFormat="1" applyFont="1"/>
    <xf numFmtId="9" fontId="0" fillId="0" borderId="0" xfId="339" applyFont="1"/>
    <xf numFmtId="9" fontId="0" fillId="0" borderId="0" xfId="0" applyNumberFormat="1"/>
    <xf numFmtId="4" fontId="6" fillId="4" borderId="22" xfId="0" applyFont="1" applyFill="1" applyBorder="1"/>
    <xf numFmtId="4" fontId="6" fillId="4" borderId="23" xfId="0" applyFont="1" applyFill="1" applyBorder="1"/>
    <xf numFmtId="4" fontId="0" fillId="66" borderId="22" xfId="0" applyFill="1" applyBorder="1"/>
    <xf numFmtId="4" fontId="0" fillId="66" borderId="23" xfId="0" applyFill="1" applyBorder="1"/>
    <xf numFmtId="4" fontId="0" fillId="0" borderId="22" xfId="0" applyBorder="1"/>
    <xf numFmtId="4" fontId="0" fillId="0" borderId="23" xfId="0" applyBorder="1"/>
    <xf numFmtId="4" fontId="0" fillId="66" borderId="24" xfId="0" applyFill="1" applyBorder="1"/>
    <xf numFmtId="9" fontId="0" fillId="0" borderId="0" xfId="339" applyFont="1" applyAlignment="1">
      <alignment vertical="center"/>
    </xf>
    <xf numFmtId="10" fontId="0" fillId="0" borderId="0" xfId="339" applyNumberFormat="1" applyFont="1"/>
    <xf numFmtId="9" fontId="9" fillId="0" borderId="0" xfId="339" applyFont="1" applyAlignment="1">
      <alignment vertical="center"/>
    </xf>
    <xf numFmtId="4" fontId="74" fillId="0" borderId="0" xfId="0" applyFont="1"/>
    <xf numFmtId="4" fontId="76" fillId="2" borderId="0" xfId="0" applyFont="1" applyFill="1" applyAlignment="1">
      <alignment horizontal="left" vertical="center"/>
    </xf>
    <xf numFmtId="4" fontId="76" fillId="2" borderId="0" xfId="0" applyFont="1" applyFill="1" applyAlignment="1">
      <alignment horizontal="left" vertical="center" indent="1"/>
    </xf>
    <xf numFmtId="4" fontId="76" fillId="2" borderId="0" xfId="0" applyFont="1" applyFill="1" applyAlignment="1">
      <alignment horizontal="center" vertical="center"/>
    </xf>
    <xf numFmtId="4" fontId="76" fillId="2" borderId="0" xfId="0" applyFont="1" applyFill="1" applyAlignment="1">
      <alignment vertical="center"/>
    </xf>
    <xf numFmtId="3" fontId="76" fillId="2" borderId="0" xfId="0" applyNumberFormat="1" applyFont="1" applyFill="1" applyAlignment="1">
      <alignment vertical="center"/>
    </xf>
    <xf numFmtId="4" fontId="75" fillId="0" borderId="0" xfId="0" applyFont="1" applyAlignment="1">
      <alignment vertical="center"/>
    </xf>
    <xf numFmtId="4" fontId="75" fillId="2" borderId="0" xfId="0" applyFont="1" applyFill="1" applyAlignment="1">
      <alignment horizontal="left" vertical="center"/>
    </xf>
    <xf numFmtId="4" fontId="75" fillId="2" borderId="0" xfId="0" applyFont="1" applyFill="1" applyAlignment="1">
      <alignment horizontal="center" vertical="center"/>
    </xf>
    <xf numFmtId="4" fontId="75" fillId="2" borderId="0" xfId="0" applyFont="1" applyFill="1" applyAlignment="1">
      <alignment horizontal="left" vertical="center" indent="1"/>
    </xf>
    <xf numFmtId="4" fontId="70" fillId="2" borderId="0" xfId="0" applyFont="1" applyFill="1" applyAlignment="1">
      <alignment vertical="center"/>
    </xf>
    <xf numFmtId="4" fontId="6" fillId="4" borderId="24" xfId="0" applyFont="1" applyFill="1" applyBorder="1"/>
    <xf numFmtId="4" fontId="75" fillId="0" borderId="0" xfId="0" applyFont="1" applyAlignment="1">
      <alignment horizontal="center" vertical="center"/>
    </xf>
    <xf numFmtId="4" fontId="75" fillId="0" borderId="0" xfId="0" applyFont="1" applyAlignment="1">
      <alignment horizontal="left" vertical="center" indent="1"/>
    </xf>
    <xf numFmtId="3" fontId="76" fillId="0" borderId="0" xfId="0" applyNumberFormat="1" applyFont="1" applyAlignment="1">
      <alignment horizontal="left" vertical="center" indent="1"/>
    </xf>
    <xf numFmtId="4" fontId="6" fillId="4" borderId="0" xfId="0" applyFont="1" applyFill="1"/>
    <xf numFmtId="4" fontId="6" fillId="4" borderId="25" xfId="0" applyFont="1" applyFill="1" applyBorder="1"/>
    <xf numFmtId="4" fontId="6" fillId="4" borderId="26" xfId="0" applyFont="1" applyFill="1" applyBorder="1"/>
    <xf numFmtId="4" fontId="76" fillId="0" borderId="0" xfId="0" applyFont="1" applyAlignment="1">
      <alignment horizontal="left" vertical="center" indent="1"/>
    </xf>
    <xf numFmtId="4" fontId="76" fillId="0" borderId="0" xfId="0" applyFont="1" applyAlignment="1">
      <alignment horizontal="center" vertical="center"/>
    </xf>
    <xf numFmtId="166" fontId="76" fillId="0" borderId="0" xfId="0" applyNumberFormat="1" applyFont="1" applyAlignment="1">
      <alignment horizontal="left" vertical="center" indent="1"/>
    </xf>
    <xf numFmtId="3" fontId="76" fillId="2" borderId="0" xfId="0" applyNumberFormat="1" applyFont="1" applyFill="1" applyAlignment="1">
      <alignment horizontal="left" vertical="center" indent="1"/>
    </xf>
    <xf numFmtId="4" fontId="76" fillId="0" borderId="0" xfId="0" applyFont="1" applyAlignment="1">
      <alignment vertical="center"/>
    </xf>
    <xf numFmtId="2" fontId="76" fillId="0" borderId="0" xfId="0" applyNumberFormat="1" applyFont="1" applyAlignment="1">
      <alignment horizontal="left" vertical="center" indent="1"/>
    </xf>
    <xf numFmtId="4" fontId="79" fillId="0" borderId="0" xfId="0" applyFont="1" applyAlignment="1">
      <alignment horizontal="left" vertical="center" indent="1"/>
    </xf>
    <xf numFmtId="4" fontId="76" fillId="0" borderId="0" xfId="0" applyFont="1" applyAlignment="1">
      <alignment horizontal="left" vertical="center"/>
    </xf>
    <xf numFmtId="9" fontId="75" fillId="0" borderId="0" xfId="339" applyFont="1" applyFill="1" applyBorder="1" applyAlignment="1">
      <alignment horizontal="left" vertical="center" indent="1"/>
    </xf>
    <xf numFmtId="1" fontId="75" fillId="0" borderId="0" xfId="339" applyNumberFormat="1" applyFont="1" applyFill="1" applyBorder="1" applyAlignment="1">
      <alignment horizontal="left" vertical="center" indent="1"/>
    </xf>
    <xf numFmtId="0" fontId="75" fillId="0" borderId="0" xfId="339" applyNumberFormat="1" applyFont="1" applyFill="1" applyBorder="1" applyAlignment="1">
      <alignment horizontal="left" vertical="center" indent="1"/>
    </xf>
    <xf numFmtId="4" fontId="6" fillId="0" borderId="22" xfId="0" applyFont="1" applyBorder="1"/>
    <xf numFmtId="4" fontId="6" fillId="0" borderId="23" xfId="0" applyFont="1" applyBorder="1"/>
    <xf numFmtId="4" fontId="6" fillId="0" borderId="28" xfId="0" applyFont="1" applyBorder="1"/>
    <xf numFmtId="4" fontId="6" fillId="0" borderId="25" xfId="0" applyFont="1" applyBorder="1"/>
    <xf numFmtId="4" fontId="6" fillId="0" borderId="26" xfId="0" applyFont="1" applyBorder="1"/>
    <xf numFmtId="166" fontId="75" fillId="0" borderId="0" xfId="0" applyNumberFormat="1" applyFont="1" applyAlignment="1">
      <alignment horizontal="left" vertical="center" indent="1"/>
    </xf>
    <xf numFmtId="9" fontId="76" fillId="0" borderId="0" xfId="339" applyFont="1" applyFill="1" applyBorder="1" applyAlignment="1">
      <alignment horizontal="left" vertical="center" indent="1"/>
    </xf>
    <xf numFmtId="3" fontId="0" fillId="68" borderId="22" xfId="0" applyNumberFormat="1" applyFill="1" applyBorder="1"/>
    <xf numFmtId="4" fontId="70" fillId="0" borderId="0" xfId="0" applyFont="1"/>
    <xf numFmtId="4" fontId="60" fillId="0" borderId="0" xfId="0" applyFont="1" applyAlignment="1">
      <alignment vertical="center"/>
    </xf>
    <xf numFmtId="0" fontId="1" fillId="0" borderId="0" xfId="0" applyNumberFormat="1" applyFont="1" applyAlignment="1">
      <alignment horizontal="left"/>
    </xf>
    <xf numFmtId="4" fontId="1" fillId="0" borderId="0" xfId="0" applyFont="1" applyAlignment="1">
      <alignment horizontal="left"/>
    </xf>
    <xf numFmtId="3" fontId="75" fillId="69" borderId="0" xfId="356" applyNumberFormat="1" applyFont="1" applyFill="1" applyBorder="1" applyAlignment="1">
      <alignment horizontal="left" vertical="center" indent="1"/>
    </xf>
    <xf numFmtId="4" fontId="0" fillId="69" borderId="0" xfId="0" applyFill="1"/>
    <xf numFmtId="4" fontId="0" fillId="69" borderId="22" xfId="0" applyFill="1" applyBorder="1"/>
    <xf numFmtId="4" fontId="75" fillId="69" borderId="0" xfId="0" applyFont="1" applyFill="1" applyAlignment="1">
      <alignment horizontal="left" vertical="center" indent="1"/>
    </xf>
    <xf numFmtId="4" fontId="76" fillId="69" borderId="0" xfId="0" applyFont="1" applyFill="1" applyAlignment="1">
      <alignment horizontal="left" vertical="center"/>
    </xf>
    <xf numFmtId="9" fontId="0" fillId="69" borderId="0" xfId="339" applyFont="1" applyFill="1"/>
    <xf numFmtId="49" fontId="0" fillId="69" borderId="0" xfId="0" applyNumberFormat="1" applyFill="1"/>
    <xf numFmtId="3" fontId="0" fillId="69" borderId="0" xfId="0" applyNumberFormat="1" applyFill="1"/>
    <xf numFmtId="4" fontId="1" fillId="69" borderId="0" xfId="0" applyFont="1" applyFill="1"/>
    <xf numFmtId="2" fontId="0" fillId="69" borderId="0" xfId="0" applyNumberFormat="1" applyFill="1"/>
    <xf numFmtId="3" fontId="0" fillId="69" borderId="0" xfId="0" applyNumberFormat="1" applyFill="1" applyAlignment="1">
      <alignment vertical="center"/>
    </xf>
    <xf numFmtId="3" fontId="0" fillId="69" borderId="22" xfId="0" applyNumberFormat="1" applyFill="1" applyBorder="1" applyAlignment="1">
      <alignment vertical="center"/>
    </xf>
    <xf numFmtId="166" fontId="0" fillId="70" borderId="22" xfId="0" applyNumberFormat="1" applyFill="1" applyBorder="1" applyAlignment="1">
      <alignment vertical="center"/>
    </xf>
    <xf numFmtId="3" fontId="0" fillId="70" borderId="24" xfId="0" applyNumberFormat="1" applyFill="1" applyBorder="1" applyAlignment="1">
      <alignment vertical="center"/>
    </xf>
    <xf numFmtId="166" fontId="0" fillId="69" borderId="22" xfId="0" applyNumberFormat="1" applyFill="1" applyBorder="1" applyAlignment="1">
      <alignment vertical="center"/>
    </xf>
    <xf numFmtId="4" fontId="0" fillId="69" borderId="22" xfId="0" applyFill="1" applyBorder="1" applyAlignment="1">
      <alignment horizontal="left"/>
    </xf>
    <xf numFmtId="4" fontId="0" fillId="69" borderId="23" xfId="0" applyFill="1" applyBorder="1" applyAlignment="1">
      <alignment horizontal="left"/>
    </xf>
    <xf numFmtId="4" fontId="0" fillId="70" borderId="24" xfId="0" applyFill="1" applyBorder="1"/>
    <xf numFmtId="166" fontId="0" fillId="70" borderId="24" xfId="0" applyNumberFormat="1" applyFill="1" applyBorder="1" applyAlignment="1">
      <alignment vertical="center"/>
    </xf>
    <xf numFmtId="4" fontId="0" fillId="70" borderId="24" xfId="0" applyFill="1" applyBorder="1" applyAlignment="1">
      <alignment horizontal="left"/>
    </xf>
    <xf numFmtId="4" fontId="0" fillId="70" borderId="27" xfId="0" applyFill="1" applyBorder="1" applyAlignment="1">
      <alignment horizontal="left"/>
    </xf>
    <xf numFmtId="4" fontId="87" fillId="69" borderId="0" xfId="0" applyFont="1" applyFill="1"/>
    <xf numFmtId="4" fontId="0" fillId="69" borderId="0" xfId="0" applyFill="1" applyAlignment="1">
      <alignment vertical="center"/>
    </xf>
    <xf numFmtId="0" fontId="4" fillId="69" borderId="0" xfId="0" applyNumberFormat="1" applyFont="1" applyFill="1"/>
    <xf numFmtId="166" fontId="0" fillId="69" borderId="0" xfId="0" applyNumberFormat="1" applyFill="1" applyAlignment="1">
      <alignment vertical="center"/>
    </xf>
    <xf numFmtId="4" fontId="0" fillId="69" borderId="0" xfId="0" applyFill="1" applyAlignment="1">
      <alignment horizontal="left"/>
    </xf>
    <xf numFmtId="4" fontId="4" fillId="69" borderId="0" xfId="0" applyFont="1" applyFill="1" applyAlignment="1">
      <alignment horizontal="left" vertical="center"/>
    </xf>
    <xf numFmtId="3" fontId="75" fillId="0" borderId="0" xfId="356" applyNumberFormat="1" applyFont="1" applyFill="1" applyBorder="1" applyAlignment="1">
      <alignment horizontal="left" vertical="center" indent="1"/>
    </xf>
    <xf numFmtId="0" fontId="9" fillId="0" borderId="0" xfId="349"/>
    <xf numFmtId="0" fontId="14" fillId="0" borderId="0" xfId="349" applyFont="1"/>
    <xf numFmtId="0" fontId="57" fillId="0" borderId="0" xfId="349" applyFont="1"/>
    <xf numFmtId="4" fontId="14" fillId="72" borderId="0" xfId="0" applyFont="1" applyFill="1"/>
    <xf numFmtId="4" fontId="92" fillId="72" borderId="0" xfId="0" applyFont="1" applyFill="1"/>
    <xf numFmtId="2" fontId="0" fillId="0" borderId="0" xfId="0" applyNumberFormat="1"/>
    <xf numFmtId="49" fontId="59" fillId="0" borderId="0" xfId="0" applyNumberFormat="1" applyFont="1"/>
    <xf numFmtId="49" fontId="69" fillId="0" borderId="0" xfId="0" applyNumberFormat="1" applyFont="1"/>
    <xf numFmtId="49" fontId="4" fillId="0" borderId="0" xfId="0" applyNumberFormat="1" applyFont="1"/>
    <xf numFmtId="0" fontId="4" fillId="0" borderId="0" xfId="349" applyFont="1"/>
    <xf numFmtId="0" fontId="94" fillId="69" borderId="0" xfId="349" applyFont="1" applyFill="1"/>
    <xf numFmtId="4" fontId="0" fillId="0" borderId="0" xfId="0" applyAlignment="1">
      <alignment horizontal="center" vertical="center"/>
    </xf>
    <xf numFmtId="4" fontId="2" fillId="0" borderId="0" xfId="1" applyNumberFormat="1" applyAlignment="1">
      <alignment horizontal="center" vertical="center"/>
    </xf>
    <xf numFmtId="4" fontId="62" fillId="0" borderId="29" xfId="0" applyFont="1" applyBorder="1"/>
    <xf numFmtId="4" fontId="0" fillId="0" borderId="33" xfId="0" applyBorder="1" applyAlignment="1">
      <alignment horizontal="center" vertical="center"/>
    </xf>
    <xf numFmtId="4" fontId="0" fillId="0" borderId="0" xfId="0" applyAlignment="1">
      <alignment vertical="center"/>
    </xf>
    <xf numFmtId="4" fontId="0" fillId="0" borderId="0" xfId="0" applyNumberFormat="1"/>
    <xf numFmtId="3" fontId="0" fillId="69" borderId="0" xfId="0" applyNumberFormat="1" applyFill="1" applyBorder="1"/>
    <xf numFmtId="4" fontId="0" fillId="0" borderId="34" xfId="0" applyFont="1" applyBorder="1"/>
    <xf numFmtId="3" fontId="0" fillId="0" borderId="34" xfId="0" applyNumberFormat="1" applyFont="1" applyBorder="1" applyAlignment="1">
      <alignment vertical="center"/>
    </xf>
    <xf numFmtId="4" fontId="6" fillId="4" borderId="0" xfId="0" applyFont="1" applyFill="1" applyAlignment="1">
      <alignment vertical="center"/>
    </xf>
    <xf numFmtId="4" fontId="0" fillId="0" borderId="34" xfId="0" applyBorder="1"/>
    <xf numFmtId="4" fontId="95" fillId="0" borderId="0" xfId="0" applyFont="1" applyFill="1" applyBorder="1"/>
    <xf numFmtId="4" fontId="96" fillId="0" borderId="0" xfId="0" applyFont="1" applyFill="1" applyBorder="1"/>
    <xf numFmtId="4" fontId="97" fillId="75" borderId="0" xfId="0" applyFont="1" applyFill="1" applyBorder="1" applyAlignment="1">
      <alignment vertical="center"/>
    </xf>
    <xf numFmtId="3" fontId="96" fillId="0" borderId="35" xfId="0" applyNumberFormat="1" applyFont="1" applyFill="1" applyBorder="1" applyAlignment="1">
      <alignment vertical="center"/>
    </xf>
    <xf numFmtId="4" fontId="96" fillId="0" borderId="35" xfId="0" applyFont="1" applyFill="1" applyBorder="1"/>
    <xf numFmtId="166" fontId="96" fillId="0" borderId="35" xfId="0" applyNumberFormat="1" applyFont="1" applyFill="1" applyBorder="1"/>
    <xf numFmtId="4" fontId="96" fillId="0" borderId="35" xfId="0" applyFont="1" applyFill="1" applyBorder="1" applyAlignment="1">
      <alignment horizontal="left"/>
    </xf>
    <xf numFmtId="166" fontId="96" fillId="0" borderId="35" xfId="0" applyNumberFormat="1" applyFont="1" applyFill="1" applyBorder="1" applyAlignment="1">
      <alignment vertical="center"/>
    </xf>
    <xf numFmtId="4" fontId="98" fillId="0" borderId="35" xfId="0" applyFont="1" applyFill="1" applyBorder="1"/>
    <xf numFmtId="166" fontId="96" fillId="76" borderId="35" xfId="0" applyNumberFormat="1" applyFont="1" applyFill="1" applyBorder="1" applyAlignment="1">
      <alignment vertical="center"/>
    </xf>
    <xf numFmtId="4" fontId="96" fillId="76" borderId="35" xfId="0" applyFont="1" applyFill="1" applyBorder="1" applyAlignment="1">
      <alignment horizontal="left"/>
    </xf>
    <xf numFmtId="179" fontId="96" fillId="0" borderId="0" xfId="0" applyNumberFormat="1" applyFont="1" applyFill="1" applyBorder="1"/>
    <xf numFmtId="4" fontId="96" fillId="0" borderId="35" xfId="0" applyFont="1" applyFill="1" applyBorder="1" applyAlignment="1">
      <alignment vertical="center"/>
    </xf>
    <xf numFmtId="4" fontId="96" fillId="0" borderId="35" xfId="0" applyNumberFormat="1" applyFont="1" applyFill="1" applyBorder="1" applyAlignment="1">
      <alignment vertical="center"/>
    </xf>
    <xf numFmtId="4" fontId="6" fillId="4" borderId="0" xfId="0" applyFont="1" applyFill="1" applyBorder="1" applyAlignment="1">
      <alignment vertical="center"/>
    </xf>
    <xf numFmtId="4" fontId="0" fillId="0" borderId="0" xfId="0" applyFont="1"/>
    <xf numFmtId="3" fontId="0" fillId="71" borderId="34" xfId="0" applyNumberFormat="1" applyFont="1" applyFill="1" applyBorder="1"/>
    <xf numFmtId="4" fontId="0" fillId="0" borderId="34" xfId="0" applyFont="1" applyFill="1" applyBorder="1"/>
    <xf numFmtId="4" fontId="0" fillId="0" borderId="0" xfId="0" applyFont="1" applyFill="1"/>
    <xf numFmtId="3" fontId="0" fillId="0" borderId="0" xfId="0" applyNumberFormat="1" applyFill="1"/>
    <xf numFmtId="4" fontId="6" fillId="4" borderId="42" xfId="0" applyFont="1" applyFill="1" applyBorder="1"/>
    <xf numFmtId="4" fontId="0" fillId="0" borderId="0" xfId="0" applyAlignment="1">
      <alignment horizontal="center"/>
    </xf>
    <xf numFmtId="4" fontId="0" fillId="69" borderId="48" xfId="0" applyFont="1" applyFill="1" applyBorder="1"/>
    <xf numFmtId="4" fontId="0" fillId="0" borderId="0" xfId="0" applyFont="1" applyAlignment="1">
      <alignment horizontal="right"/>
    </xf>
    <xf numFmtId="4" fontId="96" fillId="0" borderId="0" xfId="0" applyFont="1" applyAlignment="1">
      <alignment horizontal="center"/>
    </xf>
    <xf numFmtId="4" fontId="4" fillId="0" borderId="0" xfId="0" applyFont="1" applyAlignment="1">
      <alignment horizontal="right"/>
    </xf>
    <xf numFmtId="0" fontId="2" fillId="0" borderId="0" xfId="1" applyAlignment="1">
      <alignment horizontal="right"/>
    </xf>
    <xf numFmtId="0" fontId="0" fillId="0" borderId="0" xfId="349" applyFont="1" applyAlignment="1">
      <alignment horizontal="right" vertical="center"/>
    </xf>
    <xf numFmtId="0" fontId="4" fillId="0" borderId="0" xfId="349" applyFont="1" applyFill="1" applyAlignment="1">
      <alignment horizontal="right" vertical="top" wrapText="1"/>
    </xf>
    <xf numFmtId="0" fontId="0" fillId="0" borderId="0" xfId="349" applyFont="1" applyFill="1" applyAlignment="1">
      <alignment horizontal="left" vertical="top" wrapText="1"/>
    </xf>
    <xf numFmtId="0" fontId="14" fillId="0" borderId="51" xfId="349" applyFont="1" applyBorder="1"/>
    <xf numFmtId="4" fontId="0" fillId="69" borderId="43" xfId="0" applyFont="1" applyFill="1" applyBorder="1" applyAlignment="1">
      <alignment horizontal="left" vertical="center"/>
    </xf>
    <xf numFmtId="0" fontId="9" fillId="0" borderId="0" xfId="349" applyFont="1"/>
    <xf numFmtId="0" fontId="14" fillId="0" borderId="0" xfId="349" applyFont="1" applyFill="1"/>
    <xf numFmtId="4" fontId="0" fillId="0" borderId="33" xfId="0" applyBorder="1"/>
    <xf numFmtId="4" fontId="0" fillId="0" borderId="57" xfId="0" applyBorder="1"/>
    <xf numFmtId="4" fontId="0" fillId="0" borderId="0" xfId="0" applyBorder="1"/>
    <xf numFmtId="4" fontId="66" fillId="0" borderId="0" xfId="0" applyFont="1"/>
    <xf numFmtId="4" fontId="67" fillId="0" borderId="0" xfId="0" applyFont="1"/>
    <xf numFmtId="4" fontId="135" fillId="0" borderId="0" xfId="0" applyFont="1" applyAlignment="1">
      <alignment vertical="top"/>
    </xf>
    <xf numFmtId="4" fontId="87" fillId="0" borderId="0" xfId="0" applyFont="1"/>
    <xf numFmtId="4" fontId="136" fillId="0" borderId="0" xfId="0" applyFont="1"/>
    <xf numFmtId="4" fontId="6" fillId="0" borderId="0" xfId="0" applyFont="1"/>
    <xf numFmtId="4" fontId="96" fillId="69" borderId="35" xfId="0" applyFont="1" applyFill="1" applyBorder="1"/>
    <xf numFmtId="3" fontId="0" fillId="0" borderId="0" xfId="0" applyNumberFormat="1" applyFont="1" applyAlignment="1">
      <alignment vertical="center"/>
    </xf>
    <xf numFmtId="4" fontId="14" fillId="0" borderId="0" xfId="0" applyFont="1" applyFill="1"/>
    <xf numFmtId="4" fontId="0" fillId="0" borderId="0" xfId="0" applyFill="1"/>
    <xf numFmtId="4" fontId="8" fillId="69" borderId="0" xfId="0" applyFont="1" applyFill="1" applyAlignment="1">
      <alignment vertical="top"/>
    </xf>
    <xf numFmtId="4" fontId="4" fillId="69" borderId="0" xfId="0" applyFont="1" applyFill="1"/>
    <xf numFmtId="4" fontId="0" fillId="0" borderId="62" xfId="0" applyBorder="1"/>
    <xf numFmtId="3" fontId="137" fillId="0" borderId="0" xfId="0" applyNumberFormat="1" applyFont="1"/>
    <xf numFmtId="4" fontId="0" fillId="73" borderId="0" xfId="0" applyFill="1"/>
    <xf numFmtId="4" fontId="3" fillId="101" borderId="0" xfId="0" applyFont="1" applyFill="1"/>
    <xf numFmtId="4" fontId="0" fillId="101" borderId="0" xfId="0" applyFill="1"/>
    <xf numFmtId="4" fontId="1" fillId="101" borderId="0" xfId="0" applyFont="1" applyFill="1"/>
    <xf numFmtId="4" fontId="0" fillId="101" borderId="0" xfId="0" applyFill="1" applyAlignment="1">
      <alignment horizontal="left"/>
    </xf>
    <xf numFmtId="9" fontId="0" fillId="101" borderId="0" xfId="339" applyFont="1" applyFill="1"/>
    <xf numFmtId="4" fontId="1" fillId="101" borderId="0" xfId="0" applyFont="1" applyFill="1" applyAlignment="1">
      <alignment horizontal="left"/>
    </xf>
    <xf numFmtId="4" fontId="70" fillId="101" borderId="0" xfId="0" applyFont="1" applyFill="1"/>
    <xf numFmtId="3" fontId="0" fillId="101" borderId="0" xfId="0" applyNumberFormat="1" applyFill="1"/>
    <xf numFmtId="0" fontId="0" fillId="101" borderId="0" xfId="0" applyNumberFormat="1" applyFill="1"/>
    <xf numFmtId="4" fontId="0" fillId="72" borderId="0" xfId="0" applyFill="1"/>
    <xf numFmtId="4" fontId="3" fillId="73" borderId="0" xfId="0" applyFont="1" applyFill="1"/>
    <xf numFmtId="4" fontId="1" fillId="73" borderId="0" xfId="0" applyFont="1" applyFill="1"/>
    <xf numFmtId="4" fontId="0" fillId="73" borderId="33" xfId="0" applyFill="1" applyBorder="1"/>
    <xf numFmtId="4" fontId="0" fillId="73" borderId="0" xfId="0" applyFill="1" applyBorder="1"/>
    <xf numFmtId="4" fontId="0" fillId="73" borderId="0" xfId="0" applyFill="1" applyAlignment="1">
      <alignment horizontal="right"/>
    </xf>
    <xf numFmtId="4" fontId="89" fillId="72" borderId="0" xfId="0" applyFont="1" applyFill="1"/>
    <xf numFmtId="4" fontId="14" fillId="72" borderId="0" xfId="0" applyFont="1" applyFill="1" applyAlignment="1">
      <alignment horizontal="right"/>
    </xf>
    <xf numFmtId="4" fontId="138" fillId="72" borderId="0" xfId="1" applyNumberFormat="1" applyFont="1" applyFill="1"/>
    <xf numFmtId="4" fontId="6" fillId="72" borderId="0" xfId="0" applyFont="1" applyFill="1"/>
    <xf numFmtId="3" fontId="14" fillId="72" borderId="0" xfId="0" applyNumberFormat="1" applyFont="1" applyFill="1"/>
    <xf numFmtId="3" fontId="139" fillId="72" borderId="0" xfId="0" applyNumberFormat="1" applyFont="1" applyFill="1"/>
    <xf numFmtId="4" fontId="3" fillId="102" borderId="0" xfId="0" applyFont="1" applyFill="1"/>
    <xf numFmtId="4" fontId="0" fillId="102" borderId="0" xfId="0" applyFill="1"/>
    <xf numFmtId="4" fontId="0" fillId="102" borderId="0" xfId="0" applyFill="1" applyAlignment="1">
      <alignment horizontal="right"/>
    </xf>
    <xf numFmtId="4" fontId="0" fillId="102" borderId="0" xfId="0" applyFill="1" applyAlignment="1">
      <alignment horizontal="left"/>
    </xf>
    <xf numFmtId="4" fontId="1" fillId="102" borderId="0" xfId="0" applyFont="1" applyFill="1"/>
    <xf numFmtId="3" fontId="0" fillId="102" borderId="0" xfId="0" applyNumberFormat="1" applyFill="1"/>
    <xf numFmtId="4" fontId="14" fillId="102" borderId="0" xfId="0" applyFont="1" applyFill="1"/>
    <xf numFmtId="4" fontId="0" fillId="102" borderId="60" xfId="0" applyFill="1" applyBorder="1"/>
    <xf numFmtId="3" fontId="0" fillId="102" borderId="60" xfId="0" applyNumberFormat="1" applyFill="1" applyBorder="1"/>
    <xf numFmtId="4" fontId="0" fillId="102" borderId="58" xfId="0" applyFill="1" applyBorder="1"/>
    <xf numFmtId="3" fontId="0" fillId="102" borderId="58" xfId="0" applyNumberFormat="1" applyFill="1" applyBorder="1"/>
    <xf numFmtId="4" fontId="1" fillId="102" borderId="58" xfId="0" applyFont="1" applyFill="1" applyBorder="1" applyAlignment="1">
      <alignment horizontal="right"/>
    </xf>
    <xf numFmtId="4" fontId="1" fillId="102" borderId="0" xfId="0" applyFont="1" applyFill="1" applyAlignment="1">
      <alignment horizontal="right"/>
    </xf>
    <xf numFmtId="4" fontId="4" fillId="102" borderId="0" xfId="0" applyFont="1" applyFill="1"/>
    <xf numFmtId="4" fontId="4" fillId="102" borderId="60" xfId="0" applyFont="1" applyFill="1" applyBorder="1"/>
    <xf numFmtId="4" fontId="0" fillId="102" borderId="0" xfId="0" applyFill="1" applyBorder="1"/>
    <xf numFmtId="4" fontId="1" fillId="102" borderId="0" xfId="0" applyFont="1" applyFill="1" applyBorder="1" applyAlignment="1">
      <alignment horizontal="right"/>
    </xf>
    <xf numFmtId="0" fontId="14" fillId="72" borderId="0" xfId="0" applyNumberFormat="1" applyFont="1" applyFill="1" applyAlignment="1">
      <alignment horizontal="right"/>
    </xf>
    <xf numFmtId="4" fontId="6" fillId="72" borderId="0" xfId="0" applyFont="1" applyFill="1" applyAlignment="1">
      <alignment horizontal="right"/>
    </xf>
    <xf numFmtId="4" fontId="14" fillId="72" borderId="63" xfId="0" applyFont="1" applyFill="1" applyBorder="1"/>
    <xf numFmtId="4" fontId="6" fillId="72" borderId="63" xfId="0" applyFont="1" applyFill="1" applyBorder="1"/>
    <xf numFmtId="4" fontId="0" fillId="101" borderId="52" xfId="0" applyFill="1" applyBorder="1" applyAlignment="1">
      <alignment horizontal="left"/>
    </xf>
    <xf numFmtId="9" fontId="0" fillId="101" borderId="52" xfId="339" applyFont="1" applyFill="1" applyBorder="1"/>
    <xf numFmtId="4" fontId="0" fillId="0" borderId="55" xfId="0" applyFont="1" applyFill="1" applyBorder="1" applyAlignment="1">
      <alignment horizontal="right" vertical="center"/>
    </xf>
    <xf numFmtId="0" fontId="9" fillId="0" borderId="0" xfId="349" applyAlignment="1">
      <alignment vertical="center"/>
    </xf>
    <xf numFmtId="4" fontId="0" fillId="0" borderId="56" xfId="0" applyFont="1" applyFill="1" applyBorder="1" applyAlignment="1">
      <alignment vertical="top"/>
    </xf>
    <xf numFmtId="4" fontId="96" fillId="103" borderId="35" xfId="0" applyFont="1" applyFill="1" applyBorder="1"/>
    <xf numFmtId="166" fontId="96" fillId="103" borderId="35" xfId="0" applyNumberFormat="1" applyFont="1" applyFill="1" applyBorder="1" applyAlignment="1">
      <alignment vertical="center"/>
    </xf>
    <xf numFmtId="166" fontId="96" fillId="103" borderId="35" xfId="0" applyNumberFormat="1" applyFont="1" applyFill="1" applyBorder="1"/>
    <xf numFmtId="166" fontId="96" fillId="69" borderId="35" xfId="0" applyNumberFormat="1" applyFont="1" applyFill="1" applyBorder="1" applyAlignment="1">
      <alignment vertical="center"/>
    </xf>
    <xf numFmtId="166" fontId="96" fillId="69" borderId="0" xfId="0" applyNumberFormat="1" applyFont="1" applyFill="1" applyBorder="1" applyAlignment="1">
      <alignment vertical="center"/>
    </xf>
    <xf numFmtId="3" fontId="4" fillId="69" borderId="0" xfId="0" applyNumberFormat="1" applyFont="1" applyFill="1"/>
    <xf numFmtId="4" fontId="96" fillId="103" borderId="0" xfId="0" applyFont="1" applyFill="1" applyBorder="1"/>
    <xf numFmtId="4" fontId="0" fillId="103" borderId="0" xfId="0" applyFill="1"/>
    <xf numFmtId="4" fontId="2" fillId="0" borderId="0" xfId="1" applyNumberFormat="1" applyAlignment="1">
      <alignment vertical="top"/>
    </xf>
    <xf numFmtId="4" fontId="0" fillId="0" borderId="64" xfId="0" applyBorder="1"/>
    <xf numFmtId="4" fontId="0" fillId="69" borderId="59" xfId="0" applyFont="1" applyFill="1" applyBorder="1" applyAlignment="1">
      <alignment horizontal="left" vertical="center"/>
    </xf>
    <xf numFmtId="4" fontId="6" fillId="4" borderId="59" xfId="0" applyFont="1" applyFill="1" applyBorder="1" applyAlignment="1">
      <alignment horizontal="left" vertical="center"/>
    </xf>
    <xf numFmtId="4" fontId="14" fillId="74" borderId="30" xfId="1" applyNumberFormat="1" applyFont="1" applyFill="1" applyBorder="1" applyAlignment="1">
      <alignment horizontal="center" vertical="center"/>
    </xf>
    <xf numFmtId="4" fontId="14" fillId="74" borderId="31" xfId="1" applyNumberFormat="1" applyFont="1" applyFill="1" applyBorder="1" applyAlignment="1">
      <alignment horizontal="center" vertical="center"/>
    </xf>
    <xf numFmtId="4" fontId="14" fillId="74" borderId="32" xfId="1" applyNumberFormat="1" applyFont="1" applyFill="1" applyBorder="1" applyAlignment="1">
      <alignment horizontal="center" vertical="center"/>
    </xf>
    <xf numFmtId="14" fontId="0" fillId="69" borderId="34" xfId="0" applyNumberFormat="1" applyFont="1" applyFill="1" applyBorder="1" applyAlignment="1">
      <alignment horizontal="center"/>
    </xf>
    <xf numFmtId="14" fontId="0" fillId="69" borderId="48" xfId="0" applyNumberFormat="1" applyFont="1" applyFill="1" applyBorder="1" applyAlignment="1">
      <alignment horizontal="center"/>
    </xf>
    <xf numFmtId="4" fontId="0" fillId="69" borderId="43" xfId="0" applyFont="1" applyFill="1" applyBorder="1" applyAlignment="1">
      <alignment horizontal="center"/>
    </xf>
    <xf numFmtId="4" fontId="0" fillId="69" borderId="49" xfId="0" applyFont="1" applyFill="1" applyBorder="1" applyAlignment="1">
      <alignment horizontal="center"/>
    </xf>
    <xf numFmtId="14" fontId="0" fillId="69" borderId="43" xfId="0" applyNumberFormat="1" applyFont="1" applyFill="1" applyBorder="1" applyAlignment="1">
      <alignment horizontal="center"/>
    </xf>
    <xf numFmtId="14" fontId="0" fillId="69" borderId="49" xfId="0" applyNumberFormat="1" applyFont="1" applyFill="1" applyBorder="1" applyAlignment="1">
      <alignment horizontal="center"/>
    </xf>
    <xf numFmtId="0" fontId="9" fillId="37" borderId="30" xfId="1" applyFont="1" applyFill="1" applyBorder="1" applyAlignment="1">
      <alignment horizontal="center" vertical="center"/>
    </xf>
    <xf numFmtId="0" fontId="9" fillId="37" borderId="32" xfId="1" applyFont="1" applyFill="1" applyBorder="1" applyAlignment="1">
      <alignment horizontal="center" vertical="center"/>
    </xf>
    <xf numFmtId="0" fontId="4" fillId="73" borderId="30" xfId="1" quotePrefix="1" applyFont="1" applyFill="1" applyBorder="1" applyAlignment="1">
      <alignment horizontal="center" vertical="center"/>
    </xf>
    <xf numFmtId="0" fontId="4" fillId="73" borderId="31" xfId="1" quotePrefix="1" applyFont="1" applyFill="1" applyBorder="1" applyAlignment="1">
      <alignment horizontal="center" vertical="center"/>
    </xf>
    <xf numFmtId="0" fontId="4" fillId="73" borderId="30" xfId="1" applyFont="1" applyFill="1" applyBorder="1" applyAlignment="1">
      <alignment horizontal="center" vertical="center"/>
    </xf>
    <xf numFmtId="0" fontId="4" fillId="73" borderId="32" xfId="1" applyFont="1" applyFill="1" applyBorder="1" applyAlignment="1">
      <alignment horizontal="center" vertical="center"/>
    </xf>
    <xf numFmtId="0" fontId="14" fillId="72" borderId="30" xfId="1" quotePrefix="1" applyFont="1" applyFill="1" applyBorder="1" applyAlignment="1">
      <alignment horizontal="center" vertical="center"/>
    </xf>
    <xf numFmtId="0" fontId="14" fillId="72" borderId="32" xfId="1" quotePrefix="1" applyFont="1" applyFill="1" applyBorder="1" applyAlignment="1">
      <alignment horizontal="center" vertical="center"/>
    </xf>
    <xf numFmtId="0" fontId="9" fillId="37" borderId="31" xfId="1" applyFont="1" applyFill="1" applyBorder="1" applyAlignment="1">
      <alignment horizontal="center" vertical="center"/>
    </xf>
    <xf numFmtId="4" fontId="14" fillId="74" borderId="61" xfId="1" applyNumberFormat="1" applyFont="1" applyFill="1" applyBorder="1" applyAlignment="1">
      <alignment horizontal="center" vertical="center"/>
    </xf>
    <xf numFmtId="4" fontId="14" fillId="74" borderId="62" xfId="1" applyNumberFormat="1" applyFont="1" applyFill="1" applyBorder="1" applyAlignment="1">
      <alignment horizontal="center" vertical="center"/>
    </xf>
    <xf numFmtId="4" fontId="0" fillId="0" borderId="0" xfId="0" applyAlignment="1">
      <alignment vertical="center"/>
    </xf>
    <xf numFmtId="0" fontId="4" fillId="73" borderId="31" xfId="1" applyFont="1" applyFill="1" applyBorder="1" applyAlignment="1">
      <alignment horizontal="center" vertical="center"/>
    </xf>
    <xf numFmtId="0" fontId="4" fillId="73" borderId="32" xfId="1" quotePrefix="1" applyFont="1" applyFill="1" applyBorder="1" applyAlignment="1">
      <alignment horizontal="center" vertical="center"/>
    </xf>
    <xf numFmtId="4" fontId="1" fillId="73" borderId="53" xfId="0" applyFont="1" applyFill="1" applyBorder="1" applyAlignment="1">
      <alignment vertical="center" wrapText="1"/>
    </xf>
    <xf numFmtId="4" fontId="1" fillId="73" borderId="50" xfId="0" applyFont="1" applyFill="1" applyBorder="1" applyAlignment="1">
      <alignment vertical="center" wrapText="1"/>
    </xf>
    <xf numFmtId="4" fontId="1" fillId="73" borderId="54" xfId="0" applyFont="1" applyFill="1" applyBorder="1" applyAlignment="1">
      <alignment vertical="center" wrapText="1"/>
    </xf>
    <xf numFmtId="4" fontId="1" fillId="73" borderId="52" xfId="0" applyFont="1" applyFill="1" applyBorder="1" applyAlignment="1">
      <alignment vertical="center" wrapText="1"/>
    </xf>
    <xf numFmtId="0" fontId="89" fillId="0" borderId="0" xfId="349" applyFont="1" applyBorder="1" applyAlignment="1">
      <alignment horizontal="center"/>
    </xf>
  </cellXfs>
  <cellStyles count="1449">
    <cellStyle name="%" xfId="217" xr:uid="{88BA772E-BBEE-4928-B7F7-3FBCB3E4C452}"/>
    <cellStyle name="20 % - Akzent1" xfId="8" builtinId="30" customBuiltin="1"/>
    <cellStyle name="20 % - Akzent1 2" xfId="362" xr:uid="{00000000-0005-0000-0000-000000000000}"/>
    <cellStyle name="20 % - Akzent2" xfId="12" builtinId="34" customBuiltin="1"/>
    <cellStyle name="20 % - Akzent2 2" xfId="363" xr:uid="{00000000-0005-0000-0000-000001000000}"/>
    <cellStyle name="20 % - Akzent3" xfId="16" builtinId="38" customBuiltin="1"/>
    <cellStyle name="20 % - Akzent3 2" xfId="364" xr:uid="{00000000-0005-0000-0000-000002000000}"/>
    <cellStyle name="20 % - Akzent4" xfId="20" builtinId="42" customBuiltin="1"/>
    <cellStyle name="20 % - Akzent4 2" xfId="365" xr:uid="{00000000-0005-0000-0000-000003000000}"/>
    <cellStyle name="20 % - Akzent5" xfId="24" builtinId="46" customBuiltin="1"/>
    <cellStyle name="20 % - Akzent5 2" xfId="366" xr:uid="{00000000-0005-0000-0000-000004000000}"/>
    <cellStyle name="20 % - Akzent6" xfId="28" builtinId="50" customBuiltin="1"/>
    <cellStyle name="20 % - Akzent6 2" xfId="367" xr:uid="{00000000-0005-0000-0000-000005000000}"/>
    <cellStyle name="20% - Accent1 2" xfId="64" xr:uid="{67D0632D-BA67-4C1B-93AA-5C451D184663}"/>
    <cellStyle name="20% - Accent1 2 2" xfId="120" xr:uid="{D7D2B4C9-DDA4-41DA-82A0-C7414AD2B413}"/>
    <cellStyle name="20% - Accent1 2 2 2" xfId="301" xr:uid="{FB54FBDE-3C7E-4DEA-BA42-86AA60C81798}"/>
    <cellStyle name="20% - Accent1 2 2 3" xfId="246" xr:uid="{072ECA8D-2AE2-4D24-9553-5C0E3091DDC6}"/>
    <cellStyle name="20% - Accent2 2" xfId="74" xr:uid="{24AD2734-329C-43A6-91DF-DBDD770C490A}"/>
    <cellStyle name="20% - Accent2 2 2" xfId="179" xr:uid="{64A9D8B2-2E63-4FEF-AD1A-492E0F09AA2C}"/>
    <cellStyle name="20% - Accent2 2 2 2" xfId="232" xr:uid="{245D35BF-6FF4-4AC0-8050-64B8078C2D5B}"/>
    <cellStyle name="20% - Accent2 2 2 3" xfId="59" xr:uid="{3FECFDB3-B3BE-4302-AFFF-BD51C28ACC5B}"/>
    <cellStyle name="20% - Accent3 2" xfId="73" xr:uid="{4786B6B1-3441-44AA-B02C-8CF7F7AAB6AE}"/>
    <cellStyle name="20% - Accent3 2 2" xfId="131" xr:uid="{8D77929E-F9B3-4B73-AD5E-F01C1F1C36AA}"/>
    <cellStyle name="20% - Accent3 2 2 2" xfId="77" xr:uid="{4A6EA235-E20D-4EE1-B2D5-CC62028AFD2E}"/>
    <cellStyle name="20% - Accent3 2 2 3" xfId="136" xr:uid="{CD84471A-CDCC-473E-AB9B-AD558657D3CD}"/>
    <cellStyle name="20% - Accent4 2" xfId="142" xr:uid="{E9D4B77D-1689-4F1F-9F4C-72FB76C7C0C6}"/>
    <cellStyle name="20% - Accent4 2 2" xfId="289" xr:uid="{80CB9E1F-8BB6-454E-9546-5EE7199FFC77}"/>
    <cellStyle name="20% - Accent4 2 2 2" xfId="258" xr:uid="{1F94A890-2BB2-468C-A833-D27CE4C3D195}"/>
    <cellStyle name="20% - Accent4 2 2 3" xfId="206" xr:uid="{58ABBB37-9ACD-4173-9B40-A485070991B9}"/>
    <cellStyle name="20% - Accent5 2" xfId="170" xr:uid="{0FA13902-CF2C-4978-AE2D-925B76C16749}"/>
    <cellStyle name="20% - Accent5 2 2" xfId="168" xr:uid="{3ABFE3ED-FCEE-4B57-9CBA-C5BC159EE555}"/>
    <cellStyle name="20% - Accent5 2 2 2" xfId="84" xr:uid="{8AA83E16-D0A0-4462-A0C7-42918DF6DA64}"/>
    <cellStyle name="20% - Accent5 2 2 3" xfId="129" xr:uid="{1B73BE92-066A-41C2-8F9B-A662C72BFCC7}"/>
    <cellStyle name="20% - Accent6 2" xfId="152" xr:uid="{C2AC3D56-3A86-4BFA-B046-884754EED056}"/>
    <cellStyle name="20% - Accent6 2 2" xfId="306" xr:uid="{DA556082-DB9B-4C3B-A735-DEBD7789B453}"/>
    <cellStyle name="20% - Accent6 2 2 2" xfId="128" xr:uid="{3CA6D1F3-43CF-4359-A39D-4DC809328124}"/>
    <cellStyle name="20% - Accent6 2 2 3" xfId="293" xr:uid="{70BFD040-507B-4006-B2D4-69F44352ABFD}"/>
    <cellStyle name="20% - アクセント 1" xfId="368" xr:uid="{00000000-0005-0000-0000-000006000000}"/>
    <cellStyle name="20% - アクセント 2" xfId="369" xr:uid="{00000000-0005-0000-0000-000007000000}"/>
    <cellStyle name="20% - アクセント 3" xfId="370" xr:uid="{00000000-0005-0000-0000-000008000000}"/>
    <cellStyle name="20% - アクセント 4" xfId="371" xr:uid="{00000000-0005-0000-0000-000009000000}"/>
    <cellStyle name="20% - アクセント 5" xfId="372" xr:uid="{00000000-0005-0000-0000-00000A000000}"/>
    <cellStyle name="20% - アクセント 6" xfId="373" xr:uid="{00000000-0005-0000-0000-00000B000000}"/>
    <cellStyle name="40 % - Akzent1" xfId="9" builtinId="31" customBuiltin="1"/>
    <cellStyle name="40 % - Akzent1 2" xfId="374" xr:uid="{00000000-0005-0000-0000-00000C000000}"/>
    <cellStyle name="40 % - Akzent2" xfId="13" builtinId="35" customBuiltin="1"/>
    <cellStyle name="40 % - Akzent2 2" xfId="375" xr:uid="{00000000-0005-0000-0000-00000D000000}"/>
    <cellStyle name="40 % - Akzent3" xfId="17" builtinId="39" customBuiltin="1"/>
    <cellStyle name="40 % - Akzent3 2" xfId="376" xr:uid="{00000000-0005-0000-0000-00000E000000}"/>
    <cellStyle name="40 % - Akzent4" xfId="21" builtinId="43" customBuiltin="1"/>
    <cellStyle name="40 % - Akzent4 2" xfId="377" xr:uid="{00000000-0005-0000-0000-00000F000000}"/>
    <cellStyle name="40 % - Akzent5" xfId="25" builtinId="47" customBuiltin="1"/>
    <cellStyle name="40 % - Akzent5 2" xfId="378" xr:uid="{00000000-0005-0000-0000-000010000000}"/>
    <cellStyle name="40 % - Akzent6" xfId="29" builtinId="51" customBuiltin="1"/>
    <cellStyle name="40 % - Akzent6 2" xfId="379" xr:uid="{00000000-0005-0000-0000-000011000000}"/>
    <cellStyle name="40% - Accent1 2" xfId="130" xr:uid="{348F74A5-ED53-458E-A7FB-D5EF5259D009}"/>
    <cellStyle name="40% - Accent1 2 2" xfId="317" xr:uid="{BEF6D1B2-82E4-476D-8E6C-8A286EFC9C53}"/>
    <cellStyle name="40% - Accent1 2 2 2" xfId="68" xr:uid="{19893C77-FE9A-4CB4-8B8A-EA00A40E7F01}"/>
    <cellStyle name="40% - Accent1 2 2 3" xfId="196" xr:uid="{717F8BAA-AA12-4EFB-81CC-CCF1F6680CAF}"/>
    <cellStyle name="40% - Accent2 2" xfId="89" xr:uid="{28AFE535-9944-422B-9167-4490330F308B}"/>
    <cellStyle name="40% - Accent2 2 2" xfId="272" xr:uid="{5704FFB5-5FF6-4867-8718-45CE8CECC3C1}"/>
    <cellStyle name="40% - Accent2 2 2 2" xfId="302" xr:uid="{4EE7D14B-E137-4E11-A1F5-26EEDC96B0BA}"/>
    <cellStyle name="40% - Accent2 2 2 3" xfId="311" xr:uid="{9852E7C6-89C0-4A0E-941A-0D29CF1176AF}"/>
    <cellStyle name="40% - Accent3 2" xfId="266" xr:uid="{7ECDD3E0-56EC-49D1-B3B9-57DD9D40666A}"/>
    <cellStyle name="40% - Accent3 2 2" xfId="92" xr:uid="{60EC9A2C-7A9A-41DE-8FDD-DFD4DFBB9925}"/>
    <cellStyle name="40% - Accent3 2 2 2" xfId="286" xr:uid="{708D4C74-F38C-43DC-B070-BFB17B040FE4}"/>
    <cellStyle name="40% - Accent3 2 2 3" xfId="65" xr:uid="{DF7B0D1B-142D-4636-81A9-DBE05D8731DC}"/>
    <cellStyle name="40% - Accent4 2" xfId="262" xr:uid="{2B6CF215-4E45-411E-AF9E-1E224D55BD93}"/>
    <cellStyle name="40% - Accent4 2 2" xfId="219" xr:uid="{3BA13206-D31D-48D3-948B-1AABA9E11445}"/>
    <cellStyle name="40% - Accent4 2 2 2" xfId="110" xr:uid="{08DF2745-BF28-4191-AA54-0B2CBB58C3C7}"/>
    <cellStyle name="40% - Accent4 2 2 3" xfId="117" xr:uid="{41FD592A-2F80-4D6A-AAF0-2B61926B6CF5}"/>
    <cellStyle name="40% - Accent5 2" xfId="321" xr:uid="{9594959F-B4AE-4EEC-81F8-F5F6412541A4}"/>
    <cellStyle name="40% - Accent5 2 2" xfId="248" xr:uid="{37252E58-06C4-4EE8-B591-D775FFE69199}"/>
    <cellStyle name="40% - Accent5 2 2 2" xfId="98" xr:uid="{0D948014-821B-45A7-B383-F137316BA33B}"/>
    <cellStyle name="40% - Accent5 2 2 3" xfId="156" xr:uid="{403FCCFF-3911-46B3-8F9F-CC90B0421F5C}"/>
    <cellStyle name="40% - Accent6 2" xfId="192" xr:uid="{E0B76F13-B7D0-49DE-ACCF-45AE38D1DC5D}"/>
    <cellStyle name="40% - Accent6 2 2" xfId="108" xr:uid="{BB4C3251-5364-4ADA-BE25-8019101C609E}"/>
    <cellStyle name="40% - Accent6 2 2 2" xfId="60" xr:uid="{E8F61903-CE54-4FCC-8EB8-865DFF1D0587}"/>
    <cellStyle name="40% - Accent6 2 2 3" xfId="104" xr:uid="{1BB3AFF2-5597-4F92-8BB7-79C267F0C6C1}"/>
    <cellStyle name="40% - アクセント 1" xfId="380" xr:uid="{00000000-0005-0000-0000-000012000000}"/>
    <cellStyle name="40% - アクセント 2" xfId="381" xr:uid="{00000000-0005-0000-0000-000013000000}"/>
    <cellStyle name="40% - アクセント 3" xfId="382" xr:uid="{00000000-0005-0000-0000-000014000000}"/>
    <cellStyle name="40% - アクセント 4" xfId="383" xr:uid="{00000000-0005-0000-0000-000015000000}"/>
    <cellStyle name="40% - アクセント 5" xfId="384" xr:uid="{00000000-0005-0000-0000-000016000000}"/>
    <cellStyle name="40% - アクセント 6" xfId="385" xr:uid="{00000000-0005-0000-0000-000017000000}"/>
    <cellStyle name="5x indented GHG Textfiels" xfId="309" xr:uid="{A43FA8AF-2568-40F9-9601-5EBDBEC2DC96}"/>
    <cellStyle name="60 % - Akzent1" xfId="10" builtinId="32" customBuiltin="1"/>
    <cellStyle name="60 % - Akzent1 2" xfId="386" xr:uid="{00000000-0005-0000-0000-000018000000}"/>
    <cellStyle name="60 % - Akzent2" xfId="14" builtinId="36" customBuiltin="1"/>
    <cellStyle name="60 % - Akzent2 2" xfId="387" xr:uid="{00000000-0005-0000-0000-000019000000}"/>
    <cellStyle name="60 % - Akzent3" xfId="18" builtinId="40" customBuiltin="1"/>
    <cellStyle name="60 % - Akzent3 2" xfId="388" xr:uid="{00000000-0005-0000-0000-00001A000000}"/>
    <cellStyle name="60 % - Akzent4" xfId="22" builtinId="44" customBuiltin="1"/>
    <cellStyle name="60 % - Akzent4 2" xfId="389" xr:uid="{00000000-0005-0000-0000-00001B000000}"/>
    <cellStyle name="60 % - Akzent5" xfId="26" builtinId="48" customBuiltin="1"/>
    <cellStyle name="60 % - Akzent5 2" xfId="390" xr:uid="{00000000-0005-0000-0000-00001C000000}"/>
    <cellStyle name="60 % - Akzent6" xfId="30" builtinId="52" customBuiltin="1"/>
    <cellStyle name="60 % - Akzent6 2" xfId="391" xr:uid="{00000000-0005-0000-0000-00001D000000}"/>
    <cellStyle name="60% - Accent1 2" xfId="135" xr:uid="{11BEB34F-3D82-4781-94D2-BA100CA3D599}"/>
    <cellStyle name="60% - Accent1 2 2" xfId="255" xr:uid="{B09F078C-D593-4CF7-99D7-D38665780709}"/>
    <cellStyle name="60% - Accent1 2 2 2" xfId="94" xr:uid="{374512B2-9D86-4700-8237-2433674803F3}"/>
    <cellStyle name="60% - Accent1 2 2 3" xfId="283" xr:uid="{69AA644E-2C39-4C5E-967D-06CBC1907CB4}"/>
    <cellStyle name="60% - Accent2 2" xfId="188" xr:uid="{C661E50C-B7FF-4CE1-9B2B-7878AB6E0235}"/>
    <cellStyle name="60% - Accent2 2 2" xfId="250" xr:uid="{149FDE33-848E-4C00-B05A-E9AAACE51854}"/>
    <cellStyle name="60% - Accent2 2 2 2" xfId="204" xr:uid="{E3EFA46A-9D59-4A7D-84FF-4999E3CAA00C}"/>
    <cellStyle name="60% - Accent2 2 2 3" xfId="198" xr:uid="{2201C491-2103-49B7-BBAD-3FA180C4CE9B}"/>
    <cellStyle name="60% - Accent3 2" xfId="140" xr:uid="{7EC72CA5-C04E-4AA5-8AAB-5A9C302E4064}"/>
    <cellStyle name="60% - Accent3 2 2" xfId="268" xr:uid="{DAC41DDC-90CD-4AF3-99DE-95C1E3C842F5}"/>
    <cellStyle name="60% - Accent3 2 2 2" xfId="151" xr:uid="{48D6E3B7-D60B-4CDC-8B17-354925950A31}"/>
    <cellStyle name="60% - Accent3 2 2 3" xfId="63" xr:uid="{D35B0289-0690-451A-A738-18121B4A5354}"/>
    <cellStyle name="60% - Accent4 2" xfId="237" xr:uid="{3328B403-1541-4DD5-9227-C1AF0660967D}"/>
    <cellStyle name="60% - Accent4 2 2" xfId="288" xr:uid="{BFB94169-1B0A-44EC-8C90-C66FCE17351B}"/>
    <cellStyle name="60% - Accent4 2 2 2" xfId="175" xr:uid="{5E816EB7-AFEE-49CF-978F-507ADB0C9D61}"/>
    <cellStyle name="60% - Accent4 2 2 3" xfId="226" xr:uid="{871B98DB-F570-4FD3-86CA-1CD1BC4B6FF1}"/>
    <cellStyle name="60% - Accent5 2" xfId="214" xr:uid="{97D52B74-03AF-48A0-B568-37FDE7466D51}"/>
    <cellStyle name="60% - Accent5 2 2" xfId="238" xr:uid="{B0F2B481-8D29-4DD7-A885-2F42958E4360}"/>
    <cellStyle name="60% - Accent5 2 2 2" xfId="241" xr:uid="{2E3069D9-3204-4187-BFAB-43DAF4632FEA}"/>
    <cellStyle name="60% - Accent5 2 2 3" xfId="294" xr:uid="{8C02C9D3-A49F-4B7D-906B-BEAA6812CA40}"/>
    <cellStyle name="60% - Accent6 2" xfId="222" xr:uid="{9464FDDE-51FE-4FB6-B7A6-4A059C396993}"/>
    <cellStyle name="60% - Accent6 2 2" xfId="236" xr:uid="{9A2ED383-891A-4944-8F2C-A2A28B79673C}"/>
    <cellStyle name="60% - Accent6 2 2 2" xfId="66" xr:uid="{A3C8C7D3-166D-49FF-9FB2-51565D0759F0}"/>
    <cellStyle name="60% - Accent6 2 2 3" xfId="132" xr:uid="{CD273E72-EA5F-4A56-B37B-A314C87B8DDF}"/>
    <cellStyle name="60% - アクセント 1" xfId="392" xr:uid="{00000000-0005-0000-0000-00001E000000}"/>
    <cellStyle name="60% - アクセント 2" xfId="393" xr:uid="{00000000-0005-0000-0000-00001F000000}"/>
    <cellStyle name="60% - アクセント 3" xfId="394" xr:uid="{00000000-0005-0000-0000-000020000000}"/>
    <cellStyle name="60% - アクセント 4" xfId="395" xr:uid="{00000000-0005-0000-0000-000021000000}"/>
    <cellStyle name="60% - アクセント 5" xfId="396" xr:uid="{00000000-0005-0000-0000-000022000000}"/>
    <cellStyle name="60% - アクセント 6" xfId="397" xr:uid="{00000000-0005-0000-0000-000023000000}"/>
    <cellStyle name="Accent1 2" xfId="245" xr:uid="{B7A752A0-F1C0-48EB-B41A-117216C3C996}"/>
    <cellStyle name="Accent1 2 2" xfId="228" xr:uid="{7CBFBC19-7A47-4C7E-876F-D89CC5000923}"/>
    <cellStyle name="Accent1 2 2 2" xfId="101" xr:uid="{FCBC778F-2FD4-4FD8-87A3-BAD61839CCB6}"/>
    <cellStyle name="Accent1 2 2 3" xfId="153" xr:uid="{58E6F0ED-600F-4BD2-8905-C9C6DA91BC67}"/>
    <cellStyle name="Accent2 2" xfId="243" xr:uid="{C54FE396-C390-4715-B503-5C3D69D4A627}"/>
    <cellStyle name="Accent2 2 2" xfId="106" xr:uid="{B957E42D-9D37-4CA1-8B27-47836CE2BE10}"/>
    <cellStyle name="Accent2 2 2 2" xfId="254" xr:uid="{372598E6-3573-4E15-ABDD-D6CE022F00F0}"/>
    <cellStyle name="Accent2 2 2 3" xfId="296" xr:uid="{1A7C586E-DF02-4DD8-B15F-7EF684C55FA5}"/>
    <cellStyle name="Accent3 2" xfId="62" xr:uid="{026233C0-6F40-4D2D-8B35-CDB87BBD22B8}"/>
    <cellStyle name="Accent3 2 2" xfId="279" xr:uid="{51E1F88F-9A1B-4ABA-A29E-91FF895FF040}"/>
    <cellStyle name="Accent3 2 2 2" xfId="185" xr:uid="{80F34F42-FA82-4E8B-A597-354DBD6575B6}"/>
    <cellStyle name="Accent3 2 2 3" xfId="122" xr:uid="{AAC46EC1-27D3-40FD-98EC-951E2FC26512}"/>
    <cellStyle name="Accent4 2" xfId="225" xr:uid="{151DE846-4A6B-43F5-BC21-B72C0E6C01F8}"/>
    <cellStyle name="Accent4 2 2" xfId="97" xr:uid="{FBB444B4-C7CC-4BE6-B218-3AB12039D13B}"/>
    <cellStyle name="Accent4 2 2 2" xfId="163" xr:uid="{8E85A566-C874-483F-9756-055EF9E1DAD9}"/>
    <cellStyle name="Accent4 2 2 3" xfId="260" xr:uid="{EA79A2FD-5EC4-4B0F-817D-0469AF37FE2F}"/>
    <cellStyle name="Accent5 2" xfId="180" xr:uid="{D610786D-A33F-4D95-BB26-06696ED20F4C}"/>
    <cellStyle name="Accent5 2 2" xfId="181" xr:uid="{D040A574-3BDE-47C9-8616-0ED6E7BF2B50}"/>
    <cellStyle name="Accent5 2 2 2" xfId="223" xr:uid="{65355D30-E9F0-4909-9440-92A5087536C2}"/>
    <cellStyle name="Accent5 2 2 3" xfId="235" xr:uid="{96612BB6-4F39-4A4B-A11A-7F86ABF0DE64}"/>
    <cellStyle name="Accent6 2" xfId="160" xr:uid="{C765E667-FAE1-4525-A59E-4A2DC86C2605}"/>
    <cellStyle name="Accent6 2 2" xfId="161" xr:uid="{594898CA-F6B0-402D-A74E-B422167BB28E}"/>
    <cellStyle name="Accent6 2 2 2" xfId="119" xr:uid="{6DCA506C-FB81-4C73-8099-C3505D2C0184}"/>
    <cellStyle name="Accent6 2 2 3" xfId="213" xr:uid="{D9FAF7A9-902D-4880-B88D-53747452768C}"/>
    <cellStyle name="AggblueCels_1x" xfId="182" xr:uid="{6FDB1BBB-EB3C-40A8-9A9B-BD3E906804DE}"/>
    <cellStyle name="Akzent1" xfId="7" builtinId="29" customBuiltin="1"/>
    <cellStyle name="Akzent1 2" xfId="398" xr:uid="{00000000-0005-0000-0000-000024000000}"/>
    <cellStyle name="Akzent2" xfId="11" builtinId="33" customBuiltin="1"/>
    <cellStyle name="Akzent2 2" xfId="399" xr:uid="{00000000-0005-0000-0000-000025000000}"/>
    <cellStyle name="Akzent3" xfId="15" builtinId="37" customBuiltin="1"/>
    <cellStyle name="Akzent3 2" xfId="400" xr:uid="{00000000-0005-0000-0000-000026000000}"/>
    <cellStyle name="Akzent4" xfId="19" builtinId="41" customBuiltin="1"/>
    <cellStyle name="Akzent4 2" xfId="401" xr:uid="{00000000-0005-0000-0000-000027000000}"/>
    <cellStyle name="Akzent5" xfId="23" builtinId="45" customBuiltin="1"/>
    <cellStyle name="Akzent5 2" xfId="402" xr:uid="{00000000-0005-0000-0000-000028000000}"/>
    <cellStyle name="Akzent6" xfId="27" builtinId="49" customBuiltin="1"/>
    <cellStyle name="Akzent6 2" xfId="403" xr:uid="{00000000-0005-0000-0000-000029000000}"/>
    <cellStyle name="Ausgabe 2" xfId="51" xr:uid="{684924B0-51DA-4550-ADC8-5ED1DBA82585}"/>
    <cellStyle name="Ausgabe 2 2" xfId="404" xr:uid="{00000000-0005-0000-0000-00002A000000}"/>
    <cellStyle name="Bad 2" xfId="146" xr:uid="{4D083638-02CB-4CDE-B341-9ED9C4C72D1E}"/>
    <cellStyle name="Bad 2 2" xfId="310" xr:uid="{43D8F7C0-8833-4FB3-ADCB-1C886145EB34}"/>
    <cellStyle name="Bad 2 2 2" xfId="273" xr:uid="{FC6BC2E8-2191-4F05-9126-CF60B5BDC7F3}"/>
    <cellStyle name="Bad 2 2 3" xfId="291" xr:uid="{07089A9A-60DD-4705-967F-43AFFAB4034E}"/>
    <cellStyle name="Berechnung 2" xfId="44" xr:uid="{99E54D4B-C23F-47EC-A32B-2612F17CE2C0}"/>
    <cellStyle name="Berechnung 2 2" xfId="405" xr:uid="{00000000-0005-0000-0000-00002B000000}"/>
    <cellStyle name="Besuchter Hyperlink 2" xfId="46" xr:uid="{6FA9334B-8EDF-4D4E-8633-4A6DA4D93E83}"/>
    <cellStyle name="Bold GHG Numbers (0.00)" xfId="280" xr:uid="{DCD0E8DA-8EAA-446E-821A-28FBE91DA649}"/>
    <cellStyle name="Calculation 2" xfId="32" xr:uid="{22015D93-0D6B-4A2C-BD3A-F241AA7B17C4}"/>
    <cellStyle name="Calculation 2 2" xfId="277" xr:uid="{8F74AE67-F646-4B25-B722-5C3E2EC8E251}"/>
    <cellStyle name="Calculation 2 2 2" xfId="114" xr:uid="{FFCE4189-DC74-4CA9-90A6-99E959404C67}"/>
    <cellStyle name="Calculation 2 2 2 2" xfId="72" xr:uid="{5962D9C4-2510-46B1-AEC4-EC2BB6A5DCAE}"/>
    <cellStyle name="Calculation 2 2 2 3" xfId="78" xr:uid="{E5B0ACDC-C119-48A5-A337-28CA2E5A2557}"/>
    <cellStyle name="Calculation 2 3" xfId="194" xr:uid="{05EB501A-BADA-4CF4-ACF6-8F29B90EB0DF}"/>
    <cellStyle name="Calculation 2 3 2" xfId="127" xr:uid="{E6CC4492-AC0F-4A1F-9984-9E0044BCBE10}"/>
    <cellStyle name="Calculation 2 3 2 2" xfId="155" xr:uid="{2BEE595A-5F73-41CE-B60B-0EECD7A3A529}"/>
    <cellStyle name="Calculation 2 3 2 3" xfId="187" xr:uid="{F4E3A7F5-87E8-4261-A434-67C7D5552178}"/>
    <cellStyle name="Calculation 2 4" xfId="172" xr:uid="{76102E5A-7553-4050-B7C9-5D61FBD14B13}"/>
    <cellStyle name="Calculation 2 4 2" xfId="227" xr:uid="{3A30A389-7BEF-4DD0-AE5F-20CA285EE85B}"/>
    <cellStyle name="Calculation 2 4 3" xfId="126" xr:uid="{0E1FCEA3-CC6F-4055-8555-CF0113AFEC76}"/>
    <cellStyle name="Calculation 2 5" xfId="285" xr:uid="{0E0E0637-E5F6-4B23-9333-A17E31DA0C92}"/>
    <cellStyle name="Check Cell 2" xfId="199" xr:uid="{0E827FA8-2DA6-4206-9E28-B2815205F845}"/>
    <cellStyle name="Check Cell 2 2" xfId="112" xr:uid="{5B5D82C8-441C-4014-9F10-28C5AD204023}"/>
    <cellStyle name="Check Cell 2 2 2" xfId="242" xr:uid="{CC0225CA-8583-4155-8623-F44EA17C5BF2}"/>
    <cellStyle name="Check Cell 2 2 3" xfId="295" xr:uid="{1F89233D-ACF4-434F-8717-3E3B8B542D30}"/>
    <cellStyle name="Comma" xfId="406" xr:uid="{00000000-0005-0000-0000-00002C000000}"/>
    <cellStyle name="Comma [0]" xfId="407" xr:uid="{00000000-0005-0000-0000-00002D000000}"/>
    <cellStyle name="Comma 10" xfId="324" xr:uid="{2AE6A59E-B2DE-4C05-B5E2-2176C428B62F}"/>
    <cellStyle name="Comma 10 2" xfId="343" xr:uid="{CC989953-ECA9-4EBF-BDF8-F6102E245DE0}"/>
    <cellStyle name="Comma 2" xfId="45" xr:uid="{FF514D7B-F561-4927-9CF1-8DD45CE6795F}"/>
    <cellStyle name="Comma 2 2" xfId="195" xr:uid="{79EC1F1F-ACC7-4D26-8996-138625DD7093}"/>
    <cellStyle name="Comma 2 2 2" xfId="345" xr:uid="{FE33F8B5-1F7F-4F31-9290-1CAA28E7E935}"/>
    <cellStyle name="Comma 2 3" xfId="256" xr:uid="{6BF313F9-E62F-484E-BD3C-5A13DEAABA22}"/>
    <cellStyle name="Comma 2 3 2" xfId="346" xr:uid="{5DA06CE4-01B2-442C-8ACF-7BCBB8F65FA5}"/>
    <cellStyle name="Comma 2 4" xfId="95" xr:uid="{4B9F706B-9425-4377-A9EA-FA8FF561D117}"/>
    <cellStyle name="Comma 2 5" xfId="141" xr:uid="{8BDED467-7C31-4C97-93C3-ACDE4AEB6CBB}"/>
    <cellStyle name="Comma 2 6" xfId="344" xr:uid="{82C6446D-3A31-4DB8-A2EA-79A322269CA1}"/>
    <cellStyle name="Comma 2 7" xfId="340" xr:uid="{99A3D419-6454-4E89-B402-A92D088E0DD3}"/>
    <cellStyle name="Comma 3" xfId="105" xr:uid="{6AA368C1-F6ED-408D-BBDE-92DC1D97337C}"/>
    <cellStyle name="Comma 3 2" xfId="347" xr:uid="{2391BFB4-C445-4180-B2E9-AA40D77F020D}"/>
    <cellStyle name="Cover" xfId="278" xr:uid="{F447F042-EC5F-4762-8F0A-0B51EE09153A}"/>
    <cellStyle name="Currency" xfId="408" xr:uid="{00000000-0005-0000-0000-00002E000000}"/>
    <cellStyle name="Currency [0]" xfId="409" xr:uid="{00000000-0005-0000-0000-00002F000000}"/>
    <cellStyle name="Dezimal 2" xfId="410" xr:uid="{00000000-0005-0000-0000-000030000000}"/>
    <cellStyle name="Dezimal 2 2" xfId="411" xr:uid="{00000000-0005-0000-0000-000031000000}"/>
    <cellStyle name="Eingabe 2" xfId="47" xr:uid="{E09FC4FB-022C-40F1-B462-0E2C0493E500}"/>
    <cellStyle name="Eingabe 2 2" xfId="412" xr:uid="{00000000-0005-0000-0000-000032000000}"/>
    <cellStyle name="Ergebnis 2" xfId="413" xr:uid="{00000000-0005-0000-0000-000033000000}"/>
    <cellStyle name="Erklärender Text 2" xfId="34" xr:uid="{4D9AF3AA-07A8-4CC2-BF6C-8982A5A62FDC}"/>
    <cellStyle name="Erklärender Text 2 2" xfId="414" xr:uid="{00000000-0005-0000-0000-000034000000}"/>
    <cellStyle name="Euro" xfId="203" xr:uid="{CE55A6D0-844B-4E76-96E1-23AD41C24096}"/>
    <cellStyle name="Euro 2" xfId="191" xr:uid="{15AC51F7-1BD1-448C-8837-BA693A3A4DF9}"/>
    <cellStyle name="Euro 2 2" xfId="416" xr:uid="{00000000-0005-0000-0000-000036000000}"/>
    <cellStyle name="Euro 3" xfId="415" xr:uid="{00000000-0005-0000-0000-000035000000}"/>
    <cellStyle name="Explanatory Text 2" xfId="208" xr:uid="{D59B73E6-E1BC-40AA-BF09-847B9252ED0A}"/>
    <cellStyle name="Good 2" xfId="202" xr:uid="{B9D1F232-160A-4745-83F4-882A99B23497}"/>
    <cellStyle name="Good 2 2" xfId="149" xr:uid="{B387C2A6-C727-4767-A4B2-8808F3314A55}"/>
    <cellStyle name="Good 2 2 2" xfId="102" xr:uid="{923359EB-7D36-4253-B052-8939E5A732EB}"/>
    <cellStyle name="Good 2 2 3" xfId="259" xr:uid="{9BD96BF1-44EF-4CF4-B2DD-019120EE5B26}"/>
    <cellStyle name="Gut" xfId="3" builtinId="26" customBuiltin="1"/>
    <cellStyle name="Gut 2" xfId="417" xr:uid="{00000000-0005-0000-0000-000037000000}"/>
    <cellStyle name="Heading" xfId="300" xr:uid="{F27AA8EA-906D-4453-9CF9-A83C5B169961}"/>
    <cellStyle name="Heading 1 2" xfId="212" xr:uid="{4AA14F56-C21E-4B0C-B2A9-ED89B56D2E36}"/>
    <cellStyle name="Heading 2 2" xfId="320" xr:uid="{8397DA15-F47A-4655-9623-463026CC42A7}"/>
    <cellStyle name="Heading 3 2" xfId="154" xr:uid="{76F0FC9A-40D6-478E-80A1-7CAE2A0B57A3}"/>
    <cellStyle name="Heading 4 2" xfId="76" xr:uid="{C522D5F9-6DA9-4FC6-8CB3-97D349C08576}"/>
    <cellStyle name="Hyperlink 2" xfId="36" xr:uid="{2B28B5CC-2152-46B3-9581-37D298D36DBD}"/>
    <cellStyle name="Hyperlink 2 2" xfId="58" xr:uid="{E7F480FD-05AA-4FAC-B0C4-533B7A6A8748}"/>
    <cellStyle name="Hyperlink 2 3" xfId="418" xr:uid="{00000000-0005-0000-0000-000038000000}"/>
    <cellStyle name="Hyperlink 3" xfId="176" xr:uid="{2CEC2231-D2D7-40A1-94D5-7B52A3D5D1B6}"/>
    <cellStyle name="Hyperlink 4" xfId="265" xr:uid="{575A922F-5310-4717-9B39-A8969FCE0D36}"/>
    <cellStyle name="Hyperlink 5" xfId="314" xr:uid="{49B39821-323C-4A13-81BC-D3A015A7C3CB}"/>
    <cellStyle name="Input 2" xfId="271" xr:uid="{1264E144-99F3-443F-972E-D9725763A9C3}"/>
    <cellStyle name="Input 2 2" xfId="144" xr:uid="{A05D4D28-9FBA-48A7-8EEC-1967B8537722}"/>
    <cellStyle name="Input 2 2 2" xfId="134" xr:uid="{B9A66AC5-DB73-49F7-8391-C469410C5640}"/>
    <cellStyle name="Input 2 2 2 2" xfId="193" xr:uid="{81C7FC16-1B70-4A2F-AAAB-4CA299CF48F9}"/>
    <cellStyle name="Input 2 2 2 3" xfId="111" xr:uid="{83BF6E3B-4D29-42B3-9CD1-72BD3CE35C02}"/>
    <cellStyle name="Input 2 3" xfId="171" xr:uid="{DF090D3F-4330-461E-80F6-AF8C903E2F0E}"/>
    <cellStyle name="Input 2 3 2" xfId="201" xr:uid="{86569CB0-C59B-4FF0-9FFD-00FC09DE5542}"/>
    <cellStyle name="Input 2 3 2 2" xfId="145" xr:uid="{61044E08-6985-4495-AB0D-41B5E913E996}"/>
    <cellStyle name="Input 2 3 2 3" xfId="319" xr:uid="{A0874606-EB88-410B-BFF9-1607BB9A5A5D}"/>
    <cellStyle name="Input 2 4" xfId="220" xr:uid="{481958CF-7181-479A-9963-738B23A7AFDE}"/>
    <cellStyle name="Input 2 4 2" xfId="88" xr:uid="{FCC5D9F2-C963-47BD-A493-E6EF6422A86D}"/>
    <cellStyle name="Input 2 4 3" xfId="297" xr:uid="{5AEBF31E-E42F-4B01-88B9-323E540A311B}"/>
    <cellStyle name="Input data" xfId="48" xr:uid="{87736C84-0420-4260-BBF2-0942022F9453}"/>
    <cellStyle name="InputCells12_BBorder_CRFReport-template" xfId="79" xr:uid="{7A17C047-B872-48E0-BF26-C84CCE180CA3}"/>
    <cellStyle name="Komma" xfId="356" builtinId="3"/>
    <cellStyle name="Komma 2" xfId="33" xr:uid="{FE3A4A1F-C25D-490A-BA6A-00E05821B35D}"/>
    <cellStyle name="Komma 2 2" xfId="419" xr:uid="{00000000-0005-0000-0000-00003B000000}"/>
    <cellStyle name="Komma 2 3" xfId="420" xr:uid="{00000000-0005-0000-0000-00003C000000}"/>
    <cellStyle name="Komma 2 4" xfId="421" xr:uid="{00000000-0005-0000-0000-00003D000000}"/>
    <cellStyle name="Komma 2 5" xfId="359" xr:uid="{00000000-0005-0000-0000-00003A000000}"/>
    <cellStyle name="Komma 3" xfId="197" xr:uid="{7C152013-8C73-44E4-812C-A1FDB40A0C00}"/>
    <cellStyle name="Komma 3 2" xfId="422" xr:uid="{00000000-0005-0000-0000-00003E000000}"/>
    <cellStyle name="Komma 4" xfId="342" xr:uid="{DDD1CE9A-71E6-4526-9FC6-1032F62C41BA}"/>
    <cellStyle name="Komma 4 2" xfId="423" xr:uid="{00000000-0005-0000-0000-00003F000000}"/>
    <cellStyle name="Komma 5" xfId="358" xr:uid="{00000000-0005-0000-0000-0000AE010000}"/>
    <cellStyle name="Link" xfId="1" builtinId="8"/>
    <cellStyle name="Link 2" xfId="35" xr:uid="{6565A107-BC40-4D95-AD1F-C403967C2172}"/>
    <cellStyle name="Link 3" xfId="183" xr:uid="{D964EBAA-E2D5-422A-AAB9-7827C9C75F3A}"/>
    <cellStyle name="Linked Cell 2" xfId="150" xr:uid="{50365379-4B07-4EA5-9BC2-C527EABAD4F7}"/>
    <cellStyle name="Menu" xfId="80" xr:uid="{AAD5FCBB-A5F7-45C5-A798-97C4C9406EE0}"/>
    <cellStyle name="Milliers [0]_03tabmat" xfId="252" xr:uid="{B79723D5-7B30-4C72-B1E1-997B177F150F}"/>
    <cellStyle name="Milliers_03tabmat" xfId="308" xr:uid="{48F617AA-65E3-4267-B721-311268DAED0D}"/>
    <cellStyle name="Monétaire [0]_03tabmat" xfId="123" xr:uid="{650BB285-89A6-44CF-9FE6-457959237A2E}"/>
    <cellStyle name="Monétaire_03tabmat" xfId="211" xr:uid="{C9BCD6CC-C78B-4FE9-A266-D3469710753C}"/>
    <cellStyle name="Neutral" xfId="5" builtinId="28" customBuiltin="1"/>
    <cellStyle name="Neutral 2" xfId="231" xr:uid="{3A005B5D-5413-4390-883E-790D983BACF0}"/>
    <cellStyle name="Neutral 2 2" xfId="267" xr:uid="{9FCF0559-6BE3-4A8F-A6CF-E72AF54E6A1B}"/>
    <cellStyle name="Neutral 2 2 2" xfId="166" xr:uid="{797CB42C-7AD2-4D4F-B07F-289E9B42A37C}"/>
    <cellStyle name="Neutral 2 2 3" xfId="53" xr:uid="{1F397B40-9ECE-44B5-99E9-7A85FCC87081}"/>
    <cellStyle name="Neutral 2 3" xfId="424" xr:uid="{00000000-0005-0000-0000-000040000000}"/>
    <cellStyle name="Normal" xfId="425" xr:uid="{00000000-0005-0000-0000-000041000000}"/>
    <cellStyle name="Normal 10" xfId="209" xr:uid="{A6047000-5802-4349-BB59-9CC5E91D394B}"/>
    <cellStyle name="Normal 10 2" xfId="205" xr:uid="{DE680049-0F21-4907-8D91-85056E2D2F5C}"/>
    <cellStyle name="Normal 10 2 2" xfId="230" xr:uid="{628D3461-FFC6-4F3F-A8B6-47390AF19D9D}"/>
    <cellStyle name="Normal 10 3" xfId="143" xr:uid="{582E9E2A-C76B-4954-B5C1-172FF610095A}"/>
    <cellStyle name="Normal 10 3 2" xfId="90" xr:uid="{5F3101CA-D26F-42B2-8B11-7561C5B69465}"/>
    <cellStyle name="Normal 10 4" xfId="173" xr:uid="{FFBEDDD2-3074-40EC-8E27-1F854D12BF13}"/>
    <cellStyle name="Normal 11" xfId="216" xr:uid="{B995ED49-1526-41A5-B5B4-DEF3FDB82C7F}"/>
    <cellStyle name="Normal 11 2" xfId="253" xr:uid="{85850CC1-A9F9-4098-9BE2-66B4F29BF8D9}"/>
    <cellStyle name="Normal 12" xfId="305" xr:uid="{E89DD154-92AE-4A61-A5BA-36A6D7CC8763}"/>
    <cellStyle name="Normal 13" xfId="103" xr:uid="{7084151C-098B-46D0-9D0D-FD8885097E2C}"/>
    <cellStyle name="Normal 13 2" xfId="276" xr:uid="{7A011326-7497-4807-A5EA-437E64A5A71B}"/>
    <cellStyle name="Normal 13 3" xfId="61" xr:uid="{A46AC055-F28B-4D48-9D53-6B642E340AB5}"/>
    <cellStyle name="Normal 14" xfId="174" xr:uid="{5D029D6B-8377-4CD6-BCF9-C68FC7832F42}"/>
    <cellStyle name="Normal 14 2 2 2" xfId="325" xr:uid="{403F55A6-9E1A-408B-A29D-D9DD2E782D27}"/>
    <cellStyle name="Normal 15" xfId="229" xr:uid="{AF956D9C-5B8E-44C7-82D5-13C2D6F1C802}"/>
    <cellStyle name="Normal 15 2 2 2" xfId="326" xr:uid="{D35C791F-012D-47E5-86D3-C5B0F9B04DBF}"/>
    <cellStyle name="Normal 16" xfId="327" xr:uid="{75471751-6E2C-491F-AB50-9A56DC028429}"/>
    <cellStyle name="Normal 16 2" xfId="328" xr:uid="{79216561-E150-46AD-8EF1-746426831738}"/>
    <cellStyle name="Normal 17" xfId="158" xr:uid="{92375C0E-AB9C-4347-86EF-BCD0274CD8AA}"/>
    <cellStyle name="Normal 17 2" xfId="329" xr:uid="{81A71356-1F0C-4DA0-BD03-EE0239AEA3F0}"/>
    <cellStyle name="Normal 17 4" xfId="37" xr:uid="{419A68FA-C061-4DD1-9352-4E1D5DFC6785}"/>
    <cellStyle name="Normal 18" xfId="251" xr:uid="{B6762CCC-0DB3-4138-811A-CA5A1BADE307}"/>
    <cellStyle name="Normal 2" xfId="38" xr:uid="{3B080788-BD1C-4610-9F99-56801B189A1A}"/>
    <cellStyle name="Normál 2" xfId="426" xr:uid="{00000000-0005-0000-0000-000042000000}"/>
    <cellStyle name="Normal 2 2" xfId="39" xr:uid="{1AD0EFE4-7CB3-44C0-85BC-7E40A158A7D3}"/>
    <cellStyle name="Normal 2 3" xfId="221" xr:uid="{35470E68-4DFE-48A1-AE67-B28E490C40DE}"/>
    <cellStyle name="Normal 209 2" xfId="330" xr:uid="{BDC50B8D-D8AD-462E-AB60-D2A6FB3654BF}"/>
    <cellStyle name="Normal 21" xfId="40" xr:uid="{C0AF2730-B19C-4AB7-BFE3-C7B881540C93}"/>
    <cellStyle name="Normal 22" xfId="331" xr:uid="{B330DE8F-3536-4D16-B8B5-0B7EB5ACAF6B}"/>
    <cellStyle name="Normal 24" xfId="332" xr:uid="{6144A998-C095-46BA-B71E-2D8A3D8F1A89}"/>
    <cellStyle name="Normal 3" xfId="178" xr:uid="{399F386D-502A-471D-91F1-40D3337C78E3}"/>
    <cellStyle name="Normal 3 2" xfId="86" xr:uid="{4BE28B65-6360-454A-A4F6-F3A5F16383A3}"/>
    <cellStyle name="Normal 3 3" xfId="281" xr:uid="{69995C68-2708-41D4-92C4-48411D31AF60}"/>
    <cellStyle name="Normal 3 4" xfId="157" xr:uid="{B1147525-63CC-4600-8451-63234FC66EE6}"/>
    <cellStyle name="Normal 4" xfId="257" xr:uid="{0782812D-69FA-42D1-96B6-4A3DB17FB0A4}"/>
    <cellStyle name="Normal 4 2" xfId="138" xr:uid="{090D982A-45B1-4781-8A4D-9F370D0B64A6}"/>
    <cellStyle name="Normal 4 2 2" xfId="133" xr:uid="{8D21DB30-8054-4847-86CC-34F85273BE0A}"/>
    <cellStyle name="Normal 4 3" xfId="83" xr:uid="{D1A0A737-74DF-43AB-9FAF-05C48A08A357}"/>
    <cellStyle name="Normal 4 3 2" xfId="107" xr:uid="{7278EE75-508E-4185-B1B5-3E3B892184C4}"/>
    <cellStyle name="Normal 4 4" xfId="224" xr:uid="{D8245A4B-1F74-4E15-B2E2-1BC7DAAC276C}"/>
    <cellStyle name="Normal 4 5" xfId="81" xr:uid="{2A1554C2-6A66-411A-B74C-60D7F2D1683E}"/>
    <cellStyle name="Normal 5" xfId="270" xr:uid="{5EFF5BCB-8CEC-4EFF-B027-223B5DC8AE4E}"/>
    <cellStyle name="Normal 6" xfId="167" xr:uid="{8DDC759F-1ACD-4F80-9023-7BE993341A0B}"/>
    <cellStyle name="Normal 7" xfId="67" xr:uid="{C9D1545B-1AE0-45FD-BA2B-2D4B1CEBAA65}"/>
    <cellStyle name="Normal 8" xfId="137" xr:uid="{C197112D-E627-41B9-BF6E-60F75574C6A4}"/>
    <cellStyle name="Normal 9" xfId="75" xr:uid="{AC1A63E7-A71B-4950-8724-97677D7B5858}"/>
    <cellStyle name="Normal GHG-Shade" xfId="189" xr:uid="{148B4967-EFE3-451A-8526-BFB8388279FB}"/>
    <cellStyle name="Normal_CO2-Bilanz" xfId="354" xr:uid="{00000000-0005-0000-0000-000001000000}"/>
    <cellStyle name="Note 2" xfId="274" xr:uid="{11EDB97C-EF23-4F19-BF86-B4B6B5ABAB80}"/>
    <cellStyle name="Note 2 2" xfId="162" xr:uid="{B300B45E-3A01-468C-9F3A-FFEB1C15E157}"/>
    <cellStyle name="Note 2 2 2" xfId="165" xr:uid="{9B5FA660-D631-428B-AF71-B848851C505B}"/>
    <cellStyle name="Note 2 2 2 2" xfId="284" xr:uid="{F1C521D9-5C1F-4376-9B33-677EB13C8EB5}"/>
    <cellStyle name="Note 2 2 2 3" xfId="240" xr:uid="{932608F4-4277-40FB-A7C1-91B819D3C180}"/>
    <cellStyle name="Note 2 3" xfId="315" xr:uid="{24488A05-10E7-4735-A9DA-1F4D4F85FE32}"/>
    <cellStyle name="Note 2 3 2" xfId="269" xr:uid="{BEB821E2-66F3-41A1-B561-289C438DB8A2}"/>
    <cellStyle name="Note 2 3 3" xfId="190" xr:uid="{8D239101-5447-4713-B07C-DB1298B0B6A3}"/>
    <cellStyle name="Notiz 2" xfId="50" xr:uid="{7BE463C3-77EC-466F-9F59-D20A64319B8A}"/>
    <cellStyle name="Notiz 2 2" xfId="427" xr:uid="{00000000-0005-0000-0000-000043000000}"/>
    <cellStyle name="Notiz 3" xfId="428" xr:uid="{00000000-0005-0000-0000-000044000000}"/>
    <cellStyle name="Output 2" xfId="287" xr:uid="{F8931739-0993-404F-B980-A3EF8BC3493E}"/>
    <cellStyle name="Output 2 2" xfId="116" xr:uid="{2DD949FF-5D43-4AAA-9777-7889C2E5694C}"/>
    <cellStyle name="Output 2 2 2" xfId="42" xr:uid="{D8399546-6C99-4B90-9E1C-5A9ACD980CC9}"/>
    <cellStyle name="Output 2 2 2 2" xfId="247" xr:uid="{B3BCEC00-CFBC-45A8-A833-D2BF64473027}"/>
    <cellStyle name="Output 2 2 2 3" xfId="304" xr:uid="{676D23FA-F1A6-42BA-9A14-5114F7A6E641}"/>
    <cellStyle name="Output 2 3" xfId="109" xr:uid="{91769840-DAEE-4B62-845E-D7AF5EC7A3B1}"/>
    <cellStyle name="Output 2 3 2" xfId="307" xr:uid="{573FFA99-8A62-4DDD-A575-C3FA9415F72C}"/>
    <cellStyle name="Output 2 3 3" xfId="186" xr:uid="{9838BA59-270B-4A4E-BCCB-2FF8DAB75758}"/>
    <cellStyle name="Percent" xfId="429" xr:uid="{00000000-0005-0000-0000-000045000000}"/>
    <cellStyle name="Percent 10" xfId="124" xr:uid="{ECDCBF74-CD23-49FD-AD24-7D76DD270730}"/>
    <cellStyle name="Percent 10 2" xfId="318" xr:uid="{597648E0-DAE2-4335-BD8B-A1B3CC845571}"/>
    <cellStyle name="Percent 10 3" xfId="87" xr:uid="{B57C7244-9AF6-4A3D-81FB-1E79E6996D14}"/>
    <cellStyle name="Percent 2" xfId="52" xr:uid="{647140EC-4462-4FA8-83C2-9BA73058CCEB}"/>
    <cellStyle name="Percent 2 2" xfId="298" xr:uid="{6F0CAFC0-BFF0-43C2-AD28-71AAF88B3D8B}"/>
    <cellStyle name="Percent 2 3" xfId="139" xr:uid="{4AFE40B4-7D52-478C-B2BC-0745AB39440D}"/>
    <cellStyle name="Percent 2 4" xfId="264" xr:uid="{2468997E-C6B0-4064-AD30-6FF9CDDB4D31}"/>
    <cellStyle name="Percent 3" xfId="164" xr:uid="{DFB3C514-FE36-40E5-806B-4A0F686D430F}"/>
    <cellStyle name="Percent 4" xfId="218" xr:uid="{7CCB85BF-CF7F-412F-B0C4-40828A1C1C2C}"/>
    <cellStyle name="Percent 5" xfId="299" xr:uid="{80523C3E-1E14-4A6A-AE83-864D377629E1}"/>
    <cellStyle name="Percent 5 2" xfId="147" xr:uid="{A050E1DC-6F06-4C0F-B5CA-6C79A6BF7752}"/>
    <cellStyle name="Percent 6" xfId="71" xr:uid="{86FB22B7-18C9-4074-8E20-E87D16041CAC}"/>
    <cellStyle name="Percent 7" xfId="303" xr:uid="{4507B7AB-2660-4754-9C98-6BDB089976AF}"/>
    <cellStyle name="Percent 8" xfId="57" xr:uid="{93C67765-CE34-4F91-B074-957189FCEFFD}"/>
    <cellStyle name="Percent 9" xfId="93" xr:uid="{8945750F-F8BF-45BE-962C-31BC2C1D3640}"/>
    <cellStyle name="Prozent" xfId="339" builtinId="5"/>
    <cellStyle name="Prozent 2" xfId="335" xr:uid="{7F4205EF-C248-409D-A25E-C827EAB400E8}"/>
    <cellStyle name="Prozent 2 2" xfId="361" xr:uid="{00000000-0005-0000-0000-000048000000}"/>
    <cellStyle name="Prozent 2 3" xfId="430" xr:uid="{00000000-0005-0000-0000-000047000000}"/>
    <cellStyle name="Prozent 3" xfId="431" xr:uid="{00000000-0005-0000-0000-000049000000}"/>
    <cellStyle name="Prozent 3 2" xfId="432" xr:uid="{00000000-0005-0000-0000-00004A000000}"/>
    <cellStyle name="Prozent 4" xfId="433" xr:uid="{00000000-0005-0000-0000-00004B000000}"/>
    <cellStyle name="Prozent 4 2" xfId="434" xr:uid="{00000000-0005-0000-0000-00004C000000}"/>
    <cellStyle name="Prozent 5" xfId="435" xr:uid="{00000000-0005-0000-0000-00004D000000}"/>
    <cellStyle name="Publication_style" xfId="261" xr:uid="{1B1F1BB8-3320-487B-93D8-1D184B0880F9}"/>
    <cellStyle name="Refdb standard" xfId="148" xr:uid="{FD0544F7-E856-4E35-A857-942D0F771B29}"/>
    <cellStyle name="Refdb standard 2" xfId="169" xr:uid="{C0945C6D-4C21-4096-819C-0290BD2F8A21}"/>
    <cellStyle name="Schlecht" xfId="4" builtinId="27" customBuiltin="1"/>
    <cellStyle name="Schlecht 2" xfId="436" xr:uid="{00000000-0005-0000-0000-00004E000000}"/>
    <cellStyle name="Selection" xfId="41" xr:uid="{AF82C68A-5166-496B-A4DD-B28D7E2208DB}"/>
    <cellStyle name="Shade" xfId="312" xr:uid="{65DC530F-C485-4309-82D5-EC90EDA6340F}"/>
    <cellStyle name="Shade 2" xfId="85" xr:uid="{792B2CDA-4C38-421E-946E-330E0537A64C}"/>
    <cellStyle name="Shade 3" xfId="210" xr:uid="{9A1C24C3-4A38-4921-9855-FF17B3CB3C05}"/>
    <cellStyle name="Source" xfId="177" xr:uid="{8041B2BB-E1C8-4320-89A9-493735F19752}"/>
    <cellStyle name="Source Hed" xfId="316" xr:uid="{ABB8EA77-835C-407A-B519-F2AEDBB9827B}"/>
    <cellStyle name="Source Text" xfId="56" xr:uid="{C3AF4432-0CC2-4EDA-9258-A7F62A5055C4}"/>
    <cellStyle name="Standard" xfId="0" builtinId="0" customBuiltin="1"/>
    <cellStyle name="Standard 10" xfId="349" xr:uid="{00000000-0005-0000-0000-00006E010000}"/>
    <cellStyle name="Standard 10 2" xfId="437" xr:uid="{00000000-0005-0000-0000-000050000000}"/>
    <cellStyle name="Standard 11" xfId="350" xr:uid="{00000000-0005-0000-0000-00006F010000}"/>
    <cellStyle name="Standard 11 2" xfId="438" xr:uid="{00000000-0005-0000-0000-000051000000}"/>
    <cellStyle name="Standard 12" xfId="351" xr:uid="{00000000-0005-0000-0000-000070010000}"/>
    <cellStyle name="Standard 12 2" xfId="439" xr:uid="{00000000-0005-0000-0000-000052000000}"/>
    <cellStyle name="Standard 13" xfId="352" xr:uid="{00000000-0005-0000-0000-000072010000}"/>
    <cellStyle name="Standard 13 2" xfId="440" xr:uid="{00000000-0005-0000-0000-000053000000}"/>
    <cellStyle name="Standard 14" xfId="355" xr:uid="{00000000-0005-0000-0000-000074010000}"/>
    <cellStyle name="Standard 14 2" xfId="442" xr:uid="{00000000-0005-0000-0000-000055000000}"/>
    <cellStyle name="Standard 14 2 2" xfId="443" xr:uid="{00000000-0005-0000-0000-000056000000}"/>
    <cellStyle name="Standard 14 3" xfId="441" xr:uid="{00000000-0005-0000-0000-000054000000}"/>
    <cellStyle name="Standard 15" xfId="444" xr:uid="{00000000-0005-0000-0000-000057000000}"/>
    <cellStyle name="Standard 16" xfId="445" xr:uid="{00000000-0005-0000-0000-000058000000}"/>
    <cellStyle name="Standard 17" xfId="446" xr:uid="{00000000-0005-0000-0000-000059000000}"/>
    <cellStyle name="Standard 18" xfId="1448" xr:uid="{00000000-0005-0000-0000-00005A000000}"/>
    <cellStyle name="Standard 19" xfId="357" xr:uid="{00000000-0005-0000-0000-0000C3010000}"/>
    <cellStyle name="Standard 2" xfId="31" xr:uid="{AACD0CF7-2206-418D-AE7F-AFD4CD7B54A0}"/>
    <cellStyle name="Standard 2 10" xfId="360" xr:uid="{00000000-0005-0000-0000-00005C000000}"/>
    <cellStyle name="Standard 2 11" xfId="447" xr:uid="{00000000-0005-0000-0000-00005D000000}"/>
    <cellStyle name="Standard 2 12" xfId="448" xr:uid="{00000000-0005-0000-0000-00005E000000}"/>
    <cellStyle name="Standard 2 2" xfId="353" xr:uid="{00000000-0005-0000-0000-000003000000}"/>
    <cellStyle name="Standard 2 2 2" xfId="449" xr:uid="{00000000-0005-0000-0000-000060000000}"/>
    <cellStyle name="Standard 2 2 3" xfId="450" xr:uid="{00000000-0005-0000-0000-000061000000}"/>
    <cellStyle name="Standard 2 3" xfId="451" xr:uid="{00000000-0005-0000-0000-000062000000}"/>
    <cellStyle name="Standard 2 4" xfId="452" xr:uid="{00000000-0005-0000-0000-000063000000}"/>
    <cellStyle name="Standard 2 5" xfId="453" xr:uid="{00000000-0005-0000-0000-000064000000}"/>
    <cellStyle name="Standard 2 6" xfId="454" xr:uid="{00000000-0005-0000-0000-000065000000}"/>
    <cellStyle name="Standard 2 7" xfId="455" xr:uid="{00000000-0005-0000-0000-000066000000}"/>
    <cellStyle name="Standard 2 8" xfId="456" xr:uid="{00000000-0005-0000-0000-000067000000}"/>
    <cellStyle name="Standard 2 9" xfId="457" xr:uid="{00000000-0005-0000-0000-000068000000}"/>
    <cellStyle name="Standard 3" xfId="43" xr:uid="{F69A9E64-0924-4036-8D44-69D9ABDD24E7}"/>
    <cellStyle name="Standard 3 2" xfId="334" xr:uid="{C9493346-D518-4CDE-9F06-FC10997FDC61}"/>
    <cellStyle name="Standard 3 3" xfId="458" xr:uid="{00000000-0005-0000-0000-00006B000000}"/>
    <cellStyle name="Standard 3 4" xfId="459" xr:uid="{00000000-0005-0000-0000-00006C000000}"/>
    <cellStyle name="Standard 4" xfId="323" xr:uid="{BA786EDD-7D69-4ABC-885D-EE372752AC3B}"/>
    <cellStyle name="Standard 4 2" xfId="460" xr:uid="{00000000-0005-0000-0000-00006E000000}"/>
    <cellStyle name="Standard 4 3" xfId="461" xr:uid="{00000000-0005-0000-0000-00006F000000}"/>
    <cellStyle name="Standard 4 4" xfId="462" xr:uid="{00000000-0005-0000-0000-000070000000}"/>
    <cellStyle name="Standard 5" xfId="337" xr:uid="{FCE46955-4FEB-439B-9D9D-381B3E285EF6}"/>
    <cellStyle name="Standard 5 2" xfId="463" xr:uid="{00000000-0005-0000-0000-000072000000}"/>
    <cellStyle name="Standard 5 3" xfId="464" xr:uid="{00000000-0005-0000-0000-000073000000}"/>
    <cellStyle name="Standard 5 4" xfId="465" xr:uid="{00000000-0005-0000-0000-000074000000}"/>
    <cellStyle name="Standard 6" xfId="336" xr:uid="{A1A4CE8D-8D87-47DD-92DF-E5EFEF21454D}"/>
    <cellStyle name="Standard 6 2" xfId="466" xr:uid="{00000000-0005-0000-0000-000076000000}"/>
    <cellStyle name="Standard 6 3" xfId="467" xr:uid="{00000000-0005-0000-0000-000077000000}"/>
    <cellStyle name="Standard 6 4" xfId="468" xr:uid="{00000000-0005-0000-0000-000078000000}"/>
    <cellStyle name="Standard 7" xfId="338" xr:uid="{7F8C0616-1ACF-4830-B6F7-23377DCEA325}"/>
    <cellStyle name="Standard 7 2" xfId="469" xr:uid="{00000000-0005-0000-0000-00007A000000}"/>
    <cellStyle name="Standard 7 3" xfId="470" xr:uid="{00000000-0005-0000-0000-00007B000000}"/>
    <cellStyle name="Standard 8" xfId="341" xr:uid="{03548B28-E681-42A1-BE9C-D76DC5C96961}"/>
    <cellStyle name="Standard 8 2" xfId="471" xr:uid="{00000000-0005-0000-0000-00007C000000}"/>
    <cellStyle name="Standard 9" xfId="348" xr:uid="{80AE1D66-4A77-43F4-93DC-B9B57735DEF9}"/>
    <cellStyle name="Standard 9 2" xfId="472" xr:uid="{00000000-0005-0000-0000-00007D000000}"/>
    <cellStyle name="Style 2" xfId="333" xr:uid="{5C6DBBB2-60B5-4D05-B3F2-D253FC8AFBA7}"/>
    <cellStyle name="Style 21" xfId="70" xr:uid="{AA9A31D8-0730-4E1A-B8B5-EE32D57229E5}"/>
    <cellStyle name="Style 21 2" xfId="249" xr:uid="{1ED5B979-C4BC-4FAA-A968-92BA5A5F258F}"/>
    <cellStyle name="Style 22" xfId="121" xr:uid="{48B1568C-F84B-4609-9632-47BBEF2AA244}"/>
    <cellStyle name="Style 22 2" xfId="184" xr:uid="{78381385-ED7C-4ABD-822C-D39F8448FEFA}"/>
    <cellStyle name="Style 23" xfId="115" xr:uid="{FB7E41DE-E80D-4AEC-B4AB-122BC8856465}"/>
    <cellStyle name="Style 23 2" xfId="233" xr:uid="{99A26ECA-C137-4F26-801C-0AFD3945FE65}"/>
    <cellStyle name="Style 24" xfId="99" xr:uid="{75AEA1B7-59AA-4804-B694-0E06546A1E3E}"/>
    <cellStyle name="Style 24 2" xfId="275" xr:uid="{0C1D2342-36DE-418B-BBC1-69FA9ED93F44}"/>
    <cellStyle name="Style 29" xfId="290" xr:uid="{213209D6-F21F-43A7-82D5-CD5EBD406862}"/>
    <cellStyle name="Style 29 2" xfId="263" xr:uid="{9E0EEFFF-B08B-4450-8D86-E9A6827AF637}"/>
    <cellStyle name="Style 30" xfId="313" xr:uid="{DC18D4A0-C527-47E0-85E1-F09B1C597074}"/>
    <cellStyle name="Style 30 2" xfId="113" xr:uid="{A54F992E-4941-460A-B301-CFD397110325}"/>
    <cellStyle name="Style 31" xfId="82" xr:uid="{F170E5A2-A6F8-4936-A7CA-38B7C784549D}"/>
    <cellStyle name="Style 31 2" xfId="91" xr:uid="{80A3832E-5AEA-4492-818A-55E6ADD58B37}"/>
    <cellStyle name="Style 32" xfId="207" xr:uid="{41FF53A9-0374-46F8-9C17-D19AB81C2AAE}"/>
    <cellStyle name="Style 32 2" xfId="322" xr:uid="{883A8C84-B918-4F23-B4BE-EFD647828CDF}"/>
    <cellStyle name="Title 2" xfId="159" xr:uid="{2C45B0FA-E4F0-4013-9CA8-6BE92867DF8E}"/>
    <cellStyle name="Title-1" xfId="55" xr:uid="{A7950BF8-D71F-47A1-82F5-B5D547056807}"/>
    <cellStyle name="Title-2" xfId="292" xr:uid="{8A8317C2-A215-4235-9753-70CE8CFFEBAF}"/>
    <cellStyle name="Titre ligne" xfId="282" xr:uid="{C5156515-A226-4DC2-8681-8E349FDCFC5A}"/>
    <cellStyle name="Total 2" xfId="69" xr:uid="{2449C842-93CB-45C8-AC3F-D79528AB5E7C}"/>
    <cellStyle name="Total 2 2" xfId="200" xr:uid="{8CD3C2E3-9B67-43AB-A8B2-94B1C7566E44}"/>
    <cellStyle name="Total intermediaire" xfId="118" xr:uid="{FC68671D-6958-43DA-A236-FA7BF06313B2}"/>
    <cellStyle name="Tusenskille [0]_rob4-mon.xls Diagram 1" xfId="100" xr:uid="{22B58E27-9ED7-4623-AD0F-6B7CC585FBFF}"/>
    <cellStyle name="Tusenskille_rob4-mon.xls Diagram 1" xfId="244" xr:uid="{4896312E-F52D-46D1-8278-6F58FCF1E03A}"/>
    <cellStyle name="Überschrift" xfId="2" builtinId="15" customBuiltin="1"/>
    <cellStyle name="Überschrift 1 2" xfId="473" xr:uid="{00000000-0005-0000-0000-000080000000}"/>
    <cellStyle name="Überschrift 2 2" xfId="474" xr:uid="{00000000-0005-0000-0000-000081000000}"/>
    <cellStyle name="Überschrift 3 2" xfId="475" xr:uid="{00000000-0005-0000-0000-000082000000}"/>
    <cellStyle name="Überschrift 4 2" xfId="476" xr:uid="{00000000-0005-0000-0000-000083000000}"/>
    <cellStyle name="Valuta [0]_rob4-mon.xls Diagram 1" xfId="125" xr:uid="{D47909DC-9433-4F7B-BFA7-944041D8DDD2}"/>
    <cellStyle name="Valuta_rob4-mon.xls Diagram 1" xfId="96" xr:uid="{320E70E0-837F-4002-9683-FC3E2E444CC1}"/>
    <cellStyle name="Verknüpfte Zelle 2" xfId="49" xr:uid="{C85C59F3-EA00-42AB-BE48-4A674ED36BA8}"/>
    <cellStyle name="Verknüpfte Zelle 2 2" xfId="477" xr:uid="{00000000-0005-0000-0000-000084000000}"/>
    <cellStyle name="Warnender Text 2" xfId="54" xr:uid="{53FC325B-FD32-49CB-8D74-9EB98FDA5958}"/>
    <cellStyle name="Warnender Text 2 2" xfId="478" xr:uid="{00000000-0005-0000-0000-000085000000}"/>
    <cellStyle name="Warning Text 2" xfId="234" xr:uid="{5A4FEFC0-71A7-47F1-9D49-88A437EB29D8}"/>
    <cellStyle name="Year" xfId="215" xr:uid="{9C38398F-08ED-4E89-A4F1-974258C8EED9}"/>
    <cellStyle name="Zelle überprüfen" xfId="6" builtinId="23" customBuiltin="1"/>
    <cellStyle name="Zelle überprüfen 2" xfId="479" xr:uid="{00000000-0005-0000-0000-000086000000}"/>
    <cellStyle name="Обычный_2++_CRFReport-template" xfId="239" xr:uid="{C748032F-9500-465F-ADF0-FFFF680829F3}"/>
    <cellStyle name="アクセント 1" xfId="480" xr:uid="{00000000-0005-0000-0000-000087000000}"/>
    <cellStyle name="アクセント 2" xfId="481" xr:uid="{00000000-0005-0000-0000-000088000000}"/>
    <cellStyle name="アクセント 3" xfId="482" xr:uid="{00000000-0005-0000-0000-000089000000}"/>
    <cellStyle name="アクセント 4" xfId="483" xr:uid="{00000000-0005-0000-0000-00008A000000}"/>
    <cellStyle name="アクセント 5" xfId="484" xr:uid="{00000000-0005-0000-0000-00008B000000}"/>
    <cellStyle name="アクセント 6" xfId="485" xr:uid="{00000000-0005-0000-0000-00008C000000}"/>
    <cellStyle name="タイトル" xfId="486" xr:uid="{00000000-0005-0000-0000-00008D000000}"/>
    <cellStyle name="チェック セル" xfId="487" xr:uid="{00000000-0005-0000-0000-00008E000000}"/>
    <cellStyle name="どちらでもない" xfId="488" xr:uid="{00000000-0005-0000-0000-00008F000000}"/>
    <cellStyle name="メモ" xfId="489" xr:uid="{00000000-0005-0000-0000-000090000000}"/>
    <cellStyle name="メモ 10" xfId="490" xr:uid="{00000000-0005-0000-0000-000091000000}"/>
    <cellStyle name="メモ 10 2" xfId="491" xr:uid="{00000000-0005-0000-0000-000092000000}"/>
    <cellStyle name="メモ 10 2 10" xfId="492" xr:uid="{00000000-0005-0000-0000-000093000000}"/>
    <cellStyle name="メモ 10 2 2" xfId="493" xr:uid="{00000000-0005-0000-0000-000094000000}"/>
    <cellStyle name="メモ 10 2 3" xfId="494" xr:uid="{00000000-0005-0000-0000-000095000000}"/>
    <cellStyle name="メモ 10 2 4" xfId="495" xr:uid="{00000000-0005-0000-0000-000096000000}"/>
    <cellStyle name="メモ 10 2 5" xfId="496" xr:uid="{00000000-0005-0000-0000-000097000000}"/>
    <cellStyle name="メモ 10 2 6" xfId="497" xr:uid="{00000000-0005-0000-0000-000098000000}"/>
    <cellStyle name="メモ 10 2 7" xfId="498" xr:uid="{00000000-0005-0000-0000-000099000000}"/>
    <cellStyle name="メモ 10 2 8" xfId="499" xr:uid="{00000000-0005-0000-0000-00009A000000}"/>
    <cellStyle name="メモ 10 2 9" xfId="500" xr:uid="{00000000-0005-0000-0000-00009B000000}"/>
    <cellStyle name="メモ 10 3" xfId="501" xr:uid="{00000000-0005-0000-0000-00009C000000}"/>
    <cellStyle name="メモ 10 4" xfId="502" xr:uid="{00000000-0005-0000-0000-00009D000000}"/>
    <cellStyle name="メモ 10 5" xfId="503" xr:uid="{00000000-0005-0000-0000-00009E000000}"/>
    <cellStyle name="メモ 11" xfId="504" xr:uid="{00000000-0005-0000-0000-00009F000000}"/>
    <cellStyle name="メモ 11 2" xfId="505" xr:uid="{00000000-0005-0000-0000-0000A0000000}"/>
    <cellStyle name="メモ 11 2 10" xfId="506" xr:uid="{00000000-0005-0000-0000-0000A1000000}"/>
    <cellStyle name="メモ 11 2 2" xfId="507" xr:uid="{00000000-0005-0000-0000-0000A2000000}"/>
    <cellStyle name="メモ 11 2 3" xfId="508" xr:uid="{00000000-0005-0000-0000-0000A3000000}"/>
    <cellStyle name="メモ 11 2 4" xfId="509" xr:uid="{00000000-0005-0000-0000-0000A4000000}"/>
    <cellStyle name="メモ 11 2 5" xfId="510" xr:uid="{00000000-0005-0000-0000-0000A5000000}"/>
    <cellStyle name="メモ 11 2 6" xfId="511" xr:uid="{00000000-0005-0000-0000-0000A6000000}"/>
    <cellStyle name="メモ 11 2 7" xfId="512" xr:uid="{00000000-0005-0000-0000-0000A7000000}"/>
    <cellStyle name="メモ 11 2 8" xfId="513" xr:uid="{00000000-0005-0000-0000-0000A8000000}"/>
    <cellStyle name="メモ 11 2 9" xfId="514" xr:uid="{00000000-0005-0000-0000-0000A9000000}"/>
    <cellStyle name="メモ 11 3" xfId="515" xr:uid="{00000000-0005-0000-0000-0000AA000000}"/>
    <cellStyle name="メモ 11 4" xfId="516" xr:uid="{00000000-0005-0000-0000-0000AB000000}"/>
    <cellStyle name="メモ 11 5" xfId="517" xr:uid="{00000000-0005-0000-0000-0000AC000000}"/>
    <cellStyle name="メモ 12" xfId="518" xr:uid="{00000000-0005-0000-0000-0000AD000000}"/>
    <cellStyle name="メモ 12 2" xfId="519" xr:uid="{00000000-0005-0000-0000-0000AE000000}"/>
    <cellStyle name="メモ 12 2 10" xfId="520" xr:uid="{00000000-0005-0000-0000-0000AF000000}"/>
    <cellStyle name="メモ 12 2 2" xfId="521" xr:uid="{00000000-0005-0000-0000-0000B0000000}"/>
    <cellStyle name="メモ 12 2 3" xfId="522" xr:uid="{00000000-0005-0000-0000-0000B1000000}"/>
    <cellStyle name="メモ 12 2 4" xfId="523" xr:uid="{00000000-0005-0000-0000-0000B2000000}"/>
    <cellStyle name="メモ 12 2 5" xfId="524" xr:uid="{00000000-0005-0000-0000-0000B3000000}"/>
    <cellStyle name="メモ 12 2 6" xfId="525" xr:uid="{00000000-0005-0000-0000-0000B4000000}"/>
    <cellStyle name="メモ 12 2 7" xfId="526" xr:uid="{00000000-0005-0000-0000-0000B5000000}"/>
    <cellStyle name="メモ 12 2 8" xfId="527" xr:uid="{00000000-0005-0000-0000-0000B6000000}"/>
    <cellStyle name="メモ 12 2 9" xfId="528" xr:uid="{00000000-0005-0000-0000-0000B7000000}"/>
    <cellStyle name="メモ 12 3" xfId="529" xr:uid="{00000000-0005-0000-0000-0000B8000000}"/>
    <cellStyle name="メモ 12 4" xfId="530" xr:uid="{00000000-0005-0000-0000-0000B9000000}"/>
    <cellStyle name="メモ 12 5" xfId="531" xr:uid="{00000000-0005-0000-0000-0000BA000000}"/>
    <cellStyle name="メモ 13" xfId="532" xr:uid="{00000000-0005-0000-0000-0000BB000000}"/>
    <cellStyle name="メモ 13 2" xfId="533" xr:uid="{00000000-0005-0000-0000-0000BC000000}"/>
    <cellStyle name="メモ 13 2 10" xfId="534" xr:uid="{00000000-0005-0000-0000-0000BD000000}"/>
    <cellStyle name="メモ 13 2 2" xfId="535" xr:uid="{00000000-0005-0000-0000-0000BE000000}"/>
    <cellStyle name="メモ 13 2 3" xfId="536" xr:uid="{00000000-0005-0000-0000-0000BF000000}"/>
    <cellStyle name="メモ 13 2 4" xfId="537" xr:uid="{00000000-0005-0000-0000-0000C0000000}"/>
    <cellStyle name="メモ 13 2 5" xfId="538" xr:uid="{00000000-0005-0000-0000-0000C1000000}"/>
    <cellStyle name="メモ 13 2 6" xfId="539" xr:uid="{00000000-0005-0000-0000-0000C2000000}"/>
    <cellStyle name="メモ 13 2 7" xfId="540" xr:uid="{00000000-0005-0000-0000-0000C3000000}"/>
    <cellStyle name="メモ 13 2 8" xfId="541" xr:uid="{00000000-0005-0000-0000-0000C4000000}"/>
    <cellStyle name="メモ 13 2 9" xfId="542" xr:uid="{00000000-0005-0000-0000-0000C5000000}"/>
    <cellStyle name="メモ 13 3" xfId="543" xr:uid="{00000000-0005-0000-0000-0000C6000000}"/>
    <cellStyle name="メモ 13 4" xfId="544" xr:uid="{00000000-0005-0000-0000-0000C7000000}"/>
    <cellStyle name="メモ 13 5" xfId="545" xr:uid="{00000000-0005-0000-0000-0000C8000000}"/>
    <cellStyle name="メモ 14" xfId="546" xr:uid="{00000000-0005-0000-0000-0000C9000000}"/>
    <cellStyle name="メモ 14 2" xfId="547" xr:uid="{00000000-0005-0000-0000-0000CA000000}"/>
    <cellStyle name="メモ 14 2 10" xfId="548" xr:uid="{00000000-0005-0000-0000-0000CB000000}"/>
    <cellStyle name="メモ 14 2 2" xfId="549" xr:uid="{00000000-0005-0000-0000-0000CC000000}"/>
    <cellStyle name="メモ 14 2 3" xfId="550" xr:uid="{00000000-0005-0000-0000-0000CD000000}"/>
    <cellStyle name="メモ 14 2 4" xfId="551" xr:uid="{00000000-0005-0000-0000-0000CE000000}"/>
    <cellStyle name="メモ 14 2 5" xfId="552" xr:uid="{00000000-0005-0000-0000-0000CF000000}"/>
    <cellStyle name="メモ 14 2 6" xfId="553" xr:uid="{00000000-0005-0000-0000-0000D0000000}"/>
    <cellStyle name="メモ 14 2 7" xfId="554" xr:uid="{00000000-0005-0000-0000-0000D1000000}"/>
    <cellStyle name="メモ 14 2 8" xfId="555" xr:uid="{00000000-0005-0000-0000-0000D2000000}"/>
    <cellStyle name="メモ 14 2 9" xfId="556" xr:uid="{00000000-0005-0000-0000-0000D3000000}"/>
    <cellStyle name="メモ 14 3" xfId="557" xr:uid="{00000000-0005-0000-0000-0000D4000000}"/>
    <cellStyle name="メモ 14 4" xfId="558" xr:uid="{00000000-0005-0000-0000-0000D5000000}"/>
    <cellStyle name="メモ 14 5" xfId="559" xr:uid="{00000000-0005-0000-0000-0000D6000000}"/>
    <cellStyle name="メモ 15" xfId="560" xr:uid="{00000000-0005-0000-0000-0000D7000000}"/>
    <cellStyle name="メモ 15 2" xfId="561" xr:uid="{00000000-0005-0000-0000-0000D8000000}"/>
    <cellStyle name="メモ 15 2 10" xfId="562" xr:uid="{00000000-0005-0000-0000-0000D9000000}"/>
    <cellStyle name="メモ 15 2 2" xfId="563" xr:uid="{00000000-0005-0000-0000-0000DA000000}"/>
    <cellStyle name="メモ 15 2 3" xfId="564" xr:uid="{00000000-0005-0000-0000-0000DB000000}"/>
    <cellStyle name="メモ 15 2 4" xfId="565" xr:uid="{00000000-0005-0000-0000-0000DC000000}"/>
    <cellStyle name="メモ 15 2 5" xfId="566" xr:uid="{00000000-0005-0000-0000-0000DD000000}"/>
    <cellStyle name="メモ 15 2 6" xfId="567" xr:uid="{00000000-0005-0000-0000-0000DE000000}"/>
    <cellStyle name="メモ 15 2 7" xfId="568" xr:uid="{00000000-0005-0000-0000-0000DF000000}"/>
    <cellStyle name="メモ 15 2 8" xfId="569" xr:uid="{00000000-0005-0000-0000-0000E0000000}"/>
    <cellStyle name="メモ 15 2 9" xfId="570" xr:uid="{00000000-0005-0000-0000-0000E1000000}"/>
    <cellStyle name="メモ 15 3" xfId="571" xr:uid="{00000000-0005-0000-0000-0000E2000000}"/>
    <cellStyle name="メモ 15 4" xfId="572" xr:uid="{00000000-0005-0000-0000-0000E3000000}"/>
    <cellStyle name="メモ 15 5" xfId="573" xr:uid="{00000000-0005-0000-0000-0000E4000000}"/>
    <cellStyle name="メモ 16" xfId="574" xr:uid="{00000000-0005-0000-0000-0000E5000000}"/>
    <cellStyle name="メモ 16 2" xfId="575" xr:uid="{00000000-0005-0000-0000-0000E6000000}"/>
    <cellStyle name="メモ 16 2 10" xfId="576" xr:uid="{00000000-0005-0000-0000-0000E7000000}"/>
    <cellStyle name="メモ 16 2 2" xfId="577" xr:uid="{00000000-0005-0000-0000-0000E8000000}"/>
    <cellStyle name="メモ 16 2 3" xfId="578" xr:uid="{00000000-0005-0000-0000-0000E9000000}"/>
    <cellStyle name="メモ 16 2 4" xfId="579" xr:uid="{00000000-0005-0000-0000-0000EA000000}"/>
    <cellStyle name="メモ 16 2 5" xfId="580" xr:uid="{00000000-0005-0000-0000-0000EB000000}"/>
    <cellStyle name="メモ 16 2 6" xfId="581" xr:uid="{00000000-0005-0000-0000-0000EC000000}"/>
    <cellStyle name="メモ 16 2 7" xfId="582" xr:uid="{00000000-0005-0000-0000-0000ED000000}"/>
    <cellStyle name="メモ 16 2 8" xfId="583" xr:uid="{00000000-0005-0000-0000-0000EE000000}"/>
    <cellStyle name="メモ 16 2 9" xfId="584" xr:uid="{00000000-0005-0000-0000-0000EF000000}"/>
    <cellStyle name="メモ 16 3" xfId="585" xr:uid="{00000000-0005-0000-0000-0000F0000000}"/>
    <cellStyle name="メモ 16 4" xfId="586" xr:uid="{00000000-0005-0000-0000-0000F1000000}"/>
    <cellStyle name="メモ 16 5" xfId="587" xr:uid="{00000000-0005-0000-0000-0000F2000000}"/>
    <cellStyle name="メモ 17" xfId="588" xr:uid="{00000000-0005-0000-0000-0000F3000000}"/>
    <cellStyle name="メモ 17 10" xfId="589" xr:uid="{00000000-0005-0000-0000-0000F4000000}"/>
    <cellStyle name="メモ 17 2" xfId="590" xr:uid="{00000000-0005-0000-0000-0000F5000000}"/>
    <cellStyle name="メモ 17 3" xfId="591" xr:uid="{00000000-0005-0000-0000-0000F6000000}"/>
    <cellStyle name="メモ 17 4" xfId="592" xr:uid="{00000000-0005-0000-0000-0000F7000000}"/>
    <cellStyle name="メモ 17 5" xfId="593" xr:uid="{00000000-0005-0000-0000-0000F8000000}"/>
    <cellStyle name="メモ 17 6" xfId="594" xr:uid="{00000000-0005-0000-0000-0000F9000000}"/>
    <cellStyle name="メモ 17 7" xfId="595" xr:uid="{00000000-0005-0000-0000-0000FA000000}"/>
    <cellStyle name="メモ 17 8" xfId="596" xr:uid="{00000000-0005-0000-0000-0000FB000000}"/>
    <cellStyle name="メモ 17 9" xfId="597" xr:uid="{00000000-0005-0000-0000-0000FC000000}"/>
    <cellStyle name="メモ 18" xfId="598" xr:uid="{00000000-0005-0000-0000-0000FD000000}"/>
    <cellStyle name="メモ 2" xfId="599" xr:uid="{00000000-0005-0000-0000-0000FE000000}"/>
    <cellStyle name="メモ 2 2" xfId="600" xr:uid="{00000000-0005-0000-0000-0000FF000000}"/>
    <cellStyle name="メモ 2 2 10" xfId="601" xr:uid="{00000000-0005-0000-0000-000000010000}"/>
    <cellStyle name="メモ 2 2 2" xfId="602" xr:uid="{00000000-0005-0000-0000-000001010000}"/>
    <cellStyle name="メモ 2 2 3" xfId="603" xr:uid="{00000000-0005-0000-0000-000002010000}"/>
    <cellStyle name="メモ 2 2 4" xfId="604" xr:uid="{00000000-0005-0000-0000-000003010000}"/>
    <cellStyle name="メモ 2 2 5" xfId="605" xr:uid="{00000000-0005-0000-0000-000004010000}"/>
    <cellStyle name="メモ 2 2 6" xfId="606" xr:uid="{00000000-0005-0000-0000-000005010000}"/>
    <cellStyle name="メモ 2 2 7" xfId="607" xr:uid="{00000000-0005-0000-0000-000006010000}"/>
    <cellStyle name="メモ 2 2 8" xfId="608" xr:uid="{00000000-0005-0000-0000-000007010000}"/>
    <cellStyle name="メモ 2 2 9" xfId="609" xr:uid="{00000000-0005-0000-0000-000008010000}"/>
    <cellStyle name="メモ 2 3" xfId="610" xr:uid="{00000000-0005-0000-0000-000009010000}"/>
    <cellStyle name="メモ 2 4" xfId="611" xr:uid="{00000000-0005-0000-0000-00000A010000}"/>
    <cellStyle name="メモ 2 5" xfId="612" xr:uid="{00000000-0005-0000-0000-00000B010000}"/>
    <cellStyle name="メモ 3" xfId="613" xr:uid="{00000000-0005-0000-0000-00000C010000}"/>
    <cellStyle name="メモ 3 2" xfId="614" xr:uid="{00000000-0005-0000-0000-00000D010000}"/>
    <cellStyle name="メモ 3 2 10" xfId="615" xr:uid="{00000000-0005-0000-0000-00000E010000}"/>
    <cellStyle name="メモ 3 2 2" xfId="616" xr:uid="{00000000-0005-0000-0000-00000F010000}"/>
    <cellStyle name="メモ 3 2 3" xfId="617" xr:uid="{00000000-0005-0000-0000-000010010000}"/>
    <cellStyle name="メモ 3 2 4" xfId="618" xr:uid="{00000000-0005-0000-0000-000011010000}"/>
    <cellStyle name="メモ 3 2 5" xfId="619" xr:uid="{00000000-0005-0000-0000-000012010000}"/>
    <cellStyle name="メモ 3 2 6" xfId="620" xr:uid="{00000000-0005-0000-0000-000013010000}"/>
    <cellStyle name="メモ 3 2 7" xfId="621" xr:uid="{00000000-0005-0000-0000-000014010000}"/>
    <cellStyle name="メモ 3 2 8" xfId="622" xr:uid="{00000000-0005-0000-0000-000015010000}"/>
    <cellStyle name="メモ 3 2 9" xfId="623" xr:uid="{00000000-0005-0000-0000-000016010000}"/>
    <cellStyle name="メモ 3 3" xfId="624" xr:uid="{00000000-0005-0000-0000-000017010000}"/>
    <cellStyle name="メモ 3 4" xfId="625" xr:uid="{00000000-0005-0000-0000-000018010000}"/>
    <cellStyle name="メモ 3 5" xfId="626" xr:uid="{00000000-0005-0000-0000-000019010000}"/>
    <cellStyle name="メモ 4" xfId="627" xr:uid="{00000000-0005-0000-0000-00001A010000}"/>
    <cellStyle name="メモ 4 2" xfId="628" xr:uid="{00000000-0005-0000-0000-00001B010000}"/>
    <cellStyle name="メモ 4 2 10" xfId="629" xr:uid="{00000000-0005-0000-0000-00001C010000}"/>
    <cellStyle name="メモ 4 2 2" xfId="630" xr:uid="{00000000-0005-0000-0000-00001D010000}"/>
    <cellStyle name="メモ 4 2 3" xfId="631" xr:uid="{00000000-0005-0000-0000-00001E010000}"/>
    <cellStyle name="メモ 4 2 4" xfId="632" xr:uid="{00000000-0005-0000-0000-00001F010000}"/>
    <cellStyle name="メモ 4 2 5" xfId="633" xr:uid="{00000000-0005-0000-0000-000020010000}"/>
    <cellStyle name="メモ 4 2 6" xfId="634" xr:uid="{00000000-0005-0000-0000-000021010000}"/>
    <cellStyle name="メモ 4 2 7" xfId="635" xr:uid="{00000000-0005-0000-0000-000022010000}"/>
    <cellStyle name="メモ 4 2 8" xfId="636" xr:uid="{00000000-0005-0000-0000-000023010000}"/>
    <cellStyle name="メモ 4 2 9" xfId="637" xr:uid="{00000000-0005-0000-0000-000024010000}"/>
    <cellStyle name="メモ 4 3" xfId="638" xr:uid="{00000000-0005-0000-0000-000025010000}"/>
    <cellStyle name="メモ 4 4" xfId="639" xr:uid="{00000000-0005-0000-0000-000026010000}"/>
    <cellStyle name="メモ 4 5" xfId="640" xr:uid="{00000000-0005-0000-0000-000027010000}"/>
    <cellStyle name="メモ 5" xfId="641" xr:uid="{00000000-0005-0000-0000-000028010000}"/>
    <cellStyle name="メモ 5 2" xfId="642" xr:uid="{00000000-0005-0000-0000-000029010000}"/>
    <cellStyle name="メモ 5 2 10" xfId="643" xr:uid="{00000000-0005-0000-0000-00002A010000}"/>
    <cellStyle name="メモ 5 2 2" xfId="644" xr:uid="{00000000-0005-0000-0000-00002B010000}"/>
    <cellStyle name="メモ 5 2 3" xfId="645" xr:uid="{00000000-0005-0000-0000-00002C010000}"/>
    <cellStyle name="メモ 5 2 4" xfId="646" xr:uid="{00000000-0005-0000-0000-00002D010000}"/>
    <cellStyle name="メモ 5 2 5" xfId="647" xr:uid="{00000000-0005-0000-0000-00002E010000}"/>
    <cellStyle name="メモ 5 2 6" xfId="648" xr:uid="{00000000-0005-0000-0000-00002F010000}"/>
    <cellStyle name="メモ 5 2 7" xfId="649" xr:uid="{00000000-0005-0000-0000-000030010000}"/>
    <cellStyle name="メモ 5 2 8" xfId="650" xr:uid="{00000000-0005-0000-0000-000031010000}"/>
    <cellStyle name="メモ 5 2 9" xfId="651" xr:uid="{00000000-0005-0000-0000-000032010000}"/>
    <cellStyle name="メモ 5 3" xfId="652" xr:uid="{00000000-0005-0000-0000-000033010000}"/>
    <cellStyle name="メモ 5 4" xfId="653" xr:uid="{00000000-0005-0000-0000-000034010000}"/>
    <cellStyle name="メモ 5 5" xfId="654" xr:uid="{00000000-0005-0000-0000-000035010000}"/>
    <cellStyle name="メモ 6" xfId="655" xr:uid="{00000000-0005-0000-0000-000036010000}"/>
    <cellStyle name="メモ 6 2" xfId="656" xr:uid="{00000000-0005-0000-0000-000037010000}"/>
    <cellStyle name="メモ 6 2 10" xfId="657" xr:uid="{00000000-0005-0000-0000-000038010000}"/>
    <cellStyle name="メモ 6 2 2" xfId="658" xr:uid="{00000000-0005-0000-0000-000039010000}"/>
    <cellStyle name="メモ 6 2 3" xfId="659" xr:uid="{00000000-0005-0000-0000-00003A010000}"/>
    <cellStyle name="メモ 6 2 4" xfId="660" xr:uid="{00000000-0005-0000-0000-00003B010000}"/>
    <cellStyle name="メモ 6 2 5" xfId="661" xr:uid="{00000000-0005-0000-0000-00003C010000}"/>
    <cellStyle name="メモ 6 2 6" xfId="662" xr:uid="{00000000-0005-0000-0000-00003D010000}"/>
    <cellStyle name="メモ 6 2 7" xfId="663" xr:uid="{00000000-0005-0000-0000-00003E010000}"/>
    <cellStyle name="メモ 6 2 8" xfId="664" xr:uid="{00000000-0005-0000-0000-00003F010000}"/>
    <cellStyle name="メモ 6 2 9" xfId="665" xr:uid="{00000000-0005-0000-0000-000040010000}"/>
    <cellStyle name="メモ 6 3" xfId="666" xr:uid="{00000000-0005-0000-0000-000041010000}"/>
    <cellStyle name="メモ 6 4" xfId="667" xr:uid="{00000000-0005-0000-0000-000042010000}"/>
    <cellStyle name="メモ 6 5" xfId="668" xr:uid="{00000000-0005-0000-0000-000043010000}"/>
    <cellStyle name="メモ 7" xfId="669" xr:uid="{00000000-0005-0000-0000-000044010000}"/>
    <cellStyle name="メモ 7 2" xfId="670" xr:uid="{00000000-0005-0000-0000-000045010000}"/>
    <cellStyle name="メモ 7 2 10" xfId="671" xr:uid="{00000000-0005-0000-0000-000046010000}"/>
    <cellStyle name="メモ 7 2 2" xfId="672" xr:uid="{00000000-0005-0000-0000-000047010000}"/>
    <cellStyle name="メモ 7 2 3" xfId="673" xr:uid="{00000000-0005-0000-0000-000048010000}"/>
    <cellStyle name="メモ 7 2 4" xfId="674" xr:uid="{00000000-0005-0000-0000-000049010000}"/>
    <cellStyle name="メモ 7 2 5" xfId="675" xr:uid="{00000000-0005-0000-0000-00004A010000}"/>
    <cellStyle name="メモ 7 2 6" xfId="676" xr:uid="{00000000-0005-0000-0000-00004B010000}"/>
    <cellStyle name="メモ 7 2 7" xfId="677" xr:uid="{00000000-0005-0000-0000-00004C010000}"/>
    <cellStyle name="メモ 7 2 8" xfId="678" xr:uid="{00000000-0005-0000-0000-00004D010000}"/>
    <cellStyle name="メモ 7 2 9" xfId="679" xr:uid="{00000000-0005-0000-0000-00004E010000}"/>
    <cellStyle name="メモ 7 3" xfId="680" xr:uid="{00000000-0005-0000-0000-00004F010000}"/>
    <cellStyle name="メモ 7 4" xfId="681" xr:uid="{00000000-0005-0000-0000-000050010000}"/>
    <cellStyle name="メモ 7 5" xfId="682" xr:uid="{00000000-0005-0000-0000-000051010000}"/>
    <cellStyle name="メモ 8" xfId="683" xr:uid="{00000000-0005-0000-0000-000052010000}"/>
    <cellStyle name="メモ 8 2" xfId="684" xr:uid="{00000000-0005-0000-0000-000053010000}"/>
    <cellStyle name="メモ 8 2 10" xfId="685" xr:uid="{00000000-0005-0000-0000-000054010000}"/>
    <cellStyle name="メモ 8 2 2" xfId="686" xr:uid="{00000000-0005-0000-0000-000055010000}"/>
    <cellStyle name="メモ 8 2 3" xfId="687" xr:uid="{00000000-0005-0000-0000-000056010000}"/>
    <cellStyle name="メモ 8 2 4" xfId="688" xr:uid="{00000000-0005-0000-0000-000057010000}"/>
    <cellStyle name="メモ 8 2 5" xfId="689" xr:uid="{00000000-0005-0000-0000-000058010000}"/>
    <cellStyle name="メモ 8 2 6" xfId="690" xr:uid="{00000000-0005-0000-0000-000059010000}"/>
    <cellStyle name="メモ 8 2 7" xfId="691" xr:uid="{00000000-0005-0000-0000-00005A010000}"/>
    <cellStyle name="メモ 8 2 8" xfId="692" xr:uid="{00000000-0005-0000-0000-00005B010000}"/>
    <cellStyle name="メモ 8 2 9" xfId="693" xr:uid="{00000000-0005-0000-0000-00005C010000}"/>
    <cellStyle name="メモ 8 3" xfId="694" xr:uid="{00000000-0005-0000-0000-00005D010000}"/>
    <cellStyle name="メモ 8 4" xfId="695" xr:uid="{00000000-0005-0000-0000-00005E010000}"/>
    <cellStyle name="メモ 8 5" xfId="696" xr:uid="{00000000-0005-0000-0000-00005F010000}"/>
    <cellStyle name="メモ 9" xfId="697" xr:uid="{00000000-0005-0000-0000-000060010000}"/>
    <cellStyle name="メモ 9 2" xfId="698" xr:uid="{00000000-0005-0000-0000-000061010000}"/>
    <cellStyle name="メモ 9 2 10" xfId="699" xr:uid="{00000000-0005-0000-0000-000062010000}"/>
    <cellStyle name="メモ 9 2 2" xfId="700" xr:uid="{00000000-0005-0000-0000-000063010000}"/>
    <cellStyle name="メモ 9 2 3" xfId="701" xr:uid="{00000000-0005-0000-0000-000064010000}"/>
    <cellStyle name="メモ 9 2 4" xfId="702" xr:uid="{00000000-0005-0000-0000-000065010000}"/>
    <cellStyle name="メモ 9 2 5" xfId="703" xr:uid="{00000000-0005-0000-0000-000066010000}"/>
    <cellStyle name="メモ 9 2 6" xfId="704" xr:uid="{00000000-0005-0000-0000-000067010000}"/>
    <cellStyle name="メモ 9 2 7" xfId="705" xr:uid="{00000000-0005-0000-0000-000068010000}"/>
    <cellStyle name="メモ 9 2 8" xfId="706" xr:uid="{00000000-0005-0000-0000-000069010000}"/>
    <cellStyle name="メモ 9 2 9" xfId="707" xr:uid="{00000000-0005-0000-0000-00006A010000}"/>
    <cellStyle name="メモ 9 3" xfId="708" xr:uid="{00000000-0005-0000-0000-00006B010000}"/>
    <cellStyle name="メモ 9 4" xfId="709" xr:uid="{00000000-0005-0000-0000-00006C010000}"/>
    <cellStyle name="メモ 9 5" xfId="710" xr:uid="{00000000-0005-0000-0000-00006D010000}"/>
    <cellStyle name="リンク セル" xfId="711" xr:uid="{00000000-0005-0000-0000-00006E010000}"/>
    <cellStyle name="入力" xfId="712" xr:uid="{00000000-0005-0000-0000-00006F010000}"/>
    <cellStyle name="入力 10" xfId="713" xr:uid="{00000000-0005-0000-0000-000070010000}"/>
    <cellStyle name="入力 10 2" xfId="714" xr:uid="{00000000-0005-0000-0000-000071010000}"/>
    <cellStyle name="入力 10 2 10" xfId="715" xr:uid="{00000000-0005-0000-0000-000072010000}"/>
    <cellStyle name="入力 10 2 2" xfId="716" xr:uid="{00000000-0005-0000-0000-000073010000}"/>
    <cellStyle name="入力 10 2 3" xfId="717" xr:uid="{00000000-0005-0000-0000-000074010000}"/>
    <cellStyle name="入力 10 2 4" xfId="718" xr:uid="{00000000-0005-0000-0000-000075010000}"/>
    <cellStyle name="入力 10 2 5" xfId="719" xr:uid="{00000000-0005-0000-0000-000076010000}"/>
    <cellStyle name="入力 10 2 6" xfId="720" xr:uid="{00000000-0005-0000-0000-000077010000}"/>
    <cellStyle name="入力 10 2 7" xfId="721" xr:uid="{00000000-0005-0000-0000-000078010000}"/>
    <cellStyle name="入力 10 2 8" xfId="722" xr:uid="{00000000-0005-0000-0000-000079010000}"/>
    <cellStyle name="入力 10 2 9" xfId="723" xr:uid="{00000000-0005-0000-0000-00007A010000}"/>
    <cellStyle name="入力 10 3" xfId="724" xr:uid="{00000000-0005-0000-0000-00007B010000}"/>
    <cellStyle name="入力 10 4" xfId="725" xr:uid="{00000000-0005-0000-0000-00007C010000}"/>
    <cellStyle name="入力 10 5" xfId="726" xr:uid="{00000000-0005-0000-0000-00007D010000}"/>
    <cellStyle name="入力 11" xfId="727" xr:uid="{00000000-0005-0000-0000-00007E010000}"/>
    <cellStyle name="入力 11 2" xfId="728" xr:uid="{00000000-0005-0000-0000-00007F010000}"/>
    <cellStyle name="入力 11 2 10" xfId="729" xr:uid="{00000000-0005-0000-0000-000080010000}"/>
    <cellStyle name="入力 11 2 2" xfId="730" xr:uid="{00000000-0005-0000-0000-000081010000}"/>
    <cellStyle name="入力 11 2 3" xfId="731" xr:uid="{00000000-0005-0000-0000-000082010000}"/>
    <cellStyle name="入力 11 2 4" xfId="732" xr:uid="{00000000-0005-0000-0000-000083010000}"/>
    <cellStyle name="入力 11 2 5" xfId="733" xr:uid="{00000000-0005-0000-0000-000084010000}"/>
    <cellStyle name="入力 11 2 6" xfId="734" xr:uid="{00000000-0005-0000-0000-000085010000}"/>
    <cellStyle name="入力 11 2 7" xfId="735" xr:uid="{00000000-0005-0000-0000-000086010000}"/>
    <cellStyle name="入力 11 2 8" xfId="736" xr:uid="{00000000-0005-0000-0000-000087010000}"/>
    <cellStyle name="入力 11 2 9" xfId="737" xr:uid="{00000000-0005-0000-0000-000088010000}"/>
    <cellStyle name="入力 11 3" xfId="738" xr:uid="{00000000-0005-0000-0000-000089010000}"/>
    <cellStyle name="入力 11 4" xfId="739" xr:uid="{00000000-0005-0000-0000-00008A010000}"/>
    <cellStyle name="入力 11 5" xfId="740" xr:uid="{00000000-0005-0000-0000-00008B010000}"/>
    <cellStyle name="入力 12" xfId="741" xr:uid="{00000000-0005-0000-0000-00008C010000}"/>
    <cellStyle name="入力 12 2" xfId="742" xr:uid="{00000000-0005-0000-0000-00008D010000}"/>
    <cellStyle name="入力 12 2 10" xfId="743" xr:uid="{00000000-0005-0000-0000-00008E010000}"/>
    <cellStyle name="入力 12 2 2" xfId="744" xr:uid="{00000000-0005-0000-0000-00008F010000}"/>
    <cellStyle name="入力 12 2 3" xfId="745" xr:uid="{00000000-0005-0000-0000-000090010000}"/>
    <cellStyle name="入力 12 2 4" xfId="746" xr:uid="{00000000-0005-0000-0000-000091010000}"/>
    <cellStyle name="入力 12 2 5" xfId="747" xr:uid="{00000000-0005-0000-0000-000092010000}"/>
    <cellStyle name="入力 12 2 6" xfId="748" xr:uid="{00000000-0005-0000-0000-000093010000}"/>
    <cellStyle name="入力 12 2 7" xfId="749" xr:uid="{00000000-0005-0000-0000-000094010000}"/>
    <cellStyle name="入力 12 2 8" xfId="750" xr:uid="{00000000-0005-0000-0000-000095010000}"/>
    <cellStyle name="入力 12 2 9" xfId="751" xr:uid="{00000000-0005-0000-0000-000096010000}"/>
    <cellStyle name="入力 12 3" xfId="752" xr:uid="{00000000-0005-0000-0000-000097010000}"/>
    <cellStyle name="入力 12 4" xfId="753" xr:uid="{00000000-0005-0000-0000-000098010000}"/>
    <cellStyle name="入力 12 5" xfId="754" xr:uid="{00000000-0005-0000-0000-000099010000}"/>
    <cellStyle name="入力 13" xfId="755" xr:uid="{00000000-0005-0000-0000-00009A010000}"/>
    <cellStyle name="入力 13 2" xfId="756" xr:uid="{00000000-0005-0000-0000-00009B010000}"/>
    <cellStyle name="入力 13 2 10" xfId="757" xr:uid="{00000000-0005-0000-0000-00009C010000}"/>
    <cellStyle name="入力 13 2 2" xfId="758" xr:uid="{00000000-0005-0000-0000-00009D010000}"/>
    <cellStyle name="入力 13 2 3" xfId="759" xr:uid="{00000000-0005-0000-0000-00009E010000}"/>
    <cellStyle name="入力 13 2 4" xfId="760" xr:uid="{00000000-0005-0000-0000-00009F010000}"/>
    <cellStyle name="入力 13 2 5" xfId="761" xr:uid="{00000000-0005-0000-0000-0000A0010000}"/>
    <cellStyle name="入力 13 2 6" xfId="762" xr:uid="{00000000-0005-0000-0000-0000A1010000}"/>
    <cellStyle name="入力 13 2 7" xfId="763" xr:uid="{00000000-0005-0000-0000-0000A2010000}"/>
    <cellStyle name="入力 13 2 8" xfId="764" xr:uid="{00000000-0005-0000-0000-0000A3010000}"/>
    <cellStyle name="入力 13 2 9" xfId="765" xr:uid="{00000000-0005-0000-0000-0000A4010000}"/>
    <cellStyle name="入力 13 3" xfId="766" xr:uid="{00000000-0005-0000-0000-0000A5010000}"/>
    <cellStyle name="入力 13 4" xfId="767" xr:uid="{00000000-0005-0000-0000-0000A6010000}"/>
    <cellStyle name="入力 13 5" xfId="768" xr:uid="{00000000-0005-0000-0000-0000A7010000}"/>
    <cellStyle name="入力 14" xfId="769" xr:uid="{00000000-0005-0000-0000-0000A8010000}"/>
    <cellStyle name="入力 14 10" xfId="770" xr:uid="{00000000-0005-0000-0000-0000A9010000}"/>
    <cellStyle name="入力 14 2" xfId="771" xr:uid="{00000000-0005-0000-0000-0000AA010000}"/>
    <cellStyle name="入力 14 3" xfId="772" xr:uid="{00000000-0005-0000-0000-0000AB010000}"/>
    <cellStyle name="入力 14 4" xfId="773" xr:uid="{00000000-0005-0000-0000-0000AC010000}"/>
    <cellStyle name="入力 14 5" xfId="774" xr:uid="{00000000-0005-0000-0000-0000AD010000}"/>
    <cellStyle name="入力 14 6" xfId="775" xr:uid="{00000000-0005-0000-0000-0000AE010000}"/>
    <cellStyle name="入力 14 7" xfId="776" xr:uid="{00000000-0005-0000-0000-0000AF010000}"/>
    <cellStyle name="入力 14 8" xfId="777" xr:uid="{00000000-0005-0000-0000-0000B0010000}"/>
    <cellStyle name="入力 14 9" xfId="778" xr:uid="{00000000-0005-0000-0000-0000B1010000}"/>
    <cellStyle name="入力 15" xfId="779" xr:uid="{00000000-0005-0000-0000-0000B2010000}"/>
    <cellStyle name="入力 16" xfId="780" xr:uid="{00000000-0005-0000-0000-0000B3010000}"/>
    <cellStyle name="入力 17" xfId="781" xr:uid="{00000000-0005-0000-0000-0000B4010000}"/>
    <cellStyle name="入力 2" xfId="782" xr:uid="{00000000-0005-0000-0000-0000B5010000}"/>
    <cellStyle name="入力 2 2" xfId="783" xr:uid="{00000000-0005-0000-0000-0000B6010000}"/>
    <cellStyle name="入力 2 2 10" xfId="784" xr:uid="{00000000-0005-0000-0000-0000B7010000}"/>
    <cellStyle name="入力 2 2 2" xfId="785" xr:uid="{00000000-0005-0000-0000-0000B8010000}"/>
    <cellStyle name="入力 2 2 3" xfId="786" xr:uid="{00000000-0005-0000-0000-0000B9010000}"/>
    <cellStyle name="入力 2 2 4" xfId="787" xr:uid="{00000000-0005-0000-0000-0000BA010000}"/>
    <cellStyle name="入力 2 2 5" xfId="788" xr:uid="{00000000-0005-0000-0000-0000BB010000}"/>
    <cellStyle name="入力 2 2 6" xfId="789" xr:uid="{00000000-0005-0000-0000-0000BC010000}"/>
    <cellStyle name="入力 2 2 7" xfId="790" xr:uid="{00000000-0005-0000-0000-0000BD010000}"/>
    <cellStyle name="入力 2 2 8" xfId="791" xr:uid="{00000000-0005-0000-0000-0000BE010000}"/>
    <cellStyle name="入力 2 2 9" xfId="792" xr:uid="{00000000-0005-0000-0000-0000BF010000}"/>
    <cellStyle name="入力 2 3" xfId="793" xr:uid="{00000000-0005-0000-0000-0000C0010000}"/>
    <cellStyle name="入力 2 4" xfId="794" xr:uid="{00000000-0005-0000-0000-0000C1010000}"/>
    <cellStyle name="入力 2 5" xfId="795" xr:uid="{00000000-0005-0000-0000-0000C2010000}"/>
    <cellStyle name="入力 3" xfId="796" xr:uid="{00000000-0005-0000-0000-0000C3010000}"/>
    <cellStyle name="入力 3 2" xfId="797" xr:uid="{00000000-0005-0000-0000-0000C4010000}"/>
    <cellStyle name="入力 3 2 10" xfId="798" xr:uid="{00000000-0005-0000-0000-0000C5010000}"/>
    <cellStyle name="入力 3 2 2" xfId="799" xr:uid="{00000000-0005-0000-0000-0000C6010000}"/>
    <cellStyle name="入力 3 2 3" xfId="800" xr:uid="{00000000-0005-0000-0000-0000C7010000}"/>
    <cellStyle name="入力 3 2 4" xfId="801" xr:uid="{00000000-0005-0000-0000-0000C8010000}"/>
    <cellStyle name="入力 3 2 5" xfId="802" xr:uid="{00000000-0005-0000-0000-0000C9010000}"/>
    <cellStyle name="入力 3 2 6" xfId="803" xr:uid="{00000000-0005-0000-0000-0000CA010000}"/>
    <cellStyle name="入力 3 2 7" xfId="804" xr:uid="{00000000-0005-0000-0000-0000CB010000}"/>
    <cellStyle name="入力 3 2 8" xfId="805" xr:uid="{00000000-0005-0000-0000-0000CC010000}"/>
    <cellStyle name="入力 3 2 9" xfId="806" xr:uid="{00000000-0005-0000-0000-0000CD010000}"/>
    <cellStyle name="入力 3 3" xfId="807" xr:uid="{00000000-0005-0000-0000-0000CE010000}"/>
    <cellStyle name="入力 3 4" xfId="808" xr:uid="{00000000-0005-0000-0000-0000CF010000}"/>
    <cellStyle name="入力 3 5" xfId="809" xr:uid="{00000000-0005-0000-0000-0000D0010000}"/>
    <cellStyle name="入力 4" xfId="810" xr:uid="{00000000-0005-0000-0000-0000D1010000}"/>
    <cellStyle name="入力 4 2" xfId="811" xr:uid="{00000000-0005-0000-0000-0000D2010000}"/>
    <cellStyle name="入力 4 2 10" xfId="812" xr:uid="{00000000-0005-0000-0000-0000D3010000}"/>
    <cellStyle name="入力 4 2 2" xfId="813" xr:uid="{00000000-0005-0000-0000-0000D4010000}"/>
    <cellStyle name="入力 4 2 3" xfId="814" xr:uid="{00000000-0005-0000-0000-0000D5010000}"/>
    <cellStyle name="入力 4 2 4" xfId="815" xr:uid="{00000000-0005-0000-0000-0000D6010000}"/>
    <cellStyle name="入力 4 2 5" xfId="816" xr:uid="{00000000-0005-0000-0000-0000D7010000}"/>
    <cellStyle name="入力 4 2 6" xfId="817" xr:uid="{00000000-0005-0000-0000-0000D8010000}"/>
    <cellStyle name="入力 4 2 7" xfId="818" xr:uid="{00000000-0005-0000-0000-0000D9010000}"/>
    <cellStyle name="入力 4 2 8" xfId="819" xr:uid="{00000000-0005-0000-0000-0000DA010000}"/>
    <cellStyle name="入力 4 2 9" xfId="820" xr:uid="{00000000-0005-0000-0000-0000DB010000}"/>
    <cellStyle name="入力 4 3" xfId="821" xr:uid="{00000000-0005-0000-0000-0000DC010000}"/>
    <cellStyle name="入力 4 4" xfId="822" xr:uid="{00000000-0005-0000-0000-0000DD010000}"/>
    <cellStyle name="入力 4 5" xfId="823" xr:uid="{00000000-0005-0000-0000-0000DE010000}"/>
    <cellStyle name="入力 5" xfId="824" xr:uid="{00000000-0005-0000-0000-0000DF010000}"/>
    <cellStyle name="入力 5 2" xfId="825" xr:uid="{00000000-0005-0000-0000-0000E0010000}"/>
    <cellStyle name="入力 5 2 10" xfId="826" xr:uid="{00000000-0005-0000-0000-0000E1010000}"/>
    <cellStyle name="入力 5 2 2" xfId="827" xr:uid="{00000000-0005-0000-0000-0000E2010000}"/>
    <cellStyle name="入力 5 2 3" xfId="828" xr:uid="{00000000-0005-0000-0000-0000E3010000}"/>
    <cellStyle name="入力 5 2 4" xfId="829" xr:uid="{00000000-0005-0000-0000-0000E4010000}"/>
    <cellStyle name="入力 5 2 5" xfId="830" xr:uid="{00000000-0005-0000-0000-0000E5010000}"/>
    <cellStyle name="入力 5 2 6" xfId="831" xr:uid="{00000000-0005-0000-0000-0000E6010000}"/>
    <cellStyle name="入力 5 2 7" xfId="832" xr:uid="{00000000-0005-0000-0000-0000E7010000}"/>
    <cellStyle name="入力 5 2 8" xfId="833" xr:uid="{00000000-0005-0000-0000-0000E8010000}"/>
    <cellStyle name="入力 5 2 9" xfId="834" xr:uid="{00000000-0005-0000-0000-0000E9010000}"/>
    <cellStyle name="入力 5 3" xfId="835" xr:uid="{00000000-0005-0000-0000-0000EA010000}"/>
    <cellStyle name="入力 5 4" xfId="836" xr:uid="{00000000-0005-0000-0000-0000EB010000}"/>
    <cellStyle name="入力 5 5" xfId="837" xr:uid="{00000000-0005-0000-0000-0000EC010000}"/>
    <cellStyle name="入力 6" xfId="838" xr:uid="{00000000-0005-0000-0000-0000ED010000}"/>
    <cellStyle name="入力 6 2" xfId="839" xr:uid="{00000000-0005-0000-0000-0000EE010000}"/>
    <cellStyle name="入力 6 2 10" xfId="840" xr:uid="{00000000-0005-0000-0000-0000EF010000}"/>
    <cellStyle name="入力 6 2 2" xfId="841" xr:uid="{00000000-0005-0000-0000-0000F0010000}"/>
    <cellStyle name="入力 6 2 3" xfId="842" xr:uid="{00000000-0005-0000-0000-0000F1010000}"/>
    <cellStyle name="入力 6 2 4" xfId="843" xr:uid="{00000000-0005-0000-0000-0000F2010000}"/>
    <cellStyle name="入力 6 2 5" xfId="844" xr:uid="{00000000-0005-0000-0000-0000F3010000}"/>
    <cellStyle name="入力 6 2 6" xfId="845" xr:uid="{00000000-0005-0000-0000-0000F4010000}"/>
    <cellStyle name="入力 6 2 7" xfId="846" xr:uid="{00000000-0005-0000-0000-0000F5010000}"/>
    <cellStyle name="入力 6 2 8" xfId="847" xr:uid="{00000000-0005-0000-0000-0000F6010000}"/>
    <cellStyle name="入力 6 2 9" xfId="848" xr:uid="{00000000-0005-0000-0000-0000F7010000}"/>
    <cellStyle name="入力 6 3" xfId="849" xr:uid="{00000000-0005-0000-0000-0000F8010000}"/>
    <cellStyle name="入力 6 4" xfId="850" xr:uid="{00000000-0005-0000-0000-0000F9010000}"/>
    <cellStyle name="入力 6 5" xfId="851" xr:uid="{00000000-0005-0000-0000-0000FA010000}"/>
    <cellStyle name="入力 7" xfId="852" xr:uid="{00000000-0005-0000-0000-0000FB010000}"/>
    <cellStyle name="入力 7 2" xfId="853" xr:uid="{00000000-0005-0000-0000-0000FC010000}"/>
    <cellStyle name="入力 7 2 10" xfId="854" xr:uid="{00000000-0005-0000-0000-0000FD010000}"/>
    <cellStyle name="入力 7 2 2" xfId="855" xr:uid="{00000000-0005-0000-0000-0000FE010000}"/>
    <cellStyle name="入力 7 2 3" xfId="856" xr:uid="{00000000-0005-0000-0000-0000FF010000}"/>
    <cellStyle name="入力 7 2 4" xfId="857" xr:uid="{00000000-0005-0000-0000-000000020000}"/>
    <cellStyle name="入力 7 2 5" xfId="858" xr:uid="{00000000-0005-0000-0000-000001020000}"/>
    <cellStyle name="入力 7 2 6" xfId="859" xr:uid="{00000000-0005-0000-0000-000002020000}"/>
    <cellStyle name="入力 7 2 7" xfId="860" xr:uid="{00000000-0005-0000-0000-000003020000}"/>
    <cellStyle name="入力 7 2 8" xfId="861" xr:uid="{00000000-0005-0000-0000-000004020000}"/>
    <cellStyle name="入力 7 2 9" xfId="862" xr:uid="{00000000-0005-0000-0000-000005020000}"/>
    <cellStyle name="入力 7 3" xfId="863" xr:uid="{00000000-0005-0000-0000-000006020000}"/>
    <cellStyle name="入力 7 4" xfId="864" xr:uid="{00000000-0005-0000-0000-000007020000}"/>
    <cellStyle name="入力 7 5" xfId="865" xr:uid="{00000000-0005-0000-0000-000008020000}"/>
    <cellStyle name="入力 8" xfId="866" xr:uid="{00000000-0005-0000-0000-000009020000}"/>
    <cellStyle name="入力 8 2" xfId="867" xr:uid="{00000000-0005-0000-0000-00000A020000}"/>
    <cellStyle name="入力 8 2 10" xfId="868" xr:uid="{00000000-0005-0000-0000-00000B020000}"/>
    <cellStyle name="入力 8 2 2" xfId="869" xr:uid="{00000000-0005-0000-0000-00000C020000}"/>
    <cellStyle name="入力 8 2 3" xfId="870" xr:uid="{00000000-0005-0000-0000-00000D020000}"/>
    <cellStyle name="入力 8 2 4" xfId="871" xr:uid="{00000000-0005-0000-0000-00000E020000}"/>
    <cellStyle name="入力 8 2 5" xfId="872" xr:uid="{00000000-0005-0000-0000-00000F020000}"/>
    <cellStyle name="入力 8 2 6" xfId="873" xr:uid="{00000000-0005-0000-0000-000010020000}"/>
    <cellStyle name="入力 8 2 7" xfId="874" xr:uid="{00000000-0005-0000-0000-000011020000}"/>
    <cellStyle name="入力 8 2 8" xfId="875" xr:uid="{00000000-0005-0000-0000-000012020000}"/>
    <cellStyle name="入力 8 2 9" xfId="876" xr:uid="{00000000-0005-0000-0000-000013020000}"/>
    <cellStyle name="入力 8 3" xfId="877" xr:uid="{00000000-0005-0000-0000-000014020000}"/>
    <cellStyle name="入力 8 4" xfId="878" xr:uid="{00000000-0005-0000-0000-000015020000}"/>
    <cellStyle name="入力 8 5" xfId="879" xr:uid="{00000000-0005-0000-0000-000016020000}"/>
    <cellStyle name="入力 9" xfId="880" xr:uid="{00000000-0005-0000-0000-000017020000}"/>
    <cellStyle name="入力 9 2" xfId="881" xr:uid="{00000000-0005-0000-0000-000018020000}"/>
    <cellStyle name="入力 9 2 10" xfId="882" xr:uid="{00000000-0005-0000-0000-000019020000}"/>
    <cellStyle name="入力 9 2 2" xfId="883" xr:uid="{00000000-0005-0000-0000-00001A020000}"/>
    <cellStyle name="入力 9 2 3" xfId="884" xr:uid="{00000000-0005-0000-0000-00001B020000}"/>
    <cellStyle name="入力 9 2 4" xfId="885" xr:uid="{00000000-0005-0000-0000-00001C020000}"/>
    <cellStyle name="入力 9 2 5" xfId="886" xr:uid="{00000000-0005-0000-0000-00001D020000}"/>
    <cellStyle name="入力 9 2 6" xfId="887" xr:uid="{00000000-0005-0000-0000-00001E020000}"/>
    <cellStyle name="入力 9 2 7" xfId="888" xr:uid="{00000000-0005-0000-0000-00001F020000}"/>
    <cellStyle name="入力 9 2 8" xfId="889" xr:uid="{00000000-0005-0000-0000-000020020000}"/>
    <cellStyle name="入力 9 2 9" xfId="890" xr:uid="{00000000-0005-0000-0000-000021020000}"/>
    <cellStyle name="入力 9 3" xfId="891" xr:uid="{00000000-0005-0000-0000-000022020000}"/>
    <cellStyle name="入力 9 4" xfId="892" xr:uid="{00000000-0005-0000-0000-000023020000}"/>
    <cellStyle name="入力 9 5" xfId="893" xr:uid="{00000000-0005-0000-0000-000024020000}"/>
    <cellStyle name="出力" xfId="894" xr:uid="{00000000-0005-0000-0000-000025020000}"/>
    <cellStyle name="出力 10" xfId="895" xr:uid="{00000000-0005-0000-0000-000026020000}"/>
    <cellStyle name="出力 10 2" xfId="896" xr:uid="{00000000-0005-0000-0000-000027020000}"/>
    <cellStyle name="出力 10 2 10" xfId="897" xr:uid="{00000000-0005-0000-0000-000028020000}"/>
    <cellStyle name="出力 10 2 2" xfId="898" xr:uid="{00000000-0005-0000-0000-000029020000}"/>
    <cellStyle name="出力 10 2 3" xfId="899" xr:uid="{00000000-0005-0000-0000-00002A020000}"/>
    <cellStyle name="出力 10 2 4" xfId="900" xr:uid="{00000000-0005-0000-0000-00002B020000}"/>
    <cellStyle name="出力 10 2 5" xfId="901" xr:uid="{00000000-0005-0000-0000-00002C020000}"/>
    <cellStyle name="出力 10 2 6" xfId="902" xr:uid="{00000000-0005-0000-0000-00002D020000}"/>
    <cellStyle name="出力 10 2 7" xfId="903" xr:uid="{00000000-0005-0000-0000-00002E020000}"/>
    <cellStyle name="出力 10 2 8" xfId="904" xr:uid="{00000000-0005-0000-0000-00002F020000}"/>
    <cellStyle name="出力 10 2 9" xfId="905" xr:uid="{00000000-0005-0000-0000-000030020000}"/>
    <cellStyle name="出力 10 3" xfId="906" xr:uid="{00000000-0005-0000-0000-000031020000}"/>
    <cellStyle name="出力 10 4" xfId="907" xr:uid="{00000000-0005-0000-0000-000032020000}"/>
    <cellStyle name="出力 10 5" xfId="908" xr:uid="{00000000-0005-0000-0000-000033020000}"/>
    <cellStyle name="出力 11" xfId="909" xr:uid="{00000000-0005-0000-0000-000034020000}"/>
    <cellStyle name="出力 11 2" xfId="910" xr:uid="{00000000-0005-0000-0000-000035020000}"/>
    <cellStyle name="出力 11 2 10" xfId="911" xr:uid="{00000000-0005-0000-0000-000036020000}"/>
    <cellStyle name="出力 11 2 2" xfId="912" xr:uid="{00000000-0005-0000-0000-000037020000}"/>
    <cellStyle name="出力 11 2 3" xfId="913" xr:uid="{00000000-0005-0000-0000-000038020000}"/>
    <cellStyle name="出力 11 2 4" xfId="914" xr:uid="{00000000-0005-0000-0000-000039020000}"/>
    <cellStyle name="出力 11 2 5" xfId="915" xr:uid="{00000000-0005-0000-0000-00003A020000}"/>
    <cellStyle name="出力 11 2 6" xfId="916" xr:uid="{00000000-0005-0000-0000-00003B020000}"/>
    <cellStyle name="出力 11 2 7" xfId="917" xr:uid="{00000000-0005-0000-0000-00003C020000}"/>
    <cellStyle name="出力 11 2 8" xfId="918" xr:uid="{00000000-0005-0000-0000-00003D020000}"/>
    <cellStyle name="出力 11 2 9" xfId="919" xr:uid="{00000000-0005-0000-0000-00003E020000}"/>
    <cellStyle name="出力 11 3" xfId="920" xr:uid="{00000000-0005-0000-0000-00003F020000}"/>
    <cellStyle name="出力 11 4" xfId="921" xr:uid="{00000000-0005-0000-0000-000040020000}"/>
    <cellStyle name="出力 11 5" xfId="922" xr:uid="{00000000-0005-0000-0000-000041020000}"/>
    <cellStyle name="出力 12" xfId="923" xr:uid="{00000000-0005-0000-0000-000042020000}"/>
    <cellStyle name="出力 12 2" xfId="924" xr:uid="{00000000-0005-0000-0000-000043020000}"/>
    <cellStyle name="出力 12 2 10" xfId="925" xr:uid="{00000000-0005-0000-0000-000044020000}"/>
    <cellStyle name="出力 12 2 2" xfId="926" xr:uid="{00000000-0005-0000-0000-000045020000}"/>
    <cellStyle name="出力 12 2 3" xfId="927" xr:uid="{00000000-0005-0000-0000-000046020000}"/>
    <cellStyle name="出力 12 2 4" xfId="928" xr:uid="{00000000-0005-0000-0000-000047020000}"/>
    <cellStyle name="出力 12 2 5" xfId="929" xr:uid="{00000000-0005-0000-0000-000048020000}"/>
    <cellStyle name="出力 12 2 6" xfId="930" xr:uid="{00000000-0005-0000-0000-000049020000}"/>
    <cellStyle name="出力 12 2 7" xfId="931" xr:uid="{00000000-0005-0000-0000-00004A020000}"/>
    <cellStyle name="出力 12 2 8" xfId="932" xr:uid="{00000000-0005-0000-0000-00004B020000}"/>
    <cellStyle name="出力 12 2 9" xfId="933" xr:uid="{00000000-0005-0000-0000-00004C020000}"/>
    <cellStyle name="出力 12 3" xfId="934" xr:uid="{00000000-0005-0000-0000-00004D020000}"/>
    <cellStyle name="出力 12 4" xfId="935" xr:uid="{00000000-0005-0000-0000-00004E020000}"/>
    <cellStyle name="出力 12 5" xfId="936" xr:uid="{00000000-0005-0000-0000-00004F020000}"/>
    <cellStyle name="出力 13" xfId="937" xr:uid="{00000000-0005-0000-0000-000050020000}"/>
    <cellStyle name="出力 13 2" xfId="938" xr:uid="{00000000-0005-0000-0000-000051020000}"/>
    <cellStyle name="出力 13 2 10" xfId="939" xr:uid="{00000000-0005-0000-0000-000052020000}"/>
    <cellStyle name="出力 13 2 2" xfId="940" xr:uid="{00000000-0005-0000-0000-000053020000}"/>
    <cellStyle name="出力 13 2 3" xfId="941" xr:uid="{00000000-0005-0000-0000-000054020000}"/>
    <cellStyle name="出力 13 2 4" xfId="942" xr:uid="{00000000-0005-0000-0000-000055020000}"/>
    <cellStyle name="出力 13 2 5" xfId="943" xr:uid="{00000000-0005-0000-0000-000056020000}"/>
    <cellStyle name="出力 13 2 6" xfId="944" xr:uid="{00000000-0005-0000-0000-000057020000}"/>
    <cellStyle name="出力 13 2 7" xfId="945" xr:uid="{00000000-0005-0000-0000-000058020000}"/>
    <cellStyle name="出力 13 2 8" xfId="946" xr:uid="{00000000-0005-0000-0000-000059020000}"/>
    <cellStyle name="出力 13 2 9" xfId="947" xr:uid="{00000000-0005-0000-0000-00005A020000}"/>
    <cellStyle name="出力 13 3" xfId="948" xr:uid="{00000000-0005-0000-0000-00005B020000}"/>
    <cellStyle name="出力 13 4" xfId="949" xr:uid="{00000000-0005-0000-0000-00005C020000}"/>
    <cellStyle name="出力 13 5" xfId="950" xr:uid="{00000000-0005-0000-0000-00005D020000}"/>
    <cellStyle name="出力 14" xfId="951" xr:uid="{00000000-0005-0000-0000-00005E020000}"/>
    <cellStyle name="出力 14 10" xfId="952" xr:uid="{00000000-0005-0000-0000-00005F020000}"/>
    <cellStyle name="出力 14 2" xfId="953" xr:uid="{00000000-0005-0000-0000-000060020000}"/>
    <cellStyle name="出力 14 3" xfId="954" xr:uid="{00000000-0005-0000-0000-000061020000}"/>
    <cellStyle name="出力 14 4" xfId="955" xr:uid="{00000000-0005-0000-0000-000062020000}"/>
    <cellStyle name="出力 14 5" xfId="956" xr:uid="{00000000-0005-0000-0000-000063020000}"/>
    <cellStyle name="出力 14 6" xfId="957" xr:uid="{00000000-0005-0000-0000-000064020000}"/>
    <cellStyle name="出力 14 7" xfId="958" xr:uid="{00000000-0005-0000-0000-000065020000}"/>
    <cellStyle name="出力 14 8" xfId="959" xr:uid="{00000000-0005-0000-0000-000066020000}"/>
    <cellStyle name="出力 14 9" xfId="960" xr:uid="{00000000-0005-0000-0000-000067020000}"/>
    <cellStyle name="出力 15" xfId="961" xr:uid="{00000000-0005-0000-0000-000068020000}"/>
    <cellStyle name="出力 16" xfId="962" xr:uid="{00000000-0005-0000-0000-000069020000}"/>
    <cellStyle name="出力 17" xfId="963" xr:uid="{00000000-0005-0000-0000-00006A020000}"/>
    <cellStyle name="出力 2" xfId="964" xr:uid="{00000000-0005-0000-0000-00006B020000}"/>
    <cellStyle name="出力 2 2" xfId="965" xr:uid="{00000000-0005-0000-0000-00006C020000}"/>
    <cellStyle name="出力 2 2 10" xfId="966" xr:uid="{00000000-0005-0000-0000-00006D020000}"/>
    <cellStyle name="出力 2 2 2" xfId="967" xr:uid="{00000000-0005-0000-0000-00006E020000}"/>
    <cellStyle name="出力 2 2 3" xfId="968" xr:uid="{00000000-0005-0000-0000-00006F020000}"/>
    <cellStyle name="出力 2 2 4" xfId="969" xr:uid="{00000000-0005-0000-0000-000070020000}"/>
    <cellStyle name="出力 2 2 5" xfId="970" xr:uid="{00000000-0005-0000-0000-000071020000}"/>
    <cellStyle name="出力 2 2 6" xfId="971" xr:uid="{00000000-0005-0000-0000-000072020000}"/>
    <cellStyle name="出力 2 2 7" xfId="972" xr:uid="{00000000-0005-0000-0000-000073020000}"/>
    <cellStyle name="出力 2 2 8" xfId="973" xr:uid="{00000000-0005-0000-0000-000074020000}"/>
    <cellStyle name="出力 2 2 9" xfId="974" xr:uid="{00000000-0005-0000-0000-000075020000}"/>
    <cellStyle name="出力 2 3" xfId="975" xr:uid="{00000000-0005-0000-0000-000076020000}"/>
    <cellStyle name="出力 2 4" xfId="976" xr:uid="{00000000-0005-0000-0000-000077020000}"/>
    <cellStyle name="出力 2 5" xfId="977" xr:uid="{00000000-0005-0000-0000-000078020000}"/>
    <cellStyle name="出力 3" xfId="978" xr:uid="{00000000-0005-0000-0000-000079020000}"/>
    <cellStyle name="出力 3 2" xfId="979" xr:uid="{00000000-0005-0000-0000-00007A020000}"/>
    <cellStyle name="出力 3 2 10" xfId="980" xr:uid="{00000000-0005-0000-0000-00007B020000}"/>
    <cellStyle name="出力 3 2 2" xfId="981" xr:uid="{00000000-0005-0000-0000-00007C020000}"/>
    <cellStyle name="出力 3 2 3" xfId="982" xr:uid="{00000000-0005-0000-0000-00007D020000}"/>
    <cellStyle name="出力 3 2 4" xfId="983" xr:uid="{00000000-0005-0000-0000-00007E020000}"/>
    <cellStyle name="出力 3 2 5" xfId="984" xr:uid="{00000000-0005-0000-0000-00007F020000}"/>
    <cellStyle name="出力 3 2 6" xfId="985" xr:uid="{00000000-0005-0000-0000-000080020000}"/>
    <cellStyle name="出力 3 2 7" xfId="986" xr:uid="{00000000-0005-0000-0000-000081020000}"/>
    <cellStyle name="出力 3 2 8" xfId="987" xr:uid="{00000000-0005-0000-0000-000082020000}"/>
    <cellStyle name="出力 3 2 9" xfId="988" xr:uid="{00000000-0005-0000-0000-000083020000}"/>
    <cellStyle name="出力 3 3" xfId="989" xr:uid="{00000000-0005-0000-0000-000084020000}"/>
    <cellStyle name="出力 3 4" xfId="990" xr:uid="{00000000-0005-0000-0000-000085020000}"/>
    <cellStyle name="出力 3 5" xfId="991" xr:uid="{00000000-0005-0000-0000-000086020000}"/>
    <cellStyle name="出力 4" xfId="992" xr:uid="{00000000-0005-0000-0000-000087020000}"/>
    <cellStyle name="出力 4 2" xfId="993" xr:uid="{00000000-0005-0000-0000-000088020000}"/>
    <cellStyle name="出力 4 2 10" xfId="994" xr:uid="{00000000-0005-0000-0000-000089020000}"/>
    <cellStyle name="出力 4 2 2" xfId="995" xr:uid="{00000000-0005-0000-0000-00008A020000}"/>
    <cellStyle name="出力 4 2 3" xfId="996" xr:uid="{00000000-0005-0000-0000-00008B020000}"/>
    <cellStyle name="出力 4 2 4" xfId="997" xr:uid="{00000000-0005-0000-0000-00008C020000}"/>
    <cellStyle name="出力 4 2 5" xfId="998" xr:uid="{00000000-0005-0000-0000-00008D020000}"/>
    <cellStyle name="出力 4 2 6" xfId="999" xr:uid="{00000000-0005-0000-0000-00008E020000}"/>
    <cellStyle name="出力 4 2 7" xfId="1000" xr:uid="{00000000-0005-0000-0000-00008F020000}"/>
    <cellStyle name="出力 4 2 8" xfId="1001" xr:uid="{00000000-0005-0000-0000-000090020000}"/>
    <cellStyle name="出力 4 2 9" xfId="1002" xr:uid="{00000000-0005-0000-0000-000091020000}"/>
    <cellStyle name="出力 4 3" xfId="1003" xr:uid="{00000000-0005-0000-0000-000092020000}"/>
    <cellStyle name="出力 4 4" xfId="1004" xr:uid="{00000000-0005-0000-0000-000093020000}"/>
    <cellStyle name="出力 4 5" xfId="1005" xr:uid="{00000000-0005-0000-0000-000094020000}"/>
    <cellStyle name="出力 5" xfId="1006" xr:uid="{00000000-0005-0000-0000-000095020000}"/>
    <cellStyle name="出力 5 2" xfId="1007" xr:uid="{00000000-0005-0000-0000-000096020000}"/>
    <cellStyle name="出力 5 2 10" xfId="1008" xr:uid="{00000000-0005-0000-0000-000097020000}"/>
    <cellStyle name="出力 5 2 2" xfId="1009" xr:uid="{00000000-0005-0000-0000-000098020000}"/>
    <cellStyle name="出力 5 2 3" xfId="1010" xr:uid="{00000000-0005-0000-0000-000099020000}"/>
    <cellStyle name="出力 5 2 4" xfId="1011" xr:uid="{00000000-0005-0000-0000-00009A020000}"/>
    <cellStyle name="出力 5 2 5" xfId="1012" xr:uid="{00000000-0005-0000-0000-00009B020000}"/>
    <cellStyle name="出力 5 2 6" xfId="1013" xr:uid="{00000000-0005-0000-0000-00009C020000}"/>
    <cellStyle name="出力 5 2 7" xfId="1014" xr:uid="{00000000-0005-0000-0000-00009D020000}"/>
    <cellStyle name="出力 5 2 8" xfId="1015" xr:uid="{00000000-0005-0000-0000-00009E020000}"/>
    <cellStyle name="出力 5 2 9" xfId="1016" xr:uid="{00000000-0005-0000-0000-00009F020000}"/>
    <cellStyle name="出力 5 3" xfId="1017" xr:uid="{00000000-0005-0000-0000-0000A0020000}"/>
    <cellStyle name="出力 5 4" xfId="1018" xr:uid="{00000000-0005-0000-0000-0000A1020000}"/>
    <cellStyle name="出力 5 5" xfId="1019" xr:uid="{00000000-0005-0000-0000-0000A2020000}"/>
    <cellStyle name="出力 6" xfId="1020" xr:uid="{00000000-0005-0000-0000-0000A3020000}"/>
    <cellStyle name="出力 6 2" xfId="1021" xr:uid="{00000000-0005-0000-0000-0000A4020000}"/>
    <cellStyle name="出力 6 2 10" xfId="1022" xr:uid="{00000000-0005-0000-0000-0000A5020000}"/>
    <cellStyle name="出力 6 2 2" xfId="1023" xr:uid="{00000000-0005-0000-0000-0000A6020000}"/>
    <cellStyle name="出力 6 2 3" xfId="1024" xr:uid="{00000000-0005-0000-0000-0000A7020000}"/>
    <cellStyle name="出力 6 2 4" xfId="1025" xr:uid="{00000000-0005-0000-0000-0000A8020000}"/>
    <cellStyle name="出力 6 2 5" xfId="1026" xr:uid="{00000000-0005-0000-0000-0000A9020000}"/>
    <cellStyle name="出力 6 2 6" xfId="1027" xr:uid="{00000000-0005-0000-0000-0000AA020000}"/>
    <cellStyle name="出力 6 2 7" xfId="1028" xr:uid="{00000000-0005-0000-0000-0000AB020000}"/>
    <cellStyle name="出力 6 2 8" xfId="1029" xr:uid="{00000000-0005-0000-0000-0000AC020000}"/>
    <cellStyle name="出力 6 2 9" xfId="1030" xr:uid="{00000000-0005-0000-0000-0000AD020000}"/>
    <cellStyle name="出力 6 3" xfId="1031" xr:uid="{00000000-0005-0000-0000-0000AE020000}"/>
    <cellStyle name="出力 6 4" xfId="1032" xr:uid="{00000000-0005-0000-0000-0000AF020000}"/>
    <cellStyle name="出力 6 5" xfId="1033" xr:uid="{00000000-0005-0000-0000-0000B0020000}"/>
    <cellStyle name="出力 7" xfId="1034" xr:uid="{00000000-0005-0000-0000-0000B1020000}"/>
    <cellStyle name="出力 7 2" xfId="1035" xr:uid="{00000000-0005-0000-0000-0000B2020000}"/>
    <cellStyle name="出力 7 2 10" xfId="1036" xr:uid="{00000000-0005-0000-0000-0000B3020000}"/>
    <cellStyle name="出力 7 2 2" xfId="1037" xr:uid="{00000000-0005-0000-0000-0000B4020000}"/>
    <cellStyle name="出力 7 2 3" xfId="1038" xr:uid="{00000000-0005-0000-0000-0000B5020000}"/>
    <cellStyle name="出力 7 2 4" xfId="1039" xr:uid="{00000000-0005-0000-0000-0000B6020000}"/>
    <cellStyle name="出力 7 2 5" xfId="1040" xr:uid="{00000000-0005-0000-0000-0000B7020000}"/>
    <cellStyle name="出力 7 2 6" xfId="1041" xr:uid="{00000000-0005-0000-0000-0000B8020000}"/>
    <cellStyle name="出力 7 2 7" xfId="1042" xr:uid="{00000000-0005-0000-0000-0000B9020000}"/>
    <cellStyle name="出力 7 2 8" xfId="1043" xr:uid="{00000000-0005-0000-0000-0000BA020000}"/>
    <cellStyle name="出力 7 2 9" xfId="1044" xr:uid="{00000000-0005-0000-0000-0000BB020000}"/>
    <cellStyle name="出力 7 3" xfId="1045" xr:uid="{00000000-0005-0000-0000-0000BC020000}"/>
    <cellStyle name="出力 7 4" xfId="1046" xr:uid="{00000000-0005-0000-0000-0000BD020000}"/>
    <cellStyle name="出力 7 5" xfId="1047" xr:uid="{00000000-0005-0000-0000-0000BE020000}"/>
    <cellStyle name="出力 8" xfId="1048" xr:uid="{00000000-0005-0000-0000-0000BF020000}"/>
    <cellStyle name="出力 8 2" xfId="1049" xr:uid="{00000000-0005-0000-0000-0000C0020000}"/>
    <cellStyle name="出力 8 2 10" xfId="1050" xr:uid="{00000000-0005-0000-0000-0000C1020000}"/>
    <cellStyle name="出力 8 2 2" xfId="1051" xr:uid="{00000000-0005-0000-0000-0000C2020000}"/>
    <cellStyle name="出力 8 2 3" xfId="1052" xr:uid="{00000000-0005-0000-0000-0000C3020000}"/>
    <cellStyle name="出力 8 2 4" xfId="1053" xr:uid="{00000000-0005-0000-0000-0000C4020000}"/>
    <cellStyle name="出力 8 2 5" xfId="1054" xr:uid="{00000000-0005-0000-0000-0000C5020000}"/>
    <cellStyle name="出力 8 2 6" xfId="1055" xr:uid="{00000000-0005-0000-0000-0000C6020000}"/>
    <cellStyle name="出力 8 2 7" xfId="1056" xr:uid="{00000000-0005-0000-0000-0000C7020000}"/>
    <cellStyle name="出力 8 2 8" xfId="1057" xr:uid="{00000000-0005-0000-0000-0000C8020000}"/>
    <cellStyle name="出力 8 2 9" xfId="1058" xr:uid="{00000000-0005-0000-0000-0000C9020000}"/>
    <cellStyle name="出力 8 3" xfId="1059" xr:uid="{00000000-0005-0000-0000-0000CA020000}"/>
    <cellStyle name="出力 8 4" xfId="1060" xr:uid="{00000000-0005-0000-0000-0000CB020000}"/>
    <cellStyle name="出力 8 5" xfId="1061" xr:uid="{00000000-0005-0000-0000-0000CC020000}"/>
    <cellStyle name="出力 9" xfId="1062" xr:uid="{00000000-0005-0000-0000-0000CD020000}"/>
    <cellStyle name="出力 9 2" xfId="1063" xr:uid="{00000000-0005-0000-0000-0000CE020000}"/>
    <cellStyle name="出力 9 2 10" xfId="1064" xr:uid="{00000000-0005-0000-0000-0000CF020000}"/>
    <cellStyle name="出力 9 2 2" xfId="1065" xr:uid="{00000000-0005-0000-0000-0000D0020000}"/>
    <cellStyle name="出力 9 2 3" xfId="1066" xr:uid="{00000000-0005-0000-0000-0000D1020000}"/>
    <cellStyle name="出力 9 2 4" xfId="1067" xr:uid="{00000000-0005-0000-0000-0000D2020000}"/>
    <cellStyle name="出力 9 2 5" xfId="1068" xr:uid="{00000000-0005-0000-0000-0000D3020000}"/>
    <cellStyle name="出力 9 2 6" xfId="1069" xr:uid="{00000000-0005-0000-0000-0000D4020000}"/>
    <cellStyle name="出力 9 2 7" xfId="1070" xr:uid="{00000000-0005-0000-0000-0000D5020000}"/>
    <cellStyle name="出力 9 2 8" xfId="1071" xr:uid="{00000000-0005-0000-0000-0000D6020000}"/>
    <cellStyle name="出力 9 2 9" xfId="1072" xr:uid="{00000000-0005-0000-0000-0000D7020000}"/>
    <cellStyle name="出力 9 3" xfId="1073" xr:uid="{00000000-0005-0000-0000-0000D8020000}"/>
    <cellStyle name="出力 9 4" xfId="1074" xr:uid="{00000000-0005-0000-0000-0000D9020000}"/>
    <cellStyle name="出力 9 5" xfId="1075" xr:uid="{00000000-0005-0000-0000-0000DA020000}"/>
    <cellStyle name="悪い" xfId="1076" xr:uid="{00000000-0005-0000-0000-0000DB020000}"/>
    <cellStyle name="良い" xfId="1077" xr:uid="{00000000-0005-0000-0000-0000DC020000}"/>
    <cellStyle name="見出し 1" xfId="1078" xr:uid="{00000000-0005-0000-0000-0000DD020000}"/>
    <cellStyle name="見出し 2" xfId="1079" xr:uid="{00000000-0005-0000-0000-0000DE020000}"/>
    <cellStyle name="見出し 3" xfId="1080" xr:uid="{00000000-0005-0000-0000-0000DF020000}"/>
    <cellStyle name="見出し 4" xfId="1081" xr:uid="{00000000-0005-0000-0000-0000E0020000}"/>
    <cellStyle name="計算" xfId="1082" xr:uid="{00000000-0005-0000-0000-0000E1020000}"/>
    <cellStyle name="計算 10" xfId="1083" xr:uid="{00000000-0005-0000-0000-0000E2020000}"/>
    <cellStyle name="計算 10 2" xfId="1084" xr:uid="{00000000-0005-0000-0000-0000E3020000}"/>
    <cellStyle name="計算 10 2 10" xfId="1085" xr:uid="{00000000-0005-0000-0000-0000E4020000}"/>
    <cellStyle name="計算 10 2 2" xfId="1086" xr:uid="{00000000-0005-0000-0000-0000E5020000}"/>
    <cellStyle name="計算 10 2 3" xfId="1087" xr:uid="{00000000-0005-0000-0000-0000E6020000}"/>
    <cellStyle name="計算 10 2 4" xfId="1088" xr:uid="{00000000-0005-0000-0000-0000E7020000}"/>
    <cellStyle name="計算 10 2 5" xfId="1089" xr:uid="{00000000-0005-0000-0000-0000E8020000}"/>
    <cellStyle name="計算 10 2 6" xfId="1090" xr:uid="{00000000-0005-0000-0000-0000E9020000}"/>
    <cellStyle name="計算 10 2 7" xfId="1091" xr:uid="{00000000-0005-0000-0000-0000EA020000}"/>
    <cellStyle name="計算 10 2 8" xfId="1092" xr:uid="{00000000-0005-0000-0000-0000EB020000}"/>
    <cellStyle name="計算 10 2 9" xfId="1093" xr:uid="{00000000-0005-0000-0000-0000EC020000}"/>
    <cellStyle name="計算 10 3" xfId="1094" xr:uid="{00000000-0005-0000-0000-0000ED020000}"/>
    <cellStyle name="計算 10 4" xfId="1095" xr:uid="{00000000-0005-0000-0000-0000EE020000}"/>
    <cellStyle name="計算 10 5" xfId="1096" xr:uid="{00000000-0005-0000-0000-0000EF020000}"/>
    <cellStyle name="計算 11" xfId="1097" xr:uid="{00000000-0005-0000-0000-0000F0020000}"/>
    <cellStyle name="計算 11 2" xfId="1098" xr:uid="{00000000-0005-0000-0000-0000F1020000}"/>
    <cellStyle name="計算 11 2 10" xfId="1099" xr:uid="{00000000-0005-0000-0000-0000F2020000}"/>
    <cellStyle name="計算 11 2 2" xfId="1100" xr:uid="{00000000-0005-0000-0000-0000F3020000}"/>
    <cellStyle name="計算 11 2 3" xfId="1101" xr:uid="{00000000-0005-0000-0000-0000F4020000}"/>
    <cellStyle name="計算 11 2 4" xfId="1102" xr:uid="{00000000-0005-0000-0000-0000F5020000}"/>
    <cellStyle name="計算 11 2 5" xfId="1103" xr:uid="{00000000-0005-0000-0000-0000F6020000}"/>
    <cellStyle name="計算 11 2 6" xfId="1104" xr:uid="{00000000-0005-0000-0000-0000F7020000}"/>
    <cellStyle name="計算 11 2 7" xfId="1105" xr:uid="{00000000-0005-0000-0000-0000F8020000}"/>
    <cellStyle name="計算 11 2 8" xfId="1106" xr:uid="{00000000-0005-0000-0000-0000F9020000}"/>
    <cellStyle name="計算 11 2 9" xfId="1107" xr:uid="{00000000-0005-0000-0000-0000FA020000}"/>
    <cellStyle name="計算 11 3" xfId="1108" xr:uid="{00000000-0005-0000-0000-0000FB020000}"/>
    <cellStyle name="計算 11 4" xfId="1109" xr:uid="{00000000-0005-0000-0000-0000FC020000}"/>
    <cellStyle name="計算 11 5" xfId="1110" xr:uid="{00000000-0005-0000-0000-0000FD020000}"/>
    <cellStyle name="計算 12" xfId="1111" xr:uid="{00000000-0005-0000-0000-0000FE020000}"/>
    <cellStyle name="計算 12 2" xfId="1112" xr:uid="{00000000-0005-0000-0000-0000FF020000}"/>
    <cellStyle name="計算 12 2 10" xfId="1113" xr:uid="{00000000-0005-0000-0000-000000030000}"/>
    <cellStyle name="計算 12 2 2" xfId="1114" xr:uid="{00000000-0005-0000-0000-000001030000}"/>
    <cellStyle name="計算 12 2 3" xfId="1115" xr:uid="{00000000-0005-0000-0000-000002030000}"/>
    <cellStyle name="計算 12 2 4" xfId="1116" xr:uid="{00000000-0005-0000-0000-000003030000}"/>
    <cellStyle name="計算 12 2 5" xfId="1117" xr:uid="{00000000-0005-0000-0000-000004030000}"/>
    <cellStyle name="計算 12 2 6" xfId="1118" xr:uid="{00000000-0005-0000-0000-000005030000}"/>
    <cellStyle name="計算 12 2 7" xfId="1119" xr:uid="{00000000-0005-0000-0000-000006030000}"/>
    <cellStyle name="計算 12 2 8" xfId="1120" xr:uid="{00000000-0005-0000-0000-000007030000}"/>
    <cellStyle name="計算 12 2 9" xfId="1121" xr:uid="{00000000-0005-0000-0000-000008030000}"/>
    <cellStyle name="計算 12 3" xfId="1122" xr:uid="{00000000-0005-0000-0000-000009030000}"/>
    <cellStyle name="計算 12 4" xfId="1123" xr:uid="{00000000-0005-0000-0000-00000A030000}"/>
    <cellStyle name="計算 12 5" xfId="1124" xr:uid="{00000000-0005-0000-0000-00000B030000}"/>
    <cellStyle name="計算 13" xfId="1125" xr:uid="{00000000-0005-0000-0000-00000C030000}"/>
    <cellStyle name="計算 13 2" xfId="1126" xr:uid="{00000000-0005-0000-0000-00000D030000}"/>
    <cellStyle name="計算 13 2 10" xfId="1127" xr:uid="{00000000-0005-0000-0000-00000E030000}"/>
    <cellStyle name="計算 13 2 2" xfId="1128" xr:uid="{00000000-0005-0000-0000-00000F030000}"/>
    <cellStyle name="計算 13 2 3" xfId="1129" xr:uid="{00000000-0005-0000-0000-000010030000}"/>
    <cellStyle name="計算 13 2 4" xfId="1130" xr:uid="{00000000-0005-0000-0000-000011030000}"/>
    <cellStyle name="計算 13 2 5" xfId="1131" xr:uid="{00000000-0005-0000-0000-000012030000}"/>
    <cellStyle name="計算 13 2 6" xfId="1132" xr:uid="{00000000-0005-0000-0000-000013030000}"/>
    <cellStyle name="計算 13 2 7" xfId="1133" xr:uid="{00000000-0005-0000-0000-000014030000}"/>
    <cellStyle name="計算 13 2 8" xfId="1134" xr:uid="{00000000-0005-0000-0000-000015030000}"/>
    <cellStyle name="計算 13 2 9" xfId="1135" xr:uid="{00000000-0005-0000-0000-000016030000}"/>
    <cellStyle name="計算 13 3" xfId="1136" xr:uid="{00000000-0005-0000-0000-000017030000}"/>
    <cellStyle name="計算 13 4" xfId="1137" xr:uid="{00000000-0005-0000-0000-000018030000}"/>
    <cellStyle name="計算 13 5" xfId="1138" xr:uid="{00000000-0005-0000-0000-000019030000}"/>
    <cellStyle name="計算 14" xfId="1139" xr:uid="{00000000-0005-0000-0000-00001A030000}"/>
    <cellStyle name="計算 14 10" xfId="1140" xr:uid="{00000000-0005-0000-0000-00001B030000}"/>
    <cellStyle name="計算 14 2" xfId="1141" xr:uid="{00000000-0005-0000-0000-00001C030000}"/>
    <cellStyle name="計算 14 3" xfId="1142" xr:uid="{00000000-0005-0000-0000-00001D030000}"/>
    <cellStyle name="計算 14 4" xfId="1143" xr:uid="{00000000-0005-0000-0000-00001E030000}"/>
    <cellStyle name="計算 14 5" xfId="1144" xr:uid="{00000000-0005-0000-0000-00001F030000}"/>
    <cellStyle name="計算 14 6" xfId="1145" xr:uid="{00000000-0005-0000-0000-000020030000}"/>
    <cellStyle name="計算 14 7" xfId="1146" xr:uid="{00000000-0005-0000-0000-000021030000}"/>
    <cellStyle name="計算 14 8" xfId="1147" xr:uid="{00000000-0005-0000-0000-000022030000}"/>
    <cellStyle name="計算 14 9" xfId="1148" xr:uid="{00000000-0005-0000-0000-000023030000}"/>
    <cellStyle name="計算 15" xfId="1149" xr:uid="{00000000-0005-0000-0000-000024030000}"/>
    <cellStyle name="計算 16" xfId="1150" xr:uid="{00000000-0005-0000-0000-000025030000}"/>
    <cellStyle name="計算 17" xfId="1151" xr:uid="{00000000-0005-0000-0000-000026030000}"/>
    <cellStyle name="計算 2" xfId="1152" xr:uid="{00000000-0005-0000-0000-000027030000}"/>
    <cellStyle name="計算 2 2" xfId="1153" xr:uid="{00000000-0005-0000-0000-000028030000}"/>
    <cellStyle name="計算 2 2 10" xfId="1154" xr:uid="{00000000-0005-0000-0000-000029030000}"/>
    <cellStyle name="計算 2 2 2" xfId="1155" xr:uid="{00000000-0005-0000-0000-00002A030000}"/>
    <cellStyle name="計算 2 2 3" xfId="1156" xr:uid="{00000000-0005-0000-0000-00002B030000}"/>
    <cellStyle name="計算 2 2 4" xfId="1157" xr:uid="{00000000-0005-0000-0000-00002C030000}"/>
    <cellStyle name="計算 2 2 5" xfId="1158" xr:uid="{00000000-0005-0000-0000-00002D030000}"/>
    <cellStyle name="計算 2 2 6" xfId="1159" xr:uid="{00000000-0005-0000-0000-00002E030000}"/>
    <cellStyle name="計算 2 2 7" xfId="1160" xr:uid="{00000000-0005-0000-0000-00002F030000}"/>
    <cellStyle name="計算 2 2 8" xfId="1161" xr:uid="{00000000-0005-0000-0000-000030030000}"/>
    <cellStyle name="計算 2 2 9" xfId="1162" xr:uid="{00000000-0005-0000-0000-000031030000}"/>
    <cellStyle name="計算 2 3" xfId="1163" xr:uid="{00000000-0005-0000-0000-000032030000}"/>
    <cellStyle name="計算 2 4" xfId="1164" xr:uid="{00000000-0005-0000-0000-000033030000}"/>
    <cellStyle name="計算 2 5" xfId="1165" xr:uid="{00000000-0005-0000-0000-000034030000}"/>
    <cellStyle name="計算 3" xfId="1166" xr:uid="{00000000-0005-0000-0000-000035030000}"/>
    <cellStyle name="計算 3 2" xfId="1167" xr:uid="{00000000-0005-0000-0000-000036030000}"/>
    <cellStyle name="計算 3 2 10" xfId="1168" xr:uid="{00000000-0005-0000-0000-000037030000}"/>
    <cellStyle name="計算 3 2 2" xfId="1169" xr:uid="{00000000-0005-0000-0000-000038030000}"/>
    <cellStyle name="計算 3 2 3" xfId="1170" xr:uid="{00000000-0005-0000-0000-000039030000}"/>
    <cellStyle name="計算 3 2 4" xfId="1171" xr:uid="{00000000-0005-0000-0000-00003A030000}"/>
    <cellStyle name="計算 3 2 5" xfId="1172" xr:uid="{00000000-0005-0000-0000-00003B030000}"/>
    <cellStyle name="計算 3 2 6" xfId="1173" xr:uid="{00000000-0005-0000-0000-00003C030000}"/>
    <cellStyle name="計算 3 2 7" xfId="1174" xr:uid="{00000000-0005-0000-0000-00003D030000}"/>
    <cellStyle name="計算 3 2 8" xfId="1175" xr:uid="{00000000-0005-0000-0000-00003E030000}"/>
    <cellStyle name="計算 3 2 9" xfId="1176" xr:uid="{00000000-0005-0000-0000-00003F030000}"/>
    <cellStyle name="計算 3 3" xfId="1177" xr:uid="{00000000-0005-0000-0000-000040030000}"/>
    <cellStyle name="計算 3 4" xfId="1178" xr:uid="{00000000-0005-0000-0000-000041030000}"/>
    <cellStyle name="計算 3 5" xfId="1179" xr:uid="{00000000-0005-0000-0000-000042030000}"/>
    <cellStyle name="計算 4" xfId="1180" xr:uid="{00000000-0005-0000-0000-000043030000}"/>
    <cellStyle name="計算 4 2" xfId="1181" xr:uid="{00000000-0005-0000-0000-000044030000}"/>
    <cellStyle name="計算 4 2 10" xfId="1182" xr:uid="{00000000-0005-0000-0000-000045030000}"/>
    <cellStyle name="計算 4 2 2" xfId="1183" xr:uid="{00000000-0005-0000-0000-000046030000}"/>
    <cellStyle name="計算 4 2 3" xfId="1184" xr:uid="{00000000-0005-0000-0000-000047030000}"/>
    <cellStyle name="計算 4 2 4" xfId="1185" xr:uid="{00000000-0005-0000-0000-000048030000}"/>
    <cellStyle name="計算 4 2 5" xfId="1186" xr:uid="{00000000-0005-0000-0000-000049030000}"/>
    <cellStyle name="計算 4 2 6" xfId="1187" xr:uid="{00000000-0005-0000-0000-00004A030000}"/>
    <cellStyle name="計算 4 2 7" xfId="1188" xr:uid="{00000000-0005-0000-0000-00004B030000}"/>
    <cellStyle name="計算 4 2 8" xfId="1189" xr:uid="{00000000-0005-0000-0000-00004C030000}"/>
    <cellStyle name="計算 4 2 9" xfId="1190" xr:uid="{00000000-0005-0000-0000-00004D030000}"/>
    <cellStyle name="計算 4 3" xfId="1191" xr:uid="{00000000-0005-0000-0000-00004E030000}"/>
    <cellStyle name="計算 4 4" xfId="1192" xr:uid="{00000000-0005-0000-0000-00004F030000}"/>
    <cellStyle name="計算 4 5" xfId="1193" xr:uid="{00000000-0005-0000-0000-000050030000}"/>
    <cellStyle name="計算 5" xfId="1194" xr:uid="{00000000-0005-0000-0000-000051030000}"/>
    <cellStyle name="計算 5 2" xfId="1195" xr:uid="{00000000-0005-0000-0000-000052030000}"/>
    <cellStyle name="計算 5 2 10" xfId="1196" xr:uid="{00000000-0005-0000-0000-000053030000}"/>
    <cellStyle name="計算 5 2 2" xfId="1197" xr:uid="{00000000-0005-0000-0000-000054030000}"/>
    <cellStyle name="計算 5 2 3" xfId="1198" xr:uid="{00000000-0005-0000-0000-000055030000}"/>
    <cellStyle name="計算 5 2 4" xfId="1199" xr:uid="{00000000-0005-0000-0000-000056030000}"/>
    <cellStyle name="計算 5 2 5" xfId="1200" xr:uid="{00000000-0005-0000-0000-000057030000}"/>
    <cellStyle name="計算 5 2 6" xfId="1201" xr:uid="{00000000-0005-0000-0000-000058030000}"/>
    <cellStyle name="計算 5 2 7" xfId="1202" xr:uid="{00000000-0005-0000-0000-000059030000}"/>
    <cellStyle name="計算 5 2 8" xfId="1203" xr:uid="{00000000-0005-0000-0000-00005A030000}"/>
    <cellStyle name="計算 5 2 9" xfId="1204" xr:uid="{00000000-0005-0000-0000-00005B030000}"/>
    <cellStyle name="計算 5 3" xfId="1205" xr:uid="{00000000-0005-0000-0000-00005C030000}"/>
    <cellStyle name="計算 5 4" xfId="1206" xr:uid="{00000000-0005-0000-0000-00005D030000}"/>
    <cellStyle name="計算 5 5" xfId="1207" xr:uid="{00000000-0005-0000-0000-00005E030000}"/>
    <cellStyle name="計算 6" xfId="1208" xr:uid="{00000000-0005-0000-0000-00005F030000}"/>
    <cellStyle name="計算 6 2" xfId="1209" xr:uid="{00000000-0005-0000-0000-000060030000}"/>
    <cellStyle name="計算 6 2 10" xfId="1210" xr:uid="{00000000-0005-0000-0000-000061030000}"/>
    <cellStyle name="計算 6 2 2" xfId="1211" xr:uid="{00000000-0005-0000-0000-000062030000}"/>
    <cellStyle name="計算 6 2 3" xfId="1212" xr:uid="{00000000-0005-0000-0000-000063030000}"/>
    <cellStyle name="計算 6 2 4" xfId="1213" xr:uid="{00000000-0005-0000-0000-000064030000}"/>
    <cellStyle name="計算 6 2 5" xfId="1214" xr:uid="{00000000-0005-0000-0000-000065030000}"/>
    <cellStyle name="計算 6 2 6" xfId="1215" xr:uid="{00000000-0005-0000-0000-000066030000}"/>
    <cellStyle name="計算 6 2 7" xfId="1216" xr:uid="{00000000-0005-0000-0000-000067030000}"/>
    <cellStyle name="計算 6 2 8" xfId="1217" xr:uid="{00000000-0005-0000-0000-000068030000}"/>
    <cellStyle name="計算 6 2 9" xfId="1218" xr:uid="{00000000-0005-0000-0000-000069030000}"/>
    <cellStyle name="計算 6 3" xfId="1219" xr:uid="{00000000-0005-0000-0000-00006A030000}"/>
    <cellStyle name="計算 6 4" xfId="1220" xr:uid="{00000000-0005-0000-0000-00006B030000}"/>
    <cellStyle name="計算 6 5" xfId="1221" xr:uid="{00000000-0005-0000-0000-00006C030000}"/>
    <cellStyle name="計算 7" xfId="1222" xr:uid="{00000000-0005-0000-0000-00006D030000}"/>
    <cellStyle name="計算 7 2" xfId="1223" xr:uid="{00000000-0005-0000-0000-00006E030000}"/>
    <cellStyle name="計算 7 2 10" xfId="1224" xr:uid="{00000000-0005-0000-0000-00006F030000}"/>
    <cellStyle name="計算 7 2 2" xfId="1225" xr:uid="{00000000-0005-0000-0000-000070030000}"/>
    <cellStyle name="計算 7 2 3" xfId="1226" xr:uid="{00000000-0005-0000-0000-000071030000}"/>
    <cellStyle name="計算 7 2 4" xfId="1227" xr:uid="{00000000-0005-0000-0000-000072030000}"/>
    <cellStyle name="計算 7 2 5" xfId="1228" xr:uid="{00000000-0005-0000-0000-000073030000}"/>
    <cellStyle name="計算 7 2 6" xfId="1229" xr:uid="{00000000-0005-0000-0000-000074030000}"/>
    <cellStyle name="計算 7 2 7" xfId="1230" xr:uid="{00000000-0005-0000-0000-000075030000}"/>
    <cellStyle name="計算 7 2 8" xfId="1231" xr:uid="{00000000-0005-0000-0000-000076030000}"/>
    <cellStyle name="計算 7 2 9" xfId="1232" xr:uid="{00000000-0005-0000-0000-000077030000}"/>
    <cellStyle name="計算 7 3" xfId="1233" xr:uid="{00000000-0005-0000-0000-000078030000}"/>
    <cellStyle name="計算 7 4" xfId="1234" xr:uid="{00000000-0005-0000-0000-000079030000}"/>
    <cellStyle name="計算 7 5" xfId="1235" xr:uid="{00000000-0005-0000-0000-00007A030000}"/>
    <cellStyle name="計算 8" xfId="1236" xr:uid="{00000000-0005-0000-0000-00007B030000}"/>
    <cellStyle name="計算 8 2" xfId="1237" xr:uid="{00000000-0005-0000-0000-00007C030000}"/>
    <cellStyle name="計算 8 2 10" xfId="1238" xr:uid="{00000000-0005-0000-0000-00007D030000}"/>
    <cellStyle name="計算 8 2 2" xfId="1239" xr:uid="{00000000-0005-0000-0000-00007E030000}"/>
    <cellStyle name="計算 8 2 3" xfId="1240" xr:uid="{00000000-0005-0000-0000-00007F030000}"/>
    <cellStyle name="計算 8 2 4" xfId="1241" xr:uid="{00000000-0005-0000-0000-000080030000}"/>
    <cellStyle name="計算 8 2 5" xfId="1242" xr:uid="{00000000-0005-0000-0000-000081030000}"/>
    <cellStyle name="計算 8 2 6" xfId="1243" xr:uid="{00000000-0005-0000-0000-000082030000}"/>
    <cellStyle name="計算 8 2 7" xfId="1244" xr:uid="{00000000-0005-0000-0000-000083030000}"/>
    <cellStyle name="計算 8 2 8" xfId="1245" xr:uid="{00000000-0005-0000-0000-000084030000}"/>
    <cellStyle name="計算 8 2 9" xfId="1246" xr:uid="{00000000-0005-0000-0000-000085030000}"/>
    <cellStyle name="計算 8 3" xfId="1247" xr:uid="{00000000-0005-0000-0000-000086030000}"/>
    <cellStyle name="計算 8 4" xfId="1248" xr:uid="{00000000-0005-0000-0000-000087030000}"/>
    <cellStyle name="計算 8 5" xfId="1249" xr:uid="{00000000-0005-0000-0000-000088030000}"/>
    <cellStyle name="計算 9" xfId="1250" xr:uid="{00000000-0005-0000-0000-000089030000}"/>
    <cellStyle name="計算 9 2" xfId="1251" xr:uid="{00000000-0005-0000-0000-00008A030000}"/>
    <cellStyle name="計算 9 2 10" xfId="1252" xr:uid="{00000000-0005-0000-0000-00008B030000}"/>
    <cellStyle name="計算 9 2 2" xfId="1253" xr:uid="{00000000-0005-0000-0000-00008C030000}"/>
    <cellStyle name="計算 9 2 3" xfId="1254" xr:uid="{00000000-0005-0000-0000-00008D030000}"/>
    <cellStyle name="計算 9 2 4" xfId="1255" xr:uid="{00000000-0005-0000-0000-00008E030000}"/>
    <cellStyle name="計算 9 2 5" xfId="1256" xr:uid="{00000000-0005-0000-0000-00008F030000}"/>
    <cellStyle name="計算 9 2 6" xfId="1257" xr:uid="{00000000-0005-0000-0000-000090030000}"/>
    <cellStyle name="計算 9 2 7" xfId="1258" xr:uid="{00000000-0005-0000-0000-000091030000}"/>
    <cellStyle name="計算 9 2 8" xfId="1259" xr:uid="{00000000-0005-0000-0000-000092030000}"/>
    <cellStyle name="計算 9 2 9" xfId="1260" xr:uid="{00000000-0005-0000-0000-000093030000}"/>
    <cellStyle name="計算 9 3" xfId="1261" xr:uid="{00000000-0005-0000-0000-000094030000}"/>
    <cellStyle name="計算 9 4" xfId="1262" xr:uid="{00000000-0005-0000-0000-000095030000}"/>
    <cellStyle name="計算 9 5" xfId="1263" xr:uid="{00000000-0005-0000-0000-000096030000}"/>
    <cellStyle name="説明文" xfId="1264" xr:uid="{00000000-0005-0000-0000-000097030000}"/>
    <cellStyle name="警告文" xfId="1265" xr:uid="{00000000-0005-0000-0000-000098030000}"/>
    <cellStyle name="集計" xfId="1266" xr:uid="{00000000-0005-0000-0000-000099030000}"/>
    <cellStyle name="集計 10" xfId="1267" xr:uid="{00000000-0005-0000-0000-00009A030000}"/>
    <cellStyle name="集計 10 2" xfId="1268" xr:uid="{00000000-0005-0000-0000-00009B030000}"/>
    <cellStyle name="集計 10 2 10" xfId="1269" xr:uid="{00000000-0005-0000-0000-00009C030000}"/>
    <cellStyle name="集計 10 2 2" xfId="1270" xr:uid="{00000000-0005-0000-0000-00009D030000}"/>
    <cellStyle name="集計 10 2 3" xfId="1271" xr:uid="{00000000-0005-0000-0000-00009E030000}"/>
    <cellStyle name="集計 10 2 4" xfId="1272" xr:uid="{00000000-0005-0000-0000-00009F030000}"/>
    <cellStyle name="集計 10 2 5" xfId="1273" xr:uid="{00000000-0005-0000-0000-0000A0030000}"/>
    <cellStyle name="集計 10 2 6" xfId="1274" xr:uid="{00000000-0005-0000-0000-0000A1030000}"/>
    <cellStyle name="集計 10 2 7" xfId="1275" xr:uid="{00000000-0005-0000-0000-0000A2030000}"/>
    <cellStyle name="集計 10 2 8" xfId="1276" xr:uid="{00000000-0005-0000-0000-0000A3030000}"/>
    <cellStyle name="集計 10 2 9" xfId="1277" xr:uid="{00000000-0005-0000-0000-0000A4030000}"/>
    <cellStyle name="集計 10 3" xfId="1278" xr:uid="{00000000-0005-0000-0000-0000A5030000}"/>
    <cellStyle name="集計 10 4" xfId="1279" xr:uid="{00000000-0005-0000-0000-0000A6030000}"/>
    <cellStyle name="集計 10 5" xfId="1280" xr:uid="{00000000-0005-0000-0000-0000A7030000}"/>
    <cellStyle name="集計 11" xfId="1281" xr:uid="{00000000-0005-0000-0000-0000A8030000}"/>
    <cellStyle name="集計 11 2" xfId="1282" xr:uid="{00000000-0005-0000-0000-0000A9030000}"/>
    <cellStyle name="集計 11 2 10" xfId="1283" xr:uid="{00000000-0005-0000-0000-0000AA030000}"/>
    <cellStyle name="集計 11 2 2" xfId="1284" xr:uid="{00000000-0005-0000-0000-0000AB030000}"/>
    <cellStyle name="集計 11 2 3" xfId="1285" xr:uid="{00000000-0005-0000-0000-0000AC030000}"/>
    <cellStyle name="集計 11 2 4" xfId="1286" xr:uid="{00000000-0005-0000-0000-0000AD030000}"/>
    <cellStyle name="集計 11 2 5" xfId="1287" xr:uid="{00000000-0005-0000-0000-0000AE030000}"/>
    <cellStyle name="集計 11 2 6" xfId="1288" xr:uid="{00000000-0005-0000-0000-0000AF030000}"/>
    <cellStyle name="集計 11 2 7" xfId="1289" xr:uid="{00000000-0005-0000-0000-0000B0030000}"/>
    <cellStyle name="集計 11 2 8" xfId="1290" xr:uid="{00000000-0005-0000-0000-0000B1030000}"/>
    <cellStyle name="集計 11 2 9" xfId="1291" xr:uid="{00000000-0005-0000-0000-0000B2030000}"/>
    <cellStyle name="集計 11 3" xfId="1292" xr:uid="{00000000-0005-0000-0000-0000B3030000}"/>
    <cellStyle name="集計 11 4" xfId="1293" xr:uid="{00000000-0005-0000-0000-0000B4030000}"/>
    <cellStyle name="集計 11 5" xfId="1294" xr:uid="{00000000-0005-0000-0000-0000B5030000}"/>
    <cellStyle name="集計 12" xfId="1295" xr:uid="{00000000-0005-0000-0000-0000B6030000}"/>
    <cellStyle name="集計 12 2" xfId="1296" xr:uid="{00000000-0005-0000-0000-0000B7030000}"/>
    <cellStyle name="集計 12 2 10" xfId="1297" xr:uid="{00000000-0005-0000-0000-0000B8030000}"/>
    <cellStyle name="集計 12 2 2" xfId="1298" xr:uid="{00000000-0005-0000-0000-0000B9030000}"/>
    <cellStyle name="集計 12 2 3" xfId="1299" xr:uid="{00000000-0005-0000-0000-0000BA030000}"/>
    <cellStyle name="集計 12 2 4" xfId="1300" xr:uid="{00000000-0005-0000-0000-0000BB030000}"/>
    <cellStyle name="集計 12 2 5" xfId="1301" xr:uid="{00000000-0005-0000-0000-0000BC030000}"/>
    <cellStyle name="集計 12 2 6" xfId="1302" xr:uid="{00000000-0005-0000-0000-0000BD030000}"/>
    <cellStyle name="集計 12 2 7" xfId="1303" xr:uid="{00000000-0005-0000-0000-0000BE030000}"/>
    <cellStyle name="集計 12 2 8" xfId="1304" xr:uid="{00000000-0005-0000-0000-0000BF030000}"/>
    <cellStyle name="集計 12 2 9" xfId="1305" xr:uid="{00000000-0005-0000-0000-0000C0030000}"/>
    <cellStyle name="集計 12 3" xfId="1306" xr:uid="{00000000-0005-0000-0000-0000C1030000}"/>
    <cellStyle name="集計 12 4" xfId="1307" xr:uid="{00000000-0005-0000-0000-0000C2030000}"/>
    <cellStyle name="集計 12 5" xfId="1308" xr:uid="{00000000-0005-0000-0000-0000C3030000}"/>
    <cellStyle name="集計 13" xfId="1309" xr:uid="{00000000-0005-0000-0000-0000C4030000}"/>
    <cellStyle name="集計 13 2" xfId="1310" xr:uid="{00000000-0005-0000-0000-0000C5030000}"/>
    <cellStyle name="集計 13 2 10" xfId="1311" xr:uid="{00000000-0005-0000-0000-0000C6030000}"/>
    <cellStyle name="集計 13 2 2" xfId="1312" xr:uid="{00000000-0005-0000-0000-0000C7030000}"/>
    <cellStyle name="集計 13 2 3" xfId="1313" xr:uid="{00000000-0005-0000-0000-0000C8030000}"/>
    <cellStyle name="集計 13 2 4" xfId="1314" xr:uid="{00000000-0005-0000-0000-0000C9030000}"/>
    <cellStyle name="集計 13 2 5" xfId="1315" xr:uid="{00000000-0005-0000-0000-0000CA030000}"/>
    <cellStyle name="集計 13 2 6" xfId="1316" xr:uid="{00000000-0005-0000-0000-0000CB030000}"/>
    <cellStyle name="集計 13 2 7" xfId="1317" xr:uid="{00000000-0005-0000-0000-0000CC030000}"/>
    <cellStyle name="集計 13 2 8" xfId="1318" xr:uid="{00000000-0005-0000-0000-0000CD030000}"/>
    <cellStyle name="集計 13 2 9" xfId="1319" xr:uid="{00000000-0005-0000-0000-0000CE030000}"/>
    <cellStyle name="集計 13 3" xfId="1320" xr:uid="{00000000-0005-0000-0000-0000CF030000}"/>
    <cellStyle name="集計 13 4" xfId="1321" xr:uid="{00000000-0005-0000-0000-0000D0030000}"/>
    <cellStyle name="集計 13 5" xfId="1322" xr:uid="{00000000-0005-0000-0000-0000D1030000}"/>
    <cellStyle name="集計 14" xfId="1323" xr:uid="{00000000-0005-0000-0000-0000D2030000}"/>
    <cellStyle name="集計 14 10" xfId="1324" xr:uid="{00000000-0005-0000-0000-0000D3030000}"/>
    <cellStyle name="集計 14 2" xfId="1325" xr:uid="{00000000-0005-0000-0000-0000D4030000}"/>
    <cellStyle name="集計 14 3" xfId="1326" xr:uid="{00000000-0005-0000-0000-0000D5030000}"/>
    <cellStyle name="集計 14 4" xfId="1327" xr:uid="{00000000-0005-0000-0000-0000D6030000}"/>
    <cellStyle name="集計 14 5" xfId="1328" xr:uid="{00000000-0005-0000-0000-0000D7030000}"/>
    <cellStyle name="集計 14 6" xfId="1329" xr:uid="{00000000-0005-0000-0000-0000D8030000}"/>
    <cellStyle name="集計 14 7" xfId="1330" xr:uid="{00000000-0005-0000-0000-0000D9030000}"/>
    <cellStyle name="集計 14 8" xfId="1331" xr:uid="{00000000-0005-0000-0000-0000DA030000}"/>
    <cellStyle name="集計 14 9" xfId="1332" xr:uid="{00000000-0005-0000-0000-0000DB030000}"/>
    <cellStyle name="集計 15" xfId="1333" xr:uid="{00000000-0005-0000-0000-0000DC030000}"/>
    <cellStyle name="集計 16" xfId="1334" xr:uid="{00000000-0005-0000-0000-0000DD030000}"/>
    <cellStyle name="集計 17" xfId="1335" xr:uid="{00000000-0005-0000-0000-0000DE030000}"/>
    <cellStyle name="集計 2" xfId="1336" xr:uid="{00000000-0005-0000-0000-0000DF030000}"/>
    <cellStyle name="集計 2 2" xfId="1337" xr:uid="{00000000-0005-0000-0000-0000E0030000}"/>
    <cellStyle name="集計 2 2 10" xfId="1338" xr:uid="{00000000-0005-0000-0000-0000E1030000}"/>
    <cellStyle name="集計 2 2 2" xfId="1339" xr:uid="{00000000-0005-0000-0000-0000E2030000}"/>
    <cellStyle name="集計 2 2 3" xfId="1340" xr:uid="{00000000-0005-0000-0000-0000E3030000}"/>
    <cellStyle name="集計 2 2 4" xfId="1341" xr:uid="{00000000-0005-0000-0000-0000E4030000}"/>
    <cellStyle name="集計 2 2 5" xfId="1342" xr:uid="{00000000-0005-0000-0000-0000E5030000}"/>
    <cellStyle name="集計 2 2 6" xfId="1343" xr:uid="{00000000-0005-0000-0000-0000E6030000}"/>
    <cellStyle name="集計 2 2 7" xfId="1344" xr:uid="{00000000-0005-0000-0000-0000E7030000}"/>
    <cellStyle name="集計 2 2 8" xfId="1345" xr:uid="{00000000-0005-0000-0000-0000E8030000}"/>
    <cellStyle name="集計 2 2 9" xfId="1346" xr:uid="{00000000-0005-0000-0000-0000E9030000}"/>
    <cellStyle name="集計 2 3" xfId="1347" xr:uid="{00000000-0005-0000-0000-0000EA030000}"/>
    <cellStyle name="集計 2 4" xfId="1348" xr:uid="{00000000-0005-0000-0000-0000EB030000}"/>
    <cellStyle name="集計 2 5" xfId="1349" xr:uid="{00000000-0005-0000-0000-0000EC030000}"/>
    <cellStyle name="集計 3" xfId="1350" xr:uid="{00000000-0005-0000-0000-0000ED030000}"/>
    <cellStyle name="集計 3 2" xfId="1351" xr:uid="{00000000-0005-0000-0000-0000EE030000}"/>
    <cellStyle name="集計 3 2 10" xfId="1352" xr:uid="{00000000-0005-0000-0000-0000EF030000}"/>
    <cellStyle name="集計 3 2 2" xfId="1353" xr:uid="{00000000-0005-0000-0000-0000F0030000}"/>
    <cellStyle name="集計 3 2 3" xfId="1354" xr:uid="{00000000-0005-0000-0000-0000F1030000}"/>
    <cellStyle name="集計 3 2 4" xfId="1355" xr:uid="{00000000-0005-0000-0000-0000F2030000}"/>
    <cellStyle name="集計 3 2 5" xfId="1356" xr:uid="{00000000-0005-0000-0000-0000F3030000}"/>
    <cellStyle name="集計 3 2 6" xfId="1357" xr:uid="{00000000-0005-0000-0000-0000F4030000}"/>
    <cellStyle name="集計 3 2 7" xfId="1358" xr:uid="{00000000-0005-0000-0000-0000F5030000}"/>
    <cellStyle name="集計 3 2 8" xfId="1359" xr:uid="{00000000-0005-0000-0000-0000F6030000}"/>
    <cellStyle name="集計 3 2 9" xfId="1360" xr:uid="{00000000-0005-0000-0000-0000F7030000}"/>
    <cellStyle name="集計 3 3" xfId="1361" xr:uid="{00000000-0005-0000-0000-0000F8030000}"/>
    <cellStyle name="集計 3 4" xfId="1362" xr:uid="{00000000-0005-0000-0000-0000F9030000}"/>
    <cellStyle name="集計 3 5" xfId="1363" xr:uid="{00000000-0005-0000-0000-0000FA030000}"/>
    <cellStyle name="集計 4" xfId="1364" xr:uid="{00000000-0005-0000-0000-0000FB030000}"/>
    <cellStyle name="集計 4 2" xfId="1365" xr:uid="{00000000-0005-0000-0000-0000FC030000}"/>
    <cellStyle name="集計 4 2 10" xfId="1366" xr:uid="{00000000-0005-0000-0000-0000FD030000}"/>
    <cellStyle name="集計 4 2 2" xfId="1367" xr:uid="{00000000-0005-0000-0000-0000FE030000}"/>
    <cellStyle name="集計 4 2 3" xfId="1368" xr:uid="{00000000-0005-0000-0000-0000FF030000}"/>
    <cellStyle name="集計 4 2 4" xfId="1369" xr:uid="{00000000-0005-0000-0000-000000040000}"/>
    <cellStyle name="集計 4 2 5" xfId="1370" xr:uid="{00000000-0005-0000-0000-000001040000}"/>
    <cellStyle name="集計 4 2 6" xfId="1371" xr:uid="{00000000-0005-0000-0000-000002040000}"/>
    <cellStyle name="集計 4 2 7" xfId="1372" xr:uid="{00000000-0005-0000-0000-000003040000}"/>
    <cellStyle name="集計 4 2 8" xfId="1373" xr:uid="{00000000-0005-0000-0000-000004040000}"/>
    <cellStyle name="集計 4 2 9" xfId="1374" xr:uid="{00000000-0005-0000-0000-000005040000}"/>
    <cellStyle name="集計 4 3" xfId="1375" xr:uid="{00000000-0005-0000-0000-000006040000}"/>
    <cellStyle name="集計 4 4" xfId="1376" xr:uid="{00000000-0005-0000-0000-000007040000}"/>
    <cellStyle name="集計 4 5" xfId="1377" xr:uid="{00000000-0005-0000-0000-000008040000}"/>
    <cellStyle name="集計 5" xfId="1378" xr:uid="{00000000-0005-0000-0000-000009040000}"/>
    <cellStyle name="集計 5 2" xfId="1379" xr:uid="{00000000-0005-0000-0000-00000A040000}"/>
    <cellStyle name="集計 5 2 10" xfId="1380" xr:uid="{00000000-0005-0000-0000-00000B040000}"/>
    <cellStyle name="集計 5 2 2" xfId="1381" xr:uid="{00000000-0005-0000-0000-00000C040000}"/>
    <cellStyle name="集計 5 2 3" xfId="1382" xr:uid="{00000000-0005-0000-0000-00000D040000}"/>
    <cellStyle name="集計 5 2 4" xfId="1383" xr:uid="{00000000-0005-0000-0000-00000E040000}"/>
    <cellStyle name="集計 5 2 5" xfId="1384" xr:uid="{00000000-0005-0000-0000-00000F040000}"/>
    <cellStyle name="集計 5 2 6" xfId="1385" xr:uid="{00000000-0005-0000-0000-000010040000}"/>
    <cellStyle name="集計 5 2 7" xfId="1386" xr:uid="{00000000-0005-0000-0000-000011040000}"/>
    <cellStyle name="集計 5 2 8" xfId="1387" xr:uid="{00000000-0005-0000-0000-000012040000}"/>
    <cellStyle name="集計 5 2 9" xfId="1388" xr:uid="{00000000-0005-0000-0000-000013040000}"/>
    <cellStyle name="集計 5 3" xfId="1389" xr:uid="{00000000-0005-0000-0000-000014040000}"/>
    <cellStyle name="集計 5 4" xfId="1390" xr:uid="{00000000-0005-0000-0000-000015040000}"/>
    <cellStyle name="集計 5 5" xfId="1391" xr:uid="{00000000-0005-0000-0000-000016040000}"/>
    <cellStyle name="集計 6" xfId="1392" xr:uid="{00000000-0005-0000-0000-000017040000}"/>
    <cellStyle name="集計 6 2" xfId="1393" xr:uid="{00000000-0005-0000-0000-000018040000}"/>
    <cellStyle name="集計 6 2 10" xfId="1394" xr:uid="{00000000-0005-0000-0000-000019040000}"/>
    <cellStyle name="集計 6 2 2" xfId="1395" xr:uid="{00000000-0005-0000-0000-00001A040000}"/>
    <cellStyle name="集計 6 2 3" xfId="1396" xr:uid="{00000000-0005-0000-0000-00001B040000}"/>
    <cellStyle name="集計 6 2 4" xfId="1397" xr:uid="{00000000-0005-0000-0000-00001C040000}"/>
    <cellStyle name="集計 6 2 5" xfId="1398" xr:uid="{00000000-0005-0000-0000-00001D040000}"/>
    <cellStyle name="集計 6 2 6" xfId="1399" xr:uid="{00000000-0005-0000-0000-00001E040000}"/>
    <cellStyle name="集計 6 2 7" xfId="1400" xr:uid="{00000000-0005-0000-0000-00001F040000}"/>
    <cellStyle name="集計 6 2 8" xfId="1401" xr:uid="{00000000-0005-0000-0000-000020040000}"/>
    <cellStyle name="集計 6 2 9" xfId="1402" xr:uid="{00000000-0005-0000-0000-000021040000}"/>
    <cellStyle name="集計 6 3" xfId="1403" xr:uid="{00000000-0005-0000-0000-000022040000}"/>
    <cellStyle name="集計 6 4" xfId="1404" xr:uid="{00000000-0005-0000-0000-000023040000}"/>
    <cellStyle name="集計 6 5" xfId="1405" xr:uid="{00000000-0005-0000-0000-000024040000}"/>
    <cellStyle name="集計 7" xfId="1406" xr:uid="{00000000-0005-0000-0000-000025040000}"/>
    <cellStyle name="集計 7 2" xfId="1407" xr:uid="{00000000-0005-0000-0000-000026040000}"/>
    <cellStyle name="集計 7 2 10" xfId="1408" xr:uid="{00000000-0005-0000-0000-000027040000}"/>
    <cellStyle name="集計 7 2 2" xfId="1409" xr:uid="{00000000-0005-0000-0000-000028040000}"/>
    <cellStyle name="集計 7 2 3" xfId="1410" xr:uid="{00000000-0005-0000-0000-000029040000}"/>
    <cellStyle name="集計 7 2 4" xfId="1411" xr:uid="{00000000-0005-0000-0000-00002A040000}"/>
    <cellStyle name="集計 7 2 5" xfId="1412" xr:uid="{00000000-0005-0000-0000-00002B040000}"/>
    <cellStyle name="集計 7 2 6" xfId="1413" xr:uid="{00000000-0005-0000-0000-00002C040000}"/>
    <cellStyle name="集計 7 2 7" xfId="1414" xr:uid="{00000000-0005-0000-0000-00002D040000}"/>
    <cellStyle name="集計 7 2 8" xfId="1415" xr:uid="{00000000-0005-0000-0000-00002E040000}"/>
    <cellStyle name="集計 7 2 9" xfId="1416" xr:uid="{00000000-0005-0000-0000-00002F040000}"/>
    <cellStyle name="集計 7 3" xfId="1417" xr:uid="{00000000-0005-0000-0000-000030040000}"/>
    <cellStyle name="集計 7 4" xfId="1418" xr:uid="{00000000-0005-0000-0000-000031040000}"/>
    <cellStyle name="集計 7 5" xfId="1419" xr:uid="{00000000-0005-0000-0000-000032040000}"/>
    <cellStyle name="集計 8" xfId="1420" xr:uid="{00000000-0005-0000-0000-000033040000}"/>
    <cellStyle name="集計 8 2" xfId="1421" xr:uid="{00000000-0005-0000-0000-000034040000}"/>
    <cellStyle name="集計 8 2 10" xfId="1422" xr:uid="{00000000-0005-0000-0000-000035040000}"/>
    <cellStyle name="集計 8 2 2" xfId="1423" xr:uid="{00000000-0005-0000-0000-000036040000}"/>
    <cellStyle name="集計 8 2 3" xfId="1424" xr:uid="{00000000-0005-0000-0000-000037040000}"/>
    <cellStyle name="集計 8 2 4" xfId="1425" xr:uid="{00000000-0005-0000-0000-000038040000}"/>
    <cellStyle name="集計 8 2 5" xfId="1426" xr:uid="{00000000-0005-0000-0000-000039040000}"/>
    <cellStyle name="集計 8 2 6" xfId="1427" xr:uid="{00000000-0005-0000-0000-00003A040000}"/>
    <cellStyle name="集計 8 2 7" xfId="1428" xr:uid="{00000000-0005-0000-0000-00003B040000}"/>
    <cellStyle name="集計 8 2 8" xfId="1429" xr:uid="{00000000-0005-0000-0000-00003C040000}"/>
    <cellStyle name="集計 8 2 9" xfId="1430" xr:uid="{00000000-0005-0000-0000-00003D040000}"/>
    <cellStyle name="集計 8 3" xfId="1431" xr:uid="{00000000-0005-0000-0000-00003E040000}"/>
    <cellStyle name="集計 8 4" xfId="1432" xr:uid="{00000000-0005-0000-0000-00003F040000}"/>
    <cellStyle name="集計 8 5" xfId="1433" xr:uid="{00000000-0005-0000-0000-000040040000}"/>
    <cellStyle name="集計 9" xfId="1434" xr:uid="{00000000-0005-0000-0000-000041040000}"/>
    <cellStyle name="集計 9 2" xfId="1435" xr:uid="{00000000-0005-0000-0000-000042040000}"/>
    <cellStyle name="集計 9 2 10" xfId="1436" xr:uid="{00000000-0005-0000-0000-000043040000}"/>
    <cellStyle name="集計 9 2 2" xfId="1437" xr:uid="{00000000-0005-0000-0000-000044040000}"/>
    <cellStyle name="集計 9 2 3" xfId="1438" xr:uid="{00000000-0005-0000-0000-000045040000}"/>
    <cellStyle name="集計 9 2 4" xfId="1439" xr:uid="{00000000-0005-0000-0000-000046040000}"/>
    <cellStyle name="集計 9 2 5" xfId="1440" xr:uid="{00000000-0005-0000-0000-000047040000}"/>
    <cellStyle name="集計 9 2 6" xfId="1441" xr:uid="{00000000-0005-0000-0000-000048040000}"/>
    <cellStyle name="集計 9 2 7" xfId="1442" xr:uid="{00000000-0005-0000-0000-000049040000}"/>
    <cellStyle name="集計 9 2 8" xfId="1443" xr:uid="{00000000-0005-0000-0000-00004A040000}"/>
    <cellStyle name="集計 9 2 9" xfId="1444" xr:uid="{00000000-0005-0000-0000-00004B040000}"/>
    <cellStyle name="集計 9 3" xfId="1445" xr:uid="{00000000-0005-0000-0000-00004C040000}"/>
    <cellStyle name="集計 9 4" xfId="1446" xr:uid="{00000000-0005-0000-0000-00004D040000}"/>
    <cellStyle name="集計 9 5" xfId="1447" xr:uid="{00000000-0005-0000-0000-00004E040000}"/>
  </cellStyles>
  <dxfs count="1271">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fill>
        <patternFill>
          <bgColor rgb="FFA7C539"/>
        </patternFill>
      </fill>
    </dxf>
    <dxf>
      <numFmt numFmtId="3" formatCode="#,##0"/>
      <alignment horizontal="general"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center" textRotation="0" wrapText="0" indent="0" justifyLastLine="0" shrinkToFit="0" readingOrder="0"/>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fill>
        <patternFill patternType="solid">
          <fgColor indexed="64"/>
          <bgColor rgb="FFA7C539"/>
        </patternFill>
      </fill>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fill>
        <patternFill>
          <bgColor rgb="FFFF0000"/>
        </patternFill>
      </fill>
    </dxf>
    <dxf>
      <font>
        <color theme="2"/>
      </font>
      <fill>
        <patternFill>
          <bgColor theme="2"/>
        </patternFill>
      </fill>
    </dxf>
    <dxf>
      <font>
        <color auto="1"/>
      </font>
      <fill>
        <patternFill>
          <bgColor rgb="FFFF0000"/>
        </patternFill>
      </fill>
    </dxf>
    <dxf>
      <font>
        <color theme="2"/>
      </font>
      <fill>
        <patternFill>
          <bgColor theme="2"/>
        </patternFill>
      </fill>
    </dxf>
    <dxf>
      <font>
        <color auto="1"/>
      </font>
      <fill>
        <patternFill>
          <bgColor rgb="FFFF0000"/>
        </patternFill>
      </fill>
    </dxf>
    <dxf>
      <fill>
        <patternFill>
          <bgColor rgb="FFFF0000"/>
        </patternFill>
      </fill>
    </dxf>
    <dxf>
      <fill>
        <patternFill>
          <bgColor rgb="FFFF0000"/>
        </patternFill>
      </fill>
    </dxf>
    <dxf>
      <font>
        <color theme="2"/>
      </font>
      <fill>
        <patternFill>
          <bgColor theme="2"/>
        </patternFill>
      </fill>
    </dxf>
    <dxf>
      <font>
        <color auto="1"/>
      </font>
      <fill>
        <patternFill>
          <bgColor rgb="FFFF0000"/>
        </patternFill>
      </fill>
    </dxf>
    <dxf>
      <font>
        <color theme="2"/>
      </font>
      <fill>
        <patternFill>
          <bgColor theme="2"/>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4" formatCode="#,##0.00"/>
      <border diagonalUp="0" diagonalDown="0" outline="0">
        <left/>
        <right/>
        <top style="thin">
          <color theme="4"/>
        </top>
        <bottom/>
      </border>
    </dxf>
    <dxf>
      <font>
        <b val="0"/>
        <i val="0"/>
        <strike val="0"/>
        <condense val="0"/>
        <extend val="0"/>
        <outline val="0"/>
        <shadow val="0"/>
        <u val="none"/>
        <vertAlign val="baseline"/>
        <sz val="11"/>
        <color theme="1"/>
        <name val="Calibri"/>
        <family val="2"/>
        <scheme val="minor"/>
      </font>
      <numFmt numFmtId="3" formatCode="#,##0"/>
      <alignment horizontal="general" vertical="center" textRotation="0" wrapText="0" indent="0" justifyLastLine="0" shrinkToFit="0" readingOrder="0"/>
      <border diagonalUp="0" diagonalDown="0" outline="0">
        <left/>
        <right/>
        <top style="thin">
          <color theme="4"/>
        </top>
        <bottom/>
      </border>
    </dxf>
    <dxf>
      <font>
        <b val="0"/>
        <i val="0"/>
        <strike val="0"/>
        <condense val="0"/>
        <extend val="0"/>
        <outline val="0"/>
        <shadow val="0"/>
        <u val="none"/>
        <vertAlign val="baseline"/>
        <sz val="11"/>
        <color theme="1"/>
        <name val="Calibri"/>
        <family val="2"/>
        <scheme val="minor"/>
      </font>
      <numFmt numFmtId="3"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numFmt numFmtId="3" formatCode="#,##0"/>
      <alignment horizontal="general" vertical="center" textRotation="0" wrapText="0" indent="0" justifyLastLine="0" shrinkToFit="0" readingOrder="0"/>
      <border diagonalUp="0" diagonalDown="0">
        <left/>
        <right/>
        <top style="thin">
          <color theme="4"/>
        </top>
        <bottom/>
        <vertical/>
        <horizontal/>
      </border>
    </dxf>
    <dxf>
      <border outline="0">
        <left style="thin">
          <color theme="4"/>
        </left>
        <top style="thin">
          <color theme="4"/>
        </top>
        <bottom style="thin">
          <color theme="4"/>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center" textRotation="0" wrapText="0" indent="0" justifyLastLine="0" shrinkToFit="0"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0" formatCode="General"/>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alignment horizontal="general" vertical="center" textRotation="0" wrapText="0" indent="0" justifyLastLine="0" shrinkToFit="0" readingOrder="0"/>
    </dxf>
    <dxf>
      <numFmt numFmtId="3" formatCode="#,##0"/>
    </dxf>
    <dxf>
      <numFmt numFmtId="3" formatCode="#,##0"/>
    </dxf>
    <dxf>
      <font>
        <color theme="2"/>
      </font>
      <fill>
        <patternFill>
          <bgColor theme="2"/>
        </patternFill>
      </fill>
    </dxf>
    <dxf>
      <font>
        <color theme="2"/>
      </font>
      <fill>
        <patternFill>
          <bgColor theme="2"/>
        </patternFill>
      </fill>
    </dxf>
    <dxf>
      <font>
        <b val="0"/>
        <i val="0"/>
        <strike val="0"/>
        <condense val="0"/>
        <extend val="0"/>
        <outline val="0"/>
        <shadow val="0"/>
        <u val="none"/>
        <vertAlign val="baseline"/>
        <sz val="11"/>
        <color theme="1"/>
        <name val="Calibri"/>
        <family val="2"/>
        <scheme val="none"/>
      </font>
      <numFmt numFmtId="166" formatCode="#,##0.000"/>
      <fill>
        <patternFill patternType="none">
          <fgColor indexed="64"/>
          <bgColor indexed="65"/>
        </patternFill>
      </fill>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numFmt numFmtId="166" formatCode="#,##0.000"/>
      <fill>
        <patternFill patternType="none">
          <fgColor indexed="64"/>
          <bgColor indexed="65"/>
        </patternFill>
      </fill>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numFmt numFmtId="166" formatCode="#,##0.000"/>
      <fill>
        <patternFill patternType="none">
          <fgColor indexed="64"/>
          <bgColor indexed="65"/>
        </patternFill>
      </fill>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general" vertical="center" textRotation="0" wrapText="0" indent="0" justifyLastLine="0" shrinkToFit="0" readingOrder="0"/>
      <border diagonalUp="0" diagonalDown="0">
        <left/>
        <right/>
        <top style="thin">
          <color rgb="FF4472C4"/>
        </top>
        <bottom/>
        <vertical/>
        <horizontal/>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dxf>
    <dxf>
      <font>
        <b/>
        <i val="0"/>
        <strike val="0"/>
        <condense val="0"/>
        <extend val="0"/>
        <outline val="0"/>
        <shadow val="0"/>
        <u val="none"/>
        <vertAlign val="baseline"/>
        <sz val="11"/>
        <color rgb="FFFFFFFF"/>
        <name val="Calibri"/>
        <family val="2"/>
        <scheme val="none"/>
      </font>
      <fill>
        <patternFill patternType="solid">
          <fgColor rgb="FF4472C4"/>
          <bgColor rgb="FF4472C4"/>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numFmt numFmtId="3" formatCode="#,##0"/>
      <fill>
        <patternFill patternType="none">
          <fgColor indexed="64"/>
          <bgColor indexed="65"/>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solid">
          <fgColor indexed="64"/>
          <bgColor rgb="FFA7C539"/>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0.000"/>
      <fill>
        <patternFill patternType="none">
          <fgColor indexed="64"/>
          <bgColor indexed="65"/>
        </patternFill>
      </fill>
      <alignment horizontal="general" vertical="center" textRotation="0" wrapText="0" indent="0" justifyLastLine="0" shrinkToFit="0" readingOrder="0"/>
    </dxf>
    <dxf>
      <font>
        <strike val="0"/>
        <outline val="0"/>
        <shadow val="0"/>
        <u val="none"/>
        <sz val="11"/>
        <color theme="1"/>
        <name val="Calibri"/>
        <family val="2"/>
        <scheme val="minor"/>
      </font>
      <alignment horizontal="general" vertical="center" textRotation="0" wrapText="0" indent="0" justifyLastLine="0" shrinkToFit="0" readingOrder="0"/>
    </dxf>
    <dxf>
      <font>
        <strike val="0"/>
        <outline val="0"/>
        <shadow val="0"/>
        <u val="none"/>
        <sz val="11"/>
        <color theme="1"/>
        <name val="Calibri"/>
        <family val="2"/>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i val="0"/>
        <color rgb="FFFF0000"/>
      </font>
    </dxf>
    <dxf>
      <font>
        <color rgb="FFFF0000"/>
      </font>
    </dxf>
    <dxf>
      <fill>
        <patternFill>
          <bgColor rgb="FFFF0000"/>
        </patternFill>
      </fill>
    </dxf>
    <dxf>
      <fill>
        <patternFill>
          <bgColor rgb="FFFF0000"/>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dxf>
    <dxf>
      <fill>
        <patternFill patternType="none">
          <bgColor auto="1"/>
        </patternFill>
      </fill>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sz val="12"/>
        <color auto="1"/>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bgColor auto="1"/>
        </patternFill>
      </fill>
    </dxf>
    <dxf>
      <font>
        <b/>
        <i val="0"/>
        <strike val="0"/>
        <condense val="0"/>
        <extend val="0"/>
        <outline val="0"/>
        <shadow val="0"/>
        <u val="none"/>
        <vertAlign val="baseline"/>
        <sz val="11"/>
        <color theme="0"/>
        <name val="Calibri"/>
        <family val="2"/>
        <scheme val="minor"/>
      </font>
      <fill>
        <patternFill patternType="none">
          <fgColor theme="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1"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ill>
        <patternFill patternType="none">
          <fgColor indexed="64"/>
          <bgColor auto="1"/>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1" justifyLastLine="0" shrinkToFit="0" readingOrder="0"/>
    </dxf>
    <dxf>
      <border outline="0">
        <top style="thin">
          <color theme="4" tint="0.39997558519241921"/>
        </top>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numFmt numFmtId="3" formatCode="#,##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left style="thin">
          <color theme="4" tint="0.39997558519241921"/>
        </left>
        <right style="thin">
          <color theme="4" tint="0.39997558519241921"/>
        </right>
      </border>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ill>
        <patternFill patternType="solid">
          <fgColor indexed="64"/>
          <bgColor rgb="FFA7C539"/>
        </patternFill>
      </fill>
    </dxf>
    <dxf>
      <numFmt numFmtId="2" formatCode="0.00"/>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3" formatCode="0%"/>
    </dxf>
    <dxf>
      <numFmt numFmtId="14" formatCode="0.00%"/>
    </dxf>
    <dxf>
      <fill>
        <patternFill>
          <bgColor rgb="FFFFC000"/>
        </patternFill>
      </fill>
    </dxf>
    <dxf>
      <fill>
        <patternFill>
          <bgColor rgb="FFFFC000"/>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fill>
        <patternFill patternType="solid">
          <fgColor indexed="64"/>
          <bgColor rgb="FFA7C539"/>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0" formatCode="General"/>
    </dxf>
    <dxf>
      <numFmt numFmtId="0" formatCode="General"/>
    </dxf>
    <dxf>
      <numFmt numFmtId="0" formatCode="Genera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3" formatCode="#,##0"/>
    </dxf>
    <dxf>
      <numFmt numFmtId="3" formatCode="#,##0"/>
      <fill>
        <patternFill patternType="solid">
          <fgColor indexed="64"/>
          <bgColor rgb="FFA7C539"/>
        </patternFill>
      </fill>
    </dxf>
    <dxf>
      <numFmt numFmtId="0" formatCode="General"/>
    </dxf>
    <dxf>
      <numFmt numFmtId="0" formatCode="General"/>
    </dxf>
    <dxf>
      <fill>
        <patternFill>
          <bgColor rgb="FFFFC000"/>
        </patternFill>
      </fill>
    </dxf>
    <dxf>
      <font>
        <b val="0"/>
        <i val="0"/>
        <strike val="0"/>
        <condense val="0"/>
        <extend val="0"/>
        <outline val="0"/>
        <shadow val="0"/>
        <u val="none"/>
        <vertAlign val="baseline"/>
        <sz val="11"/>
        <color theme="0"/>
        <name val="Calibri"/>
        <family val="2"/>
        <scheme val="minor"/>
      </font>
      <numFmt numFmtId="3" formatCode="#,##0"/>
      <fill>
        <patternFill patternType="solid">
          <fgColor indexed="64"/>
          <bgColor theme="4"/>
        </patternFill>
      </fill>
    </dxf>
    <dxf>
      <font>
        <strike val="0"/>
        <outline val="0"/>
        <shadow val="0"/>
        <u val="none"/>
        <vertAlign val="baseline"/>
        <sz val="11"/>
        <color theme="3"/>
        <name val="Calibri"/>
        <family val="2"/>
        <scheme val="minor"/>
      </font>
    </dxf>
    <dxf>
      <font>
        <b val="0"/>
        <i val="0"/>
        <strike val="0"/>
        <condense val="0"/>
        <extend val="0"/>
        <outline val="0"/>
        <shadow val="0"/>
        <u val="none"/>
        <vertAlign val="baseline"/>
        <sz val="11"/>
        <color theme="0"/>
        <name val="Calibri"/>
        <family val="2"/>
        <scheme val="minor"/>
      </font>
      <numFmt numFmtId="3" formatCode="#,##0"/>
      <fill>
        <patternFill patternType="solid">
          <fgColor indexed="64"/>
          <bgColor theme="4"/>
        </patternFill>
      </fill>
    </dxf>
    <dxf>
      <font>
        <b val="0"/>
        <i val="0"/>
        <strike val="0"/>
        <condense val="0"/>
        <extend val="0"/>
        <outline val="0"/>
        <shadow val="0"/>
        <u val="none"/>
        <vertAlign val="baseline"/>
        <sz val="11"/>
        <color theme="0"/>
        <name val="Calibri"/>
        <family val="2"/>
        <scheme val="minor"/>
      </font>
      <numFmt numFmtId="3" formatCode="#,##0"/>
      <fill>
        <patternFill patternType="solid">
          <fgColor indexed="64"/>
          <bgColor theme="4"/>
        </patternFill>
      </fill>
    </dxf>
    <dxf>
      <font>
        <b val="0"/>
        <i val="0"/>
        <strike val="0"/>
        <condense val="0"/>
        <extend val="0"/>
        <outline val="0"/>
        <shadow val="0"/>
        <u val="none"/>
        <vertAlign val="baseline"/>
        <sz val="11"/>
        <color theme="0"/>
        <name val="Calibri"/>
        <family val="2"/>
        <scheme val="minor"/>
      </font>
      <numFmt numFmtId="3" formatCode="#,##0"/>
      <fill>
        <patternFill patternType="solid">
          <fgColor indexed="64"/>
          <bgColor theme="4"/>
        </patternFill>
      </fill>
    </dxf>
    <dxf>
      <font>
        <b val="0"/>
        <i val="0"/>
        <strike val="0"/>
        <condense val="0"/>
        <extend val="0"/>
        <outline val="0"/>
        <shadow val="0"/>
        <u val="none"/>
        <vertAlign val="baseline"/>
        <sz val="11"/>
        <color theme="0"/>
        <name val="Calibri"/>
        <family val="2"/>
        <scheme val="minor"/>
      </font>
      <numFmt numFmtId="0" formatCode="General"/>
      <fill>
        <patternFill patternType="solid">
          <fgColor indexed="64"/>
          <bgColor theme="4"/>
        </patternFill>
      </fill>
      <alignment horizontal="right" vertical="bottom" textRotation="0" wrapText="0" indent="0" justifyLastLine="0" shrinkToFit="0" readingOrder="0"/>
    </dxf>
    <dxf>
      <font>
        <strike val="0"/>
        <outline val="0"/>
        <shadow val="0"/>
        <vertAlign val="baseline"/>
        <color theme="0"/>
        <name val="Calibri"/>
        <family val="2"/>
        <scheme val="minor"/>
      </font>
      <fill>
        <patternFill patternType="solid">
          <fgColor indexed="64"/>
          <bgColor theme="4"/>
        </patternFill>
      </fill>
      <alignment horizontal="right" vertical="bottom" textRotation="0" wrapText="0" indent="0" justifyLastLine="0" shrinkToFit="0" readingOrder="0"/>
    </dxf>
    <dxf>
      <font>
        <strike val="0"/>
        <outline val="0"/>
        <shadow val="0"/>
        <vertAlign val="baseline"/>
        <color theme="0"/>
        <name val="Calibri"/>
        <family val="2"/>
        <scheme val="minor"/>
      </font>
      <fill>
        <patternFill patternType="solid">
          <fgColor indexed="64"/>
          <bgColor theme="4"/>
        </patternFill>
      </fill>
    </dxf>
    <dxf>
      <font>
        <strike val="0"/>
        <outline val="0"/>
        <shadow val="0"/>
        <vertAlign val="baseline"/>
        <color theme="0"/>
        <name val="Calibri"/>
        <family val="2"/>
        <scheme val="minor"/>
      </font>
      <fill>
        <patternFill patternType="solid">
          <fgColor indexed="64"/>
          <bgColor theme="4"/>
        </patternFill>
      </fill>
    </dxf>
    <dxf>
      <font>
        <strike val="0"/>
        <outline val="0"/>
        <shadow val="0"/>
        <u val="none"/>
        <vertAlign val="baseline"/>
        <sz val="11"/>
        <color theme="3"/>
        <name val="Calibri"/>
        <family val="2"/>
        <scheme val="minor"/>
      </font>
      <fill>
        <patternFill patternType="solid">
          <fgColor indexed="64"/>
          <bgColor theme="0"/>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patternType="solid">
          <fgColor indexed="64"/>
          <bgColor theme="4"/>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3" formatCode="#,##0"/>
      <fill>
        <patternFill patternType="solid">
          <fgColor indexed="64"/>
          <bgColor theme="5" tint="0.59999389629810485"/>
        </patternFill>
      </fill>
    </dxf>
    <dxf>
      <numFmt numFmtId="3" formatCode="#,##0"/>
      <fill>
        <patternFill>
          <fgColor indexed="64"/>
          <bgColor theme="5" tint="0.59999389629810485"/>
        </patternFill>
      </fill>
    </dxf>
    <dxf>
      <numFmt numFmtId="0" formatCode="General"/>
      <fill>
        <patternFill patternType="solid">
          <fgColor indexed="64"/>
          <bgColor theme="5" tint="0.59999389629810485"/>
        </patternFill>
      </fill>
    </dxf>
    <dxf>
      <fill>
        <patternFill>
          <fgColor indexed="64"/>
          <bgColor theme="5" tint="0.59999389629810485"/>
        </patternFill>
      </fill>
    </dxf>
    <dxf>
      <numFmt numFmtId="0" formatCode="General"/>
      <fill>
        <patternFill patternType="solid">
          <fgColor indexed="64"/>
          <bgColor theme="5" tint="0.59999389629810485"/>
        </patternFill>
      </fill>
    </dxf>
    <dxf>
      <fill>
        <patternFill patternType="solid">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patternType="solid">
          <fgColor indexed="64"/>
          <bgColor theme="4"/>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patternType="solid">
          <fgColor indexed="64"/>
          <bgColor theme="4"/>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3" formatCode="#,##0"/>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numFmt numFmtId="0" formatCode="General"/>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fgColor indexed="64"/>
          <bgColor theme="5" tint="0.59999389629810485"/>
        </patternFill>
      </fill>
    </dxf>
    <dxf>
      <fill>
        <patternFill patternType="solid">
          <fgColor indexed="64"/>
          <bgColor theme="4"/>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 formatCode="#,##0"/>
      <alignment horizontal="left" vertical="bottom" textRotation="0" wrapText="0" indent="0" justifyLastLine="0" shrinkToFit="0" readingOrder="0"/>
    </dxf>
    <dxf>
      <font>
        <b/>
      </font>
    </dxf>
    <dxf>
      <fill>
        <patternFill>
          <bgColor rgb="FFFFC000"/>
        </patternFill>
      </fill>
    </dxf>
    <dxf>
      <fill>
        <patternFill>
          <bgColor rgb="FF92D050"/>
        </patternFill>
      </fill>
    </dxf>
    <dxf>
      <fill>
        <patternFill>
          <bgColor rgb="FF92D050"/>
        </patternFill>
      </fill>
    </dxf>
    <dxf>
      <fill>
        <patternFill>
          <bgColor theme="7" tint="0.79998168889431442"/>
        </patternFill>
      </fill>
    </dxf>
    <dxf>
      <numFmt numFmtId="3" formatCode="#,##0"/>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indexed="65"/>
        </patternFill>
      </fill>
    </dxf>
    <dxf>
      <font>
        <strike val="0"/>
        <outline val="0"/>
        <shadow val="0"/>
        <u val="none"/>
        <vertAlign val="baseline"/>
        <sz val="11"/>
        <color auto="1"/>
        <name val="Calibri"/>
        <family val="2"/>
        <scheme val="minor"/>
      </font>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solid">
          <fgColor indexed="64"/>
          <bgColor rgb="FFA7C539"/>
        </patternFill>
      </fill>
    </dxf>
    <dxf>
      <numFmt numFmtId="30" formatCode="@"/>
    </dxf>
    <dxf>
      <numFmt numFmtId="3" formatCode="#,##0"/>
      <alignment horizontal="general" vertical="center" textRotation="0" wrapText="0" indent="0" justifyLastLine="0" shrinkToFit="0" readingOrder="0"/>
    </dxf>
    <dxf>
      <font>
        <b val="0"/>
      </font>
      <numFmt numFmtId="3" formatCode="#,##0"/>
    </dxf>
    <dxf>
      <numFmt numFmtId="3" formatCode="#,##0"/>
    </dxf>
    <dxf>
      <fill>
        <patternFill>
          <bgColor rgb="FFFFC000"/>
        </patternFill>
      </fill>
    </dxf>
    <dxf>
      <numFmt numFmtId="3" formatCode="#,##0"/>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font>
        <strike val="0"/>
        <outline val="0"/>
        <shadow val="0"/>
        <u val="none"/>
        <vertAlign val="baseline"/>
        <sz val="11"/>
        <color theme="1"/>
        <name val="Calibri"/>
        <family val="2"/>
        <scheme val="minor"/>
      </font>
      <numFmt numFmtId="3" formatCode="#,##0"/>
      <fill>
        <patternFill patternType="none">
          <fgColor indexed="64"/>
          <bgColor auto="1"/>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alignment horizontal="general" vertical="center" textRotation="0" wrapText="0" indent="0" justifyLastLine="0" shrinkToFit="0" readingOrder="0"/>
    </dxf>
    <dxf>
      <numFmt numFmtId="3" formatCode="#,##0"/>
    </dxf>
    <dxf>
      <numFmt numFmtId="3" formatCode="#,##0"/>
    </dxf>
    <dxf>
      <font>
        <color auto="1"/>
      </font>
      <fill>
        <patternFill patternType="solid">
          <bgColor rgb="FFFFC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patternType="solid">
          <fgColor indexed="64"/>
          <bgColor rgb="FFA7C539"/>
        </patternFill>
      </fill>
    </dxf>
    <dxf>
      <fill>
        <patternFill>
          <bgColor rgb="FFFFC000"/>
        </patternFill>
      </fill>
    </dxf>
    <dxf>
      <border>
        <left style="thin">
          <color rgb="FF4472C4"/>
        </left>
      </border>
    </dxf>
    <dxf>
      <border>
        <left style="thin">
          <color rgb="FF4472C4"/>
        </left>
      </border>
    </dxf>
    <dxf>
      <border>
        <top style="thin">
          <color rgb="FF4472C4"/>
        </top>
      </border>
    </dxf>
    <dxf>
      <border>
        <top style="thin">
          <color rgb="FF4472C4"/>
        </top>
      </border>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4472C4"/>
        </left>
        <right style="thin">
          <color rgb="FF4472C4"/>
        </right>
        <top style="thin">
          <color rgb="FF4472C4"/>
        </top>
        <bottom style="thin">
          <color rgb="FF4472C4"/>
        </bottom>
      </border>
    </dxf>
  </dxfs>
  <tableStyles count="1" defaultTableStyle="TableStyleMedium2" defaultPivotStyle="PivotStyleLight16">
    <tableStyle name="TableStyleLight9 2" pivot="0" count="9" xr9:uid="{00000000-0012-0000-FFFF-FFFF08000000}">
      <tableStyleElement type="wholeTable" dxfId="1270"/>
      <tableStyleElement type="headerRow" dxfId="1269"/>
      <tableStyleElement type="totalRow" dxfId="1268"/>
      <tableStyleElement type="firstColumn" dxfId="1267"/>
      <tableStyleElement type="lastColumn" dxfId="1266"/>
      <tableStyleElement type="firstRowStripe" dxfId="1265"/>
      <tableStyleElement type="secondRowStripe" dxfId="1264"/>
      <tableStyleElement type="firstColumnStripe" dxfId="1263"/>
      <tableStyleElement type="secondColumnStripe" dxfId="1262"/>
    </tableStyle>
  </tableStyles>
  <colors>
    <mruColors>
      <color rgb="FFA7C539"/>
      <color rgb="FF95B7D5"/>
      <color rgb="FF86B5E4"/>
      <color rgb="FFC21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Referenzszenarien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2598167539267016"/>
          <c:w val="0.88734502989105368"/>
          <c:h val="0.66658326587681216"/>
        </c:manualLayout>
      </c:layout>
      <c:barChart>
        <c:barDir val="col"/>
        <c:grouping val="clustered"/>
        <c:varyColors val="0"/>
        <c:ser>
          <c:idx val="0"/>
          <c:order val="0"/>
          <c:tx>
            <c:v>Referenzszenario Bundesmix</c:v>
          </c:tx>
          <c:spPr>
            <a:solidFill>
              <a:schemeClr val="bg2">
                <a:lumMod val="25000"/>
              </a:schemeClr>
            </a:solidFill>
            <a:ln>
              <a:noFill/>
            </a:ln>
            <a:effectLst/>
          </c:spPr>
          <c:invertIfNegative val="0"/>
          <c:cat>
            <c:strRef>
              <c:f>'Klisz-Emissionen'!$E$757:$X$757</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f>'Refsz-Emissionen'!$E$361:$X$361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B925-4885-9AF3-76998CE5BDE8}"/>
            </c:ext>
          </c:extLst>
        </c:ser>
        <c:ser>
          <c:idx val="1"/>
          <c:order val="1"/>
          <c:tx>
            <c:v>Referenzszenario Regiomix</c:v>
          </c:tx>
          <c:spPr>
            <a:solidFill>
              <a:schemeClr val="tx2">
                <a:lumMod val="60000"/>
                <a:lumOff val="40000"/>
              </a:schemeClr>
            </a:solidFill>
            <a:ln>
              <a:noFill/>
            </a:ln>
            <a:effectLst/>
          </c:spPr>
          <c:invertIfNegative val="0"/>
          <c:cat>
            <c:strRef>
              <c:f>'Klisz-Emissionen'!$E$757:$X$757</c:f>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extLst xmlns:c15="http://schemas.microsoft.com/office/drawing/2012/chart"/>
            </c:strRef>
          </c:cat>
          <c:val>
            <c:numRef>
              <c:f>'Refsz-Emissionen'!$E$382:$X$382</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xmlns:c15="http://schemas.microsoft.com/office/drawing/2012/chart"/>
            </c:numRef>
          </c:val>
          <c:extLst xmlns:c15="http://schemas.microsoft.com/office/drawing/2012/chart">
            <c:ext xmlns:c16="http://schemas.microsoft.com/office/drawing/2014/chart" uri="{C3380CC4-5D6E-409C-BE32-E72D297353CC}">
              <c16:uniqueId val="{00000007-B925-4885-9AF3-76998CE5BDE8}"/>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2"/>
                <c:order val="2"/>
                <c:tx>
                  <c:v>Klimaschutzszenario Bundesmix</c:v>
                </c:tx>
                <c:spPr>
                  <a:solidFill>
                    <a:srgbClr val="92D050"/>
                  </a:solidFill>
                  <a:ln>
                    <a:noFill/>
                  </a:ln>
                  <a:effectLst/>
                </c:spPr>
                <c:invertIfNegative val="0"/>
                <c:cat>
                  <c:strRef>
                    <c:extLst>
                      <c:ext uri="{02D57815-91ED-43cb-92C2-25804820EDAC}">
                        <c15:formulaRef>
                          <c15:sqref>'Klisz-Emissionen'!$E$757:$X$757</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c:ext uri="{02D57815-91ED-43cb-92C2-25804820EDAC}">
                        <c15:formulaRef>
                          <c15:sqref>'Klisz-Emissionen'!$E$706:$X$706</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38C-4D5A-BDAF-C4A8CC76B76B}"/>
                  </c:ext>
                </c:extLst>
              </c15:ser>
            </c15:filteredBarSeries>
            <c15:filteredBarSeries>
              <c15:ser>
                <c:idx val="3"/>
                <c:order val="3"/>
                <c:tx>
                  <c:v>Klimaschutzszenario Bundesmix KS80</c:v>
                </c:tx>
                <c:spPr>
                  <a:solidFill>
                    <a:srgbClr val="00B050"/>
                  </a:solidFill>
                  <a:ln>
                    <a:noFill/>
                  </a:ln>
                  <a:effectLst/>
                </c:spPr>
                <c:invertIfNegative val="0"/>
                <c:cat>
                  <c:strRef>
                    <c:extLst xmlns:c15="http://schemas.microsoft.com/office/drawing/2012/chart">
                      <c:ext xmlns:c15="http://schemas.microsoft.com/office/drawing/2012/chart" uri="{02D57815-91ED-43cb-92C2-25804820EDAC}">
                        <c15:formulaRef>
                          <c15:sqref>'Klisz-Emissionen'!$E$757:$X$757</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'Klisz-Emissionen'!$E$727:$X$727</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1-E38C-4D5A-BDAF-C4A8CC76B76B}"/>
                  </c:ext>
                </c:extLst>
              </c15:ser>
            </c15:filteredBarSeries>
            <c15:filteredBarSeries>
              <c15:ser>
                <c:idx val="4"/>
                <c:order val="4"/>
                <c:tx>
                  <c:v>Klimaschutzszenario Regiomix</c:v>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'Klisz-Emissionen'!$E$757:$X$757</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'Klisz-Emissionen'!$E$748:$X$748</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2-E38C-4D5A-BDAF-C4A8CC76B76B}"/>
                  </c:ext>
                </c:extLst>
              </c15:ser>
            </c15:filteredBarSeries>
            <c15:filteredBarSeries>
              <c15:ser>
                <c:idx val="5"/>
                <c:order val="5"/>
                <c:tx>
                  <c:v>Eigenes Klimaschutzszenario</c:v>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'Klisz-Emissionen'!$E$757:$X$757</c15:sqref>
                        </c15:formulaRef>
                      </c:ext>
                    </c:extLst>
                    <c:strCache>
                      <c:ptCount val="20"/>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2035</c:v>
                      </c:pt>
                      <c:pt idx="17">
                        <c:v>2040</c:v>
                      </c:pt>
                      <c:pt idx="18">
                        <c:v>2045</c:v>
                      </c:pt>
                      <c:pt idx="19">
                        <c:v>2050</c:v>
                      </c:pt>
                    </c:strCache>
                  </c:strRef>
                </c:cat>
                <c:val>
                  <c:numRef>
                    <c:extLst xmlns:c15="http://schemas.microsoft.com/office/drawing/2012/chart">
                      <c:ext xmlns:c15="http://schemas.microsoft.com/office/drawing/2012/chart" uri="{02D57815-91ED-43cb-92C2-25804820EDAC}">
                        <c15:formulaRef>
                          <c15:sqref>'Klisz-Emissionen'!$E$769:$X$769</c15:sqref>
                        </c15:formulaRef>
                      </c:ext>
                    </c:extLst>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3-E38C-4D5A-BDAF-C4A8CC76B76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2.9019776729176799E-2"/>
          <c:y val="0.87414240842316282"/>
          <c:w val="0.3188229073165591"/>
          <c:h val="8.56174631070877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t>Istbilanz: Aufteilung der Emissionen 2021  </a:t>
            </a:r>
            <a:endParaRPr lang="en-GB"/>
          </a:p>
          <a:p>
            <a:pPr>
              <a:defRPr/>
            </a:pPr>
            <a:r>
              <a:rPr lang="en-US"/>
              <a:t>(Bundesmix in t CO</a:t>
            </a:r>
            <a:r>
              <a:rPr lang="en-US" sz="900"/>
              <a:t>2</a:t>
            </a:r>
            <a:r>
              <a:rPr lang="en-US"/>
              <a:t>-Äq.)</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5301293090576066"/>
          <c:y val="0.22852485921360069"/>
          <c:w val="0.5312561593517624"/>
          <c:h val="0.69548619071780704"/>
        </c:manualLayout>
      </c:layout>
      <c:radarChart>
        <c:radarStyle val="marker"/>
        <c:varyColors val="0"/>
        <c:ser>
          <c:idx val="6"/>
          <c:order val="6"/>
          <c:tx>
            <c:strRef>
              <c:f>'Refsz-Emissionen'!$K$349</c:f>
              <c:strCache>
                <c:ptCount val="1"/>
                <c:pt idx="0">
                  <c:v>2021</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'Refsz-Emissionen'!$C$350:$C$360</c15:sqref>
                  </c15:fullRef>
                </c:ext>
              </c:extLst>
              <c:f>'Refsz-Emissionen'!$C$350:$C$357</c:f>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'Refsz-Emissionen'!$K$350:$K$360</c15:sqref>
                  </c15:fullRef>
                </c:ext>
              </c:extLst>
              <c:f>'Refsz-Emissionen'!$K$350:$K$357</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2204-4291-BF63-43B532FD7087}"/>
            </c:ext>
          </c:extLst>
        </c:ser>
        <c:dLbls>
          <c:showLegendKey val="0"/>
          <c:showVal val="0"/>
          <c:showCatName val="0"/>
          <c:showSerName val="0"/>
          <c:showPercent val="0"/>
          <c:showBubbleSize val="0"/>
        </c:dLbls>
        <c:axId val="1729721791"/>
        <c:axId val="311400751"/>
        <c:extLst>
          <c:ext xmlns:c15="http://schemas.microsoft.com/office/drawing/2012/chart" uri="{02D57815-91ED-43cb-92C2-25804820EDAC}">
            <c15:filteredRadarSeries>
              <c15:ser>
                <c:idx val="0"/>
                <c:order val="0"/>
                <c:tx>
                  <c:strRef>
                    <c:extLst>
                      <c:ext uri="{02D57815-91ED-43cb-92C2-25804820EDAC}">
                        <c15:formulaRef>
                          <c15:sqref>'Refsz-Emissionen'!$E$349</c15:sqref>
                        </c15:formulaRef>
                      </c:ext>
                    </c:extLst>
                    <c:strCache>
                      <c:ptCount val="1"/>
                      <c:pt idx="0">
                        <c:v>2015</c:v>
                      </c:pt>
                    </c:strCache>
                  </c:strRef>
                </c:tx>
                <c:spPr>
                  <a:ln w="28575" cap="rnd">
                    <a:solidFill>
                      <a:schemeClr val="accent1"/>
                    </a:solidFill>
                    <a:round/>
                  </a:ln>
                  <a:effectLst/>
                </c:spPr>
                <c:marker>
                  <c:symbol val="none"/>
                </c:marker>
                <c:cat>
                  <c:strRef>
                    <c:extLst>
                      <c:ex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uri="{02D57815-91ED-43cb-92C2-25804820EDAC}">
                        <c15:fullRef>
                          <c15:sqref>'Refsz-Emissionen'!$E$350:$E$360</c15:sqref>
                        </c15:fullRef>
                        <c15:formulaRef>
                          <c15:sqref>'Refsz-Emissionen'!$E$350:$E$357</c15:sqref>
                        </c15:formulaRef>
                      </c:ext>
                    </c:extLst>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204-4291-BF63-43B532FD7087}"/>
                  </c:ext>
                </c:extLst>
              </c15:ser>
            </c15:filteredRadarSeries>
            <c15:filteredRadarSeries>
              <c15:ser>
                <c:idx val="1"/>
                <c:order val="1"/>
                <c:tx>
                  <c:strRef>
                    <c:extLst xmlns:c15="http://schemas.microsoft.com/office/drawing/2012/chart">
                      <c:ext xmlns:c15="http://schemas.microsoft.com/office/drawing/2012/chart" uri="{02D57815-91ED-43cb-92C2-25804820EDAC}">
                        <c15:formulaRef>
                          <c15:sqref>'Refsz-Emissionen'!$F$349</c15:sqref>
                        </c15:formulaRef>
                      </c:ext>
                    </c:extLst>
                    <c:strCache>
                      <c:ptCount val="1"/>
                      <c:pt idx="0">
                        <c:v>2016</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'Refsz-Emissionen'!$F$350:$F$360</c15:sqref>
                        </c15:fullRef>
                        <c15:formulaRef>
                          <c15:sqref>'Refsz-Emissionen'!$F$350:$F$357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1-2204-4291-BF63-43B532FD7087}"/>
                  </c:ext>
                </c:extLst>
              </c15:ser>
            </c15:filteredRadarSeries>
            <c15:filteredRadarSeries>
              <c15:ser>
                <c:idx val="2"/>
                <c:order val="2"/>
                <c:tx>
                  <c:strRef>
                    <c:extLst xmlns:c15="http://schemas.microsoft.com/office/drawing/2012/chart">
                      <c:ext xmlns:c15="http://schemas.microsoft.com/office/drawing/2012/chart" uri="{02D57815-91ED-43cb-92C2-25804820EDAC}">
                        <c15:formulaRef>
                          <c15:sqref>'Refsz-Emissionen'!$G$349</c15:sqref>
                        </c15:formulaRef>
                      </c:ext>
                    </c:extLst>
                    <c:strCache>
                      <c:ptCount val="1"/>
                      <c:pt idx="0">
                        <c:v>2017</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'Refsz-Emissionen'!$G$350:$G$360</c15:sqref>
                        </c15:fullRef>
                        <c15:formulaRef>
                          <c15:sqref>'Refsz-Emissionen'!$G$350:$G$357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2-2204-4291-BF63-43B532FD7087}"/>
                  </c:ext>
                </c:extLst>
              </c15:ser>
            </c15:filteredRadarSeries>
            <c15:filteredRadarSeries>
              <c15:ser>
                <c:idx val="3"/>
                <c:order val="3"/>
                <c:tx>
                  <c:strRef>
                    <c:extLst xmlns:c15="http://schemas.microsoft.com/office/drawing/2012/chart">
                      <c:ext xmlns:c15="http://schemas.microsoft.com/office/drawing/2012/chart" uri="{02D57815-91ED-43cb-92C2-25804820EDAC}">
                        <c15:formulaRef>
                          <c15:sqref>'Refsz-Emissionen'!$H$349</c15:sqref>
                        </c15:formulaRef>
                      </c:ext>
                    </c:extLst>
                    <c:strCache>
                      <c:ptCount val="1"/>
                      <c:pt idx="0">
                        <c:v>2018</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'Refsz-Emissionen'!$H$350:$H$360</c15:sqref>
                        </c15:fullRef>
                        <c15:formulaRef>
                          <c15:sqref>'Refsz-Emissionen'!$H$350:$H$357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3-2204-4291-BF63-43B532FD7087}"/>
                  </c:ext>
                </c:extLst>
              </c15:ser>
            </c15:filteredRadarSeries>
            <c15:filteredRadarSeries>
              <c15:ser>
                <c:idx val="4"/>
                <c:order val="4"/>
                <c:tx>
                  <c:strRef>
                    <c:extLst xmlns:c15="http://schemas.microsoft.com/office/drawing/2012/chart">
                      <c:ext xmlns:c15="http://schemas.microsoft.com/office/drawing/2012/chart" uri="{02D57815-91ED-43cb-92C2-25804820EDAC}">
                        <c15:formulaRef>
                          <c15:sqref>'Refsz-Emissionen'!$I$349</c15:sqref>
                        </c15:formulaRef>
                      </c:ext>
                    </c:extLst>
                    <c:strCache>
                      <c:ptCount val="1"/>
                      <c:pt idx="0">
                        <c:v>2019</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'Refsz-Emissionen'!$I$350:$I$360</c15:sqref>
                        </c15:fullRef>
                        <c15:formulaRef>
                          <c15:sqref>'Refsz-Emissionen'!$I$350:$I$357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4-2204-4291-BF63-43B532FD7087}"/>
                  </c:ext>
                </c:extLst>
              </c15:ser>
            </c15:filteredRadarSeries>
            <c15:filteredRadarSeries>
              <c15:ser>
                <c:idx val="5"/>
                <c:order val="5"/>
                <c:tx>
                  <c:strRef>
                    <c:extLst xmlns:c15="http://schemas.microsoft.com/office/drawing/2012/chart">
                      <c:ext xmlns:c15="http://schemas.microsoft.com/office/drawing/2012/chart" uri="{02D57815-91ED-43cb-92C2-25804820EDAC}">
                        <c15:formulaRef>
                          <c15:sqref>'Refsz-Emissionen'!$J$349</c15:sqref>
                        </c15:formulaRef>
                      </c:ext>
                    </c:extLst>
                    <c:strCache>
                      <c:ptCount val="1"/>
                      <c:pt idx="0">
                        <c:v>2020</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'Refsz-Emissionen'!$J$350:$J$360</c15:sqref>
                        </c15:fullRef>
                        <c15:formulaRef>
                          <c15:sqref>'Refsz-Emissionen'!$J$350:$J$357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5-2204-4291-BF63-43B532FD7087}"/>
                  </c:ext>
                </c:extLst>
              </c15:ser>
            </c15:filteredRadarSeries>
            <c15:filteredRadarSeries>
              <c15:ser>
                <c:idx val="7"/>
                <c:order val="7"/>
                <c:tx>
                  <c:strRef>
                    <c:extLst xmlns:c15="http://schemas.microsoft.com/office/drawing/2012/chart">
                      <c:ext xmlns:c15="http://schemas.microsoft.com/office/drawing/2012/chart" uri="{02D57815-91ED-43cb-92C2-25804820EDAC}">
                        <c15:formulaRef>
                          <c15:sqref>'Refsz-Emissionen'!$L$349</c15:sqref>
                        </c15:formulaRef>
                      </c:ext>
                    </c:extLst>
                    <c:strCache>
                      <c:ptCount val="1"/>
                      <c:pt idx="0">
                        <c:v>2022</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'Refsz-Emissionen'!$L$350:$L$360</c15:sqref>
                        </c15:fullRef>
                        <c15:formulaRef>
                          <c15:sqref>'Refsz-Emissionen'!$L$350:$L$357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7-2204-4291-BF63-43B532FD7087}"/>
                  </c:ext>
                </c:extLst>
              </c15:ser>
            </c15:filteredRadarSeries>
            <c15:filteredRadarSeries>
              <c15:ser>
                <c:idx val="8"/>
                <c:order val="8"/>
                <c:tx>
                  <c:strRef>
                    <c:extLst xmlns:c15="http://schemas.microsoft.com/office/drawing/2012/chart">
                      <c:ext xmlns:c15="http://schemas.microsoft.com/office/drawing/2012/chart" uri="{02D57815-91ED-43cb-92C2-25804820EDAC}">
                        <c15:formulaRef>
                          <c15:sqref>'Refsz-Emissionen'!$M$349</c15:sqref>
                        </c15:formulaRef>
                      </c:ext>
                    </c:extLst>
                    <c:strCache>
                      <c:ptCount val="1"/>
                      <c:pt idx="0">
                        <c:v>2023</c:v>
                      </c:pt>
                    </c:strCache>
                  </c:strRef>
                </c:tx>
                <c:spPr>
                  <a:ln w="28575" cap="rnd">
                    <a:solidFill>
                      <a:schemeClr val="accent3">
                        <a:lumMod val="6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'Refsz-Emissionen'!$M$350:$M$360</c15:sqref>
                        </c15:fullRef>
                        <c15:formulaRef>
                          <c15:sqref>'Refsz-Emissionen'!$M$350:$M$357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8-2204-4291-BF63-43B532FD7087}"/>
                  </c:ext>
                </c:extLst>
              </c15:ser>
            </c15:filteredRadarSeries>
            <c15:filteredRadarSeries>
              <c15:ser>
                <c:idx val="9"/>
                <c:order val="9"/>
                <c:tx>
                  <c:strRef>
                    <c:extLst xmlns:c15="http://schemas.microsoft.com/office/drawing/2012/chart">
                      <c:ext xmlns:c15="http://schemas.microsoft.com/office/drawing/2012/chart" uri="{02D57815-91ED-43cb-92C2-25804820EDAC}">
                        <c15:formulaRef>
                          <c15:sqref>'Refsz-Emissionen'!$N$349</c15:sqref>
                        </c15:formulaRef>
                      </c:ext>
                    </c:extLst>
                    <c:strCache>
                      <c:ptCount val="1"/>
                      <c:pt idx="0">
                        <c:v>2024</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'Refsz-Emissionen'!$N$350:$N$360</c15:sqref>
                        </c15:fullRef>
                        <c15:formulaRef>
                          <c15:sqref>'Refsz-Emissionen'!$N$350:$N$357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9-2204-4291-BF63-43B532FD7087}"/>
                  </c:ext>
                </c:extLst>
              </c15:ser>
            </c15:filteredRadarSeries>
            <c15:filteredRadarSeries>
              <c15:ser>
                <c:idx val="10"/>
                <c:order val="10"/>
                <c:tx>
                  <c:strRef>
                    <c:extLst xmlns:c15="http://schemas.microsoft.com/office/drawing/2012/chart">
                      <c:ext xmlns:c15="http://schemas.microsoft.com/office/drawing/2012/chart" uri="{02D57815-91ED-43cb-92C2-25804820EDAC}">
                        <c15:formulaRef>
                          <c15:sqref>'Refsz-Emissionen'!$O$349</c15:sqref>
                        </c15:formulaRef>
                      </c:ext>
                    </c:extLst>
                    <c:strCache>
                      <c:ptCount val="1"/>
                      <c:pt idx="0">
                        <c:v>2025</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'Refsz-Emissionen'!$O$350:$O$360</c15:sqref>
                        </c15:fullRef>
                        <c15:formulaRef>
                          <c15:sqref>'Refsz-Emissionen'!$O$350:$O$357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A-2204-4291-BF63-43B532FD7087}"/>
                  </c:ext>
                </c:extLst>
              </c15:ser>
            </c15:filteredRadarSeries>
            <c15:filteredRadarSeries>
              <c15:ser>
                <c:idx val="11"/>
                <c:order val="11"/>
                <c:tx>
                  <c:strRef>
                    <c:extLst xmlns:c15="http://schemas.microsoft.com/office/drawing/2012/chart">
                      <c:ext xmlns:c15="http://schemas.microsoft.com/office/drawing/2012/chart" uri="{02D57815-91ED-43cb-92C2-25804820EDAC}">
                        <c15:formulaRef>
                          <c15:sqref>'Refsz-Emissionen'!$P$349</c15:sqref>
                        </c15:formulaRef>
                      </c:ext>
                    </c:extLst>
                    <c:strCache>
                      <c:ptCount val="1"/>
                      <c:pt idx="0">
                        <c:v>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'Refsz-Emissionen'!$P$350:$P$360</c15:sqref>
                        </c15:fullRef>
                        <c15:formulaRef>
                          <c15:sqref>'Refsz-Emissionen'!$P$350:$P$357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B-2204-4291-BF63-43B532FD7087}"/>
                  </c:ext>
                </c:extLst>
              </c15:ser>
            </c15:filteredRadarSeries>
            <c15:filteredRadarSeries>
              <c15:ser>
                <c:idx val="12"/>
                <c:order val="12"/>
                <c:tx>
                  <c:strRef>
                    <c:extLst xmlns:c15="http://schemas.microsoft.com/office/drawing/2012/chart">
                      <c:ext xmlns:c15="http://schemas.microsoft.com/office/drawing/2012/chart" uri="{02D57815-91ED-43cb-92C2-25804820EDAC}">
                        <c15:formulaRef>
                          <c15:sqref>'Refsz-Emissionen'!$Q$349</c15:sqref>
                        </c15:formulaRef>
                      </c:ext>
                    </c:extLst>
                    <c:strCache>
                      <c:ptCount val="1"/>
                      <c:pt idx="0">
                        <c:v>2027</c:v>
                      </c:pt>
                    </c:strCache>
                  </c:strRef>
                </c:tx>
                <c:spPr>
                  <a:ln w="28575" cap="rnd">
                    <a:solidFill>
                      <a:schemeClr val="accent1">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'Refsz-Emissionen'!$Q$350:$Q$360</c15:sqref>
                        </c15:fullRef>
                        <c15:formulaRef>
                          <c15:sqref>'Refsz-Emissionen'!$Q$350:$Q$357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C-2204-4291-BF63-43B532FD7087}"/>
                  </c:ext>
                </c:extLst>
              </c15:ser>
            </c15:filteredRadarSeries>
            <c15:filteredRadarSeries>
              <c15:ser>
                <c:idx val="13"/>
                <c:order val="13"/>
                <c:tx>
                  <c:strRef>
                    <c:extLst xmlns:c15="http://schemas.microsoft.com/office/drawing/2012/chart">
                      <c:ext xmlns:c15="http://schemas.microsoft.com/office/drawing/2012/chart" uri="{02D57815-91ED-43cb-92C2-25804820EDAC}">
                        <c15:formulaRef>
                          <c15:sqref>'Refsz-Emissionen'!$R$349</c15:sqref>
                        </c15:formulaRef>
                      </c:ext>
                    </c:extLst>
                    <c:strCache>
                      <c:ptCount val="1"/>
                      <c:pt idx="0">
                        <c:v>2028</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'Refsz-Emissionen'!$R$350:$R$360</c15:sqref>
                        </c15:fullRef>
                        <c15:formulaRef>
                          <c15:sqref>'Refsz-Emissionen'!$R$350:$R$357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D-2204-4291-BF63-43B532FD7087}"/>
                  </c:ext>
                </c:extLst>
              </c15:ser>
            </c15:filteredRadarSeries>
            <c15:filteredRadarSeries>
              <c15:ser>
                <c:idx val="14"/>
                <c:order val="14"/>
                <c:tx>
                  <c:strRef>
                    <c:extLst xmlns:c15="http://schemas.microsoft.com/office/drawing/2012/chart">
                      <c:ext xmlns:c15="http://schemas.microsoft.com/office/drawing/2012/chart" uri="{02D57815-91ED-43cb-92C2-25804820EDAC}">
                        <c15:formulaRef>
                          <c15:sqref>'Refsz-Emissionen'!$S$349</c15:sqref>
                        </c15:formulaRef>
                      </c:ext>
                    </c:extLst>
                    <c:strCache>
                      <c:ptCount val="1"/>
                      <c:pt idx="0">
                        <c:v>2029</c:v>
                      </c:pt>
                    </c:strCache>
                  </c:strRef>
                </c:tx>
                <c:spPr>
                  <a:ln w="28575" cap="rnd">
                    <a:solidFill>
                      <a:schemeClr val="accent3">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'Refsz-Emissionen'!$S$350:$S$360</c15:sqref>
                        </c15:fullRef>
                        <c15:formulaRef>
                          <c15:sqref>'Refsz-Emissionen'!$S$350:$S$357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E-2204-4291-BF63-43B532FD7087}"/>
                  </c:ext>
                </c:extLst>
              </c15:ser>
            </c15:filteredRadarSeries>
            <c15:filteredRadarSeries>
              <c15:ser>
                <c:idx val="15"/>
                <c:order val="15"/>
                <c:tx>
                  <c:strRef>
                    <c:extLst xmlns:c15="http://schemas.microsoft.com/office/drawing/2012/chart">
                      <c:ext xmlns:c15="http://schemas.microsoft.com/office/drawing/2012/chart" uri="{02D57815-91ED-43cb-92C2-25804820EDAC}">
                        <c15:formulaRef>
                          <c15:sqref>'Refsz-Emissionen'!$T$349</c15:sqref>
                        </c15:formulaRef>
                      </c:ext>
                    </c:extLst>
                    <c:strCache>
                      <c:ptCount val="1"/>
                      <c:pt idx="0">
                        <c:v>2030</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'Refsz-Emissionen'!$T$350:$T$360</c15:sqref>
                        </c15:fullRef>
                        <c15:formulaRef>
                          <c15:sqref>'Refsz-Emissionen'!$T$350:$T$357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F-2204-4291-BF63-43B532FD7087}"/>
                  </c:ext>
                </c:extLst>
              </c15:ser>
            </c15:filteredRadarSeries>
            <c15:filteredRadarSeries>
              <c15:ser>
                <c:idx val="16"/>
                <c:order val="16"/>
                <c:tx>
                  <c:strRef>
                    <c:extLst xmlns:c15="http://schemas.microsoft.com/office/drawing/2012/chart">
                      <c:ext xmlns:c15="http://schemas.microsoft.com/office/drawing/2012/chart" uri="{02D57815-91ED-43cb-92C2-25804820EDAC}">
                        <c15:formulaRef>
                          <c15:sqref>'Refsz-Emissionen'!$U$349</c15:sqref>
                        </c15:formulaRef>
                      </c:ext>
                    </c:extLst>
                    <c:strCache>
                      <c:ptCount val="1"/>
                      <c:pt idx="0">
                        <c:v>2035</c:v>
                      </c:pt>
                    </c:strCache>
                  </c:strRef>
                </c:tx>
                <c:spPr>
                  <a:ln w="28575" cap="rnd">
                    <a:solidFill>
                      <a:schemeClr val="accent5">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'Refsz-Emissionen'!$U$350:$U$360</c15:sqref>
                        </c15:fullRef>
                        <c15:formulaRef>
                          <c15:sqref>'Refsz-Emissionen'!$U$350:$U$357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10-2204-4291-BF63-43B532FD7087}"/>
                  </c:ext>
                </c:extLst>
              </c15:ser>
            </c15:filteredRadarSeries>
            <c15:filteredRadarSeries>
              <c15:ser>
                <c:idx val="17"/>
                <c:order val="17"/>
                <c:tx>
                  <c:strRef>
                    <c:extLst xmlns:c15="http://schemas.microsoft.com/office/drawing/2012/chart">
                      <c:ext xmlns:c15="http://schemas.microsoft.com/office/drawing/2012/chart" uri="{02D57815-91ED-43cb-92C2-25804820EDAC}">
                        <c15:formulaRef>
                          <c15:sqref>'Refsz-Emissionen'!$V$349</c15:sqref>
                        </c15:formulaRef>
                      </c:ext>
                    </c:extLst>
                    <c:strCache>
                      <c:ptCount val="1"/>
                      <c:pt idx="0">
                        <c:v>2040</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'Refsz-Emissionen'!$V$350:$V$360</c15:sqref>
                        </c15:fullRef>
                        <c15:formulaRef>
                          <c15:sqref>'Refsz-Emissionen'!$V$350:$V$357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11-2204-4291-BF63-43B532FD7087}"/>
                  </c:ext>
                </c:extLst>
              </c15:ser>
            </c15:filteredRadarSeries>
            <c15:filteredRadarSeries>
              <c15:ser>
                <c:idx val="18"/>
                <c:order val="18"/>
                <c:tx>
                  <c:strRef>
                    <c:extLst xmlns:c15="http://schemas.microsoft.com/office/drawing/2012/chart">
                      <c:ext xmlns:c15="http://schemas.microsoft.com/office/drawing/2012/chart" uri="{02D57815-91ED-43cb-92C2-25804820EDAC}">
                        <c15:formulaRef>
                          <c15:sqref>'Refsz-Emissionen'!$W$349</c15:sqref>
                        </c15:formulaRef>
                      </c:ext>
                    </c:extLst>
                    <c:strCache>
                      <c:ptCount val="1"/>
                      <c:pt idx="0">
                        <c:v>2045</c:v>
                      </c:pt>
                    </c:strCache>
                  </c:strRef>
                </c:tx>
                <c:spPr>
                  <a:ln w="28575" cap="rnd">
                    <a:solidFill>
                      <a:schemeClr val="accent1">
                        <a:lumMod val="8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'Refsz-Emissionen'!$W$350:$W$360</c15:sqref>
                        </c15:fullRef>
                        <c15:formulaRef>
                          <c15:sqref>'Refsz-Emissionen'!$W$350:$W$357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12-2204-4291-BF63-43B532FD7087}"/>
                  </c:ext>
                </c:extLst>
              </c15:ser>
            </c15:filteredRadarSeries>
            <c15:filteredRadarSeries>
              <c15:ser>
                <c:idx val="19"/>
                <c:order val="19"/>
                <c:tx>
                  <c:strRef>
                    <c:extLst xmlns:c15="http://schemas.microsoft.com/office/drawing/2012/chart">
                      <c:ext xmlns:c15="http://schemas.microsoft.com/office/drawing/2012/chart" uri="{02D57815-91ED-43cb-92C2-25804820EDAC}">
                        <c15:formulaRef>
                          <c15:sqref>'Refsz-Emissionen'!$X$349</c15:sqref>
                        </c15:formulaRef>
                      </c:ext>
                    </c:extLst>
                    <c:strCache>
                      <c:ptCount val="1"/>
                      <c:pt idx="0">
                        <c:v>2050</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'Refsz-Emissionen'!$C$350:$C$360</c15:sqref>
                        </c15:fullRef>
                        <c15:formulaRef>
                          <c15:sqref>'Refsz-Emissionen'!$C$350:$C$357</c15:sqref>
                        </c15:formulaRef>
                      </c:ext>
                    </c:extLst>
                    <c:strCache>
                      <c:ptCount val="8"/>
                      <c:pt idx="0">
                        <c:v>Elektrischer Strom</c:v>
                      </c:pt>
                      <c:pt idx="1">
                        <c:v>Wärme</c:v>
                      </c:pt>
                      <c:pt idx="2">
                        <c:v>Kälte</c:v>
                      </c:pt>
                      <c:pt idx="3">
                        <c:v>Mobilität 1</c:v>
                      </c:pt>
                      <c:pt idx="4">
                        <c:v>Mobilität 2</c:v>
                      </c:pt>
                      <c:pt idx="5">
                        <c:v>Wasser</c:v>
                      </c:pt>
                      <c:pt idx="6">
                        <c:v>Abfall</c:v>
                      </c:pt>
                      <c:pt idx="7">
                        <c:v>Waren und Dienstleistungen</c:v>
                      </c:pt>
                    </c:strCache>
                  </c:strRef>
                </c:cat>
                <c:val>
                  <c:numRef>
                    <c:extLst>
                      <c:ext xmlns:c15="http://schemas.microsoft.com/office/drawing/2012/chart" uri="{02D57815-91ED-43cb-92C2-25804820EDAC}">
                        <c15:fullRef>
                          <c15:sqref>'Refsz-Emissionen'!$X$350:$X$360</c15:sqref>
                        </c15:fullRef>
                        <c15:formulaRef>
                          <c15:sqref>'Refsz-Emissionen'!$X$350:$X$357</c15:sqref>
                        </c15:formulaRef>
                      </c:ext>
                    </c:extLst>
                    <c:numCache>
                      <c:formatCode>#,##0.00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13-2204-4291-BF63-43B532FD7087}"/>
                  </c:ext>
                </c:extLst>
              </c15:ser>
            </c15:filteredRadarSeries>
          </c:ext>
        </c:extLst>
      </c:radarChart>
      <c:catAx>
        <c:axId val="1729721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311400751"/>
        <c:crosses val="autoZero"/>
        <c:auto val="1"/>
        <c:lblAlgn val="ctr"/>
        <c:lblOffset val="100"/>
        <c:noMultiLvlLbl val="0"/>
      </c:catAx>
      <c:valAx>
        <c:axId val="311400751"/>
        <c:scaling>
          <c:orientation val="minMax"/>
          <c:max val="15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1729721791"/>
        <c:crosses val="autoZero"/>
        <c:crossBetween val="between"/>
        <c:majorUnit val="500"/>
        <c:minorUnit val="2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bg1"/>
                </a:solidFill>
                <a:latin typeface="+mn-lt"/>
                <a:ea typeface="+mn-ea"/>
                <a:cs typeface="+mn-cs"/>
              </a:defRPr>
            </a:pPr>
            <a:r>
              <a:rPr lang="en-US"/>
              <a:t>Ist-Bilanz: Aufteilung der Emissionen 2021 </a:t>
            </a:r>
            <a:endParaRPr lang="en-GB"/>
          </a:p>
          <a:p>
            <a:pPr algn="l">
              <a:defRPr/>
            </a:pPr>
            <a:r>
              <a:rPr lang="en-US"/>
              <a:t>(Bundesmix in t CO</a:t>
            </a:r>
            <a:r>
              <a:rPr lang="en-US" sz="900"/>
              <a:t>2</a:t>
            </a:r>
            <a:r>
              <a:rPr lang="en-US"/>
              <a:t>-Äq.)</a:t>
            </a:r>
            <a:endParaRPr lang="en-GB"/>
          </a:p>
        </c:rich>
      </c:tx>
      <c:layout>
        <c:manualLayout>
          <c:xMode val="edge"/>
          <c:yMode val="edge"/>
          <c:x val="0.11652249768962779"/>
          <c:y val="3.2009521924099391E-3"/>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4298072990811748"/>
          <c:y val="0.24380036623157786"/>
          <c:w val="0.39139889784919923"/>
          <c:h val="0.39726215604605591"/>
        </c:manualLayout>
      </c:layout>
      <c:pieChart>
        <c:varyColors val="1"/>
        <c:ser>
          <c:idx val="6"/>
          <c:order val="6"/>
          <c:tx>
            <c:strRef>
              <c:f>'Refsz-Emissionen'!$K$349</c:f>
              <c:strCache>
                <c:ptCount val="1"/>
                <c:pt idx="0">
                  <c:v>2021</c:v>
                </c:pt>
              </c:strCache>
              <c:extLst xmlns:c15="http://schemas.microsoft.com/office/drawing/2012/chart"/>
            </c:strRef>
          </c:tx>
          <c:spPr>
            <a:ln>
              <a:noFill/>
            </a:ln>
          </c:spPr>
          <c:explosion val="1"/>
          <c:dPt>
            <c:idx val="0"/>
            <c:bubble3D val="0"/>
            <c:spPr>
              <a:solidFill>
                <a:schemeClr val="tx1"/>
              </a:solidFill>
              <a:ln w="19050">
                <a:noFill/>
              </a:ln>
              <a:effectLst/>
            </c:spPr>
            <c:extLst xmlns:c15="http://schemas.microsoft.com/office/drawing/2012/chart">
              <c:ext xmlns:c16="http://schemas.microsoft.com/office/drawing/2014/chart" uri="{C3380CC4-5D6E-409C-BE32-E72D297353CC}">
                <c16:uniqueId val="{00000079-45EB-49FE-A40B-FC5DBA80E98F}"/>
              </c:ext>
            </c:extLst>
          </c:dPt>
          <c:dPt>
            <c:idx val="1"/>
            <c:bubble3D val="0"/>
            <c:spPr>
              <a:solidFill>
                <a:schemeClr val="accent2"/>
              </a:solidFill>
              <a:ln w="19050">
                <a:noFill/>
              </a:ln>
              <a:effectLst/>
            </c:spPr>
            <c:extLst xmlns:c15="http://schemas.microsoft.com/office/drawing/2012/chart">
              <c:ext xmlns:c16="http://schemas.microsoft.com/office/drawing/2014/chart" uri="{C3380CC4-5D6E-409C-BE32-E72D297353CC}">
                <c16:uniqueId val="{0000007B-45EB-49FE-A40B-FC5DBA80E98F}"/>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7F-45EB-49FE-A40B-FC5DBA80E98F}"/>
              </c:ext>
            </c:extLst>
          </c:dPt>
          <c:dPt>
            <c:idx val="3"/>
            <c:bubble3D val="0"/>
            <c:spPr>
              <a:solidFill>
                <a:schemeClr val="accent4"/>
              </a:solidFill>
              <a:ln w="19050">
                <a:noFill/>
              </a:ln>
              <a:effectLst/>
            </c:spPr>
            <c:extLst>
              <c:ext xmlns:c16="http://schemas.microsoft.com/office/drawing/2014/chart" uri="{C3380CC4-5D6E-409C-BE32-E72D297353CC}">
                <c16:uniqueId val="{00000081-45EB-49FE-A40B-FC5DBA80E98F}"/>
              </c:ext>
            </c:extLst>
          </c:dPt>
          <c:dPt>
            <c:idx val="4"/>
            <c:bubble3D val="0"/>
            <c:spPr>
              <a:solidFill>
                <a:schemeClr val="accent4">
                  <a:lumMod val="75000"/>
                </a:schemeClr>
              </a:solidFill>
              <a:ln w="19050">
                <a:noFill/>
              </a:ln>
              <a:effectLst/>
            </c:spPr>
            <c:extLst>
              <c:ext xmlns:c16="http://schemas.microsoft.com/office/drawing/2014/chart" uri="{C3380CC4-5D6E-409C-BE32-E72D297353CC}">
                <c16:uniqueId val="{00000083-45EB-49FE-A40B-FC5DBA80E98F}"/>
              </c:ext>
            </c:extLst>
          </c:dPt>
          <c:dPt>
            <c:idx val="5"/>
            <c:bubble3D val="0"/>
            <c:spPr>
              <a:solidFill>
                <a:schemeClr val="accent6">
                  <a:lumMod val="75000"/>
                </a:schemeClr>
              </a:solidFill>
              <a:ln w="19050">
                <a:noFill/>
              </a:ln>
              <a:effectLst/>
            </c:spPr>
            <c:extLst>
              <c:ext xmlns:c16="http://schemas.microsoft.com/office/drawing/2014/chart" uri="{C3380CC4-5D6E-409C-BE32-E72D297353CC}">
                <c16:uniqueId val="{00000085-45EB-49FE-A40B-FC5DBA80E98F}"/>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87-45EB-49FE-A40B-FC5DBA80E98F}"/>
              </c:ext>
            </c:extLst>
          </c:dPt>
          <c:dLbls>
            <c:dLbl>
              <c:idx val="0"/>
              <c:layout>
                <c:manualLayout>
                  <c:x val="2.674237934101405E-2"/>
                  <c:y val="2.863095136451124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45EB-49FE-A40B-FC5DBA80E98F}"/>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ext>
              </c:extLst>
              <c:f>('Refsz-Emissionen'!$C$350:$C$351,'Refsz-Emissionen'!$C$353:$C$357)</c:f>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'Refsz-Emissionen'!$K$350:$K$360</c15:sqref>
                  </c15:fullRef>
                </c:ext>
              </c:extLst>
              <c:f>('Refsz-Emissionen'!$K$350:$K$351,'Refsz-Emissionen'!$K$353:$K$357)</c:f>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'Refsz-Emissionen'!$K$352</c15:sqref>
                  <c15:spPr xmlns:c15="http://schemas.microsoft.com/office/drawing/2012/chart">
                    <a:solidFill>
                      <a:schemeClr val="accent3"/>
                    </a:solidFill>
                    <a:ln w="19050">
                      <a:noFill/>
                    </a:ln>
                    <a:effectLst/>
                  </c15:spPr>
                  <c15:bubble3D val="0"/>
                </c15:categoryFilterException>
                <c15:categoryFilterException>
                  <c15:sqref>'Refsz-Emissionen'!$K$358</c15:sqref>
                  <c15:spPr xmlns:c15="http://schemas.microsoft.com/office/drawing/2012/chart">
                    <a:solidFill>
                      <a:schemeClr val="accent3">
                        <a:lumMod val="60000"/>
                      </a:schemeClr>
                    </a:solidFill>
                    <a:ln w="19050">
                      <a:noFill/>
                    </a:ln>
                    <a:effectLst/>
                  </c15:spPr>
                  <c15:bubble3D val="0"/>
                </c15:categoryFilterException>
                <c15:categoryFilterException>
                  <c15:sqref>'Refsz-Emissionen'!$K$359</c15:sqref>
                  <c15:spPr xmlns:c15="http://schemas.microsoft.com/office/drawing/2012/chart">
                    <a:solidFill>
                      <a:schemeClr val="accent4">
                        <a:lumMod val="60000"/>
                      </a:schemeClr>
                    </a:solidFill>
                    <a:ln w="19050">
                      <a:noFill/>
                    </a:ln>
                    <a:effectLst/>
                  </c15:spPr>
                  <c15:bubble3D val="0"/>
                </c15:categoryFilterException>
                <c15:categoryFilterException>
                  <c15:sqref>'Refsz-Emissionen'!$K$360</c15:sqref>
                  <c15:spPr xmlns:c15="http://schemas.microsoft.com/office/drawing/2012/chart">
                    <a:solidFill>
                      <a:schemeClr val="accent1">
                        <a:lumMod val="40000"/>
                        <a:lumOff val="60000"/>
                      </a:schemeClr>
                    </a:solidFill>
                    <a:ln w="19050">
                      <a:noFill/>
                    </a:ln>
                    <a:effectLst/>
                  </c15:spPr>
                  <c15:bubble3D val="0"/>
                </c15:categoryFilterException>
              </c15:categoryFilterExceptions>
            </c:ext>
            <c:ext xmlns:c16="http://schemas.microsoft.com/office/drawing/2014/chart" uri="{C3380CC4-5D6E-409C-BE32-E72D297353CC}">
              <c16:uniqueId val="{00000006-04B2-42DF-9110-CF581BE63133}"/>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'Refsz-Emissionen'!$E$349</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45EB-49FE-A40B-FC5DBA80E9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45EB-49FE-A40B-FC5DBA80E98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B-45EB-49FE-A40B-FC5DBA80E98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D-45EB-49FE-A40B-FC5DBA80E98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F-45EB-49FE-A40B-FC5DBA80E98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1-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uri="{02D57815-91ED-43cb-92C2-25804820EDAC}">
                        <c15:fullRef>
                          <c15:sqref>'Refsz-Emissionen'!$E$350:$E$360</c15:sqref>
                        </c15:fullRef>
                        <c15:formulaRef>
                          <c15:sqref>('Refsz-Emissionen'!$E$350:$E$351,'Refsz-Emissionen'!$E$353:$E$357)</c15:sqref>
                        </c15:formulaRef>
                      </c:ext>
                    </c:extLst>
                    <c:numCache>
                      <c:formatCode>#,##0.00</c:formatCode>
                      <c:ptCount val="7"/>
                      <c:pt idx="0">
                        <c:v>0</c:v>
                      </c:pt>
                      <c:pt idx="1">
                        <c:v>0</c:v>
                      </c:pt>
                      <c:pt idx="2">
                        <c:v>0</c:v>
                      </c:pt>
                      <c:pt idx="3">
                        <c:v>0</c:v>
                      </c:pt>
                      <c:pt idx="4">
                        <c:v>0</c:v>
                      </c:pt>
                      <c:pt idx="5">
                        <c:v>0</c:v>
                      </c:pt>
                      <c:pt idx="6">
                        <c:v>0</c:v>
                      </c:pt>
                    </c:numCache>
                  </c:numRef>
                </c:val>
                <c:extLst>
                  <c:ext uri="{02D57815-91ED-43cb-92C2-25804820EDAC}">
                    <c15:categoryFilterExceptions>
                      <c15:categoryFilterException>
                        <c15:sqref>'Refsz-Emissionen'!$E$352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'Refsz-Emissionen'!$E$358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'Refsz-Emissionen'!$E$359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'Refsz-Emissionen'!$E$360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04B2-42DF-9110-CF581BE6313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'Refsz-Emissionen'!$F$349</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1-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3-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5-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'Refsz-Emissionen'!$F$350:$F$360</c15:sqref>
                        </c15:fullRef>
                        <c15:formulaRef>
                          <c15:sqref>('Refsz-Emissionen'!$F$350:$F$351,'Refsz-Emissionen'!$F$353:$F$357)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'Refsz-Emissionen'!$F$352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'Refsz-Emissionen'!$F$358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'Refsz-Emissionen'!$F$359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'Refsz-Emissionen'!$F$360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1-04B2-42DF-9110-CF581BE6313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'Refsz-Emissionen'!$G$349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3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5-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7-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9-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'Refsz-Emissionen'!$G$350:$G$360</c15:sqref>
                        </c15:fullRef>
                        <c15:formulaRef>
                          <c15:sqref>('Refsz-Emissionen'!$G$350:$G$351,'Refsz-Emissionen'!$G$353:$G$357)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'Refsz-Emissionen'!$G$352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'Refsz-Emissionen'!$G$358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'Refsz-Emissionen'!$G$359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'Refsz-Emissionen'!$G$360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2-04B2-42DF-9110-CF581BE6313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'Refsz-Emissionen'!$H$349</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59-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B-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D-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5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'Refsz-Emissionen'!$H$350:$H$360</c15:sqref>
                        </c15:fullRef>
                        <c15:formulaRef>
                          <c15:sqref>('Refsz-Emissionen'!$H$350:$H$351,'Refsz-Emissionen'!$H$353:$H$357)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'Refsz-Emissionen'!$H$352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'Refsz-Emissionen'!$H$358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'Refsz-Emissionen'!$H$359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'Refsz-Emissionen'!$H$360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3-04B2-42DF-9110-CF581BE6313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'Refsz-Emissionen'!$I$349</c15:sqref>
                        </c15:formulaRef>
                      </c:ext>
                    </c:extLst>
                    <c:strCache>
                      <c:ptCount val="1"/>
                      <c:pt idx="0">
                        <c:v>2019</c:v>
                      </c:pt>
                    </c:strCache>
                  </c:strRef>
                </c:tx>
                <c:dPt>
                  <c:idx val="0"/>
                  <c:bubble3D val="0"/>
                  <c:spPr>
                    <a:solidFill>
                      <a:schemeClr val="tx1"/>
                    </a:solidFill>
                    <a:ln w="19050">
                      <a:solidFill>
                        <a:schemeClr val="lt1"/>
                      </a:solidFill>
                    </a:ln>
                    <a:effectLst/>
                  </c:spPr>
                  <c:extLst xmlns:c15="http://schemas.microsoft.com/office/drawing/2012/chart">
                    <c:ext xmlns:c16="http://schemas.microsoft.com/office/drawing/2014/chart" uri="{C3380CC4-5D6E-409C-BE32-E72D297353CC}">
                      <c16:uniqueId val="{0000000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07-45EB-49FE-A40B-FC5DBA80E98F}"/>
                    </c:ext>
                  </c:extLst>
                </c:dPt>
                <c:dPt>
                  <c:idx val="3"/>
                  <c:bubble3D val="0"/>
                  <c:spPr>
                    <a:solidFill>
                      <a:srgbClr val="FFFF00"/>
                    </a:solidFill>
                    <a:ln w="19050">
                      <a:solidFill>
                        <a:schemeClr val="lt1"/>
                      </a:solidFill>
                    </a:ln>
                    <a:effectLst/>
                  </c:spPr>
                  <c:extLst xmlns:c15="http://schemas.microsoft.com/office/drawing/2012/chart">
                    <c:ext xmlns:c16="http://schemas.microsoft.com/office/drawing/2014/chart" uri="{C3380CC4-5D6E-409C-BE32-E72D297353CC}">
                      <c16:uniqueId val="{00000009-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0B-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0D-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45EB-49FE-A40B-FC5DBA80E98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'Refsz-Emissionen'!$I$350:$I$360</c15:sqref>
                        </c15:fullRef>
                        <c15:formulaRef>
                          <c15:sqref>('Refsz-Emissionen'!$I$350:$I$351,'Refsz-Emissionen'!$I$353:$I$357)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'Refsz-Emissionen'!$I$352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'Refsz-Emissionen'!$I$358</c15:sqref>
                        <c15:spPr xmlns:c15="http://schemas.microsoft.com/office/drawing/2012/chart">
                          <a:solidFill>
                            <a:srgbClr val="C216C6"/>
                          </a:solidFill>
                          <a:ln w="19050">
                            <a:solidFill>
                              <a:schemeClr val="lt1"/>
                            </a:solidFill>
                          </a:ln>
                          <a:effectLst/>
                        </c15:spPr>
                        <c15:bubble3D val="0"/>
                      </c15:categoryFilterException>
                      <c15:categoryFilterException>
                        <c15:sqref>'Refsz-Emissionen'!$I$359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'Refsz-Emissionen'!$I$360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04B2-42DF-9110-CF581BE6313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'Refsz-Emissionen'!$J$349</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D-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F-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1-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'Refsz-Emissionen'!$J$350:$J$360</c15:sqref>
                        </c15:fullRef>
                        <c15:formulaRef>
                          <c15:sqref>('Refsz-Emissionen'!$J$350:$J$351,'Refsz-Emissionen'!$J$353:$J$357)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'Refsz-Emissionen'!$J$352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'Refsz-Emissionen'!$J$358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'Refsz-Emissionen'!$J$359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'Refsz-Emissionen'!$J$360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5-04B2-42DF-9110-CF581BE6313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'Refsz-Emissionen'!$L$349</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5-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7-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9-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9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'Refsz-Emissionen'!$L$350:$L$360</c15:sqref>
                        </c15:fullRef>
                        <c15:formulaRef>
                          <c15:sqref>('Refsz-Emissionen'!$L$350:$L$351,'Refsz-Emissionen'!$L$353:$L$357)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'Refsz-Emissionen'!$L$352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'Refsz-Emissionen'!$L$358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'Refsz-Emissionen'!$L$359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'Refsz-Emissionen'!$L$360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7-04B2-42DF-9110-CF581BE6313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'Refsz-Emissionen'!$M$349</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9-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B-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D-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A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'Refsz-Emissionen'!$M$350:$M$360</c15:sqref>
                        </c15:fullRef>
                        <c15:formulaRef>
                          <c15:sqref>('Refsz-Emissionen'!$M$350:$M$351,'Refsz-Emissionen'!$M$353:$M$357)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'Refsz-Emissionen'!$M$352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'Refsz-Emissionen'!$M$358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'Refsz-Emissionen'!$M$359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'Refsz-Emissionen'!$M$360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8-04B2-42DF-9110-CF581BE6313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'Refsz-Emissionen'!$N$349</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D-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F-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1-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'Refsz-Emissionen'!$N$350:$N$360</c15:sqref>
                        </c15:fullRef>
                        <c15:formulaRef>
                          <c15:sqref>('Refsz-Emissionen'!$N$350:$N$351,'Refsz-Emissionen'!$N$353:$N$357)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'Refsz-Emissionen'!$N$352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'Refsz-Emissionen'!$N$358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'Refsz-Emissionen'!$N$359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'Refsz-Emissionen'!$N$360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9-04B2-42DF-9110-CF581BE6313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'Refsz-Emissionen'!$O$349</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C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1-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3-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5-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D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'Refsz-Emissionen'!$O$350:$O$360</c15:sqref>
                        </c15:fullRef>
                        <c15:formulaRef>
                          <c15:sqref>('Refsz-Emissionen'!$O$350:$O$351,'Refsz-Emissionen'!$O$353:$O$357)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'Refsz-Emissionen'!$O$352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'Refsz-Emissionen'!$O$358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'Refsz-Emissionen'!$O$359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'Refsz-Emissionen'!$O$360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A-04B2-42DF-9110-CF581BE6313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'Refsz-Emissionen'!$P$349</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5-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7-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E9-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'Refsz-Emissionen'!$P$350:$P$360</c15:sqref>
                        </c15:fullRef>
                        <c15:formulaRef>
                          <c15:sqref>('Refsz-Emissionen'!$P$350:$P$351,'Refsz-Emissionen'!$P$353:$P$357)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'Refsz-Emissionen'!$P$352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'Refsz-Emissionen'!$P$358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'Refsz-Emissionen'!$P$359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'Refsz-Emissionen'!$P$360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B-04B2-42DF-9110-CF581BE6313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'Refsz-Emissionen'!$Q$349</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F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9-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B-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D-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F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'Refsz-Emissionen'!$Q$350:$Q$360</c15:sqref>
                        </c15:fullRef>
                        <c15:formulaRef>
                          <c15:sqref>('Refsz-Emissionen'!$Q$350:$Q$351,'Refsz-Emissionen'!$Q$353:$Q$357)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'Refsz-Emissionen'!$Q$352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'Refsz-Emissionen'!$Q$358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'Refsz-Emissionen'!$Q$359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'Refsz-Emissionen'!$Q$360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04B2-42DF-9110-CF581BE63133}"/>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'Refsz-Emissionen'!$R$349</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0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D-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F-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1-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1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'Refsz-Emissionen'!$R$350:$R$360</c15:sqref>
                        </c15:fullRef>
                        <c15:formulaRef>
                          <c15:sqref>('Refsz-Emissionen'!$R$350:$R$351,'Refsz-Emissionen'!$R$353:$R$357)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'Refsz-Emissionen'!$R$352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'Refsz-Emissionen'!$R$358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'Refsz-Emissionen'!$R$359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'Refsz-Emissionen'!$R$360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D-04B2-42DF-9110-CF581BE63133}"/>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'Refsz-Emissionen'!$S$349</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21-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23-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25-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2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'Refsz-Emissionen'!$S$350:$S$360</c15:sqref>
                        </c15:fullRef>
                        <c15:formulaRef>
                          <c15:sqref>('Refsz-Emissionen'!$S$350:$S$351,'Refsz-Emissionen'!$S$353:$S$357)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'Refsz-Emissionen'!$S$352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'Refsz-Emissionen'!$S$358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'Refsz-Emissionen'!$S$359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'Refsz-Emissionen'!$S$360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E-04B2-42DF-9110-CF581BE63133}"/>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'Refsz-Emissionen'!$T$349</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5-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7-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9-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3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'Refsz-Emissionen'!$T$350:$T$360</c15:sqref>
                        </c15:fullRef>
                        <c15:formulaRef>
                          <c15:sqref>('Refsz-Emissionen'!$T$350:$T$351,'Refsz-Emissionen'!$T$353:$T$357)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'Refsz-Emissionen'!$T$352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'Refsz-Emissionen'!$T$358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'Refsz-Emissionen'!$T$359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'Refsz-Emissionen'!$T$360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F-04B2-42DF-9110-CF581BE63133}"/>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'Refsz-Emissionen'!$U$349</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1-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3-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7-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9-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B-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D-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F-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'Refsz-Emissionen'!$U$350:$U$360</c15:sqref>
                        </c15:fullRef>
                        <c15:formulaRef>
                          <c15:sqref>('Refsz-Emissionen'!$U$350:$U$351,'Refsz-Emissionen'!$U$353:$U$357)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'Refsz-Emissionen'!$U$352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'Refsz-Emissionen'!$U$358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'Refsz-Emissionen'!$U$359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'Refsz-Emissionen'!$U$360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0-04B2-42DF-9110-CF581BE63133}"/>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'Refsz-Emissionen'!$V$349</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5-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7-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B-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D-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F-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1-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63-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'Refsz-Emissionen'!$V$350:$V$360</c15:sqref>
                        </c15:fullRef>
                        <c15:formulaRef>
                          <c15:sqref>('Refsz-Emissionen'!$V$350:$V$351,'Refsz-Emissionen'!$V$353:$V$357)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'Refsz-Emissionen'!$V$352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'Refsz-Emissionen'!$V$358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'Refsz-Emissionen'!$V$359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'Refsz-Emissionen'!$V$360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1-04B2-42DF-9110-CF581BE63133}"/>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'Refsz-Emissionen'!$W$349</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9-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B-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F-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1-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3-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5-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77-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'Refsz-Emissionen'!$W$350:$W$360</c15:sqref>
                        </c15:fullRef>
                        <c15:formulaRef>
                          <c15:sqref>('Refsz-Emissionen'!$W$350:$W$351,'Refsz-Emissionen'!$W$353:$W$357)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'Refsz-Emissionen'!$W$352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'Refsz-Emissionen'!$W$358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'Refsz-Emissionen'!$W$359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'Refsz-Emissionen'!$W$360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2-04B2-42DF-9110-CF581BE63133}"/>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'Refsz-Emissionen'!$X$349</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D-45EB-49FE-A40B-FC5DBA80E98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F-45EB-49FE-A40B-FC5DBA80E98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3-45EB-49FE-A40B-FC5DBA80E98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5-45EB-49FE-A40B-FC5DBA80E98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87-45EB-49FE-A40B-FC5DBA80E98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89-45EB-49FE-A40B-FC5DBA80E98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B-45EB-49FE-A40B-FC5DBA80E9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'Refsz-Emissionen'!$C$350:$C$360</c15:sqref>
                        </c15:fullRef>
                        <c15:formulaRef>
                          <c15:sqref>('Refsz-Emissionen'!$C$350:$C$351,'Refsz-Emissionen'!$C$353:$C$357)</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'Refsz-Emissionen'!$X$350:$X$360</c15:sqref>
                        </c15:fullRef>
                        <c15:formulaRef>
                          <c15:sqref>('Refsz-Emissionen'!$X$350:$X$351,'Refsz-Emissionen'!$X$353:$X$357)</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'Refsz-Emissionen'!$X$352</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'Refsz-Emissionen'!$X$358</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'Refsz-Emissionen'!$X$359</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'Refsz-Emissionen'!$X$360</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3-04B2-42DF-9110-CF581BE63133}"/>
                  </c:ext>
                </c:extLst>
              </c15:ser>
            </c15:filteredPieSeries>
          </c:ext>
        </c:extLst>
      </c:pieChart>
      <c:spPr>
        <a:noFill/>
        <a:ln>
          <a:noFill/>
        </a:ln>
        <a:effectLst/>
      </c:spPr>
    </c:plotArea>
    <c:legend>
      <c:legendPos val="b"/>
      <c:layout>
        <c:manualLayout>
          <c:xMode val="edge"/>
          <c:yMode val="edge"/>
          <c:x val="0.21527631717477347"/>
          <c:y val="0.66499963531922412"/>
          <c:w val="0.41355388127014486"/>
          <c:h val="0.28905494854850994"/>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bg1"/>
                </a:solidFill>
                <a:latin typeface="+mn-lt"/>
                <a:ea typeface="+mn-ea"/>
                <a:cs typeface="+mn-cs"/>
              </a:defRPr>
            </a:pPr>
            <a:r>
              <a:rPr lang="en-US"/>
              <a:t>Istbilanz: Aufteilung der Emissionen 2021 </a:t>
            </a:r>
            <a:endParaRPr lang="en-GB"/>
          </a:p>
          <a:p>
            <a:pPr algn="l">
              <a:defRPr/>
            </a:pPr>
            <a:r>
              <a:rPr lang="en-US"/>
              <a:t>(Regiomix in t CO</a:t>
            </a:r>
            <a:r>
              <a:rPr lang="en-US" sz="900"/>
              <a:t>2</a:t>
            </a:r>
            <a:r>
              <a:rPr lang="en-US"/>
              <a:t>-Äq.)</a:t>
            </a:r>
            <a:endParaRPr lang="en-GB"/>
          </a:p>
        </c:rich>
      </c:tx>
      <c:layout>
        <c:manualLayout>
          <c:xMode val="edge"/>
          <c:yMode val="edge"/>
          <c:x val="0.12900806168120796"/>
          <c:y val="4.3461055519113817E-4"/>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5473733011822303"/>
          <c:y val="0.22917696940703661"/>
          <c:w val="0.32447002999175845"/>
          <c:h val="0.40499271409767074"/>
        </c:manualLayout>
      </c:layout>
      <c:pieChart>
        <c:varyColors val="1"/>
        <c:ser>
          <c:idx val="6"/>
          <c:order val="6"/>
          <c:tx>
            <c:strRef>
              <c:f>'Refsz-Emissionen'!$K$370</c:f>
              <c:strCache>
                <c:ptCount val="1"/>
                <c:pt idx="0">
                  <c:v>2021</c:v>
                </c:pt>
              </c:strCache>
              <c:extLst xmlns:c15="http://schemas.microsoft.com/office/drawing/2012/chart"/>
            </c:strRef>
          </c:tx>
          <c:spPr>
            <a:ln>
              <a:noFill/>
            </a:ln>
          </c:spPr>
          <c:dPt>
            <c:idx val="0"/>
            <c:bubble3D val="0"/>
            <c:spPr>
              <a:solidFill>
                <a:schemeClr val="tx1"/>
              </a:solidFill>
              <a:ln w="19050">
                <a:noFill/>
              </a:ln>
              <a:effectLst/>
            </c:spPr>
            <c:extLst xmlns:c15="http://schemas.microsoft.com/office/drawing/2012/chart">
              <c:ext xmlns:c16="http://schemas.microsoft.com/office/drawing/2014/chart" uri="{C3380CC4-5D6E-409C-BE32-E72D297353CC}">
                <c16:uniqueId val="{0000007F-4E83-4C4E-8175-CFDED2E1C7ED}"/>
              </c:ext>
            </c:extLst>
          </c:dPt>
          <c:dPt>
            <c:idx val="1"/>
            <c:bubble3D val="0"/>
            <c:spPr>
              <a:solidFill>
                <a:schemeClr val="accent2"/>
              </a:solidFill>
              <a:ln w="19050">
                <a:noFill/>
              </a:ln>
              <a:effectLst/>
            </c:spPr>
            <c:extLst xmlns:c15="http://schemas.microsoft.com/office/drawing/2012/chart">
              <c:ext xmlns:c16="http://schemas.microsoft.com/office/drawing/2014/chart" uri="{C3380CC4-5D6E-409C-BE32-E72D297353CC}">
                <c16:uniqueId val="{00000081-4E83-4C4E-8175-CFDED2E1C7ED}"/>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85-4E83-4C4E-8175-CFDED2E1C7ED}"/>
              </c:ext>
            </c:extLst>
          </c:dPt>
          <c:dPt>
            <c:idx val="3"/>
            <c:bubble3D val="0"/>
            <c:spPr>
              <a:solidFill>
                <a:schemeClr val="accent4"/>
              </a:solidFill>
              <a:ln w="19050">
                <a:noFill/>
              </a:ln>
              <a:effectLst/>
            </c:spPr>
            <c:extLst>
              <c:ext xmlns:c16="http://schemas.microsoft.com/office/drawing/2014/chart" uri="{C3380CC4-5D6E-409C-BE32-E72D297353CC}">
                <c16:uniqueId val="{00000087-4E83-4C4E-8175-CFDED2E1C7ED}"/>
              </c:ext>
            </c:extLst>
          </c:dPt>
          <c:dPt>
            <c:idx val="4"/>
            <c:bubble3D val="0"/>
            <c:spPr>
              <a:solidFill>
                <a:schemeClr val="accent4">
                  <a:lumMod val="75000"/>
                </a:schemeClr>
              </a:solidFill>
              <a:ln w="19050">
                <a:noFill/>
              </a:ln>
              <a:effectLst/>
            </c:spPr>
            <c:extLst>
              <c:ext xmlns:c16="http://schemas.microsoft.com/office/drawing/2014/chart" uri="{C3380CC4-5D6E-409C-BE32-E72D297353CC}">
                <c16:uniqueId val="{00000089-4E83-4C4E-8175-CFDED2E1C7ED}"/>
              </c:ext>
            </c:extLst>
          </c:dPt>
          <c:dPt>
            <c:idx val="5"/>
            <c:bubble3D val="0"/>
            <c:spPr>
              <a:solidFill>
                <a:schemeClr val="accent6">
                  <a:lumMod val="75000"/>
                </a:schemeClr>
              </a:solidFill>
              <a:ln w="19050">
                <a:noFill/>
              </a:ln>
              <a:effectLst/>
            </c:spPr>
            <c:extLst>
              <c:ext xmlns:c16="http://schemas.microsoft.com/office/drawing/2014/chart" uri="{C3380CC4-5D6E-409C-BE32-E72D297353CC}">
                <c16:uniqueId val="{0000008B-4E83-4C4E-8175-CFDED2E1C7ED}"/>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8D-4E83-4C4E-8175-CFDED2E1C7ED}"/>
              </c:ext>
            </c:extLst>
          </c:dPt>
          <c:dLbls>
            <c:dLbl>
              <c:idx val="0"/>
              <c:layout>
                <c:manualLayout>
                  <c:x val="9.4231106675855235E-3"/>
                  <c:y val="-9.469497690582275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4E83-4C4E-8175-CFDED2E1C7ED}"/>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ext>
              </c:extLst>
              <c:f>('Refsz-Emissionen'!$C$371:$C$372,'Refsz-Emissionen'!$C$374:$C$378)</c:f>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'Refsz-Emissionen'!$K$371:$K$381</c15:sqref>
                  </c15:fullRef>
                </c:ext>
              </c:extLst>
              <c:f>('Refsz-Emissionen'!$K$371:$K$372,'Refsz-Emissionen'!$K$374:$K$378)</c:f>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'Refsz-Emissionen'!$K$373</c15:sqref>
                  <c15:spPr xmlns:c15="http://schemas.microsoft.com/office/drawing/2012/chart">
                    <a:solidFill>
                      <a:schemeClr val="accent3"/>
                    </a:solidFill>
                    <a:ln w="19050">
                      <a:noFill/>
                    </a:ln>
                    <a:effectLst/>
                  </c15:spPr>
                  <c15:bubble3D val="0"/>
                </c15:categoryFilterException>
                <c15:categoryFilterException>
                  <c15:sqref>'Refsz-Emissionen'!$K$379</c15:sqref>
                  <c15:spPr xmlns:c15="http://schemas.microsoft.com/office/drawing/2012/chart">
                    <a:solidFill>
                      <a:schemeClr val="accent3">
                        <a:lumMod val="60000"/>
                      </a:schemeClr>
                    </a:solidFill>
                    <a:ln w="19050">
                      <a:noFill/>
                    </a:ln>
                    <a:effectLst/>
                  </c15:spPr>
                  <c15:bubble3D val="0"/>
                </c15:categoryFilterException>
                <c15:categoryFilterException>
                  <c15:sqref>'Refsz-Emissionen'!$K$380</c15:sqref>
                  <c15:spPr xmlns:c15="http://schemas.microsoft.com/office/drawing/2012/chart">
                    <a:solidFill>
                      <a:schemeClr val="accent4">
                        <a:lumMod val="60000"/>
                      </a:schemeClr>
                    </a:solidFill>
                    <a:ln w="19050">
                      <a:noFill/>
                    </a:ln>
                    <a:effectLst/>
                  </c15:spPr>
                  <c15:bubble3D val="0"/>
                </c15:categoryFilterException>
                <c15:categoryFilterException>
                  <c15:sqref>'Refsz-Emissionen'!$K$381</c15:sqref>
                  <c15:spPr xmlns:c15="http://schemas.microsoft.com/office/drawing/2012/chart">
                    <a:solidFill>
                      <a:schemeClr val="accent1">
                        <a:lumMod val="40000"/>
                        <a:lumOff val="60000"/>
                      </a:schemeClr>
                    </a:solidFill>
                    <a:ln w="19050">
                      <a:noFill/>
                    </a:ln>
                    <a:effectLst/>
                  </c15:spPr>
                  <c15:bubble3D val="0"/>
                </c15:categoryFilterException>
              </c15:categoryFilterExceptions>
            </c:ext>
            <c:ext xmlns:c16="http://schemas.microsoft.com/office/drawing/2014/chart" uri="{C3380CC4-5D6E-409C-BE32-E72D297353CC}">
              <c16:uniqueId val="{00000092-4E83-4C4E-8175-CFDED2E1C7ED}"/>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'Refsz-Emissionen'!$E$370</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83-4C4E-8175-CFDED2E1C7E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83-4C4E-8175-CFDED2E1C7E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4E83-4C4E-8175-CFDED2E1C7E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4E83-4C4E-8175-CFDED2E1C7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B-4E83-4C4E-8175-CFDED2E1C7E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D-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F-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uri="{02D57815-91ED-43cb-92C2-25804820EDAC}">
                        <c15:fullRef>
                          <c15:sqref>'Refsz-Emissionen'!$E$371:$E$381</c15:sqref>
                        </c15:fullRef>
                        <c15:formulaRef>
                          <c15:sqref>('Refsz-Emissionen'!$E$371:$E$372,'Refsz-Emissionen'!$E$374:$E$378)</c15:sqref>
                        </c15:formulaRef>
                      </c:ext>
                    </c:extLst>
                    <c:numCache>
                      <c:formatCode>#,##0.00</c:formatCode>
                      <c:ptCount val="7"/>
                      <c:pt idx="0">
                        <c:v>0</c:v>
                      </c:pt>
                      <c:pt idx="1">
                        <c:v>0</c:v>
                      </c:pt>
                      <c:pt idx="2">
                        <c:v>0</c:v>
                      </c:pt>
                      <c:pt idx="3">
                        <c:v>0</c:v>
                      </c:pt>
                      <c:pt idx="4">
                        <c:v>0</c:v>
                      </c:pt>
                      <c:pt idx="5">
                        <c:v>0</c:v>
                      </c:pt>
                      <c:pt idx="6">
                        <c:v>0</c:v>
                      </c:pt>
                    </c:numCache>
                  </c:numRef>
                </c:val>
                <c:extLst>
                  <c:ext uri="{02D57815-91ED-43cb-92C2-25804820EDAC}">
                    <c15:categoryFilterExceptions>
                      <c15:categoryFilterException>
                        <c15:sqref>'Refsz-Emissionen'!$E$373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'Refsz-Emissionen'!$E$379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'Refsz-Emissionen'!$E$380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'Refsz-Emissionen'!$E$381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14-4E83-4C4E-8175-CFDED2E1C7E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'Refsz-Emissionen'!$F$370</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C-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E-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0-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2-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4-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'Refsz-Emissionen'!$F$371:$F$381</c15:sqref>
                        </c15:fullRef>
                        <c15:formulaRef>
                          <c15:sqref>('Refsz-Emissionen'!$F$371:$F$372,'Refsz-Emissionen'!$F$374:$F$378)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'Refsz-Emissionen'!$F$373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'Refsz-Emissionen'!$F$379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'Refsz-Emissionen'!$F$380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'Refsz-Emissionen'!$F$381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29-4E83-4C4E-8175-CFDED2E1C7E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'Refsz-Emissionen'!$G$370</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1-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3-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5-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7-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39-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'Refsz-Emissionen'!$G$371:$G$381</c15:sqref>
                        </c15:fullRef>
                        <c15:formulaRef>
                          <c15:sqref>('Refsz-Emissionen'!$G$371:$G$372,'Refsz-Emissionen'!$G$374:$G$378)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'Refsz-Emissionen'!$G$373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'Refsz-Emissionen'!$G$379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'Refsz-Emissionen'!$G$380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'Refsz-Emissionen'!$G$381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3E-4E83-4C4E-8175-CFDED2E1C7E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'Refsz-Emissionen'!$H$370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6-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8-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A-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4C-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4E-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'Refsz-Emissionen'!$H$371:$H$381</c15:sqref>
                        </c15:fullRef>
                        <c15:formulaRef>
                          <c15:sqref>('Refsz-Emissionen'!$H$371:$H$372,'Refsz-Emissionen'!$H$374:$H$378)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'Refsz-Emissionen'!$H$373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'Refsz-Emissionen'!$H$379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'Refsz-Emissionen'!$H$380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'Refsz-Emissionen'!$H$381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53-4E83-4C4E-8175-CFDED2E1C7E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'Refsz-Emissionen'!$I$370</c15:sqref>
                        </c15:formulaRef>
                      </c:ext>
                    </c:extLst>
                    <c:strCache>
                      <c:ptCount val="1"/>
                      <c:pt idx="0">
                        <c:v>2019</c:v>
                      </c:pt>
                    </c:strCache>
                  </c:strRef>
                </c:tx>
                <c:dPt>
                  <c:idx val="0"/>
                  <c:bubble3D val="0"/>
                  <c:spPr>
                    <a:solidFill>
                      <a:schemeClr val="tx1"/>
                    </a:solidFill>
                    <a:ln w="19050">
                      <a:solidFill>
                        <a:schemeClr val="lt1"/>
                      </a:solidFill>
                    </a:ln>
                    <a:effectLst/>
                  </c:spPr>
                  <c:extLst xmlns:c15="http://schemas.microsoft.com/office/drawing/2012/chart">
                    <c:ext xmlns:c16="http://schemas.microsoft.com/office/drawing/2014/chart" uri="{C3380CC4-5D6E-409C-BE32-E72D297353CC}">
                      <c16:uniqueId val="{00000055-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7-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5B-4E83-4C4E-8175-CFDED2E1C7ED}"/>
                    </c:ext>
                  </c:extLst>
                </c:dPt>
                <c:dPt>
                  <c:idx val="3"/>
                  <c:bubble3D val="0"/>
                  <c:spPr>
                    <a:solidFill>
                      <a:srgbClr val="FFFF00"/>
                    </a:solidFill>
                    <a:ln w="19050">
                      <a:solidFill>
                        <a:schemeClr val="lt1"/>
                      </a:solidFill>
                    </a:ln>
                    <a:effectLst/>
                  </c:spPr>
                  <c:extLst xmlns:c15="http://schemas.microsoft.com/office/drawing/2012/chart">
                    <c:ext xmlns:c16="http://schemas.microsoft.com/office/drawing/2014/chart" uri="{C3380CC4-5D6E-409C-BE32-E72D297353CC}">
                      <c16:uniqueId val="{0000005D-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5F-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1-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63-4E83-4C4E-8175-CFDED2E1C7E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'Refsz-Emissionen'!$I$371:$I$381</c15:sqref>
                        </c15:fullRef>
                        <c15:formulaRef>
                          <c15:sqref>('Refsz-Emissionen'!$I$371:$I$372,'Refsz-Emissionen'!$I$374:$I$378)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'Refsz-Emissionen'!$I$373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'Refsz-Emissionen'!$I$379</c15:sqref>
                        <c15:spPr xmlns:c15="http://schemas.microsoft.com/office/drawing/2012/chart">
                          <a:solidFill>
                            <a:srgbClr val="C216C6"/>
                          </a:solidFill>
                          <a:ln w="19050">
                            <a:solidFill>
                              <a:schemeClr val="lt1"/>
                            </a:solidFill>
                          </a:ln>
                          <a:effectLst/>
                        </c15:spPr>
                        <c15:bubble3D val="0"/>
                      </c15:categoryFilterException>
                      <c15:categoryFilterException>
                        <c15:sqref>'Refsz-Emissionen'!$I$380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'Refsz-Emissionen'!$I$381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68-4E83-4C4E-8175-CFDED2E1C7ED}"/>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'Refsz-Emissionen'!$J$370</c15:sqref>
                        </c15:formulaRef>
                      </c:ext>
                    </c:extLst>
                    <c:strCache>
                      <c:ptCount val="1"/>
                      <c:pt idx="0">
                        <c:v>2020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6A-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6C-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0-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2-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4-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6-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78-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'Refsz-Emissionen'!$J$371:$J$381</c15:sqref>
                        </c15:fullRef>
                        <c15:formulaRef>
                          <c15:sqref>('Refsz-Emissionen'!$J$371:$J$372,'Refsz-Emissionen'!$J$374:$J$378)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'Refsz-Emissionen'!$J$373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'Refsz-Emissionen'!$J$379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'Refsz-Emissionen'!$J$380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'Refsz-Emissionen'!$J$381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7D-4E83-4C4E-8175-CFDED2E1C7E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'Refsz-Emissionen'!$L$370</c15:sqref>
                        </c15:formulaRef>
                      </c:ext>
                    </c:extLst>
                    <c:strCache>
                      <c:ptCount val="1"/>
                      <c:pt idx="0">
                        <c:v>2022</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94-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96-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9A-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C-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E-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0-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A2-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'Refsz-Emissionen'!$L$371:$L$381</c15:sqref>
                        </c15:fullRef>
                        <c15:formulaRef>
                          <c15:sqref>('Refsz-Emissionen'!$L$371:$L$372,'Refsz-Emissionen'!$L$374:$L$378)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'Refsz-Emissionen'!$L$373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'Refsz-Emissionen'!$L$379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'Refsz-Emissionen'!$L$380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'Refsz-Emissionen'!$L$381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A7-4E83-4C4E-8175-CFDED2E1C7ED}"/>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'Refsz-Emissionen'!$M$370</c15:sqref>
                        </c15:formulaRef>
                      </c:ext>
                    </c:extLst>
                    <c:strCache>
                      <c:ptCount val="1"/>
                      <c:pt idx="0">
                        <c:v>2023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9-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B-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F-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1-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B3-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B5-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B7-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'Refsz-Emissionen'!$M$371:$M$381</c15:sqref>
                        </c15:fullRef>
                        <c15:formulaRef>
                          <c15:sqref>('Refsz-Emissionen'!$M$371:$M$372,'Refsz-Emissionen'!$M$374:$M$378)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'Refsz-Emissionen'!$M$373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'Refsz-Emissionen'!$M$379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'Refsz-Emissionen'!$M$380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'Refsz-Emissionen'!$M$381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BC-4E83-4C4E-8175-CFDED2E1C7ED}"/>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'Refsz-Emissionen'!$N$370</c15:sqref>
                        </c15:formulaRef>
                      </c:ext>
                    </c:extLst>
                    <c:strCache>
                      <c:ptCount val="1"/>
                      <c:pt idx="0">
                        <c:v>2024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E-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C0-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C4-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C6-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8-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A-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CC-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'Refsz-Emissionen'!$N$371:$N$381</c15:sqref>
                        </c15:fullRef>
                        <c15:formulaRef>
                          <c15:sqref>('Refsz-Emissionen'!$N$371:$N$372,'Refsz-Emissionen'!$N$374:$N$378)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'Refsz-Emissionen'!$N$373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'Refsz-Emissionen'!$N$379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'Refsz-Emissionen'!$N$380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'Refsz-Emissionen'!$N$381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D1-4E83-4C4E-8175-CFDED2E1C7ED}"/>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'Refsz-Emissionen'!$O$370</c15:sqref>
                        </c15:formulaRef>
                      </c:ext>
                    </c:extLst>
                    <c:strCache>
                      <c:ptCount val="1"/>
                      <c:pt idx="0">
                        <c:v>2025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3-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5-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9-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B-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D-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F-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E1-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'Refsz-Emissionen'!$O$371:$O$381</c15:sqref>
                        </c15:fullRef>
                        <c15:formulaRef>
                          <c15:sqref>('Refsz-Emissionen'!$O$371:$O$372,'Refsz-Emissionen'!$O$374:$O$378)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'Refsz-Emissionen'!$O$373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'Refsz-Emissionen'!$O$379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'Refsz-Emissionen'!$O$380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'Refsz-Emissionen'!$O$381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E6-4E83-4C4E-8175-CFDED2E1C7ED}"/>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'Refsz-Emissionen'!$P$370</c15:sqref>
                        </c15:formulaRef>
                      </c:ext>
                    </c:extLst>
                    <c:strCache>
                      <c:ptCount val="1"/>
                      <c:pt idx="0">
                        <c:v>2026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8-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A-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E-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F0-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F2-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4-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F6-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'Refsz-Emissionen'!$P$371:$P$381</c15:sqref>
                        </c15:fullRef>
                        <c15:formulaRef>
                          <c15:sqref>('Refsz-Emissionen'!$P$371:$P$372,'Refsz-Emissionen'!$P$374:$P$378)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'Refsz-Emissionen'!$P$373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'Refsz-Emissionen'!$P$379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'Refsz-Emissionen'!$P$380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'Refsz-Emissionen'!$P$381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FB-4E83-4C4E-8175-CFDED2E1C7ED}"/>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'Refsz-Emissionen'!$Q$370</c15:sqref>
                        </c15:formulaRef>
                      </c:ext>
                    </c:extLst>
                    <c:strCache>
                      <c:ptCount val="1"/>
                      <c:pt idx="0">
                        <c:v>2027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D-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FF-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3-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5-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7-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9-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0B-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'Refsz-Emissionen'!$Q$371:$Q$381</c15:sqref>
                        </c15:fullRef>
                        <c15:formulaRef>
                          <c15:sqref>('Refsz-Emissionen'!$Q$371:$Q$372,'Refsz-Emissionen'!$Q$374:$Q$378)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'Refsz-Emissionen'!$Q$373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'Refsz-Emissionen'!$Q$379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'Refsz-Emissionen'!$Q$380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'Refsz-Emissionen'!$Q$381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10-4E83-4C4E-8175-CFDED2E1C7ED}"/>
                  </c:ext>
                </c:extLst>
              </c15:ser>
            </c15:filteredPieSeries>
            <c15:filteredPieSeries>
              <c15:ser>
                <c:idx val="13"/>
                <c:order val="13"/>
                <c:tx>
                  <c:strRef>
                    <c:extLst xmlns:c15="http://schemas.microsoft.com/office/drawing/2012/chart">
                      <c:ext xmlns:c15="http://schemas.microsoft.com/office/drawing/2012/chart" uri="{02D57815-91ED-43cb-92C2-25804820EDAC}">
                        <c15:formulaRef>
                          <c15:sqref>'Refsz-Emissionen'!$R$370</c15:sqref>
                        </c15:formulaRef>
                      </c:ext>
                    </c:extLst>
                    <c:strCache>
                      <c:ptCount val="1"/>
                      <c:pt idx="0">
                        <c:v>2028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2-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4-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8-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A-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C-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E-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20-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'Refsz-Emissionen'!$R$371:$R$381</c15:sqref>
                        </c15:fullRef>
                        <c15:formulaRef>
                          <c15:sqref>('Refsz-Emissionen'!$R$371:$R$372,'Refsz-Emissionen'!$R$374:$R$378)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'Refsz-Emissionen'!$R$373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'Refsz-Emissionen'!$R$379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'Refsz-Emissionen'!$R$380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'Refsz-Emissionen'!$R$381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25-4E83-4C4E-8175-CFDED2E1C7ED}"/>
                  </c:ext>
                </c:extLst>
              </c15:ser>
            </c15:filteredPieSeries>
            <c15:filteredPieSeries>
              <c15:ser>
                <c:idx val="14"/>
                <c:order val="14"/>
                <c:tx>
                  <c:strRef>
                    <c:extLst xmlns:c15="http://schemas.microsoft.com/office/drawing/2012/chart">
                      <c:ext xmlns:c15="http://schemas.microsoft.com/office/drawing/2012/chart" uri="{02D57815-91ED-43cb-92C2-25804820EDAC}">
                        <c15:formulaRef>
                          <c15:sqref>'Refsz-Emissionen'!$S$370</c15:sqref>
                        </c15:formulaRef>
                      </c:ext>
                    </c:extLst>
                    <c:strCache>
                      <c:ptCount val="1"/>
                      <c:pt idx="0">
                        <c:v>2029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7-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9-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2D-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2F-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1-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3-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35-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'Refsz-Emissionen'!$S$371:$S$381</c15:sqref>
                        </c15:fullRef>
                        <c15:formulaRef>
                          <c15:sqref>('Refsz-Emissionen'!$S$371:$S$372,'Refsz-Emissionen'!$S$374:$S$378)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'Refsz-Emissionen'!$S$373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'Refsz-Emissionen'!$S$379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'Refsz-Emissionen'!$S$380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'Refsz-Emissionen'!$S$381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3A-4E83-4C4E-8175-CFDED2E1C7ED}"/>
                  </c:ext>
                </c:extLst>
              </c15:ser>
            </c15:filteredPieSeries>
            <c15:filteredPieSeries>
              <c15:ser>
                <c:idx val="15"/>
                <c:order val="15"/>
                <c:tx>
                  <c:strRef>
                    <c:extLst xmlns:c15="http://schemas.microsoft.com/office/drawing/2012/chart">
                      <c:ext xmlns:c15="http://schemas.microsoft.com/office/drawing/2012/chart" uri="{02D57815-91ED-43cb-92C2-25804820EDAC}">
                        <c15:formulaRef>
                          <c15:sqref>'Refsz-Emissionen'!$T$370</c15:sqref>
                        </c15:formulaRef>
                      </c:ext>
                    </c:extLst>
                    <c:strCache>
                      <c:ptCount val="1"/>
                      <c:pt idx="0">
                        <c:v>2030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3C-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3E-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2-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4-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6-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8-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4A-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'Refsz-Emissionen'!$T$371:$T$381</c15:sqref>
                        </c15:fullRef>
                        <c15:formulaRef>
                          <c15:sqref>('Refsz-Emissionen'!$T$371:$T$372,'Refsz-Emissionen'!$T$374:$T$378)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'Refsz-Emissionen'!$T$373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'Refsz-Emissionen'!$T$379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'Refsz-Emissionen'!$T$380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'Refsz-Emissionen'!$T$381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4F-4E83-4C4E-8175-CFDED2E1C7ED}"/>
                  </c:ext>
                </c:extLst>
              </c15:ser>
            </c15:filteredPieSeries>
            <c15:filteredPieSeries>
              <c15:ser>
                <c:idx val="16"/>
                <c:order val="16"/>
                <c:tx>
                  <c:strRef>
                    <c:extLst xmlns:c15="http://schemas.microsoft.com/office/drawing/2012/chart">
                      <c:ext xmlns:c15="http://schemas.microsoft.com/office/drawing/2012/chart" uri="{02D57815-91ED-43cb-92C2-25804820EDAC}">
                        <c15:formulaRef>
                          <c15:sqref>'Refsz-Emissionen'!$U$370</c15:sqref>
                        </c15:formulaRef>
                      </c:ext>
                    </c:extLst>
                    <c:strCache>
                      <c:ptCount val="1"/>
                      <c:pt idx="0">
                        <c:v>2035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1-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3-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7-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59-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5B-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5D-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5F-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'Refsz-Emissionen'!$U$371:$U$381</c15:sqref>
                        </c15:fullRef>
                        <c15:formulaRef>
                          <c15:sqref>('Refsz-Emissionen'!$U$371:$U$372,'Refsz-Emissionen'!$U$374:$U$378)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'Refsz-Emissionen'!$U$373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'Refsz-Emissionen'!$U$379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'Refsz-Emissionen'!$U$380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'Refsz-Emissionen'!$U$381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64-4E83-4C4E-8175-CFDED2E1C7ED}"/>
                  </c:ext>
                </c:extLst>
              </c15:ser>
            </c15:filteredPieSeries>
            <c15:filteredPieSeries>
              <c15:ser>
                <c:idx val="17"/>
                <c:order val="17"/>
                <c:tx>
                  <c:strRef>
                    <c:extLst xmlns:c15="http://schemas.microsoft.com/office/drawing/2012/chart">
                      <c:ext xmlns:c15="http://schemas.microsoft.com/office/drawing/2012/chart" uri="{02D57815-91ED-43cb-92C2-25804820EDAC}">
                        <c15:formulaRef>
                          <c15:sqref>'Refsz-Emissionen'!$V$370</c15:sqref>
                        </c15:formulaRef>
                      </c:ext>
                    </c:extLst>
                    <c:strCache>
                      <c:ptCount val="1"/>
                      <c:pt idx="0">
                        <c:v>2040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66-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68-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6C-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6E-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0-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2-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74-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'Refsz-Emissionen'!$V$371:$V$381</c15:sqref>
                        </c15:fullRef>
                        <c15:formulaRef>
                          <c15:sqref>('Refsz-Emissionen'!$V$371:$V$372,'Refsz-Emissionen'!$V$374:$V$378)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'Refsz-Emissionen'!$V$373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'Refsz-Emissionen'!$V$379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'Refsz-Emissionen'!$V$380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'Refsz-Emissionen'!$V$381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79-4E83-4C4E-8175-CFDED2E1C7ED}"/>
                  </c:ext>
                </c:extLst>
              </c15:ser>
            </c15:filteredPieSeries>
            <c15:filteredPieSeries>
              <c15:ser>
                <c:idx val="18"/>
                <c:order val="18"/>
                <c:tx>
                  <c:strRef>
                    <c:extLst xmlns:c15="http://schemas.microsoft.com/office/drawing/2012/chart">
                      <c:ext xmlns:c15="http://schemas.microsoft.com/office/drawing/2012/chart" uri="{02D57815-91ED-43cb-92C2-25804820EDAC}">
                        <c15:formulaRef>
                          <c15:sqref>'Refsz-Emissionen'!$W$370</c15:sqref>
                        </c15:formulaRef>
                      </c:ext>
                    </c:extLst>
                    <c:strCache>
                      <c:ptCount val="1"/>
                      <c:pt idx="0">
                        <c:v>2045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B-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D-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1-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3-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85-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87-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89-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'Refsz-Emissionen'!$W$371:$W$381</c15:sqref>
                        </c15:fullRef>
                        <c15:formulaRef>
                          <c15:sqref>('Refsz-Emissionen'!$W$371:$W$372,'Refsz-Emissionen'!$W$374:$W$378)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'Refsz-Emissionen'!$W$373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'Refsz-Emissionen'!$W$379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'Refsz-Emissionen'!$W$380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'Refsz-Emissionen'!$W$381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8E-4E83-4C4E-8175-CFDED2E1C7ED}"/>
                  </c:ext>
                </c:extLst>
              </c15:ser>
            </c15:filteredPieSeries>
            <c15:filteredPieSeries>
              <c15:ser>
                <c:idx val="19"/>
                <c:order val="19"/>
                <c:tx>
                  <c:strRef>
                    <c:extLst xmlns:c15="http://schemas.microsoft.com/office/drawing/2012/chart">
                      <c:ext xmlns:c15="http://schemas.microsoft.com/office/drawing/2012/chart" uri="{02D57815-91ED-43cb-92C2-25804820EDAC}">
                        <c15:formulaRef>
                          <c15:sqref>'Refsz-Emissionen'!$X$370</c15:sqref>
                        </c15:formulaRef>
                      </c:ext>
                    </c:extLst>
                    <c:strCache>
                      <c:ptCount val="1"/>
                      <c:pt idx="0">
                        <c:v>2050</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0-4E83-4C4E-8175-CFDED2E1C7E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92-4E83-4C4E-8175-CFDED2E1C7E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96-4E83-4C4E-8175-CFDED2E1C7E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98-4E83-4C4E-8175-CFDED2E1C7ED}"/>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A-4E83-4C4E-8175-CFDED2E1C7ED}"/>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C-4E83-4C4E-8175-CFDED2E1C7E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19E-4E83-4C4E-8175-CFDED2E1C7E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'Refsz-Emissionen'!$C$371:$C$381</c15:sqref>
                        </c15:fullRef>
                        <c15:formulaRef>
                          <c15:sqref>('Refsz-Emissionen'!$C$371:$C$372,'Refsz-Emissionen'!$C$374:$C$378)</c15:sqref>
                        </c15:formulaRef>
                      </c:ext>
                    </c:extLst>
                    <c:strCache>
                      <c:ptCount val="7"/>
                      <c:pt idx="0">
                        <c:v>Elektrischer Strom</c:v>
                      </c:pt>
                      <c:pt idx="1">
                        <c:v>Wärme</c:v>
                      </c:pt>
                      <c:pt idx="2">
                        <c:v>Mobilität 1</c:v>
                      </c:pt>
                      <c:pt idx="3">
                        <c:v>Mobilität 2</c:v>
                      </c:pt>
                      <c:pt idx="4">
                        <c:v>Wasser</c:v>
                      </c:pt>
                      <c:pt idx="5">
                        <c:v>Abfall</c:v>
                      </c:pt>
                      <c:pt idx="6">
                        <c:v>Waren und Dienstleistungen</c:v>
                      </c:pt>
                    </c:strCache>
                  </c:strRef>
                </c:cat>
                <c:val>
                  <c:numRef>
                    <c:extLst>
                      <c:ext xmlns:c15="http://schemas.microsoft.com/office/drawing/2012/chart" uri="{02D57815-91ED-43cb-92C2-25804820EDAC}">
                        <c15:fullRef>
                          <c15:sqref>'Refsz-Emissionen'!$X$371:$X$381</c15:sqref>
                        </c15:fullRef>
                        <c15:formulaRef>
                          <c15:sqref>('Refsz-Emissionen'!$X$371:$X$372,'Refsz-Emissionen'!$X$374:$X$378)</c15:sqref>
                        </c15:formulaRef>
                      </c:ext>
                    </c:extLst>
                    <c:numCache>
                      <c:formatCode>#,##0.00</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15:categoryFilterException>
                        <c15:sqref>'Refsz-Emissionen'!$X$373</c15:sqref>
                        <c15:spPr xmlns:c15="http://schemas.microsoft.com/office/drawing/2012/chart">
                          <a:solidFill>
                            <a:schemeClr val="accent3"/>
                          </a:solidFill>
                          <a:ln w="19050">
                            <a:solidFill>
                              <a:schemeClr val="lt1"/>
                            </a:solidFill>
                          </a:ln>
                          <a:effectLst/>
                        </c15:spPr>
                        <c15:bubble3D val="0"/>
                      </c15:categoryFilterException>
                      <c15:categoryFilterException>
                        <c15:sqref>'Refsz-Emissionen'!$X$379</c15:sqref>
                        <c15:spPr xmlns:c15="http://schemas.microsoft.com/office/drawing/2012/chart">
                          <a:solidFill>
                            <a:schemeClr val="accent3">
                              <a:lumMod val="60000"/>
                            </a:schemeClr>
                          </a:solidFill>
                          <a:ln w="19050">
                            <a:solidFill>
                              <a:schemeClr val="lt1"/>
                            </a:solidFill>
                          </a:ln>
                          <a:effectLst/>
                        </c15:spPr>
                        <c15:bubble3D val="0"/>
                      </c15:categoryFilterException>
                      <c15:categoryFilterException>
                        <c15:sqref>'Refsz-Emissionen'!$X$380</c15:sqref>
                        <c15:spPr xmlns:c15="http://schemas.microsoft.com/office/drawing/2012/chart">
                          <a:solidFill>
                            <a:schemeClr val="accent4">
                              <a:lumMod val="60000"/>
                            </a:schemeClr>
                          </a:solidFill>
                          <a:ln w="19050">
                            <a:solidFill>
                              <a:schemeClr val="lt1"/>
                            </a:solidFill>
                          </a:ln>
                          <a:effectLst/>
                        </c15:spPr>
                        <c15:bubble3D val="0"/>
                      </c15:categoryFilterException>
                      <c15:categoryFilterException>
                        <c15:sqref>'Refsz-Emissionen'!$X$381</c15:sqref>
                        <c15:spPr xmlns:c15="http://schemas.microsoft.com/office/drawing/2012/chart">
                          <a:solidFill>
                            <a:schemeClr val="accent5">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1A3-4E83-4C4E-8175-CFDED2E1C7ED}"/>
                  </c:ext>
                </c:extLst>
              </c15:ser>
            </c15:filteredPieSeries>
          </c:ext>
        </c:extLst>
      </c:pieChart>
      <c:spPr>
        <a:noFill/>
        <a:ln>
          <a:noFill/>
        </a:ln>
        <a:effectLst/>
      </c:spPr>
    </c:plotArea>
    <c:legend>
      <c:legendPos val="b"/>
      <c:layout>
        <c:manualLayout>
          <c:xMode val="edge"/>
          <c:yMode val="edge"/>
          <c:x val="0.21155502012404787"/>
          <c:y val="0.65335731614592329"/>
          <c:w val="0.38266200627152014"/>
          <c:h val="0.29494746274993777"/>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baseline="0">
                <a:effectLst/>
              </a:rPr>
              <a:t>Klimaschutzszenarien</a:t>
            </a:r>
            <a:endParaRPr lang="en-GB" sz="105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9.4479252685276849E-2"/>
          <c:y val="0.12598167539267016"/>
          <c:w val="0.88734502989105368"/>
          <c:h val="0.67904432506684331"/>
        </c:manualLayout>
      </c:layout>
      <c:barChart>
        <c:barDir val="col"/>
        <c:grouping val="clustered"/>
        <c:varyColors val="0"/>
        <c:ser>
          <c:idx val="2"/>
          <c:order val="2"/>
          <c:tx>
            <c:v>Klimaschutzszenario Bundesmix</c:v>
          </c:tx>
          <c:spPr>
            <a:solidFill>
              <a:schemeClr val="tx1"/>
            </a:solidFill>
            <a:ln>
              <a:noFill/>
            </a:ln>
            <a:effectLst/>
          </c:spPr>
          <c:invertIfNegative val="0"/>
          <c:cat>
            <c:strRef>
              <c:extLst>
                <c:ext xmlns:c15="http://schemas.microsoft.com/office/drawing/2012/chart" uri="{02D57815-91ED-43cb-92C2-25804820EDAC}">
                  <c15:fullRef>
                    <c15:sqref>'Klisz-Emissionen'!$E$757:$X$757</c15:sqref>
                  </c15:fullRef>
                </c:ext>
              </c:extLst>
              <c:f>'Klisz-Emissionen'!$L$757:$X$757</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'Klisz-Emissionen'!$E$706:$X$706</c15:sqref>
                  </c15:fullRef>
                </c:ext>
              </c:extLst>
              <c:f>'Klisz-Emissionen'!$L$706:$X$706</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2-9C87-4FDC-8A6A-8D188590433B}"/>
            </c:ext>
          </c:extLst>
        </c:ser>
        <c:ser>
          <c:idx val="3"/>
          <c:order val="3"/>
          <c:tx>
            <c:v>Klimaschutzszenario Bundesmix KS80</c:v>
          </c:tx>
          <c:spPr>
            <a:solidFill>
              <a:schemeClr val="bg1">
                <a:lumMod val="85000"/>
              </a:schemeClr>
            </a:solidFill>
            <a:ln>
              <a:noFill/>
            </a:ln>
            <a:effectLst/>
          </c:spPr>
          <c:invertIfNegative val="0"/>
          <c:cat>
            <c:strRef>
              <c:extLst>
                <c:ext xmlns:c15="http://schemas.microsoft.com/office/drawing/2012/chart" uri="{02D57815-91ED-43cb-92C2-25804820EDAC}">
                  <c15:fullRef>
                    <c15:sqref>'Klisz-Emissionen'!$E$757:$X$757</c15:sqref>
                  </c15:fullRef>
                </c:ext>
              </c:extLst>
              <c:f>'Klisz-Emissionen'!$L$757:$X$757</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'Klisz-Emissionen'!$E$727:$X$727</c15:sqref>
                  </c15:fullRef>
                </c:ext>
              </c:extLst>
              <c:f>'Klisz-Emissionen'!$L$727:$X$727</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3-9C87-4FDC-8A6A-8D188590433B}"/>
            </c:ext>
          </c:extLst>
        </c:ser>
        <c:ser>
          <c:idx val="4"/>
          <c:order val="4"/>
          <c:tx>
            <c:v>Klimaschutzszenario Regiomix</c:v>
          </c:tx>
          <c:spPr>
            <a:solidFill>
              <a:schemeClr val="tx2">
                <a:lumMod val="60000"/>
                <a:lumOff val="40000"/>
              </a:schemeClr>
            </a:solidFill>
            <a:ln>
              <a:noFill/>
            </a:ln>
            <a:effectLst/>
          </c:spPr>
          <c:invertIfNegative val="0"/>
          <c:cat>
            <c:strRef>
              <c:extLst>
                <c:ext xmlns:c15="http://schemas.microsoft.com/office/drawing/2012/chart" uri="{02D57815-91ED-43cb-92C2-25804820EDAC}">
                  <c15:fullRef>
                    <c15:sqref>'Klisz-Emissionen'!$E$757:$X$757</c15:sqref>
                  </c15:fullRef>
                </c:ext>
              </c:extLst>
              <c:f>'Klisz-Emissionen'!$L$757:$X$757</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'Klisz-Emissionen'!$E$748:$X$748</c15:sqref>
                  </c15:fullRef>
                </c:ext>
              </c:extLst>
              <c:f>'Klisz-Emissionen'!$L$748:$X$748</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9C87-4FDC-8A6A-8D188590433B}"/>
            </c:ext>
          </c:extLst>
        </c:ser>
        <c:ser>
          <c:idx val="5"/>
          <c:order val="5"/>
          <c:tx>
            <c:strRef>
              <c:f>'Klisz-Emissionen'!$D$756</c:f>
              <c:strCache>
                <c:ptCount val="1"/>
                <c:pt idx="0">
                  <c:v>Beispiel: Umstellung der Landesliegenschaften auf Windkraft</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'Klisz-Emissionen'!$E$757:$X$757</c15:sqref>
                  </c15:fullRef>
                </c:ext>
              </c:extLst>
              <c:f>'Klisz-Emissionen'!$L$757:$X$757</c:f>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'Klisz-Emissionen'!$E$769:$X$769</c15:sqref>
                  </c15:fullRef>
                </c:ext>
              </c:extLst>
              <c:f>'Klisz-Emissionen'!$L$769:$X$769</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9C87-4FDC-8A6A-8D188590433B}"/>
            </c:ext>
          </c:extLst>
        </c:ser>
        <c:dLbls>
          <c:showLegendKey val="0"/>
          <c:showVal val="0"/>
          <c:showCatName val="0"/>
          <c:showSerName val="0"/>
          <c:showPercent val="0"/>
          <c:showBubbleSize val="0"/>
        </c:dLbls>
        <c:gapWidth val="219"/>
        <c:overlap val="-27"/>
        <c:axId val="1842513472"/>
        <c:axId val="1262068768"/>
        <c:extLst>
          <c:ext xmlns:c15="http://schemas.microsoft.com/office/drawing/2012/chart" uri="{02D57815-91ED-43cb-92C2-25804820EDAC}">
            <c15:filteredBarSeries>
              <c15:ser>
                <c:idx val="0"/>
                <c:order val="0"/>
                <c:tx>
                  <c:v>Referenzszenario Bundesmix</c:v>
                </c:tx>
                <c:spPr>
                  <a:solidFill>
                    <a:schemeClr val="accent1"/>
                  </a:solidFill>
                  <a:ln>
                    <a:noFill/>
                  </a:ln>
                  <a:effectLst/>
                </c:spPr>
                <c:invertIfNegative val="0"/>
                <c:cat>
                  <c:strRef>
                    <c:extLst>
                      <c:ext uri="{02D57815-91ED-43cb-92C2-25804820EDAC}">
                        <c15:fullRef>
                          <c15:sqref>'Klisz-Emissionen'!$E$757:$X$757</c15:sqref>
                        </c15:fullRef>
                        <c15:formulaRef>
                          <c15:sqref>'Klisz-Emissionen'!$L$757:$X$757</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uri="{02D57815-91ED-43cb-92C2-25804820EDAC}">
                        <c15:fullRef>
                          <c15:sqref>'Refsz-Emissionen'!$E$361:$X$361</c15:sqref>
                        </c15:fullRef>
                        <c15:formulaRef>
                          <c15:sqref>'Refsz-Emissionen'!$L$361:$X$361</c15:sqref>
                        </c15:formulaRef>
                      </c:ext>
                    </c:extLst>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C87-4FDC-8A6A-8D188590433B}"/>
                  </c:ext>
                </c:extLst>
              </c15:ser>
            </c15:filteredBarSeries>
            <c15:filteredBarSeries>
              <c15:ser>
                <c:idx val="1"/>
                <c:order val="1"/>
                <c:tx>
                  <c:v>Referenzszenario Regiomix</c:v>
                </c:tx>
                <c:spPr>
                  <a:solidFill>
                    <a:schemeClr val="tx1"/>
                  </a:solidFill>
                  <a:ln>
                    <a:noFill/>
                  </a:ln>
                  <a:effectLst/>
                </c:spPr>
                <c:invertIfNegative val="0"/>
                <c:cat>
                  <c:strRef>
                    <c:extLst>
                      <c:ext xmlns:c15="http://schemas.microsoft.com/office/drawing/2012/chart" uri="{02D57815-91ED-43cb-92C2-25804820EDAC}">
                        <c15:fullRef>
                          <c15:sqref>'Klisz-Emissionen'!$E$757:$X$757</c15:sqref>
                        </c15:fullRef>
                        <c15:formulaRef>
                          <c15:sqref>'Klisz-Emissionen'!$L$757:$X$757</c15:sqref>
                        </c15:formulaRef>
                      </c:ext>
                    </c:extLst>
                    <c:strCache>
                      <c:ptCount val="13"/>
                      <c:pt idx="0">
                        <c:v>2022</c:v>
                      </c:pt>
                      <c:pt idx="1">
                        <c:v>2023</c:v>
                      </c:pt>
                      <c:pt idx="2">
                        <c:v>2024</c:v>
                      </c:pt>
                      <c:pt idx="3">
                        <c:v>2025</c:v>
                      </c:pt>
                      <c:pt idx="4">
                        <c:v>2026</c:v>
                      </c:pt>
                      <c:pt idx="5">
                        <c:v>2027</c:v>
                      </c:pt>
                      <c:pt idx="6">
                        <c:v>2028</c:v>
                      </c:pt>
                      <c:pt idx="7">
                        <c:v>2029</c:v>
                      </c:pt>
                      <c:pt idx="8">
                        <c:v>2030</c:v>
                      </c:pt>
                      <c:pt idx="9">
                        <c:v>2035</c:v>
                      </c:pt>
                      <c:pt idx="10">
                        <c:v>2040</c:v>
                      </c:pt>
                      <c:pt idx="11">
                        <c:v>2045</c:v>
                      </c:pt>
                      <c:pt idx="12">
                        <c:v>2050</c:v>
                      </c:pt>
                    </c:strCache>
                  </c:strRef>
                </c:cat>
                <c:val>
                  <c:numRef>
                    <c:extLst>
                      <c:ext xmlns:c15="http://schemas.microsoft.com/office/drawing/2012/chart" uri="{02D57815-91ED-43cb-92C2-25804820EDAC}">
                        <c15:fullRef>
                          <c15:sqref>'Refsz-Emissionen'!$E$382:$X$382</c15:sqref>
                        </c15:fullRef>
                        <c15:formulaRef>
                          <c15:sqref>'Refsz-Emissionen'!$L$382:$X$382</c15:sqref>
                        </c15:formulaRef>
                      </c:ext>
                    </c:extLst>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5="http://schemas.microsoft.com/office/drawing/2012/chart">
                  <c:ext xmlns:c16="http://schemas.microsoft.com/office/drawing/2014/chart" uri="{C3380CC4-5D6E-409C-BE32-E72D297353CC}">
                    <c16:uniqueId val="{00000001-9C87-4FDC-8A6A-8D188590433B}"/>
                  </c:ext>
                </c:extLst>
              </c15:ser>
            </c15:filteredBarSeries>
          </c:ext>
        </c:extLst>
      </c:barChart>
      <c:catAx>
        <c:axId val="184251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068768"/>
        <c:crosses val="autoZero"/>
        <c:auto val="1"/>
        <c:lblAlgn val="ctr"/>
        <c:lblOffset val="100"/>
        <c:noMultiLvlLbl val="0"/>
      </c:catAx>
      <c:valAx>
        <c:axId val="1262068768"/>
        <c:scaling>
          <c:orientation val="minMax"/>
          <c:max val="3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de-DE" sz="1050" b="0" i="0" baseline="0">
                    <a:effectLst/>
                  </a:rPr>
                  <a:t>t CO</a:t>
                </a:r>
                <a:r>
                  <a:rPr lang="de-DE" sz="1050" b="0" i="0" baseline="-25000">
                    <a:effectLst/>
                  </a:rPr>
                  <a:t>2</a:t>
                </a:r>
                <a:r>
                  <a:rPr lang="de-DE" sz="1050" b="0" i="0" baseline="0">
                    <a:effectLst/>
                  </a:rPr>
                  <a:t>-Äq. </a:t>
                </a:r>
                <a:endParaRPr lang="en-GB" sz="5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2513472"/>
        <c:crosses val="autoZero"/>
        <c:crossBetween val="between"/>
      </c:valAx>
      <c:spPr>
        <a:noFill/>
        <a:ln>
          <a:noFill/>
        </a:ln>
        <a:effectLst/>
      </c:spPr>
    </c:plotArea>
    <c:legend>
      <c:legendPos val="b"/>
      <c:layout>
        <c:manualLayout>
          <c:xMode val="edge"/>
          <c:yMode val="edge"/>
          <c:x val="8.7746145878725104E-2"/>
          <c:y val="0.88297691760492558"/>
          <c:w val="0.86850555875748514"/>
          <c:h val="8.81154184663780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a:t>
            </a:r>
            <a:r>
              <a:rPr lang="en-US" baseline="0"/>
              <a:t> des Mobilitätssektors 2021 </a:t>
            </a:r>
          </a:p>
          <a:p>
            <a:pPr>
              <a:defRPr/>
            </a:pPr>
            <a:r>
              <a:rPr lang="en-US" baseline="0"/>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baseline="0"/>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6"/>
          <c:order val="6"/>
          <c:tx>
            <c:strRef>
              <c:f>'KliMax-Auswertung'!$J$272</c:f>
              <c:strCache>
                <c:ptCount val="1"/>
                <c:pt idx="0">
                  <c:v>2021</c:v>
                </c:pt>
              </c:strCache>
              <c:extLst xmlns:c15="http://schemas.microsoft.com/office/drawing/2012/chart"/>
            </c:strRef>
          </c:tx>
          <c:spPr>
            <a:solidFill>
              <a:schemeClr val="accent1">
                <a:lumMod val="60000"/>
              </a:schemeClr>
            </a:solidFill>
            <a:ln>
              <a:noFill/>
            </a:ln>
            <a:effectLst/>
          </c:spPr>
          <c:invertIfNegative val="0"/>
          <c:cat>
            <c:strRef>
              <c:f>'KliMax-Auswertung'!$B$273:$B$279</c:f>
              <c:strCache>
                <c:ptCount val="7"/>
                <c:pt idx="0">
                  <c:v>Fuhrpark</c:v>
                </c:pt>
                <c:pt idx="1">
                  <c:v>DR</c:v>
                </c:pt>
                <c:pt idx="2">
                  <c:v>Studierendenreisen (Outgoing)</c:v>
                </c:pt>
                <c:pt idx="3">
                  <c:v>Exkursionen</c:v>
                </c:pt>
                <c:pt idx="4">
                  <c:v>Pendeln</c:v>
                </c:pt>
                <c:pt idx="5">
                  <c:v>Studierendenreisen (Incoming)</c:v>
                </c:pt>
                <c:pt idx="6">
                  <c:v>An- und Abreise von Gästen</c:v>
                </c:pt>
              </c:strCache>
              <c:extLst xmlns:c15="http://schemas.microsoft.com/office/drawing/2012/chart"/>
            </c:strRef>
          </c:cat>
          <c:val>
            <c:numRef>
              <c:f>'KliMax-Auswertung'!$J$273:$J$279</c:f>
              <c:numCache>
                <c:formatCode>#,##0</c:formatCode>
                <c:ptCount val="7"/>
                <c:pt idx="0">
                  <c:v>0</c:v>
                </c:pt>
                <c:pt idx="1">
                  <c:v>0</c:v>
                </c:pt>
                <c:pt idx="2">
                  <c:v>0</c:v>
                </c:pt>
                <c:pt idx="3">
                  <c:v>0</c:v>
                </c:pt>
                <c:pt idx="4">
                  <c:v>0</c:v>
                </c:pt>
                <c:pt idx="5">
                  <c:v>0</c:v>
                </c:pt>
                <c:pt idx="6">
                  <c:v>0</c:v>
                </c:pt>
              </c:numCache>
              <c:extLst xmlns:c15="http://schemas.microsoft.com/office/drawing/2012/chart"/>
            </c:numRef>
          </c:val>
          <c:extLst xmlns:c15="http://schemas.microsoft.com/office/drawing/2012/chart">
            <c:ext xmlns:c16="http://schemas.microsoft.com/office/drawing/2014/chart" uri="{C3380CC4-5D6E-409C-BE32-E72D297353CC}">
              <c16:uniqueId val="{00000006-D1B0-415A-BB4F-03EAB5F8B9D7}"/>
            </c:ext>
          </c:extLst>
        </c:ser>
        <c:dLbls>
          <c:showLegendKey val="0"/>
          <c:showVal val="0"/>
          <c:showCatName val="0"/>
          <c:showSerName val="0"/>
          <c:showPercent val="0"/>
          <c:showBubbleSize val="0"/>
        </c:dLbls>
        <c:gapWidth val="182"/>
        <c:axId val="1722277167"/>
        <c:axId val="1429315119"/>
        <c:extLst>
          <c:ext xmlns:c15="http://schemas.microsoft.com/office/drawing/2012/chart" uri="{02D57815-91ED-43cb-92C2-25804820EDAC}">
            <c15:filteredBarSeries>
              <c15:ser>
                <c:idx val="0"/>
                <c:order val="0"/>
                <c:tx>
                  <c:strRef>
                    <c:extLst>
                      <c:ext uri="{02D57815-91ED-43cb-92C2-25804820EDAC}">
                        <c15:formulaRef>
                          <c15:sqref>'KliMax-Auswertung'!$D$272</c15:sqref>
                        </c15:formulaRef>
                      </c:ext>
                    </c:extLst>
                    <c:strCache>
                      <c:ptCount val="1"/>
                      <c:pt idx="0">
                        <c:v>2015</c:v>
                      </c:pt>
                    </c:strCache>
                  </c:strRef>
                </c:tx>
                <c:spPr>
                  <a:solidFill>
                    <a:schemeClr val="accent1"/>
                  </a:solidFill>
                  <a:ln>
                    <a:noFill/>
                  </a:ln>
                  <a:effectLst/>
                </c:spPr>
                <c:invertIfNegative val="0"/>
                <c:cat>
                  <c:strRef>
                    <c:extLst>
                      <c:ex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c:ext uri="{02D57815-91ED-43cb-92C2-25804820EDAC}">
                        <c15:formulaRef>
                          <c15:sqref>'KliMax-Auswertung'!$D$273:$D$279</c15:sqref>
                        </c15:formulaRef>
                      </c:ext>
                    </c:extLst>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1B0-415A-BB4F-03EAB5F8B9D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'KliMax-Auswertung'!$E$272</c15:sqref>
                        </c15:formulaRef>
                      </c:ext>
                    </c:extLst>
                    <c:strCache>
                      <c:ptCount val="1"/>
                      <c:pt idx="0">
                        <c:v>2016</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'KliMax-Auswertung'!$E$273:$E$279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1-D1B0-415A-BB4F-03EAB5F8B9D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'KliMax-Auswertung'!$F$272</c15:sqref>
                        </c15:formulaRef>
                      </c:ext>
                    </c:extLst>
                    <c:strCache>
                      <c:ptCount val="1"/>
                      <c:pt idx="0">
                        <c:v>2017</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'KliMax-Auswertung'!$F$273:$F$279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2-D1B0-415A-BB4F-03EAB5F8B9D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'KliMax-Auswertung'!$G$272</c15:sqref>
                        </c15:formulaRef>
                      </c:ext>
                    </c:extLst>
                    <c:strCache>
                      <c:ptCount val="1"/>
                      <c:pt idx="0">
                        <c:v>2018</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'KliMax-Auswertung'!$G$273:$G$279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3-D1B0-415A-BB4F-03EAB5F8B9D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'KliMax-Auswertung'!$H$272</c15:sqref>
                        </c15:formulaRef>
                      </c:ext>
                    </c:extLst>
                    <c:strCache>
                      <c:ptCount val="1"/>
                      <c:pt idx="0">
                        <c:v>2019</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'KliMax-Auswertung'!$H$273:$H$279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4-D1B0-415A-BB4F-03EAB5F8B9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'KliMax-Auswertung'!$I$272</c15:sqref>
                        </c15:formulaRef>
                      </c:ext>
                    </c:extLst>
                    <c:strCache>
                      <c:ptCount val="1"/>
                      <c:pt idx="0">
                        <c:v>2020</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'KliMax-Auswertung'!$I$273:$I$279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5-D1B0-415A-BB4F-03EAB5F8B9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'KliMax-Auswertung'!$K$272</c15:sqref>
                        </c15:formulaRef>
                      </c:ext>
                    </c:extLst>
                    <c:strCache>
                      <c:ptCount val="1"/>
                      <c:pt idx="0">
                        <c:v>2022</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'KliMax-Auswertung'!$K$273:$K$279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7-D1B0-415A-BB4F-03EAB5F8B9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'KliMax-Auswertung'!$L$272</c15:sqref>
                        </c15:formulaRef>
                      </c:ext>
                    </c:extLst>
                    <c:strCache>
                      <c:ptCount val="1"/>
                      <c:pt idx="0">
                        <c:v>2023</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'KliMax-Auswertung'!$L$273:$L$279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8-D1B0-415A-BB4F-03EAB5F8B9D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'KliMax-Auswertung'!$M$272</c15:sqref>
                        </c15:formulaRef>
                      </c:ext>
                    </c:extLst>
                    <c:strCache>
                      <c:ptCount val="1"/>
                      <c:pt idx="0">
                        <c:v>2024</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'KliMax-Auswertung'!$M$273:$M$279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9-D1B0-415A-BB4F-03EAB5F8B9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'KliMax-Auswertung'!$N$272</c15:sqref>
                        </c15:formulaRef>
                      </c:ext>
                    </c:extLst>
                    <c:strCache>
                      <c:ptCount val="1"/>
                      <c:pt idx="0">
                        <c:v>2025</c:v>
                      </c:pt>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'KliMax-Auswertung'!$N$273:$N$279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A-D1B0-415A-BB4F-03EAB5F8B9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'KliMax-Auswertung'!$O$272</c15:sqref>
                        </c15:formulaRef>
                      </c:ext>
                    </c:extLst>
                    <c:strCache>
                      <c:ptCount val="1"/>
                      <c:pt idx="0">
                        <c:v>2026</c:v>
                      </c:pt>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'KliMax-Auswertung'!$O$273:$O$279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B-D1B0-415A-BB4F-03EAB5F8B9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'KliMax-Auswertung'!$P$272</c15:sqref>
                        </c15:formulaRef>
                      </c:ext>
                    </c:extLst>
                    <c:strCache>
                      <c:ptCount val="1"/>
                      <c:pt idx="0">
                        <c:v>2027</c:v>
                      </c:pt>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'KliMax-Auswertung'!$P$273:$P$279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C-D1B0-415A-BB4F-03EAB5F8B9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'KliMax-Auswertung'!$Q$272</c15:sqref>
                        </c15:formulaRef>
                      </c:ext>
                    </c:extLst>
                    <c:strCache>
                      <c:ptCount val="1"/>
                      <c:pt idx="0">
                        <c:v>2028</c:v>
                      </c:pt>
                    </c:strCache>
                  </c:strRef>
                </c:tx>
                <c:spPr>
                  <a:solidFill>
                    <a:schemeClr val="accent2">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'KliMax-Auswertung'!$Q$273:$Q$279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D-D1B0-415A-BB4F-03EAB5F8B9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'KliMax-Auswertung'!$R$272</c15:sqref>
                        </c15:formulaRef>
                      </c:ext>
                    </c:extLst>
                    <c:strCache>
                      <c:ptCount val="1"/>
                      <c:pt idx="0">
                        <c:v>2029</c:v>
                      </c:pt>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'KliMax-Auswertung'!$R$273:$R$279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E-D1B0-415A-BB4F-03EAB5F8B9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'KliMax-Auswertung'!$S$272</c15:sqref>
                        </c15:formulaRef>
                      </c:ext>
                    </c:extLst>
                    <c:strCache>
                      <c:ptCount val="1"/>
                      <c:pt idx="0">
                        <c:v>2030</c:v>
                      </c:pt>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'KliMax-Auswertung'!$S$273:$S$279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0F-D1B0-415A-BB4F-03EAB5F8B9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'KliMax-Auswertung'!$T$272</c15:sqref>
                        </c15:formulaRef>
                      </c:ext>
                    </c:extLst>
                    <c:strCache>
                      <c:ptCount val="1"/>
                      <c:pt idx="0">
                        <c:v>2035</c:v>
                      </c:pt>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'KliMax-Auswertung'!$T$273:$T$279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0-D1B0-415A-BB4F-03EAB5F8B9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'KliMax-Auswertung'!$U$272</c15:sqref>
                        </c15:formulaRef>
                      </c:ext>
                    </c:extLst>
                    <c:strCache>
                      <c:ptCount val="1"/>
                      <c:pt idx="0">
                        <c:v>2040</c:v>
                      </c:pt>
                    </c:strCache>
                  </c:strRef>
                </c:tx>
                <c:spPr>
                  <a:solidFill>
                    <a:schemeClr val="accent6">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'KliMax-Auswertung'!$U$273:$U$279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1-D1B0-415A-BB4F-03EAB5F8B9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'KliMax-Auswertung'!$V$272</c15:sqref>
                        </c15:formulaRef>
                      </c:ext>
                    </c:extLst>
                    <c:strCache>
                      <c:ptCount val="1"/>
                      <c:pt idx="0">
                        <c:v>2045</c:v>
                      </c:pt>
                    </c:strCache>
                  </c:strRef>
                </c:tx>
                <c:spPr>
                  <a:solidFill>
                    <a:schemeClr val="accent1">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'KliMax-Auswertung'!$V$273:$V$279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2-D1B0-415A-BB4F-03EAB5F8B9D7}"/>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'KliMax-Auswertung'!$W$272</c15:sqref>
                        </c15:formulaRef>
                      </c:ext>
                    </c:extLst>
                    <c:strCache>
                      <c:ptCount val="1"/>
                      <c:pt idx="0">
                        <c:v>2050</c:v>
                      </c:pt>
                    </c:strCache>
                  </c:strRef>
                </c:tx>
                <c:spPr>
                  <a:solidFill>
                    <a:schemeClr val="accent2">
                      <a:lumMod val="80000"/>
                    </a:schemeClr>
                  </a:solidFill>
                  <a:ln>
                    <a:noFill/>
                  </a:ln>
                  <a:effectLst/>
                </c:spPr>
                <c:invertIfNegative val="0"/>
                <c:cat>
                  <c:strRef>
                    <c:extLst xmlns:c15="http://schemas.microsoft.com/office/drawing/2012/chart">
                      <c:ext xmlns:c15="http://schemas.microsoft.com/office/drawing/2012/chart" uri="{02D57815-91ED-43cb-92C2-25804820EDAC}">
                        <c15:formulaRef>
                          <c15:sqref>'KliMax-Auswertung'!$B$273:$B$279</c15:sqref>
                        </c15:formulaRef>
                      </c:ext>
                    </c:extLst>
                    <c:strCache>
                      <c:ptCount val="7"/>
                      <c:pt idx="0">
                        <c:v>Fuhrpark</c:v>
                      </c:pt>
                      <c:pt idx="1">
                        <c:v>DR</c:v>
                      </c:pt>
                      <c:pt idx="2">
                        <c:v>Studierendenreisen (Outgoing)</c:v>
                      </c:pt>
                      <c:pt idx="3">
                        <c:v>Exkursionen</c:v>
                      </c:pt>
                      <c:pt idx="4">
                        <c:v>Pendeln</c:v>
                      </c:pt>
                      <c:pt idx="5">
                        <c:v>Studierendenreisen (Incoming)</c:v>
                      </c:pt>
                      <c:pt idx="6">
                        <c:v>An- und Abreise von Gästen</c:v>
                      </c:pt>
                    </c:strCache>
                  </c:strRef>
                </c:cat>
                <c:val>
                  <c:numRef>
                    <c:extLst xmlns:c15="http://schemas.microsoft.com/office/drawing/2012/chart">
                      <c:ext xmlns:c15="http://schemas.microsoft.com/office/drawing/2012/chart" uri="{02D57815-91ED-43cb-92C2-25804820EDAC}">
                        <c15:formulaRef>
                          <c15:sqref>'KliMax-Auswertung'!$W$273:$W$279</c15:sqref>
                        </c15:formulaRef>
                      </c:ext>
                    </c:extLst>
                    <c:numCache>
                      <c:formatCode>#,##0</c:formatCode>
                      <c:ptCount val="7"/>
                      <c:pt idx="0">
                        <c:v>0</c:v>
                      </c:pt>
                      <c:pt idx="1">
                        <c:v>0</c:v>
                      </c:pt>
                      <c:pt idx="2">
                        <c:v>0</c:v>
                      </c:pt>
                      <c:pt idx="3">
                        <c:v>0</c:v>
                      </c:pt>
                      <c:pt idx="4">
                        <c:v>0</c:v>
                      </c:pt>
                      <c:pt idx="5">
                        <c:v>0</c:v>
                      </c:pt>
                      <c:pt idx="6">
                        <c:v>0</c:v>
                      </c:pt>
                    </c:numCache>
                  </c:numRef>
                </c:val>
                <c:extLst xmlns:c15="http://schemas.microsoft.com/office/drawing/2012/chart">
                  <c:ext xmlns:c16="http://schemas.microsoft.com/office/drawing/2014/chart" uri="{C3380CC4-5D6E-409C-BE32-E72D297353CC}">
                    <c16:uniqueId val="{00000013-D1B0-415A-BB4F-03EAB5F8B9D7}"/>
                  </c:ext>
                </c:extLst>
              </c15:ser>
            </c15:filteredBarSeries>
          </c:ext>
        </c:extLst>
      </c:barChart>
      <c:catAx>
        <c:axId val="17222771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315119"/>
        <c:crosses val="autoZero"/>
        <c:auto val="1"/>
        <c:lblAlgn val="ctr"/>
        <c:lblOffset val="100"/>
        <c:noMultiLvlLbl val="0"/>
      </c:catAx>
      <c:valAx>
        <c:axId val="14293151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u="none" strike="noStrike" baseline="0">
                    <a:effectLst/>
                  </a:rPr>
                  <a:t>t CO</a:t>
                </a:r>
                <a:r>
                  <a:rPr lang="en-GB" sz="1000" b="0" i="0" u="none" strike="noStrike" baseline="-25000">
                    <a:effectLst/>
                  </a:rPr>
                  <a:t>2</a:t>
                </a:r>
                <a:r>
                  <a:rPr lang="en-GB" sz="1000" b="0" i="0" u="none" strike="noStrike" baseline="0">
                    <a:effectLst/>
                  </a:rPr>
                  <a:t>-Äq.</a:t>
                </a:r>
                <a:r>
                  <a:rPr lang="en-GB" sz="1000" b="0" i="0" u="none" strike="noStrike" baseline="0"/>
                  <a:t>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227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Pendlermobilität 2021 </a:t>
            </a:r>
          </a:p>
          <a:p>
            <a:pPr>
              <a:defRPr/>
            </a:pP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6683102461255721"/>
          <c:y val="0.10282558972032778"/>
          <c:w val="0.49413596823465128"/>
          <c:h val="0.73792430396786557"/>
        </c:manualLayout>
      </c:layout>
      <c:barChart>
        <c:barDir val="bar"/>
        <c:grouping val="clustered"/>
        <c:varyColors val="0"/>
        <c:ser>
          <c:idx val="0"/>
          <c:order val="0"/>
          <c:tx>
            <c:strRef>
              <c:f>'KliMax-Auswertung'!$D$226</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'KliMax-Auswertung'!$B$227:$B$268</c:f>
            </c:multiLvlStrRef>
          </c:cat>
          <c:val>
            <c:numRef>
              <c:f>'KliMax-Auswertung'!$D$227:$D$268</c:f>
              <c:extLst xmlns:c15="http://schemas.microsoft.com/office/drawing/2012/chart"/>
            </c:numRef>
          </c:val>
          <c:extLst xmlns:c15="http://schemas.microsoft.com/office/drawing/2012/chart">
            <c:ext xmlns:c16="http://schemas.microsoft.com/office/drawing/2014/chart" uri="{C3380CC4-5D6E-409C-BE32-E72D297353CC}">
              <c16:uniqueId val="{00000001-C9F6-431F-9B3C-ABE68602F8D0}"/>
            </c:ext>
          </c:extLst>
        </c:ser>
        <c:ser>
          <c:idx val="1"/>
          <c:order val="1"/>
          <c:tx>
            <c:strRef>
              <c:f>'KliMax-Auswertung'!$E$226</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'KliMax-Auswertung'!$B$227:$B$268</c:f>
            </c:multiLvlStrRef>
          </c:cat>
          <c:val>
            <c:numRef>
              <c:f>'KliMax-Auswertung'!$E$227:$E$268</c:f>
              <c:extLst xmlns:c15="http://schemas.microsoft.com/office/drawing/2012/chart"/>
            </c:numRef>
          </c:val>
          <c:extLst xmlns:c15="http://schemas.microsoft.com/office/drawing/2012/chart">
            <c:ext xmlns:c16="http://schemas.microsoft.com/office/drawing/2014/chart" uri="{C3380CC4-5D6E-409C-BE32-E72D297353CC}">
              <c16:uniqueId val="{00000002-C9F6-431F-9B3C-ABE68602F8D0}"/>
            </c:ext>
          </c:extLst>
        </c:ser>
        <c:ser>
          <c:idx val="2"/>
          <c:order val="2"/>
          <c:tx>
            <c:strRef>
              <c:f>'KliMax-Auswertung'!$F$226</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'KliMax-Auswertung'!$B$227:$B$268</c:f>
            </c:multiLvlStrRef>
          </c:cat>
          <c:val>
            <c:numRef>
              <c:f>'KliMax-Auswertung'!$F$227:$F$268</c:f>
              <c:extLst xmlns:c15="http://schemas.microsoft.com/office/drawing/2012/chart"/>
            </c:numRef>
          </c:val>
          <c:extLst xmlns:c15="http://schemas.microsoft.com/office/drawing/2012/chart">
            <c:ext xmlns:c16="http://schemas.microsoft.com/office/drawing/2014/chart" uri="{C3380CC4-5D6E-409C-BE32-E72D297353CC}">
              <c16:uniqueId val="{00000003-C9F6-431F-9B3C-ABE68602F8D0}"/>
            </c:ext>
          </c:extLst>
        </c:ser>
        <c:ser>
          <c:idx val="3"/>
          <c:order val="3"/>
          <c:tx>
            <c:strRef>
              <c:f>'KliMax-Auswertung'!$G$226</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'KliMax-Auswertung'!$B$227:$B$268</c:f>
            </c:multiLvlStrRef>
          </c:cat>
          <c:val>
            <c:numRef>
              <c:f>'KliMax-Auswertung'!$G$227:$G$268</c:f>
              <c:extLst xmlns:c15="http://schemas.microsoft.com/office/drawing/2012/chart"/>
            </c:numRef>
          </c:val>
          <c:extLst xmlns:c15="http://schemas.microsoft.com/office/drawing/2012/chart">
            <c:ext xmlns:c16="http://schemas.microsoft.com/office/drawing/2014/chart" uri="{C3380CC4-5D6E-409C-BE32-E72D297353CC}">
              <c16:uniqueId val="{00000004-C9F6-431F-9B3C-ABE68602F8D0}"/>
            </c:ext>
          </c:extLst>
        </c:ser>
        <c:ser>
          <c:idx val="4"/>
          <c:order val="4"/>
          <c:tx>
            <c:strRef>
              <c:f>'KliMax-Auswertung'!$H$226</c:f>
              <c:strCache>
                <c:ptCount val="1"/>
                <c:pt idx="0">
                  <c:v>2019</c:v>
                </c:pt>
              </c:strCache>
              <c:extLst xmlns:c15="http://schemas.microsoft.com/office/drawing/2012/chart"/>
            </c:strRef>
          </c:tx>
          <c:spPr>
            <a:solidFill>
              <a:schemeClr val="accent5"/>
            </a:solidFill>
            <a:ln>
              <a:noFill/>
            </a:ln>
            <a:effectLst/>
          </c:spPr>
          <c:invertIfNegative val="0"/>
          <c:cat>
            <c:multiLvlStrRef>
              <c:f>'KliMax-Auswertung'!$B$227:$B$268</c:f>
            </c:multiLvlStrRef>
          </c:cat>
          <c:val>
            <c:numRef>
              <c:f>'KliMax-Auswertung'!$H$227:$H$268</c:f>
              <c:extLst xmlns:c15="http://schemas.microsoft.com/office/drawing/2012/chart"/>
            </c:numRef>
          </c:val>
          <c:extLst xmlns:c15="http://schemas.microsoft.com/office/drawing/2012/chart">
            <c:ext xmlns:c16="http://schemas.microsoft.com/office/drawing/2014/chart" uri="{C3380CC4-5D6E-409C-BE32-E72D297353CC}">
              <c16:uniqueId val="{00000000-C9F6-431F-9B3C-ABE68602F8D0}"/>
            </c:ext>
          </c:extLst>
        </c:ser>
        <c:ser>
          <c:idx val="5"/>
          <c:order val="5"/>
          <c:tx>
            <c:strRef>
              <c:f>'KliMax-Auswertung'!$I$226</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'KliMax-Auswertung'!$B$227:$B$268</c:f>
            </c:multiLvlStrRef>
          </c:cat>
          <c:val>
            <c:numRef>
              <c:f>'KliMax-Auswertung'!$I$227:$I$268</c:f>
              <c:extLst xmlns:c15="http://schemas.microsoft.com/office/drawing/2012/chart"/>
            </c:numRef>
          </c:val>
          <c:extLst xmlns:c15="http://schemas.microsoft.com/office/drawing/2012/chart">
            <c:ext xmlns:c16="http://schemas.microsoft.com/office/drawing/2014/chart" uri="{C3380CC4-5D6E-409C-BE32-E72D297353CC}">
              <c16:uniqueId val="{00000005-C9F6-431F-9B3C-ABE68602F8D0}"/>
            </c:ext>
          </c:extLst>
        </c:ser>
        <c:ser>
          <c:idx val="6"/>
          <c:order val="6"/>
          <c:tx>
            <c:strRef>
              <c:f>'KliMax-Auswertung'!$J$226</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'KliMax-Auswertung'!$B$227:$B$268</c:f>
            </c:multiLvlStrRef>
          </c:cat>
          <c:val>
            <c:numRef>
              <c:f>'KliMax-Auswertung'!$J$227:$J$268</c:f>
            </c:numRef>
          </c:val>
          <c:extLst xmlns:c15="http://schemas.microsoft.com/office/drawing/2012/chart">
            <c:ext xmlns:c16="http://schemas.microsoft.com/office/drawing/2014/chart" uri="{C3380CC4-5D6E-409C-BE32-E72D297353CC}">
              <c16:uniqueId val="{00000006-C9F6-431F-9B3C-ABE68602F8D0}"/>
            </c:ext>
          </c:extLst>
        </c:ser>
        <c:ser>
          <c:idx val="7"/>
          <c:order val="7"/>
          <c:tx>
            <c:strRef>
              <c:f>'KliMax-Auswertung'!$K$226</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'KliMax-Auswertung'!$B$227:$B$268</c:f>
            </c:multiLvlStrRef>
          </c:cat>
          <c:val>
            <c:numRef>
              <c:f>'KliMax-Auswertung'!$K$227:$K$268</c:f>
              <c:extLst xmlns:c15="http://schemas.microsoft.com/office/drawing/2012/chart"/>
            </c:numRef>
          </c:val>
          <c:extLst xmlns:c15="http://schemas.microsoft.com/office/drawing/2012/chart">
            <c:ext xmlns:c16="http://schemas.microsoft.com/office/drawing/2014/chart" uri="{C3380CC4-5D6E-409C-BE32-E72D297353CC}">
              <c16:uniqueId val="{00000007-C9F6-431F-9B3C-ABE68602F8D0}"/>
            </c:ext>
          </c:extLst>
        </c:ser>
        <c:ser>
          <c:idx val="8"/>
          <c:order val="8"/>
          <c:tx>
            <c:strRef>
              <c:f>'KliMax-Auswertung'!$L$226</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'KliMax-Auswertung'!$B$227:$B$268</c:f>
            </c:multiLvlStrRef>
          </c:cat>
          <c:val>
            <c:numRef>
              <c:f>'KliMax-Auswertung'!$L$227:$L$268</c:f>
              <c:extLst xmlns:c15="http://schemas.microsoft.com/office/drawing/2012/chart"/>
            </c:numRef>
          </c:val>
          <c:extLst xmlns:c15="http://schemas.microsoft.com/office/drawing/2012/chart">
            <c:ext xmlns:c16="http://schemas.microsoft.com/office/drawing/2014/chart" uri="{C3380CC4-5D6E-409C-BE32-E72D297353CC}">
              <c16:uniqueId val="{00000008-C9F6-431F-9B3C-ABE68602F8D0}"/>
            </c:ext>
          </c:extLst>
        </c:ser>
        <c:ser>
          <c:idx val="9"/>
          <c:order val="9"/>
          <c:tx>
            <c:strRef>
              <c:f>'KliMax-Auswertung'!$M$226</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'KliMax-Auswertung'!$B$227:$B$268</c:f>
            </c:multiLvlStrRef>
          </c:cat>
          <c:val>
            <c:numRef>
              <c:f>'KliMax-Auswertung'!$M$227:$M$268</c:f>
              <c:extLst xmlns:c15="http://schemas.microsoft.com/office/drawing/2012/chart"/>
            </c:numRef>
          </c:val>
          <c:extLst xmlns:c15="http://schemas.microsoft.com/office/drawing/2012/chart">
            <c:ext xmlns:c16="http://schemas.microsoft.com/office/drawing/2014/chart" uri="{C3380CC4-5D6E-409C-BE32-E72D297353CC}">
              <c16:uniqueId val="{00000009-C9F6-431F-9B3C-ABE68602F8D0}"/>
            </c:ext>
          </c:extLst>
        </c:ser>
        <c:ser>
          <c:idx val="10"/>
          <c:order val="10"/>
          <c:tx>
            <c:strRef>
              <c:f>'KliMax-Auswertung'!$N$226</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'KliMax-Auswertung'!$B$227:$B$268</c:f>
            </c:multiLvlStrRef>
          </c:cat>
          <c:val>
            <c:numRef>
              <c:f>'KliMax-Auswertung'!$N$227:$N$268</c:f>
              <c:extLst xmlns:c15="http://schemas.microsoft.com/office/drawing/2012/chart"/>
            </c:numRef>
          </c:val>
          <c:extLst xmlns:c15="http://schemas.microsoft.com/office/drawing/2012/chart">
            <c:ext xmlns:c16="http://schemas.microsoft.com/office/drawing/2014/chart" uri="{C3380CC4-5D6E-409C-BE32-E72D297353CC}">
              <c16:uniqueId val="{0000000A-C9F6-431F-9B3C-ABE68602F8D0}"/>
            </c:ext>
          </c:extLst>
        </c:ser>
        <c:ser>
          <c:idx val="11"/>
          <c:order val="11"/>
          <c:tx>
            <c:strRef>
              <c:f>'KliMax-Auswertung'!$O$226</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'KliMax-Auswertung'!$B$227:$B$268</c:f>
            </c:multiLvlStrRef>
          </c:cat>
          <c:val>
            <c:numRef>
              <c:f>'KliMax-Auswertung'!$O$227:$O$268</c:f>
              <c:extLst xmlns:c15="http://schemas.microsoft.com/office/drawing/2012/chart"/>
            </c:numRef>
          </c:val>
          <c:extLst xmlns:c15="http://schemas.microsoft.com/office/drawing/2012/chart">
            <c:ext xmlns:c16="http://schemas.microsoft.com/office/drawing/2014/chart" uri="{C3380CC4-5D6E-409C-BE32-E72D297353CC}">
              <c16:uniqueId val="{0000000B-C9F6-431F-9B3C-ABE68602F8D0}"/>
            </c:ext>
          </c:extLst>
        </c:ser>
        <c:ser>
          <c:idx val="12"/>
          <c:order val="12"/>
          <c:tx>
            <c:strRef>
              <c:f>'KliMax-Auswertung'!$P$226</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'KliMax-Auswertung'!$B$227:$B$268</c:f>
            </c:multiLvlStrRef>
          </c:cat>
          <c:val>
            <c:numRef>
              <c:f>'KliMax-Auswertung'!$P$227:$P$268</c:f>
              <c:extLst xmlns:c15="http://schemas.microsoft.com/office/drawing/2012/chart"/>
            </c:numRef>
          </c:val>
          <c:extLst xmlns:c15="http://schemas.microsoft.com/office/drawing/2012/chart">
            <c:ext xmlns:c16="http://schemas.microsoft.com/office/drawing/2014/chart" uri="{C3380CC4-5D6E-409C-BE32-E72D297353CC}">
              <c16:uniqueId val="{0000000C-C9F6-431F-9B3C-ABE68602F8D0}"/>
            </c:ext>
          </c:extLst>
        </c:ser>
        <c:ser>
          <c:idx val="13"/>
          <c:order val="13"/>
          <c:tx>
            <c:strRef>
              <c:f>'KliMax-Auswertung'!$Q$226</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'KliMax-Auswertung'!$B$227:$B$268</c:f>
            </c:multiLvlStrRef>
          </c:cat>
          <c:val>
            <c:numRef>
              <c:f>'KliMax-Auswertung'!$Q$227:$Q$268</c:f>
              <c:extLst xmlns:c15="http://schemas.microsoft.com/office/drawing/2012/chart"/>
            </c:numRef>
          </c:val>
          <c:extLst xmlns:c15="http://schemas.microsoft.com/office/drawing/2012/chart">
            <c:ext xmlns:c16="http://schemas.microsoft.com/office/drawing/2014/chart" uri="{C3380CC4-5D6E-409C-BE32-E72D297353CC}">
              <c16:uniqueId val="{0000000D-C9F6-431F-9B3C-ABE68602F8D0}"/>
            </c:ext>
          </c:extLst>
        </c:ser>
        <c:ser>
          <c:idx val="14"/>
          <c:order val="14"/>
          <c:tx>
            <c:strRef>
              <c:f>'KliMax-Auswertung'!$R$226</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'KliMax-Auswertung'!$B$227:$B$268</c:f>
            </c:multiLvlStrRef>
          </c:cat>
          <c:val>
            <c:numRef>
              <c:f>'KliMax-Auswertung'!$R$227:$R$268</c:f>
              <c:extLst xmlns:c15="http://schemas.microsoft.com/office/drawing/2012/chart"/>
            </c:numRef>
          </c:val>
          <c:extLst xmlns:c15="http://schemas.microsoft.com/office/drawing/2012/chart">
            <c:ext xmlns:c16="http://schemas.microsoft.com/office/drawing/2014/chart" uri="{C3380CC4-5D6E-409C-BE32-E72D297353CC}">
              <c16:uniqueId val="{0000000E-C9F6-431F-9B3C-ABE68602F8D0}"/>
            </c:ext>
          </c:extLst>
        </c:ser>
        <c:ser>
          <c:idx val="15"/>
          <c:order val="15"/>
          <c:tx>
            <c:strRef>
              <c:f>'KliMax-Auswertung'!$S$226</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'KliMax-Auswertung'!$B$227:$B$268</c:f>
            </c:multiLvlStrRef>
          </c:cat>
          <c:val>
            <c:numRef>
              <c:f>'KliMax-Auswertung'!$S$227:$S$268</c:f>
              <c:extLst xmlns:c15="http://schemas.microsoft.com/office/drawing/2012/chart"/>
            </c:numRef>
          </c:val>
          <c:extLst xmlns:c15="http://schemas.microsoft.com/office/drawing/2012/chart">
            <c:ext xmlns:c16="http://schemas.microsoft.com/office/drawing/2014/chart" uri="{C3380CC4-5D6E-409C-BE32-E72D297353CC}">
              <c16:uniqueId val="{0000000F-C9F6-431F-9B3C-ABE68602F8D0}"/>
            </c:ext>
          </c:extLst>
        </c:ser>
        <c:ser>
          <c:idx val="16"/>
          <c:order val="16"/>
          <c:tx>
            <c:strRef>
              <c:f>'KliMax-Auswertung'!$T$226</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'KliMax-Auswertung'!$B$227:$B$268</c:f>
            </c:multiLvlStrRef>
          </c:cat>
          <c:val>
            <c:numRef>
              <c:f>'KliMax-Auswertung'!$T$227:$T$268</c:f>
              <c:extLst xmlns:c15="http://schemas.microsoft.com/office/drawing/2012/chart"/>
            </c:numRef>
          </c:val>
          <c:extLst xmlns:c15="http://schemas.microsoft.com/office/drawing/2012/chart">
            <c:ext xmlns:c16="http://schemas.microsoft.com/office/drawing/2014/chart" uri="{C3380CC4-5D6E-409C-BE32-E72D297353CC}">
              <c16:uniqueId val="{00000010-C9F6-431F-9B3C-ABE68602F8D0}"/>
            </c:ext>
          </c:extLst>
        </c:ser>
        <c:ser>
          <c:idx val="17"/>
          <c:order val="17"/>
          <c:tx>
            <c:strRef>
              <c:f>'KliMax-Auswertung'!$U$226</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'KliMax-Auswertung'!$B$227:$B$268</c:f>
            </c:multiLvlStrRef>
          </c:cat>
          <c:val>
            <c:numRef>
              <c:f>'KliMax-Auswertung'!$U$227:$U$268</c:f>
              <c:extLst xmlns:c15="http://schemas.microsoft.com/office/drawing/2012/chart"/>
            </c:numRef>
          </c:val>
          <c:extLst xmlns:c15="http://schemas.microsoft.com/office/drawing/2012/chart">
            <c:ext xmlns:c16="http://schemas.microsoft.com/office/drawing/2014/chart" uri="{C3380CC4-5D6E-409C-BE32-E72D297353CC}">
              <c16:uniqueId val="{00000011-C9F6-431F-9B3C-ABE68602F8D0}"/>
            </c:ext>
          </c:extLst>
        </c:ser>
        <c:ser>
          <c:idx val="18"/>
          <c:order val="18"/>
          <c:tx>
            <c:strRef>
              <c:f>'KliMax-Auswertung'!$V$226</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'KliMax-Auswertung'!$B$227:$B$268</c:f>
            </c:multiLvlStrRef>
          </c:cat>
          <c:val>
            <c:numRef>
              <c:f>'KliMax-Auswertung'!$V$227:$V$268</c:f>
              <c:extLst xmlns:c15="http://schemas.microsoft.com/office/drawing/2012/chart"/>
            </c:numRef>
          </c:val>
          <c:extLst xmlns:c15="http://schemas.microsoft.com/office/drawing/2012/chart">
            <c:ext xmlns:c16="http://schemas.microsoft.com/office/drawing/2014/chart" uri="{C3380CC4-5D6E-409C-BE32-E72D297353CC}">
              <c16:uniqueId val="{00000012-C9F6-431F-9B3C-ABE68602F8D0}"/>
            </c:ext>
          </c:extLst>
        </c:ser>
        <c:ser>
          <c:idx val="19"/>
          <c:order val="19"/>
          <c:tx>
            <c:strRef>
              <c:f>'KliMax-Auswertung'!$W$226</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'KliMax-Auswertung'!$B$227:$B$268</c:f>
            </c:multiLvlStrRef>
          </c:cat>
          <c:val>
            <c:numRef>
              <c:f>'KliMax-Auswertung'!$W$227:$W$268</c:f>
              <c:extLst xmlns:c15="http://schemas.microsoft.com/office/drawing/2012/chart"/>
            </c:numRef>
          </c:val>
          <c:extLst xmlns:c15="http://schemas.microsoft.com/office/drawing/2012/chart">
            <c:ext xmlns:c16="http://schemas.microsoft.com/office/drawing/2014/chart" uri="{C3380CC4-5D6E-409C-BE32-E72D297353CC}">
              <c16:uniqueId val="{00000013-C9F6-431F-9B3C-ABE68602F8D0}"/>
            </c:ext>
          </c:extLst>
        </c:ser>
        <c:dLbls>
          <c:showLegendKey val="0"/>
          <c:showVal val="0"/>
          <c:showCatName val="0"/>
          <c:showSerName val="0"/>
          <c:showPercent val="0"/>
          <c:showBubbleSize val="0"/>
        </c:dLbls>
        <c:gapWidth val="182"/>
        <c:axId val="1993992783"/>
        <c:axId val="1437547855"/>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Modal</a:t>
            </a:r>
            <a:r>
              <a:rPr lang="en-GB" baseline="0"/>
              <a:t> Split der Studierendenreisen 2021 </a:t>
            </a:r>
          </a:p>
          <a:p>
            <a:pPr>
              <a:defRPr/>
            </a:pP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7045452600342502"/>
          <c:y val="8.5999872657427257E-2"/>
          <c:w val="0.49288633621028372"/>
          <c:h val="0.77323802449222145"/>
        </c:manualLayout>
      </c:layout>
      <c:barChart>
        <c:barDir val="bar"/>
        <c:grouping val="clustered"/>
        <c:varyColors val="0"/>
        <c:ser>
          <c:idx val="0"/>
          <c:order val="0"/>
          <c:tx>
            <c:strRef>
              <c:f>'KliMax-Auswertung'!$D$226</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'KliMax-Auswertung'!$B$227:$B$268</c:f>
            </c:multiLvlStrRef>
          </c:cat>
          <c:val>
            <c:numRef>
              <c:f>'KliMax-Auswertung'!$D$227:$D$268</c:f>
              <c:extLst xmlns:c15="http://schemas.microsoft.com/office/drawing/2012/chart"/>
            </c:numRef>
          </c:val>
          <c:extLst xmlns:c15="http://schemas.microsoft.com/office/drawing/2012/chart">
            <c:ext xmlns:c16="http://schemas.microsoft.com/office/drawing/2014/chart" uri="{C3380CC4-5D6E-409C-BE32-E72D297353CC}">
              <c16:uniqueId val="{00000001-3637-4F8E-A074-5793D6FCEC59}"/>
            </c:ext>
          </c:extLst>
        </c:ser>
        <c:ser>
          <c:idx val="1"/>
          <c:order val="1"/>
          <c:tx>
            <c:strRef>
              <c:f>'KliMax-Auswertung'!$E$226</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'KliMax-Auswertung'!$B$227:$B$268</c:f>
            </c:multiLvlStrRef>
          </c:cat>
          <c:val>
            <c:numRef>
              <c:f>'KliMax-Auswertung'!$E$227:$E$268</c:f>
              <c:extLst xmlns:c15="http://schemas.microsoft.com/office/drawing/2012/chart"/>
            </c:numRef>
          </c:val>
          <c:extLst xmlns:c15="http://schemas.microsoft.com/office/drawing/2012/chart">
            <c:ext xmlns:c16="http://schemas.microsoft.com/office/drawing/2014/chart" uri="{C3380CC4-5D6E-409C-BE32-E72D297353CC}">
              <c16:uniqueId val="{00000002-3637-4F8E-A074-5793D6FCEC59}"/>
            </c:ext>
          </c:extLst>
        </c:ser>
        <c:ser>
          <c:idx val="2"/>
          <c:order val="2"/>
          <c:tx>
            <c:strRef>
              <c:f>'KliMax-Auswertung'!$F$226</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'KliMax-Auswertung'!$B$227:$B$268</c:f>
            </c:multiLvlStrRef>
          </c:cat>
          <c:val>
            <c:numRef>
              <c:f>'KliMax-Auswertung'!$F$227:$F$268</c:f>
              <c:extLst xmlns:c15="http://schemas.microsoft.com/office/drawing/2012/chart"/>
            </c:numRef>
          </c:val>
          <c:extLst xmlns:c15="http://schemas.microsoft.com/office/drawing/2012/chart">
            <c:ext xmlns:c16="http://schemas.microsoft.com/office/drawing/2014/chart" uri="{C3380CC4-5D6E-409C-BE32-E72D297353CC}">
              <c16:uniqueId val="{00000003-3637-4F8E-A074-5793D6FCEC59}"/>
            </c:ext>
          </c:extLst>
        </c:ser>
        <c:ser>
          <c:idx val="3"/>
          <c:order val="3"/>
          <c:tx>
            <c:strRef>
              <c:f>'KliMax-Auswertung'!$G$226</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'KliMax-Auswertung'!$B$227:$B$268</c:f>
            </c:multiLvlStrRef>
          </c:cat>
          <c:val>
            <c:numRef>
              <c:f>'KliMax-Auswertung'!$G$227:$G$268</c:f>
              <c:extLst xmlns:c15="http://schemas.microsoft.com/office/drawing/2012/chart"/>
            </c:numRef>
          </c:val>
          <c:extLst xmlns:c15="http://schemas.microsoft.com/office/drawing/2012/chart">
            <c:ext xmlns:c16="http://schemas.microsoft.com/office/drawing/2014/chart" uri="{C3380CC4-5D6E-409C-BE32-E72D297353CC}">
              <c16:uniqueId val="{00000004-3637-4F8E-A074-5793D6FCEC59}"/>
            </c:ext>
          </c:extLst>
        </c:ser>
        <c:ser>
          <c:idx val="4"/>
          <c:order val="4"/>
          <c:tx>
            <c:strRef>
              <c:f>'KliMax-Auswertung'!$H$226</c:f>
              <c:strCache>
                <c:ptCount val="1"/>
                <c:pt idx="0">
                  <c:v>2019</c:v>
                </c:pt>
              </c:strCache>
              <c:extLst xmlns:c15="http://schemas.microsoft.com/office/drawing/2012/chart"/>
            </c:strRef>
          </c:tx>
          <c:spPr>
            <a:solidFill>
              <a:schemeClr val="accent5"/>
            </a:solidFill>
            <a:ln>
              <a:noFill/>
            </a:ln>
            <a:effectLst/>
          </c:spPr>
          <c:invertIfNegative val="0"/>
          <c:cat>
            <c:multiLvlStrRef>
              <c:f>'KliMax-Auswertung'!$B$227:$B$268</c:f>
            </c:multiLvlStrRef>
          </c:cat>
          <c:val>
            <c:numRef>
              <c:f>'KliMax-Auswertung'!$H$227:$H$268</c:f>
              <c:extLst xmlns:c15="http://schemas.microsoft.com/office/drawing/2012/chart"/>
            </c:numRef>
          </c:val>
          <c:extLst xmlns:c15="http://schemas.microsoft.com/office/drawing/2012/chart">
            <c:ext xmlns:c16="http://schemas.microsoft.com/office/drawing/2014/chart" uri="{C3380CC4-5D6E-409C-BE32-E72D297353CC}">
              <c16:uniqueId val="{00000000-3637-4F8E-A074-5793D6FCEC59}"/>
            </c:ext>
          </c:extLst>
        </c:ser>
        <c:ser>
          <c:idx val="5"/>
          <c:order val="5"/>
          <c:tx>
            <c:strRef>
              <c:f>'KliMax-Auswertung'!$I$226</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'KliMax-Auswertung'!$B$227:$B$268</c:f>
            </c:multiLvlStrRef>
          </c:cat>
          <c:val>
            <c:numRef>
              <c:f>'KliMax-Auswertung'!$I$227:$I$268</c:f>
              <c:extLst xmlns:c15="http://schemas.microsoft.com/office/drawing/2012/chart"/>
            </c:numRef>
          </c:val>
          <c:extLst xmlns:c15="http://schemas.microsoft.com/office/drawing/2012/chart">
            <c:ext xmlns:c16="http://schemas.microsoft.com/office/drawing/2014/chart" uri="{C3380CC4-5D6E-409C-BE32-E72D297353CC}">
              <c16:uniqueId val="{00000005-3637-4F8E-A074-5793D6FCEC59}"/>
            </c:ext>
          </c:extLst>
        </c:ser>
        <c:ser>
          <c:idx val="6"/>
          <c:order val="6"/>
          <c:tx>
            <c:strRef>
              <c:f>'KliMax-Auswertung'!$J$226</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'KliMax-Auswertung'!$B$227:$B$268</c:f>
            </c:multiLvlStrRef>
          </c:cat>
          <c:val>
            <c:numRef>
              <c:f>'KliMax-Auswertung'!$J$227:$J$268</c:f>
            </c:numRef>
          </c:val>
          <c:extLst xmlns:c15="http://schemas.microsoft.com/office/drawing/2012/chart">
            <c:ext xmlns:c16="http://schemas.microsoft.com/office/drawing/2014/chart" uri="{C3380CC4-5D6E-409C-BE32-E72D297353CC}">
              <c16:uniqueId val="{00000006-3637-4F8E-A074-5793D6FCEC59}"/>
            </c:ext>
          </c:extLst>
        </c:ser>
        <c:ser>
          <c:idx val="7"/>
          <c:order val="7"/>
          <c:tx>
            <c:strRef>
              <c:f>'KliMax-Auswertung'!$K$226</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'KliMax-Auswertung'!$B$227:$B$268</c:f>
            </c:multiLvlStrRef>
          </c:cat>
          <c:val>
            <c:numRef>
              <c:f>'KliMax-Auswertung'!$K$227:$K$268</c:f>
              <c:extLst xmlns:c15="http://schemas.microsoft.com/office/drawing/2012/chart"/>
            </c:numRef>
          </c:val>
          <c:extLst xmlns:c15="http://schemas.microsoft.com/office/drawing/2012/chart">
            <c:ext xmlns:c16="http://schemas.microsoft.com/office/drawing/2014/chart" uri="{C3380CC4-5D6E-409C-BE32-E72D297353CC}">
              <c16:uniqueId val="{00000007-3637-4F8E-A074-5793D6FCEC59}"/>
            </c:ext>
          </c:extLst>
        </c:ser>
        <c:ser>
          <c:idx val="8"/>
          <c:order val="8"/>
          <c:tx>
            <c:strRef>
              <c:f>'KliMax-Auswertung'!$L$226</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'KliMax-Auswertung'!$B$227:$B$268</c:f>
            </c:multiLvlStrRef>
          </c:cat>
          <c:val>
            <c:numRef>
              <c:f>'KliMax-Auswertung'!$L$227:$L$268</c:f>
              <c:extLst xmlns:c15="http://schemas.microsoft.com/office/drawing/2012/chart"/>
            </c:numRef>
          </c:val>
          <c:extLst xmlns:c15="http://schemas.microsoft.com/office/drawing/2012/chart">
            <c:ext xmlns:c16="http://schemas.microsoft.com/office/drawing/2014/chart" uri="{C3380CC4-5D6E-409C-BE32-E72D297353CC}">
              <c16:uniqueId val="{00000008-3637-4F8E-A074-5793D6FCEC59}"/>
            </c:ext>
          </c:extLst>
        </c:ser>
        <c:ser>
          <c:idx val="9"/>
          <c:order val="9"/>
          <c:tx>
            <c:strRef>
              <c:f>'KliMax-Auswertung'!$M$226</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'KliMax-Auswertung'!$B$227:$B$268</c:f>
            </c:multiLvlStrRef>
          </c:cat>
          <c:val>
            <c:numRef>
              <c:f>'KliMax-Auswertung'!$M$227:$M$268</c:f>
              <c:extLst xmlns:c15="http://schemas.microsoft.com/office/drawing/2012/chart"/>
            </c:numRef>
          </c:val>
          <c:extLst xmlns:c15="http://schemas.microsoft.com/office/drawing/2012/chart">
            <c:ext xmlns:c16="http://schemas.microsoft.com/office/drawing/2014/chart" uri="{C3380CC4-5D6E-409C-BE32-E72D297353CC}">
              <c16:uniqueId val="{00000009-3637-4F8E-A074-5793D6FCEC59}"/>
            </c:ext>
          </c:extLst>
        </c:ser>
        <c:ser>
          <c:idx val="10"/>
          <c:order val="10"/>
          <c:tx>
            <c:strRef>
              <c:f>'KliMax-Auswertung'!$N$226</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'KliMax-Auswertung'!$B$227:$B$268</c:f>
            </c:multiLvlStrRef>
          </c:cat>
          <c:val>
            <c:numRef>
              <c:f>'KliMax-Auswertung'!$N$227:$N$268</c:f>
              <c:extLst xmlns:c15="http://schemas.microsoft.com/office/drawing/2012/chart"/>
            </c:numRef>
          </c:val>
          <c:extLst xmlns:c15="http://schemas.microsoft.com/office/drawing/2012/chart">
            <c:ext xmlns:c16="http://schemas.microsoft.com/office/drawing/2014/chart" uri="{C3380CC4-5D6E-409C-BE32-E72D297353CC}">
              <c16:uniqueId val="{0000000A-3637-4F8E-A074-5793D6FCEC59}"/>
            </c:ext>
          </c:extLst>
        </c:ser>
        <c:ser>
          <c:idx val="11"/>
          <c:order val="11"/>
          <c:tx>
            <c:strRef>
              <c:f>'KliMax-Auswertung'!$O$226</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'KliMax-Auswertung'!$B$227:$B$268</c:f>
            </c:multiLvlStrRef>
          </c:cat>
          <c:val>
            <c:numRef>
              <c:f>'KliMax-Auswertung'!$O$227:$O$268</c:f>
              <c:extLst xmlns:c15="http://schemas.microsoft.com/office/drawing/2012/chart"/>
            </c:numRef>
          </c:val>
          <c:extLst xmlns:c15="http://schemas.microsoft.com/office/drawing/2012/chart">
            <c:ext xmlns:c16="http://schemas.microsoft.com/office/drawing/2014/chart" uri="{C3380CC4-5D6E-409C-BE32-E72D297353CC}">
              <c16:uniqueId val="{0000000B-3637-4F8E-A074-5793D6FCEC59}"/>
            </c:ext>
          </c:extLst>
        </c:ser>
        <c:ser>
          <c:idx val="12"/>
          <c:order val="12"/>
          <c:tx>
            <c:strRef>
              <c:f>'KliMax-Auswertung'!$P$226</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'KliMax-Auswertung'!$B$227:$B$268</c:f>
            </c:multiLvlStrRef>
          </c:cat>
          <c:val>
            <c:numRef>
              <c:f>'KliMax-Auswertung'!$P$227:$P$268</c:f>
              <c:extLst xmlns:c15="http://schemas.microsoft.com/office/drawing/2012/chart"/>
            </c:numRef>
          </c:val>
          <c:extLst xmlns:c15="http://schemas.microsoft.com/office/drawing/2012/chart">
            <c:ext xmlns:c16="http://schemas.microsoft.com/office/drawing/2014/chart" uri="{C3380CC4-5D6E-409C-BE32-E72D297353CC}">
              <c16:uniqueId val="{0000000C-3637-4F8E-A074-5793D6FCEC59}"/>
            </c:ext>
          </c:extLst>
        </c:ser>
        <c:ser>
          <c:idx val="13"/>
          <c:order val="13"/>
          <c:tx>
            <c:strRef>
              <c:f>'KliMax-Auswertung'!$Q$226</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'KliMax-Auswertung'!$B$227:$B$268</c:f>
            </c:multiLvlStrRef>
          </c:cat>
          <c:val>
            <c:numRef>
              <c:f>'KliMax-Auswertung'!$Q$227:$Q$268</c:f>
              <c:extLst xmlns:c15="http://schemas.microsoft.com/office/drawing/2012/chart"/>
            </c:numRef>
          </c:val>
          <c:extLst xmlns:c15="http://schemas.microsoft.com/office/drawing/2012/chart">
            <c:ext xmlns:c16="http://schemas.microsoft.com/office/drawing/2014/chart" uri="{C3380CC4-5D6E-409C-BE32-E72D297353CC}">
              <c16:uniqueId val="{0000000D-3637-4F8E-A074-5793D6FCEC59}"/>
            </c:ext>
          </c:extLst>
        </c:ser>
        <c:ser>
          <c:idx val="14"/>
          <c:order val="14"/>
          <c:tx>
            <c:strRef>
              <c:f>'KliMax-Auswertung'!$R$226</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'KliMax-Auswertung'!$B$227:$B$268</c:f>
            </c:multiLvlStrRef>
          </c:cat>
          <c:val>
            <c:numRef>
              <c:f>'KliMax-Auswertung'!$R$227:$R$268</c:f>
              <c:extLst xmlns:c15="http://schemas.microsoft.com/office/drawing/2012/chart"/>
            </c:numRef>
          </c:val>
          <c:extLst xmlns:c15="http://schemas.microsoft.com/office/drawing/2012/chart">
            <c:ext xmlns:c16="http://schemas.microsoft.com/office/drawing/2014/chart" uri="{C3380CC4-5D6E-409C-BE32-E72D297353CC}">
              <c16:uniqueId val="{0000000E-3637-4F8E-A074-5793D6FCEC59}"/>
            </c:ext>
          </c:extLst>
        </c:ser>
        <c:ser>
          <c:idx val="15"/>
          <c:order val="15"/>
          <c:tx>
            <c:strRef>
              <c:f>'KliMax-Auswertung'!$S$226</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'KliMax-Auswertung'!$B$227:$B$268</c:f>
            </c:multiLvlStrRef>
          </c:cat>
          <c:val>
            <c:numRef>
              <c:f>'KliMax-Auswertung'!$S$227:$S$268</c:f>
              <c:extLst xmlns:c15="http://schemas.microsoft.com/office/drawing/2012/chart"/>
            </c:numRef>
          </c:val>
          <c:extLst xmlns:c15="http://schemas.microsoft.com/office/drawing/2012/chart">
            <c:ext xmlns:c16="http://schemas.microsoft.com/office/drawing/2014/chart" uri="{C3380CC4-5D6E-409C-BE32-E72D297353CC}">
              <c16:uniqueId val="{0000000F-3637-4F8E-A074-5793D6FCEC59}"/>
            </c:ext>
          </c:extLst>
        </c:ser>
        <c:ser>
          <c:idx val="16"/>
          <c:order val="16"/>
          <c:tx>
            <c:strRef>
              <c:f>'KliMax-Auswertung'!$T$226</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'KliMax-Auswertung'!$B$227:$B$268</c:f>
            </c:multiLvlStrRef>
          </c:cat>
          <c:val>
            <c:numRef>
              <c:f>'KliMax-Auswertung'!$T$227:$T$268</c:f>
              <c:extLst xmlns:c15="http://schemas.microsoft.com/office/drawing/2012/chart"/>
            </c:numRef>
          </c:val>
          <c:extLst xmlns:c15="http://schemas.microsoft.com/office/drawing/2012/chart">
            <c:ext xmlns:c16="http://schemas.microsoft.com/office/drawing/2014/chart" uri="{C3380CC4-5D6E-409C-BE32-E72D297353CC}">
              <c16:uniqueId val="{00000010-3637-4F8E-A074-5793D6FCEC59}"/>
            </c:ext>
          </c:extLst>
        </c:ser>
        <c:ser>
          <c:idx val="17"/>
          <c:order val="17"/>
          <c:tx>
            <c:strRef>
              <c:f>'KliMax-Auswertung'!$U$226</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'KliMax-Auswertung'!$B$227:$B$268</c:f>
            </c:multiLvlStrRef>
          </c:cat>
          <c:val>
            <c:numRef>
              <c:f>'KliMax-Auswertung'!$U$227:$U$268</c:f>
              <c:extLst xmlns:c15="http://schemas.microsoft.com/office/drawing/2012/chart"/>
            </c:numRef>
          </c:val>
          <c:extLst xmlns:c15="http://schemas.microsoft.com/office/drawing/2012/chart">
            <c:ext xmlns:c16="http://schemas.microsoft.com/office/drawing/2014/chart" uri="{C3380CC4-5D6E-409C-BE32-E72D297353CC}">
              <c16:uniqueId val="{00000011-3637-4F8E-A074-5793D6FCEC59}"/>
            </c:ext>
          </c:extLst>
        </c:ser>
        <c:ser>
          <c:idx val="18"/>
          <c:order val="18"/>
          <c:tx>
            <c:strRef>
              <c:f>'KliMax-Auswertung'!$V$226</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'KliMax-Auswertung'!$B$227:$B$268</c:f>
            </c:multiLvlStrRef>
          </c:cat>
          <c:val>
            <c:numRef>
              <c:f>'KliMax-Auswertung'!$V$227:$V$268</c:f>
              <c:extLst xmlns:c15="http://schemas.microsoft.com/office/drawing/2012/chart"/>
            </c:numRef>
          </c:val>
          <c:extLst xmlns:c15="http://schemas.microsoft.com/office/drawing/2012/chart">
            <c:ext xmlns:c16="http://schemas.microsoft.com/office/drawing/2014/chart" uri="{C3380CC4-5D6E-409C-BE32-E72D297353CC}">
              <c16:uniqueId val="{00000012-3637-4F8E-A074-5793D6FCEC59}"/>
            </c:ext>
          </c:extLst>
        </c:ser>
        <c:ser>
          <c:idx val="19"/>
          <c:order val="19"/>
          <c:tx>
            <c:strRef>
              <c:f>'KliMax-Auswertung'!$W$226</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'KliMax-Auswertung'!$B$227:$B$268</c:f>
            </c:multiLvlStrRef>
          </c:cat>
          <c:val>
            <c:numRef>
              <c:f>'KliMax-Auswertung'!$W$227:$W$268</c:f>
              <c:extLst xmlns:c15="http://schemas.microsoft.com/office/drawing/2012/chart"/>
            </c:numRef>
          </c:val>
          <c:extLst xmlns:c15="http://schemas.microsoft.com/office/drawing/2012/chart">
            <c:ext xmlns:c16="http://schemas.microsoft.com/office/drawing/2014/chart" uri="{C3380CC4-5D6E-409C-BE32-E72D297353CC}">
              <c16:uniqueId val="{00000013-3637-4F8E-A074-5793D6FCEC59}"/>
            </c:ext>
          </c:extLst>
        </c:ser>
        <c:dLbls>
          <c:showLegendKey val="0"/>
          <c:showVal val="0"/>
          <c:showCatName val="0"/>
          <c:showSerName val="0"/>
          <c:showPercent val="0"/>
          <c:showBubbleSize val="0"/>
        </c:dLbls>
        <c:gapWidth val="182"/>
        <c:axId val="1993992783"/>
        <c:axId val="1437547855"/>
        <c:extLst/>
      </c:barChart>
      <c:catAx>
        <c:axId val="19939927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547855"/>
        <c:crosses val="autoZero"/>
        <c:auto val="1"/>
        <c:lblAlgn val="ctr"/>
        <c:lblOffset val="100"/>
        <c:noMultiLvlLbl val="0"/>
      </c:catAx>
      <c:valAx>
        <c:axId val="14375478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000" b="0" i="0" baseline="0">
                    <a:effectLst/>
                  </a:rPr>
                  <a:t>t CO</a:t>
                </a:r>
                <a:r>
                  <a:rPr lang="en-GB" sz="1000" b="0" i="0" baseline="-25000">
                    <a:effectLst/>
                  </a:rPr>
                  <a:t>2</a:t>
                </a:r>
                <a:r>
                  <a:rPr lang="en-GB" sz="1000" b="0" i="0" baseline="0">
                    <a:effectLst/>
                  </a:rPr>
                  <a:t>-Äq. </a:t>
                </a:r>
                <a:endParaRPr lang="en-GB" sz="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3992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Emissionen der Dienstreisen</a:t>
            </a:r>
            <a:r>
              <a:rPr lang="en-US" baseline="0"/>
              <a:t> inkl. Fuhrpark </a:t>
            </a:r>
            <a:r>
              <a:rPr lang="en-US"/>
              <a:t>2021 </a:t>
            </a:r>
          </a:p>
          <a:p>
            <a:pPr>
              <a:defRPr/>
            </a:pPr>
            <a:r>
              <a:rPr lang="en-US" sz="1400" b="0" i="0" u="none" strike="noStrike" baseline="0">
                <a:effectLst/>
              </a:rPr>
              <a:t>[t</a:t>
            </a:r>
            <a:r>
              <a:rPr lang="en-GB" sz="1400" b="0" i="0" u="none" strike="noStrike" baseline="0">
                <a:effectLst/>
              </a:rPr>
              <a:t> CO</a:t>
            </a:r>
            <a:r>
              <a:rPr lang="en-GB" sz="1400" b="0" i="0" u="none" strike="noStrike" baseline="-25000">
                <a:effectLst/>
              </a:rPr>
              <a:t>2</a:t>
            </a:r>
            <a:r>
              <a:rPr lang="en-GB" sz="1400" b="0" i="0" u="none" strike="noStrike" baseline="0">
                <a:effectLst/>
              </a:rPr>
              <a:t>-Äq.</a:t>
            </a:r>
            <a:r>
              <a:rPr lang="en-US" sz="1400" b="0" i="0" u="none" strike="noStrike" baseline="0">
                <a:effectLst/>
              </a:rPr>
              <a: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4798819002307694"/>
          <c:y val="0.12375390808536343"/>
          <c:w val="0.51413733097019165"/>
          <c:h val="0.64305167886315462"/>
        </c:manualLayout>
      </c:layout>
      <c:barChart>
        <c:barDir val="bar"/>
        <c:grouping val="clustered"/>
        <c:varyColors val="0"/>
        <c:ser>
          <c:idx val="0"/>
          <c:order val="0"/>
          <c:tx>
            <c:strRef>
              <c:f>'KliMax-Auswertung'!$D$226</c:f>
              <c:strCache>
                <c:ptCount val="1"/>
                <c:pt idx="0">
                  <c:v>2015</c:v>
                </c:pt>
              </c:strCache>
              <c:extLst xmlns:c15="http://schemas.microsoft.com/office/drawing/2012/chart"/>
            </c:strRef>
          </c:tx>
          <c:spPr>
            <a:solidFill>
              <a:schemeClr val="accent1"/>
            </a:solidFill>
            <a:ln>
              <a:noFill/>
            </a:ln>
            <a:effectLst/>
          </c:spPr>
          <c:invertIfNegative val="0"/>
          <c:cat>
            <c:multiLvlStrRef>
              <c:f>'KliMax-Auswertung'!$B$227:$B$268</c:f>
            </c:multiLvlStrRef>
          </c:cat>
          <c:val>
            <c:numRef>
              <c:f>'KliMax-Auswertung'!$D$227:$D$268</c:f>
            </c:numRef>
          </c:val>
          <c:extLst xmlns:c15="http://schemas.microsoft.com/office/drawing/2012/chart">
            <c:ext xmlns:c16="http://schemas.microsoft.com/office/drawing/2014/chart" uri="{C3380CC4-5D6E-409C-BE32-E72D297353CC}">
              <c16:uniqueId val="{00000000-D498-482A-B313-D5DFF8683E7D}"/>
            </c:ext>
          </c:extLst>
        </c:ser>
        <c:ser>
          <c:idx val="1"/>
          <c:order val="1"/>
          <c:tx>
            <c:strRef>
              <c:f>'KliMax-Auswertung'!$E$226</c:f>
              <c:strCache>
                <c:ptCount val="1"/>
                <c:pt idx="0">
                  <c:v>2016</c:v>
                </c:pt>
              </c:strCache>
              <c:extLst xmlns:c15="http://schemas.microsoft.com/office/drawing/2012/chart"/>
            </c:strRef>
          </c:tx>
          <c:spPr>
            <a:solidFill>
              <a:schemeClr val="accent2"/>
            </a:solidFill>
            <a:ln>
              <a:noFill/>
            </a:ln>
            <a:effectLst/>
          </c:spPr>
          <c:invertIfNegative val="0"/>
          <c:cat>
            <c:multiLvlStrRef>
              <c:f>'KliMax-Auswertung'!$B$227:$B$268</c:f>
            </c:multiLvlStrRef>
          </c:cat>
          <c:val>
            <c:numRef>
              <c:f>'KliMax-Auswertung'!$E$227:$E$268</c:f>
            </c:numRef>
          </c:val>
          <c:extLst xmlns:c15="http://schemas.microsoft.com/office/drawing/2012/chart">
            <c:ext xmlns:c16="http://schemas.microsoft.com/office/drawing/2014/chart" uri="{C3380CC4-5D6E-409C-BE32-E72D297353CC}">
              <c16:uniqueId val="{00000001-D498-482A-B313-D5DFF8683E7D}"/>
            </c:ext>
          </c:extLst>
        </c:ser>
        <c:ser>
          <c:idx val="2"/>
          <c:order val="2"/>
          <c:tx>
            <c:strRef>
              <c:f>'KliMax-Auswertung'!$F$226</c:f>
              <c:strCache>
                <c:ptCount val="1"/>
                <c:pt idx="0">
                  <c:v>2017</c:v>
                </c:pt>
              </c:strCache>
              <c:extLst xmlns:c15="http://schemas.microsoft.com/office/drawing/2012/chart"/>
            </c:strRef>
          </c:tx>
          <c:spPr>
            <a:solidFill>
              <a:schemeClr val="accent3"/>
            </a:solidFill>
            <a:ln>
              <a:noFill/>
            </a:ln>
            <a:effectLst/>
          </c:spPr>
          <c:invertIfNegative val="0"/>
          <c:cat>
            <c:multiLvlStrRef>
              <c:f>'KliMax-Auswertung'!$B$227:$B$268</c:f>
            </c:multiLvlStrRef>
          </c:cat>
          <c:val>
            <c:numRef>
              <c:f>'KliMax-Auswertung'!$F$227:$F$268</c:f>
            </c:numRef>
          </c:val>
          <c:extLst xmlns:c15="http://schemas.microsoft.com/office/drawing/2012/chart">
            <c:ext xmlns:c16="http://schemas.microsoft.com/office/drawing/2014/chart" uri="{C3380CC4-5D6E-409C-BE32-E72D297353CC}">
              <c16:uniqueId val="{00000002-D498-482A-B313-D5DFF8683E7D}"/>
            </c:ext>
          </c:extLst>
        </c:ser>
        <c:ser>
          <c:idx val="3"/>
          <c:order val="3"/>
          <c:tx>
            <c:strRef>
              <c:f>'KliMax-Auswertung'!$G$226</c:f>
              <c:strCache>
                <c:ptCount val="1"/>
                <c:pt idx="0">
                  <c:v>2018</c:v>
                </c:pt>
              </c:strCache>
              <c:extLst xmlns:c15="http://schemas.microsoft.com/office/drawing/2012/chart"/>
            </c:strRef>
          </c:tx>
          <c:spPr>
            <a:solidFill>
              <a:schemeClr val="accent4"/>
            </a:solidFill>
            <a:ln>
              <a:noFill/>
            </a:ln>
            <a:effectLst/>
          </c:spPr>
          <c:invertIfNegative val="0"/>
          <c:cat>
            <c:multiLvlStrRef>
              <c:f>'KliMax-Auswertung'!$B$227:$B$268</c:f>
            </c:multiLvlStrRef>
          </c:cat>
          <c:val>
            <c:numRef>
              <c:f>'KliMax-Auswertung'!$G$227:$G$268</c:f>
            </c:numRef>
          </c:val>
          <c:extLst xmlns:c15="http://schemas.microsoft.com/office/drawing/2012/chart">
            <c:ext xmlns:c16="http://schemas.microsoft.com/office/drawing/2014/chart" uri="{C3380CC4-5D6E-409C-BE32-E72D297353CC}">
              <c16:uniqueId val="{00000003-D498-482A-B313-D5DFF8683E7D}"/>
            </c:ext>
          </c:extLst>
        </c:ser>
        <c:ser>
          <c:idx val="4"/>
          <c:order val="4"/>
          <c:tx>
            <c:strRef>
              <c:f>'KliMax-Auswertung'!$H$226</c:f>
              <c:strCache>
                <c:ptCount val="1"/>
                <c:pt idx="0">
                  <c:v>2019</c:v>
                </c:pt>
              </c:strCache>
              <c:extLst xmlns:c15="http://schemas.microsoft.com/office/drawing/2012/chart"/>
            </c:strRef>
          </c:tx>
          <c:spPr>
            <a:solidFill>
              <a:schemeClr val="accent5"/>
            </a:solidFill>
            <a:ln>
              <a:noFill/>
            </a:ln>
            <a:effectLst/>
          </c:spPr>
          <c:invertIfNegative val="0"/>
          <c:cat>
            <c:multiLvlStrRef>
              <c:f>'KliMax-Auswertung'!$B$227:$B$268</c:f>
            </c:multiLvlStrRef>
          </c:cat>
          <c:val>
            <c:numRef>
              <c:f>'KliMax-Auswertung'!$H$227:$H$268</c:f>
            </c:numRef>
          </c:val>
          <c:extLst xmlns:c15="http://schemas.microsoft.com/office/drawing/2012/chart">
            <c:ext xmlns:c16="http://schemas.microsoft.com/office/drawing/2014/chart" uri="{C3380CC4-5D6E-409C-BE32-E72D297353CC}">
              <c16:uniqueId val="{00000004-D498-482A-B313-D5DFF8683E7D}"/>
            </c:ext>
          </c:extLst>
        </c:ser>
        <c:ser>
          <c:idx val="5"/>
          <c:order val="5"/>
          <c:tx>
            <c:strRef>
              <c:f>'KliMax-Auswertung'!$I$226</c:f>
              <c:strCache>
                <c:ptCount val="1"/>
                <c:pt idx="0">
                  <c:v>2020</c:v>
                </c:pt>
              </c:strCache>
              <c:extLst xmlns:c15="http://schemas.microsoft.com/office/drawing/2012/chart"/>
            </c:strRef>
          </c:tx>
          <c:spPr>
            <a:solidFill>
              <a:schemeClr val="accent6"/>
            </a:solidFill>
            <a:ln>
              <a:noFill/>
            </a:ln>
            <a:effectLst/>
          </c:spPr>
          <c:invertIfNegative val="0"/>
          <c:cat>
            <c:multiLvlStrRef>
              <c:f>'KliMax-Auswertung'!$B$227:$B$268</c:f>
            </c:multiLvlStrRef>
          </c:cat>
          <c:val>
            <c:numRef>
              <c:f>'KliMax-Auswertung'!$I$227:$I$268</c:f>
            </c:numRef>
          </c:val>
          <c:extLst xmlns:c15="http://schemas.microsoft.com/office/drawing/2012/chart">
            <c:ext xmlns:c16="http://schemas.microsoft.com/office/drawing/2014/chart" uri="{C3380CC4-5D6E-409C-BE32-E72D297353CC}">
              <c16:uniqueId val="{00000005-D498-482A-B313-D5DFF8683E7D}"/>
            </c:ext>
          </c:extLst>
        </c:ser>
        <c:ser>
          <c:idx val="6"/>
          <c:order val="6"/>
          <c:tx>
            <c:strRef>
              <c:f>'KliMax-Auswertung'!$J$226</c:f>
              <c:strCache>
                <c:ptCount val="1"/>
                <c:pt idx="0">
                  <c:v>2021</c:v>
                </c:pt>
              </c:strCache>
              <c:extLst xmlns:c15="http://schemas.microsoft.com/office/drawing/2012/chart"/>
            </c:strRef>
          </c:tx>
          <c:spPr>
            <a:solidFill>
              <a:schemeClr val="accent1">
                <a:lumMod val="60000"/>
              </a:schemeClr>
            </a:solidFill>
            <a:ln>
              <a:noFill/>
            </a:ln>
            <a:effectLst/>
          </c:spPr>
          <c:invertIfNegative val="0"/>
          <c:cat>
            <c:multiLvlStrRef>
              <c:f>'KliMax-Auswertung'!$B$227:$B$268</c:f>
            </c:multiLvlStrRef>
          </c:cat>
          <c:val>
            <c:numRef>
              <c:f>'KliMax-Auswertung'!$J$227:$J$268</c:f>
            </c:numRef>
          </c:val>
          <c:extLst xmlns:c15="http://schemas.microsoft.com/office/drawing/2012/chart">
            <c:ext xmlns:c16="http://schemas.microsoft.com/office/drawing/2014/chart" uri="{C3380CC4-5D6E-409C-BE32-E72D297353CC}">
              <c16:uniqueId val="{00000006-D498-482A-B313-D5DFF8683E7D}"/>
            </c:ext>
          </c:extLst>
        </c:ser>
        <c:ser>
          <c:idx val="7"/>
          <c:order val="7"/>
          <c:tx>
            <c:strRef>
              <c:f>'KliMax-Auswertung'!$K$226</c:f>
              <c:strCache>
                <c:ptCount val="1"/>
                <c:pt idx="0">
                  <c:v>2022</c:v>
                </c:pt>
              </c:strCache>
              <c:extLst xmlns:c15="http://schemas.microsoft.com/office/drawing/2012/chart"/>
            </c:strRef>
          </c:tx>
          <c:spPr>
            <a:solidFill>
              <a:schemeClr val="accent2">
                <a:lumMod val="60000"/>
              </a:schemeClr>
            </a:solidFill>
            <a:ln>
              <a:noFill/>
            </a:ln>
            <a:effectLst/>
          </c:spPr>
          <c:invertIfNegative val="0"/>
          <c:cat>
            <c:multiLvlStrRef>
              <c:f>'KliMax-Auswertung'!$B$227:$B$268</c:f>
            </c:multiLvlStrRef>
          </c:cat>
          <c:val>
            <c:numRef>
              <c:f>'KliMax-Auswertung'!$K$227:$K$268</c:f>
            </c:numRef>
          </c:val>
          <c:extLst xmlns:c15="http://schemas.microsoft.com/office/drawing/2012/chart">
            <c:ext xmlns:c16="http://schemas.microsoft.com/office/drawing/2014/chart" uri="{C3380CC4-5D6E-409C-BE32-E72D297353CC}">
              <c16:uniqueId val="{00000007-D498-482A-B313-D5DFF8683E7D}"/>
            </c:ext>
          </c:extLst>
        </c:ser>
        <c:ser>
          <c:idx val="8"/>
          <c:order val="8"/>
          <c:tx>
            <c:strRef>
              <c:f>'KliMax-Auswertung'!$L$226</c:f>
              <c:strCache>
                <c:ptCount val="1"/>
                <c:pt idx="0">
                  <c:v>2023</c:v>
                </c:pt>
              </c:strCache>
              <c:extLst xmlns:c15="http://schemas.microsoft.com/office/drawing/2012/chart"/>
            </c:strRef>
          </c:tx>
          <c:spPr>
            <a:solidFill>
              <a:schemeClr val="accent3">
                <a:lumMod val="60000"/>
              </a:schemeClr>
            </a:solidFill>
            <a:ln>
              <a:noFill/>
            </a:ln>
            <a:effectLst/>
          </c:spPr>
          <c:invertIfNegative val="0"/>
          <c:cat>
            <c:multiLvlStrRef>
              <c:f>'KliMax-Auswertung'!$B$227:$B$268</c:f>
            </c:multiLvlStrRef>
          </c:cat>
          <c:val>
            <c:numRef>
              <c:f>'KliMax-Auswertung'!$L$227:$L$268</c:f>
            </c:numRef>
          </c:val>
          <c:extLst xmlns:c15="http://schemas.microsoft.com/office/drawing/2012/chart">
            <c:ext xmlns:c16="http://schemas.microsoft.com/office/drawing/2014/chart" uri="{C3380CC4-5D6E-409C-BE32-E72D297353CC}">
              <c16:uniqueId val="{00000008-D498-482A-B313-D5DFF8683E7D}"/>
            </c:ext>
          </c:extLst>
        </c:ser>
        <c:ser>
          <c:idx val="9"/>
          <c:order val="9"/>
          <c:tx>
            <c:strRef>
              <c:f>'KliMax-Auswertung'!$M$226</c:f>
              <c:strCache>
                <c:ptCount val="1"/>
                <c:pt idx="0">
                  <c:v>2024</c:v>
                </c:pt>
              </c:strCache>
              <c:extLst xmlns:c15="http://schemas.microsoft.com/office/drawing/2012/chart"/>
            </c:strRef>
          </c:tx>
          <c:spPr>
            <a:solidFill>
              <a:schemeClr val="accent4">
                <a:lumMod val="60000"/>
              </a:schemeClr>
            </a:solidFill>
            <a:ln>
              <a:noFill/>
            </a:ln>
            <a:effectLst/>
          </c:spPr>
          <c:invertIfNegative val="0"/>
          <c:cat>
            <c:multiLvlStrRef>
              <c:f>'KliMax-Auswertung'!$B$227:$B$268</c:f>
            </c:multiLvlStrRef>
          </c:cat>
          <c:val>
            <c:numRef>
              <c:f>'KliMax-Auswertung'!$M$227:$M$268</c:f>
            </c:numRef>
          </c:val>
          <c:extLst xmlns:c15="http://schemas.microsoft.com/office/drawing/2012/chart">
            <c:ext xmlns:c16="http://schemas.microsoft.com/office/drawing/2014/chart" uri="{C3380CC4-5D6E-409C-BE32-E72D297353CC}">
              <c16:uniqueId val="{00000009-D498-482A-B313-D5DFF8683E7D}"/>
            </c:ext>
          </c:extLst>
        </c:ser>
        <c:ser>
          <c:idx val="10"/>
          <c:order val="10"/>
          <c:tx>
            <c:strRef>
              <c:f>'KliMax-Auswertung'!$N$226</c:f>
              <c:strCache>
                <c:ptCount val="1"/>
                <c:pt idx="0">
                  <c:v>2025</c:v>
                </c:pt>
              </c:strCache>
              <c:extLst xmlns:c15="http://schemas.microsoft.com/office/drawing/2012/chart"/>
            </c:strRef>
          </c:tx>
          <c:spPr>
            <a:solidFill>
              <a:schemeClr val="accent5">
                <a:lumMod val="60000"/>
              </a:schemeClr>
            </a:solidFill>
            <a:ln>
              <a:noFill/>
            </a:ln>
            <a:effectLst/>
          </c:spPr>
          <c:invertIfNegative val="0"/>
          <c:cat>
            <c:multiLvlStrRef>
              <c:f>'KliMax-Auswertung'!$B$227:$B$268</c:f>
            </c:multiLvlStrRef>
          </c:cat>
          <c:val>
            <c:numRef>
              <c:f>'KliMax-Auswertung'!$N$227:$N$268</c:f>
            </c:numRef>
          </c:val>
          <c:extLst xmlns:c15="http://schemas.microsoft.com/office/drawing/2012/chart">
            <c:ext xmlns:c16="http://schemas.microsoft.com/office/drawing/2014/chart" uri="{C3380CC4-5D6E-409C-BE32-E72D297353CC}">
              <c16:uniqueId val="{0000000A-D498-482A-B313-D5DFF8683E7D}"/>
            </c:ext>
          </c:extLst>
        </c:ser>
        <c:ser>
          <c:idx val="11"/>
          <c:order val="11"/>
          <c:tx>
            <c:strRef>
              <c:f>'KliMax-Auswertung'!$O$226</c:f>
              <c:strCache>
                <c:ptCount val="1"/>
                <c:pt idx="0">
                  <c:v>2026</c:v>
                </c:pt>
              </c:strCache>
              <c:extLst xmlns:c15="http://schemas.microsoft.com/office/drawing/2012/chart"/>
            </c:strRef>
          </c:tx>
          <c:spPr>
            <a:solidFill>
              <a:schemeClr val="accent6">
                <a:lumMod val="60000"/>
              </a:schemeClr>
            </a:solidFill>
            <a:ln>
              <a:noFill/>
            </a:ln>
            <a:effectLst/>
          </c:spPr>
          <c:invertIfNegative val="0"/>
          <c:cat>
            <c:multiLvlStrRef>
              <c:f>'KliMax-Auswertung'!$B$227:$B$268</c:f>
            </c:multiLvlStrRef>
          </c:cat>
          <c:val>
            <c:numRef>
              <c:f>'KliMax-Auswertung'!$O$227:$O$268</c:f>
            </c:numRef>
          </c:val>
          <c:extLst xmlns:c15="http://schemas.microsoft.com/office/drawing/2012/chart">
            <c:ext xmlns:c16="http://schemas.microsoft.com/office/drawing/2014/chart" uri="{C3380CC4-5D6E-409C-BE32-E72D297353CC}">
              <c16:uniqueId val="{0000000B-D498-482A-B313-D5DFF8683E7D}"/>
            </c:ext>
          </c:extLst>
        </c:ser>
        <c:ser>
          <c:idx val="12"/>
          <c:order val="12"/>
          <c:tx>
            <c:strRef>
              <c:f>'KliMax-Auswertung'!$P$226</c:f>
              <c:strCache>
                <c:ptCount val="1"/>
                <c:pt idx="0">
                  <c:v>2027</c:v>
                </c:pt>
              </c:strCache>
              <c:extLst xmlns:c15="http://schemas.microsoft.com/office/drawing/2012/chart"/>
            </c:strRef>
          </c:tx>
          <c:spPr>
            <a:solidFill>
              <a:schemeClr val="accent1">
                <a:lumMod val="80000"/>
                <a:lumOff val="20000"/>
              </a:schemeClr>
            </a:solidFill>
            <a:ln>
              <a:noFill/>
            </a:ln>
            <a:effectLst/>
          </c:spPr>
          <c:invertIfNegative val="0"/>
          <c:cat>
            <c:multiLvlStrRef>
              <c:f>'KliMax-Auswertung'!$B$227:$B$268</c:f>
            </c:multiLvlStrRef>
          </c:cat>
          <c:val>
            <c:numRef>
              <c:f>'KliMax-Auswertung'!$P$227:$P$268</c:f>
            </c:numRef>
          </c:val>
          <c:extLst xmlns:c15="http://schemas.microsoft.com/office/drawing/2012/chart">
            <c:ext xmlns:c16="http://schemas.microsoft.com/office/drawing/2014/chart" uri="{C3380CC4-5D6E-409C-BE32-E72D297353CC}">
              <c16:uniqueId val="{0000000C-D498-482A-B313-D5DFF8683E7D}"/>
            </c:ext>
          </c:extLst>
        </c:ser>
        <c:ser>
          <c:idx val="13"/>
          <c:order val="13"/>
          <c:tx>
            <c:strRef>
              <c:f>'KliMax-Auswertung'!$Q$226</c:f>
              <c:strCache>
                <c:ptCount val="1"/>
                <c:pt idx="0">
                  <c:v>2028</c:v>
                </c:pt>
              </c:strCache>
              <c:extLst xmlns:c15="http://schemas.microsoft.com/office/drawing/2012/chart"/>
            </c:strRef>
          </c:tx>
          <c:spPr>
            <a:solidFill>
              <a:schemeClr val="accent2">
                <a:lumMod val="80000"/>
                <a:lumOff val="20000"/>
              </a:schemeClr>
            </a:solidFill>
            <a:ln>
              <a:noFill/>
            </a:ln>
            <a:effectLst/>
          </c:spPr>
          <c:invertIfNegative val="0"/>
          <c:cat>
            <c:multiLvlStrRef>
              <c:f>'KliMax-Auswertung'!$B$227:$B$268</c:f>
            </c:multiLvlStrRef>
          </c:cat>
          <c:val>
            <c:numRef>
              <c:f>'KliMax-Auswertung'!$Q$227:$Q$268</c:f>
            </c:numRef>
          </c:val>
          <c:extLst xmlns:c15="http://schemas.microsoft.com/office/drawing/2012/chart">
            <c:ext xmlns:c16="http://schemas.microsoft.com/office/drawing/2014/chart" uri="{C3380CC4-5D6E-409C-BE32-E72D297353CC}">
              <c16:uniqueId val="{0000000D-D498-482A-B313-D5DFF8683E7D}"/>
            </c:ext>
          </c:extLst>
        </c:ser>
        <c:ser>
          <c:idx val="14"/>
          <c:order val="14"/>
          <c:tx>
            <c:strRef>
              <c:f>'KliMax-Auswertung'!$R$226</c:f>
              <c:strCache>
                <c:ptCount val="1"/>
                <c:pt idx="0">
                  <c:v>2029</c:v>
                </c:pt>
              </c:strCache>
              <c:extLst xmlns:c15="http://schemas.microsoft.com/office/drawing/2012/chart"/>
            </c:strRef>
          </c:tx>
          <c:spPr>
            <a:solidFill>
              <a:schemeClr val="accent3">
                <a:lumMod val="80000"/>
                <a:lumOff val="20000"/>
              </a:schemeClr>
            </a:solidFill>
            <a:ln>
              <a:noFill/>
            </a:ln>
            <a:effectLst/>
          </c:spPr>
          <c:invertIfNegative val="0"/>
          <c:cat>
            <c:multiLvlStrRef>
              <c:f>'KliMax-Auswertung'!$B$227:$B$268</c:f>
            </c:multiLvlStrRef>
          </c:cat>
          <c:val>
            <c:numRef>
              <c:f>'KliMax-Auswertung'!$R$227:$R$268</c:f>
            </c:numRef>
          </c:val>
          <c:extLst xmlns:c15="http://schemas.microsoft.com/office/drawing/2012/chart">
            <c:ext xmlns:c16="http://schemas.microsoft.com/office/drawing/2014/chart" uri="{C3380CC4-5D6E-409C-BE32-E72D297353CC}">
              <c16:uniqueId val="{0000000E-D498-482A-B313-D5DFF8683E7D}"/>
            </c:ext>
          </c:extLst>
        </c:ser>
        <c:ser>
          <c:idx val="15"/>
          <c:order val="15"/>
          <c:tx>
            <c:strRef>
              <c:f>'KliMax-Auswertung'!$S$226</c:f>
              <c:strCache>
                <c:ptCount val="1"/>
                <c:pt idx="0">
                  <c:v>2030</c:v>
                </c:pt>
              </c:strCache>
              <c:extLst xmlns:c15="http://schemas.microsoft.com/office/drawing/2012/chart"/>
            </c:strRef>
          </c:tx>
          <c:spPr>
            <a:solidFill>
              <a:schemeClr val="accent4">
                <a:lumMod val="80000"/>
                <a:lumOff val="20000"/>
              </a:schemeClr>
            </a:solidFill>
            <a:ln>
              <a:noFill/>
            </a:ln>
            <a:effectLst/>
          </c:spPr>
          <c:invertIfNegative val="0"/>
          <c:cat>
            <c:multiLvlStrRef>
              <c:f>'KliMax-Auswertung'!$B$227:$B$268</c:f>
            </c:multiLvlStrRef>
          </c:cat>
          <c:val>
            <c:numRef>
              <c:f>'KliMax-Auswertung'!$S$227:$S$268</c:f>
            </c:numRef>
          </c:val>
          <c:extLst xmlns:c15="http://schemas.microsoft.com/office/drawing/2012/chart">
            <c:ext xmlns:c16="http://schemas.microsoft.com/office/drawing/2014/chart" uri="{C3380CC4-5D6E-409C-BE32-E72D297353CC}">
              <c16:uniqueId val="{0000000F-D498-482A-B313-D5DFF8683E7D}"/>
            </c:ext>
          </c:extLst>
        </c:ser>
        <c:ser>
          <c:idx val="16"/>
          <c:order val="16"/>
          <c:tx>
            <c:strRef>
              <c:f>'KliMax-Auswertung'!$T$226</c:f>
              <c:strCache>
                <c:ptCount val="1"/>
                <c:pt idx="0">
                  <c:v>2035</c:v>
                </c:pt>
              </c:strCache>
              <c:extLst xmlns:c15="http://schemas.microsoft.com/office/drawing/2012/chart"/>
            </c:strRef>
          </c:tx>
          <c:spPr>
            <a:solidFill>
              <a:schemeClr val="accent5">
                <a:lumMod val="80000"/>
                <a:lumOff val="20000"/>
              </a:schemeClr>
            </a:solidFill>
            <a:ln>
              <a:noFill/>
            </a:ln>
            <a:effectLst/>
          </c:spPr>
          <c:invertIfNegative val="0"/>
          <c:cat>
            <c:multiLvlStrRef>
              <c:f>'KliMax-Auswertung'!$B$227:$B$268</c:f>
            </c:multiLvlStrRef>
          </c:cat>
          <c:val>
            <c:numRef>
              <c:f>'KliMax-Auswertung'!$T$227:$T$268</c:f>
            </c:numRef>
          </c:val>
          <c:extLst xmlns:c15="http://schemas.microsoft.com/office/drawing/2012/chart">
            <c:ext xmlns:c16="http://schemas.microsoft.com/office/drawing/2014/chart" uri="{C3380CC4-5D6E-409C-BE32-E72D297353CC}">
              <c16:uniqueId val="{00000010-D498-482A-B313-D5DFF8683E7D}"/>
            </c:ext>
          </c:extLst>
        </c:ser>
        <c:ser>
          <c:idx val="17"/>
          <c:order val="17"/>
          <c:tx>
            <c:strRef>
              <c:f>'KliMax-Auswertung'!$U$226</c:f>
              <c:strCache>
                <c:ptCount val="1"/>
                <c:pt idx="0">
                  <c:v>2040</c:v>
                </c:pt>
              </c:strCache>
              <c:extLst xmlns:c15="http://schemas.microsoft.com/office/drawing/2012/chart"/>
            </c:strRef>
          </c:tx>
          <c:spPr>
            <a:solidFill>
              <a:schemeClr val="accent6">
                <a:lumMod val="80000"/>
                <a:lumOff val="20000"/>
              </a:schemeClr>
            </a:solidFill>
            <a:ln>
              <a:noFill/>
            </a:ln>
            <a:effectLst/>
          </c:spPr>
          <c:invertIfNegative val="0"/>
          <c:cat>
            <c:multiLvlStrRef>
              <c:f>'KliMax-Auswertung'!$B$227:$B$268</c:f>
            </c:multiLvlStrRef>
          </c:cat>
          <c:val>
            <c:numRef>
              <c:f>'KliMax-Auswertung'!$U$227:$U$268</c:f>
            </c:numRef>
          </c:val>
          <c:extLst xmlns:c15="http://schemas.microsoft.com/office/drawing/2012/chart">
            <c:ext xmlns:c16="http://schemas.microsoft.com/office/drawing/2014/chart" uri="{C3380CC4-5D6E-409C-BE32-E72D297353CC}">
              <c16:uniqueId val="{00000011-D498-482A-B313-D5DFF8683E7D}"/>
            </c:ext>
          </c:extLst>
        </c:ser>
        <c:ser>
          <c:idx val="18"/>
          <c:order val="18"/>
          <c:tx>
            <c:strRef>
              <c:f>'KliMax-Auswertung'!$V$226</c:f>
              <c:strCache>
                <c:ptCount val="1"/>
                <c:pt idx="0">
                  <c:v>2045</c:v>
                </c:pt>
              </c:strCache>
              <c:extLst xmlns:c15="http://schemas.microsoft.com/office/drawing/2012/chart"/>
            </c:strRef>
          </c:tx>
          <c:spPr>
            <a:solidFill>
              <a:schemeClr val="accent1">
                <a:lumMod val="80000"/>
              </a:schemeClr>
            </a:solidFill>
            <a:ln>
              <a:noFill/>
            </a:ln>
            <a:effectLst/>
          </c:spPr>
          <c:invertIfNegative val="0"/>
          <c:cat>
            <c:multiLvlStrRef>
              <c:f>'KliMax-Auswertung'!$B$227:$B$268</c:f>
            </c:multiLvlStrRef>
          </c:cat>
          <c:val>
            <c:numRef>
              <c:f>'KliMax-Auswertung'!$V$227:$V$268</c:f>
            </c:numRef>
          </c:val>
          <c:extLst xmlns:c15="http://schemas.microsoft.com/office/drawing/2012/chart">
            <c:ext xmlns:c16="http://schemas.microsoft.com/office/drawing/2014/chart" uri="{C3380CC4-5D6E-409C-BE32-E72D297353CC}">
              <c16:uniqueId val="{00000012-D498-482A-B313-D5DFF8683E7D}"/>
            </c:ext>
          </c:extLst>
        </c:ser>
        <c:ser>
          <c:idx val="19"/>
          <c:order val="19"/>
          <c:tx>
            <c:strRef>
              <c:f>'KliMax-Auswertung'!$W$226</c:f>
              <c:strCache>
                <c:ptCount val="1"/>
                <c:pt idx="0">
                  <c:v>2050</c:v>
                </c:pt>
              </c:strCache>
              <c:extLst xmlns:c15="http://schemas.microsoft.com/office/drawing/2012/chart"/>
            </c:strRef>
          </c:tx>
          <c:spPr>
            <a:solidFill>
              <a:schemeClr val="accent2">
                <a:lumMod val="80000"/>
              </a:schemeClr>
            </a:solidFill>
            <a:ln>
              <a:noFill/>
            </a:ln>
            <a:effectLst/>
          </c:spPr>
          <c:invertIfNegative val="0"/>
          <c:cat>
            <c:multiLvlStrRef>
              <c:f>'KliMax-Auswertung'!$B$227:$B$268</c:f>
            </c:multiLvlStrRef>
          </c:cat>
          <c:val>
            <c:numRef>
              <c:f>'KliMax-Auswertung'!$W$227:$W$268</c:f>
            </c:numRef>
          </c:val>
          <c:extLst xmlns:c15="http://schemas.microsoft.com/office/drawing/2012/chart">
            <c:ext xmlns:c16="http://schemas.microsoft.com/office/drawing/2014/chart" uri="{C3380CC4-5D6E-409C-BE32-E72D297353CC}">
              <c16:uniqueId val="{00000013-D498-482A-B313-D5DFF8683E7D}"/>
            </c:ext>
          </c:extLst>
        </c:ser>
        <c:dLbls>
          <c:showLegendKey val="0"/>
          <c:showVal val="0"/>
          <c:showCatName val="0"/>
          <c:showSerName val="0"/>
          <c:showPercent val="0"/>
          <c:showBubbleSize val="0"/>
        </c:dLbls>
        <c:gapWidth val="182"/>
        <c:axId val="1679157055"/>
        <c:axId val="1980261375"/>
        <c:extLst/>
      </c:barChart>
      <c:catAx>
        <c:axId val="16791570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261375"/>
        <c:crosses val="autoZero"/>
        <c:auto val="1"/>
        <c:lblAlgn val="ctr"/>
        <c:lblOffset val="100"/>
        <c:noMultiLvlLbl val="0"/>
      </c:catAx>
      <c:valAx>
        <c:axId val="19802613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915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bg1"/>
                </a:solidFill>
                <a:latin typeface="+mn-lt"/>
                <a:ea typeface="+mn-ea"/>
                <a:cs typeface="+mn-cs"/>
              </a:defRPr>
            </a:pPr>
            <a:r>
              <a:rPr lang="en-GB"/>
              <a:t>Emissionen in t </a:t>
            </a:r>
            <a:r>
              <a:rPr lang="en-US"/>
              <a:t>CO</a:t>
            </a:r>
            <a:r>
              <a:rPr lang="en-US" sz="900"/>
              <a:t>2</a:t>
            </a:r>
            <a:r>
              <a:rPr lang="en-US"/>
              <a:t>-Äq. im Jahr 2021 (Bundesmix)</a:t>
            </a:r>
            <a:endParaRPr lang="en-GB"/>
          </a:p>
          <a:p>
            <a:pPr algn="ctr" rtl="0">
              <a:defRPr/>
            </a:pPr>
            <a:endParaRPr lang="en-GB"/>
          </a:p>
        </c:rich>
      </c:tx>
      <c:layout>
        <c:manualLayout>
          <c:xMode val="edge"/>
          <c:yMode val="edge"/>
          <c:x val="0.25523967771408057"/>
          <c:y val="4.1173764500339613E-3"/>
        </c:manualLayout>
      </c:layout>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7295349214518561"/>
          <c:y val="0.14665858072088814"/>
          <c:w val="0.70198981012491435"/>
          <c:h val="0.6532396928644788"/>
        </c:manualLayout>
      </c:layout>
      <c:barChart>
        <c:barDir val="bar"/>
        <c:grouping val="stacked"/>
        <c:varyColors val="0"/>
        <c:ser>
          <c:idx val="0"/>
          <c:order val="0"/>
          <c:tx>
            <c:strRef>
              <c:f>'KliMax-Auswertung'!$C$73</c:f>
              <c:strCache>
                <c:ptCount val="1"/>
                <c:pt idx="0">
                  <c:v>Scope 1</c:v>
                </c:pt>
              </c:strCache>
            </c:strRef>
          </c:tx>
          <c:spPr>
            <a:solidFill>
              <a:schemeClr val="accent4">
                <a:lumMod val="40000"/>
                <a:lumOff val="60000"/>
              </a:schemeClr>
            </a:solidFill>
            <a:ln>
              <a:noFill/>
            </a:ln>
            <a:effectLst/>
          </c:spPr>
          <c:invertIfNegative val="0"/>
          <c:cat>
            <c:strRef>
              <c:extLst>
                <c:ext xmlns:c15="http://schemas.microsoft.com/office/drawing/2012/chart" uri="{02D57815-91ED-43cb-92C2-25804820EDAC}">
                  <c15:fullRef>
                    <c15:sqref>'KliMax-Auswertung'!$B$74:$B$84</c15:sqref>
                  </c15:fullRef>
                </c:ext>
              </c:extLst>
              <c:f>'KliMax-Auswertung'!$B$74:$B$82</c:f>
              <c:strCache>
                <c:ptCount val="9"/>
                <c:pt idx="0">
                  <c:v>Elektrischer Strom</c:v>
                </c:pt>
                <c:pt idx="1">
                  <c:v>Wärme</c:v>
                </c:pt>
                <c:pt idx="2">
                  <c:v>Kälte</c:v>
                </c:pt>
                <c:pt idx="3">
                  <c:v>Mobilität 1</c:v>
                </c:pt>
                <c:pt idx="4">
                  <c:v>Mobilität 2</c:v>
                </c:pt>
                <c:pt idx="5">
                  <c:v>Wasser</c:v>
                </c:pt>
                <c:pt idx="6">
                  <c:v>Abfall</c:v>
                </c:pt>
                <c:pt idx="7">
                  <c:v>Waren und Dienstleistungen</c:v>
                </c:pt>
                <c:pt idx="8">
                  <c:v>Baugüter</c:v>
                </c:pt>
              </c:strCache>
            </c:strRef>
          </c:cat>
          <c:val>
            <c:numRef>
              <c:extLst>
                <c:ext xmlns:c15="http://schemas.microsoft.com/office/drawing/2012/chart" uri="{02D57815-91ED-43cb-92C2-25804820EDAC}">
                  <c15:fullRef>
                    <c15:sqref>'KliMax-Auswertung'!$C$74:$C$84</c15:sqref>
                  </c15:fullRef>
                </c:ext>
              </c:extLst>
              <c:f>'KliMax-Auswertung'!$C$74:$C$82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90AF-402E-9FBD-8FEC88E9B15B}"/>
            </c:ext>
          </c:extLst>
        </c:ser>
        <c:ser>
          <c:idx val="1"/>
          <c:order val="1"/>
          <c:tx>
            <c:strRef>
              <c:f>'KliMax-Auswertung'!$D$73</c:f>
              <c:strCache>
                <c:ptCount val="1"/>
                <c:pt idx="0">
                  <c:v>Scope 2</c:v>
                </c:pt>
              </c:strCache>
            </c:strRef>
          </c:tx>
          <c:spPr>
            <a:solidFill>
              <a:schemeClr val="accent5">
                <a:lumMod val="40000"/>
                <a:lumOff val="60000"/>
              </a:schemeClr>
            </a:solidFill>
            <a:ln>
              <a:noFill/>
            </a:ln>
            <a:effectLst/>
          </c:spPr>
          <c:invertIfNegative val="0"/>
          <c:cat>
            <c:strRef>
              <c:extLst>
                <c:ext xmlns:c15="http://schemas.microsoft.com/office/drawing/2012/chart" uri="{02D57815-91ED-43cb-92C2-25804820EDAC}">
                  <c15:fullRef>
                    <c15:sqref>'KliMax-Auswertung'!$B$74:$B$84</c15:sqref>
                  </c15:fullRef>
                </c:ext>
              </c:extLst>
              <c:f>'KliMax-Auswertung'!$B$74:$B$82</c:f>
              <c:strCache>
                <c:ptCount val="9"/>
                <c:pt idx="0">
                  <c:v>Elektrischer Strom</c:v>
                </c:pt>
                <c:pt idx="1">
                  <c:v>Wärme</c:v>
                </c:pt>
                <c:pt idx="2">
                  <c:v>Kälte</c:v>
                </c:pt>
                <c:pt idx="3">
                  <c:v>Mobilität 1</c:v>
                </c:pt>
                <c:pt idx="4">
                  <c:v>Mobilität 2</c:v>
                </c:pt>
                <c:pt idx="5">
                  <c:v>Wasser</c:v>
                </c:pt>
                <c:pt idx="6">
                  <c:v>Abfall</c:v>
                </c:pt>
                <c:pt idx="7">
                  <c:v>Waren und Dienstleistungen</c:v>
                </c:pt>
                <c:pt idx="8">
                  <c:v>Baugüter</c:v>
                </c:pt>
              </c:strCache>
            </c:strRef>
          </c:cat>
          <c:val>
            <c:numRef>
              <c:extLst>
                <c:ext xmlns:c15="http://schemas.microsoft.com/office/drawing/2012/chart" uri="{02D57815-91ED-43cb-92C2-25804820EDAC}">
                  <c15:fullRef>
                    <c15:sqref>'KliMax-Auswertung'!$D$74:$D$84</c15:sqref>
                  </c15:fullRef>
                </c:ext>
              </c:extLst>
              <c:f>'KliMax-Auswertung'!$D$74:$D$82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90AF-402E-9FBD-8FEC88E9B15B}"/>
            </c:ext>
          </c:extLst>
        </c:ser>
        <c:ser>
          <c:idx val="2"/>
          <c:order val="2"/>
          <c:tx>
            <c:strRef>
              <c:f>'KliMax-Auswertung'!$E$73</c:f>
              <c:strCache>
                <c:ptCount val="1"/>
                <c:pt idx="0">
                  <c:v>Scope 3</c:v>
                </c:pt>
              </c:strCache>
            </c:strRef>
          </c:tx>
          <c:spPr>
            <a:solidFill>
              <a:schemeClr val="tx1"/>
            </a:solidFill>
            <a:ln>
              <a:noFill/>
            </a:ln>
            <a:effectLst/>
          </c:spPr>
          <c:invertIfNegative val="0"/>
          <c:cat>
            <c:strRef>
              <c:extLst>
                <c:ext xmlns:c15="http://schemas.microsoft.com/office/drawing/2012/chart" uri="{02D57815-91ED-43cb-92C2-25804820EDAC}">
                  <c15:fullRef>
                    <c15:sqref>'KliMax-Auswertung'!$B$74:$B$84</c15:sqref>
                  </c15:fullRef>
                </c:ext>
              </c:extLst>
              <c:f>'KliMax-Auswertung'!$B$74:$B$82</c:f>
              <c:strCache>
                <c:ptCount val="9"/>
                <c:pt idx="0">
                  <c:v>Elektrischer Strom</c:v>
                </c:pt>
                <c:pt idx="1">
                  <c:v>Wärme</c:v>
                </c:pt>
                <c:pt idx="2">
                  <c:v>Kälte</c:v>
                </c:pt>
                <c:pt idx="3">
                  <c:v>Mobilität 1</c:v>
                </c:pt>
                <c:pt idx="4">
                  <c:v>Mobilität 2</c:v>
                </c:pt>
                <c:pt idx="5">
                  <c:v>Wasser</c:v>
                </c:pt>
                <c:pt idx="6">
                  <c:v>Abfall</c:v>
                </c:pt>
                <c:pt idx="7">
                  <c:v>Waren und Dienstleistungen</c:v>
                </c:pt>
                <c:pt idx="8">
                  <c:v>Baugüter</c:v>
                </c:pt>
              </c:strCache>
            </c:strRef>
          </c:cat>
          <c:val>
            <c:numRef>
              <c:extLst>
                <c:ext xmlns:c15="http://schemas.microsoft.com/office/drawing/2012/chart" uri="{02D57815-91ED-43cb-92C2-25804820EDAC}">
                  <c15:fullRef>
                    <c15:sqref>'KliMax-Auswertung'!$E$74:$E$84</c15:sqref>
                  </c15:fullRef>
                </c:ext>
              </c:extLst>
              <c:f>'KliMax-Auswertung'!$E$74:$E$82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0AF-402E-9FBD-8FEC88E9B15B}"/>
            </c:ext>
          </c:extLst>
        </c:ser>
        <c:dLbls>
          <c:showLegendKey val="0"/>
          <c:showVal val="0"/>
          <c:showCatName val="0"/>
          <c:showSerName val="0"/>
          <c:showPercent val="0"/>
          <c:showBubbleSize val="0"/>
        </c:dLbls>
        <c:gapWidth val="182"/>
        <c:overlap val="100"/>
        <c:axId val="79380000"/>
        <c:axId val="81702736"/>
      </c:barChart>
      <c:catAx>
        <c:axId val="793800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1702736"/>
        <c:crosses val="autoZero"/>
        <c:auto val="1"/>
        <c:lblAlgn val="ctr"/>
        <c:lblOffset val="100"/>
        <c:noMultiLvlLbl val="0"/>
      </c:catAx>
      <c:valAx>
        <c:axId val="81702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938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11" lockText="1" noThreeD="1"/>
</file>

<file path=xl/ctrlProps/ctrlProp10.xml><?xml version="1.0" encoding="utf-8"?>
<formControlPr xmlns="http://schemas.microsoft.com/office/spreadsheetml/2009/9/main" objectType="CheckBox" fmlaLink="E14" lockText="1" noThreeD="1"/>
</file>

<file path=xl/ctrlProps/ctrlProp11.xml><?xml version="1.0" encoding="utf-8"?>
<formControlPr xmlns="http://schemas.microsoft.com/office/spreadsheetml/2009/9/main" objectType="CheckBox" fmlaLink="E11" lockText="1" noThreeD="1"/>
</file>

<file path=xl/ctrlProps/ctrlProp12.xml><?xml version="1.0" encoding="utf-8"?>
<formControlPr xmlns="http://schemas.microsoft.com/office/spreadsheetml/2009/9/main" objectType="CheckBox" fmlaLink="E16" lockText="1" noThreeD="1"/>
</file>

<file path=xl/ctrlProps/ctrlProp13.xml><?xml version="1.0" encoding="utf-8"?>
<formControlPr xmlns="http://schemas.microsoft.com/office/spreadsheetml/2009/9/main" objectType="CheckBox" fmlaLink="E15" lockText="1" noThreeD="1"/>
</file>

<file path=xl/ctrlProps/ctrlProp14.xml><?xml version="1.0" encoding="utf-8"?>
<formControlPr xmlns="http://schemas.microsoft.com/office/spreadsheetml/2009/9/main" objectType="CheckBox" fmlaLink="F11" lockText="1" noThreeD="1"/>
</file>

<file path=xl/ctrlProps/ctrlProp15.xml><?xml version="1.0" encoding="utf-8"?>
<formControlPr xmlns="http://schemas.microsoft.com/office/spreadsheetml/2009/9/main" objectType="CheckBox" fmlaLink="F12" lockText="1" noThreeD="1"/>
</file>

<file path=xl/ctrlProps/ctrlProp16.xml><?xml version="1.0" encoding="utf-8"?>
<formControlPr xmlns="http://schemas.microsoft.com/office/spreadsheetml/2009/9/main" objectType="CheckBox" fmlaLink="F13" lockText="1" noThreeD="1"/>
</file>

<file path=xl/ctrlProps/ctrlProp17.xml><?xml version="1.0" encoding="utf-8"?>
<formControlPr xmlns="http://schemas.microsoft.com/office/spreadsheetml/2009/9/main" objectType="CheckBox" fmlaLink="F14" lockText="1" noThreeD="1"/>
</file>

<file path=xl/ctrlProps/ctrlProp18.xml><?xml version="1.0" encoding="utf-8"?>
<formControlPr xmlns="http://schemas.microsoft.com/office/spreadsheetml/2009/9/main" objectType="CheckBox" fmlaLink="F15" lockText="1" noThreeD="1"/>
</file>

<file path=xl/ctrlProps/ctrlProp19.xml><?xml version="1.0" encoding="utf-8"?>
<formControlPr xmlns="http://schemas.microsoft.com/office/spreadsheetml/2009/9/main" objectType="CheckBox" fmlaLink="F16" lockText="1" noThreeD="1"/>
</file>

<file path=xl/ctrlProps/ctrlProp2.xml><?xml version="1.0" encoding="utf-8"?>
<formControlPr xmlns="http://schemas.microsoft.com/office/spreadsheetml/2009/9/main" objectType="CheckBox" checked="Checked" fmlaLink="D12" lockText="1" noThreeD="1"/>
</file>

<file path=xl/ctrlProps/ctrlProp20.xml><?xml version="1.0" encoding="utf-8"?>
<formControlPr xmlns="http://schemas.microsoft.com/office/spreadsheetml/2009/9/main" objectType="CheckBox" checked="Checked" fmlaLink="D10" lockText="1" noThreeD="1"/>
</file>

<file path=xl/ctrlProps/ctrlProp21.xml><?xml version="1.0" encoding="utf-8"?>
<formControlPr xmlns="http://schemas.microsoft.com/office/spreadsheetml/2009/9/main" objectType="CheckBox" fmlaLink="E10" lockText="1" noThreeD="1"/>
</file>

<file path=xl/ctrlProps/ctrlProp3.xml><?xml version="1.0" encoding="utf-8"?>
<formControlPr xmlns="http://schemas.microsoft.com/office/spreadsheetml/2009/9/main" objectType="CheckBox" checked="Checked" fmlaLink="D13" lockText="1" noThreeD="1"/>
</file>

<file path=xl/ctrlProps/ctrlProp4.xml><?xml version="1.0" encoding="utf-8"?>
<formControlPr xmlns="http://schemas.microsoft.com/office/spreadsheetml/2009/9/main" objectType="CheckBox" checked="Checked" fmlaLink="D14" lockText="1" noThreeD="1"/>
</file>

<file path=xl/ctrlProps/ctrlProp5.xml><?xml version="1.0" encoding="utf-8"?>
<formControlPr xmlns="http://schemas.microsoft.com/office/spreadsheetml/2009/9/main" objectType="CheckBox" checked="Checked" fmlaLink="D15" lockText="1" noThreeD="1"/>
</file>

<file path=xl/ctrlProps/ctrlProp6.xml><?xml version="1.0" encoding="utf-8"?>
<formControlPr xmlns="http://schemas.microsoft.com/office/spreadsheetml/2009/9/main" objectType="CheckBox" checked="Checked" fmlaLink="D16" lockText="1" noThreeD="1"/>
</file>

<file path=xl/ctrlProps/ctrlProp7.xml><?xml version="1.0" encoding="utf-8"?>
<formControlPr xmlns="http://schemas.microsoft.com/office/spreadsheetml/2009/9/main" objectType="CheckBox" fmlaLink="E11" lockText="1" noThreeD="1"/>
</file>

<file path=xl/ctrlProps/ctrlProp8.xml><?xml version="1.0" encoding="utf-8"?>
<formControlPr xmlns="http://schemas.microsoft.com/office/spreadsheetml/2009/9/main" objectType="CheckBox" fmlaLink="E12" lockText="1" noThreeD="1"/>
</file>

<file path=xl/ctrlProps/ctrlProp9.xml><?xml version="1.0" encoding="utf-8"?>
<formControlPr xmlns="http://schemas.microsoft.com/office/spreadsheetml/2009/9/main" objectType="CheckBox" fmlaLink="E13"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10.sv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4" Type="http://schemas.openxmlformats.org/officeDocument/2006/relationships/image" Target="../media/image10.sv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3" Type="http://schemas.openxmlformats.org/officeDocument/2006/relationships/image" Target="../media/image5.png"/><Relationship Id="rId7"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8" Type="http://schemas.openxmlformats.org/officeDocument/2006/relationships/image" Target="../media/image12.sv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image" Target="../media/image8.svg"/></Relationships>
</file>

<file path=xl/drawings/_rels/drawing4.xml.rels><?xml version="1.0" encoding="UTF-8" standalone="yes"?>
<Relationships xmlns="http://schemas.openxmlformats.org/package/2006/relationships"><Relationship Id="rId8" Type="http://schemas.openxmlformats.org/officeDocument/2006/relationships/image" Target="../media/image12.svg"/><Relationship Id="rId3" Type="http://schemas.openxmlformats.org/officeDocument/2006/relationships/image" Target="../media/image5.png"/><Relationship Id="rId7" Type="http://schemas.openxmlformats.org/officeDocument/2006/relationships/image" Target="../media/image11.png"/><Relationship Id="rId2" Type="http://schemas.openxmlformats.org/officeDocument/2006/relationships/image" Target="../media/image10.svg"/><Relationship Id="rId1" Type="http://schemas.openxmlformats.org/officeDocument/2006/relationships/image" Target="../media/image9.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6.svg"/><Relationship Id="rId17" Type="http://schemas.openxmlformats.org/officeDocument/2006/relationships/image" Target="../media/image12.svg"/><Relationship Id="rId2" Type="http://schemas.openxmlformats.org/officeDocument/2006/relationships/chart" Target="../charts/chart2.xml"/><Relationship Id="rId16" Type="http://schemas.openxmlformats.org/officeDocument/2006/relationships/image" Target="../media/image1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5.png"/><Relationship Id="rId5" Type="http://schemas.openxmlformats.org/officeDocument/2006/relationships/chart" Target="../charts/chart5.xml"/><Relationship Id="rId15" Type="http://schemas.openxmlformats.org/officeDocument/2006/relationships/chart" Target="../charts/chart10.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 Id="rId14" Type="http://schemas.openxmlformats.org/officeDocument/2006/relationships/image" Target="../media/image10.sv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2.svg"/><Relationship Id="rId5" Type="http://schemas.openxmlformats.org/officeDocument/2006/relationships/image" Target="../media/image11.png"/><Relationship Id="rId4" Type="http://schemas.openxmlformats.org/officeDocument/2006/relationships/image" Target="../media/image10.svg"/></Relationships>
</file>

<file path=xl/drawings/drawing1.xml><?xml version="1.0" encoding="utf-8"?>
<xdr:wsDr xmlns:xdr="http://schemas.openxmlformats.org/drawingml/2006/spreadsheetDrawing" xmlns:a="http://schemas.openxmlformats.org/drawingml/2006/main">
  <xdr:twoCellAnchor>
    <xdr:from>
      <xdr:col>0</xdr:col>
      <xdr:colOff>269578</xdr:colOff>
      <xdr:row>7</xdr:row>
      <xdr:rowOff>145445</xdr:rowOff>
    </xdr:from>
    <xdr:to>
      <xdr:col>8</xdr:col>
      <xdr:colOff>49316</xdr:colOff>
      <xdr:row>41</xdr:row>
      <xdr:rowOff>133351</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269578" y="1412270"/>
          <a:ext cx="7695013" cy="61410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2000" b="1">
              <a:ln>
                <a:noFill/>
              </a:ln>
            </a:rPr>
            <a:t>Kli</a:t>
          </a:r>
          <a:r>
            <a:rPr lang="de-DE" sz="2000" b="1" baseline="0">
              <a:ln>
                <a:noFill/>
              </a:ln>
            </a:rPr>
            <a:t>Max-Tool </a:t>
          </a:r>
        </a:p>
        <a:p>
          <a:r>
            <a:rPr lang="de-DE" sz="1400" b="1">
              <a:ln>
                <a:noFill/>
              </a:ln>
            </a:rPr>
            <a:t>Excel-Tool für Institutionen</a:t>
          </a:r>
          <a:r>
            <a:rPr lang="de-DE" sz="1400" b="1" baseline="0">
              <a:ln>
                <a:noFill/>
              </a:ln>
            </a:rPr>
            <a:t> zur Erstellung von Treibhausgas-Bilanzen und Zukunftsszenarien</a:t>
          </a:r>
        </a:p>
        <a:p>
          <a:endParaRPr lang="de-DE" sz="1200" b="0" i="1">
            <a:ln>
              <a:noFill/>
            </a:ln>
          </a:endParaRPr>
        </a:p>
        <a:p>
          <a:r>
            <a:rPr lang="de-DE" sz="1200" b="0" i="1">
              <a:ln>
                <a:noFill/>
              </a:ln>
            </a:rPr>
            <a:t>Version 1.4 	</a:t>
          </a:r>
          <a:r>
            <a:rPr lang="de-DE" sz="1200" b="0" i="1" baseline="0">
              <a:ln>
                <a:noFill/>
              </a:ln>
            </a:rPr>
            <a:t>     </a:t>
          </a:r>
          <a:r>
            <a:rPr lang="de-DE" sz="1200" b="0" i="1">
              <a:ln>
                <a:noFill/>
              </a:ln>
            </a:rPr>
            <a:t>Stand: September</a:t>
          </a:r>
          <a:r>
            <a:rPr lang="de-DE" sz="1200" b="0" i="1" baseline="0">
              <a:ln>
                <a:noFill/>
              </a:ln>
            </a:rPr>
            <a:t> </a:t>
          </a:r>
          <a:r>
            <a:rPr lang="de-DE" sz="1200" b="0" i="1">
              <a:ln>
                <a:noFill/>
              </a:ln>
            </a:rPr>
            <a:t>2024	Bilanzjahre:</a:t>
          </a:r>
          <a:r>
            <a:rPr lang="de-DE" sz="1200" b="0" i="1" baseline="0">
              <a:ln>
                <a:noFill/>
              </a:ln>
            </a:rPr>
            <a:t> 2015-2021 (2022-2050 vorläufig)</a:t>
          </a:r>
          <a:endParaRPr lang="de-DE" sz="1200" b="0" i="1" u="sng">
            <a:ln>
              <a:noFill/>
            </a:ln>
          </a:endParaRPr>
        </a:p>
        <a:p>
          <a:endParaRPr lang="de-DE" sz="1100" b="1">
            <a:ln>
              <a:noFill/>
            </a:ln>
          </a:endParaRPr>
        </a:p>
        <a:p>
          <a:r>
            <a:rPr lang="de-DE" sz="1100">
              <a:solidFill>
                <a:schemeClr val="dk1"/>
              </a:solidFill>
              <a:effectLst/>
              <a:latin typeface="+mn-lt"/>
              <a:ea typeface="+mn-ea"/>
              <a:cs typeface="+mn-cs"/>
            </a:rPr>
            <a:t>Das KliMax-Tool (kurz: KliMax) ist ein umfassendes Treibhausgasbilanzierungstool. Es geht über die Funktionalitäten einer herkömmlichen Ist-Bilanz hinaus, indem es Institutionen ermöglicht, zukünftige Emissionstrends bis 2050 systematisch zu erfassen. Ziel ist es, maßgeschneiderte Bilanzen zu erstellen, die Institutionen dabei unterstützen, ihre individuellen Klimaziele und Systemgrenzen zu definieren und zu evaluieren.</a:t>
          </a:r>
          <a:endParaRPr lang="en-GB" sz="1100">
            <a:solidFill>
              <a:schemeClr val="dk1"/>
            </a:solidFill>
            <a:effectLst/>
            <a:latin typeface="+mn-lt"/>
            <a:ea typeface="+mn-ea"/>
            <a:cs typeface="+mn-cs"/>
          </a:endParaRPr>
        </a:p>
        <a:p>
          <a:endParaRPr lang="de-DE" sz="1100" b="1">
            <a:ln>
              <a:noFill/>
            </a:ln>
          </a:endParaRPr>
        </a:p>
        <a:p>
          <a:r>
            <a:rPr lang="de-DE" sz="1100" b="1">
              <a:solidFill>
                <a:schemeClr val="dk1"/>
              </a:solidFill>
              <a:effectLst/>
              <a:latin typeface="+mn-lt"/>
              <a:ea typeface="+mn-ea"/>
              <a:cs typeface="+mn-cs"/>
            </a:rPr>
            <a:t>Zielgruppe</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KliMax richtet sich an Verwaltungen von Institutionen in Deutschland, die im Klimaschutz aktiv sind. Als Excel-basiertes Tool bietet es eine kostenfreie Nutzung und eine benutzerfreundliche Handhabung, die ohne aufwändige Einarbeitung möglich ist. Die Auswertung</a:t>
          </a:r>
          <a:r>
            <a:rPr lang="de-DE" sz="1100" baseline="0">
              <a:solidFill>
                <a:schemeClr val="dk1"/>
              </a:solidFill>
              <a:effectLst/>
              <a:latin typeface="+mn-lt"/>
              <a:ea typeface="+mn-ea"/>
              <a:cs typeface="+mn-cs"/>
            </a:rPr>
            <a:t> durch sachkundiges Personal wird angeraten.</a:t>
          </a:r>
          <a:endParaRPr lang="en-GB" sz="1100">
            <a:solidFill>
              <a:schemeClr val="dk1"/>
            </a:solidFill>
            <a:effectLst/>
            <a:latin typeface="+mn-lt"/>
            <a:ea typeface="+mn-ea"/>
            <a:cs typeface="+mn-cs"/>
          </a:endParaRPr>
        </a:p>
        <a:p>
          <a:endParaRPr lang="de-DE" sz="1100">
            <a:ln>
              <a:noFill/>
            </a:ln>
            <a:solidFill>
              <a:schemeClr val="dk1"/>
            </a:solidFill>
            <a:effectLst/>
            <a:latin typeface="+mn-lt"/>
            <a:ea typeface="+mn-ea"/>
            <a:cs typeface="+mn-cs"/>
          </a:endParaRPr>
        </a:p>
        <a:p>
          <a:r>
            <a:rPr lang="de-DE" sz="1100" b="1">
              <a:solidFill>
                <a:schemeClr val="dk1"/>
              </a:solidFill>
              <a:effectLst/>
              <a:latin typeface="+mn-lt"/>
              <a:ea typeface="+mn-ea"/>
              <a:cs typeface="+mn-cs"/>
            </a:rPr>
            <a:t>Download und Nutzung</a:t>
          </a:r>
          <a:br>
            <a:rPr lang="de-DE" sz="1100">
              <a:solidFill>
                <a:schemeClr val="dk1"/>
              </a:solidFill>
              <a:effectLst/>
              <a:latin typeface="+mn-lt"/>
              <a:ea typeface="+mn-ea"/>
              <a:cs typeface="+mn-cs"/>
            </a:rPr>
          </a:br>
          <a:r>
            <a:rPr lang="de-DE" sz="1100">
              <a:solidFill>
                <a:schemeClr val="dk1"/>
              </a:solidFill>
              <a:effectLst/>
              <a:latin typeface="+mn-lt"/>
              <a:ea typeface="+mn-ea"/>
              <a:cs typeface="+mn-cs"/>
            </a:rPr>
            <a:t>Das Tool kann von der folgenden Webseite heruntergeladen werden: </a:t>
          </a:r>
          <a:r>
            <a:rPr lang="de-DE" sz="1100" u="sng">
              <a:solidFill>
                <a:schemeClr val="dk1"/>
              </a:solidFill>
              <a:effectLst/>
              <a:latin typeface="+mn-lt"/>
              <a:ea typeface="+mn-ea"/>
              <a:cs typeface="+mn-cs"/>
              <a:hlinkClick xmlns:r="http://schemas.openxmlformats.org/officeDocument/2006/relationships" r:id=""/>
            </a:rPr>
            <a:t>www.h2.de/klimax</a:t>
          </a:r>
          <a:r>
            <a:rPr lang="de-DE" sz="1100">
              <a:solidFill>
                <a:schemeClr val="dk1"/>
              </a:solidFill>
              <a:effectLst/>
              <a:latin typeface="+mn-lt"/>
              <a:ea typeface="+mn-ea"/>
              <a:cs typeface="+mn-cs"/>
            </a:rPr>
            <a:t>. Um die Funktionalität zu gewährleisten, wird mind. die Excel Version 2019 oder neuer empfohlen.</a:t>
          </a:r>
          <a:endParaRPr lang="en-GB" sz="1100">
            <a:solidFill>
              <a:schemeClr val="dk1"/>
            </a:solidFill>
            <a:effectLst/>
            <a:latin typeface="+mn-lt"/>
            <a:ea typeface="+mn-ea"/>
            <a:cs typeface="+mn-cs"/>
          </a:endParaRPr>
        </a:p>
        <a:p>
          <a:r>
            <a:rPr lang="de-DE" sz="1100">
              <a:solidFill>
                <a:schemeClr val="dk1"/>
              </a:solidFill>
              <a:effectLst/>
              <a:latin typeface="+mn-lt"/>
              <a:ea typeface="+mn-ea"/>
              <a:cs typeface="+mn-cs"/>
            </a:rPr>
            <a:t>KliMax stellt im Rahmen der Überlassung keine Art von Kundendienst zur Verfügung. Es wird keine Gewähr für die Richtigkeit und Vollständigkeit der Ergebnisse übernommen.</a:t>
          </a:r>
          <a:endParaRPr lang="en-GB" sz="1100">
            <a:solidFill>
              <a:schemeClr val="dk1"/>
            </a:solidFill>
            <a:effectLst/>
            <a:latin typeface="+mn-lt"/>
            <a:ea typeface="+mn-ea"/>
            <a:cs typeface="+mn-cs"/>
          </a:endParaRPr>
        </a:p>
        <a:p>
          <a:r>
            <a:rPr lang="de-DE" sz="1100">
              <a:solidFill>
                <a:schemeClr val="dk1"/>
              </a:solidFill>
              <a:effectLst/>
              <a:latin typeface="+mn-lt"/>
              <a:ea typeface="+mn-ea"/>
              <a:cs typeface="+mn-cs"/>
            </a:rPr>
            <a:t>Das KliMax-Tool © 2024 von Julia Zigann (Hochschule Magdeburg-Stendal) ist lizensiert nach CC BY-NC-SA 4.0.</a:t>
          </a:r>
          <a:r>
            <a:rPr lang="de-DE" sz="1100" baseline="0">
              <a:solidFill>
                <a:schemeClr val="dk1"/>
              </a:solidFill>
              <a:effectLst/>
              <a:latin typeface="+mn-lt"/>
              <a:ea typeface="+mn-ea"/>
              <a:cs typeface="+mn-cs"/>
            </a:rPr>
            <a:t> Dies sollte bei der Nutzung und Quellenangabe beachtet werden.</a:t>
          </a:r>
          <a:endParaRPr lang="de-DE" sz="1100">
            <a:solidFill>
              <a:schemeClr val="dk1"/>
            </a:solidFill>
            <a:effectLst/>
            <a:latin typeface="+mn-lt"/>
            <a:ea typeface="+mn-ea"/>
            <a:cs typeface="+mn-cs"/>
          </a:endParaRPr>
        </a:p>
        <a:p>
          <a:endParaRPr lang="de-DE" sz="1100">
            <a:ln>
              <a:noFill/>
            </a:ln>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baseline="0">
              <a:ln>
                <a:noFill/>
              </a:ln>
              <a:solidFill>
                <a:schemeClr val="dk1"/>
              </a:solidFill>
              <a:effectLst/>
              <a:latin typeface="+mn-lt"/>
              <a:ea typeface="+mn-ea"/>
              <a:cs typeface="+mn-cs"/>
            </a:rPr>
            <a:t>Herausgeber:innen</a:t>
          </a:r>
        </a:p>
        <a:p>
          <a:r>
            <a:rPr lang="de-DE">
              <a:ln>
                <a:noFill/>
              </a:ln>
            </a:rPr>
            <a:t>Autorin: 	Julia Marie Zigann (</a:t>
          </a:r>
          <a:r>
            <a:rPr lang="de-DE" sz="1100">
              <a:solidFill>
                <a:schemeClr val="dk1"/>
              </a:solidFill>
              <a:effectLst/>
              <a:latin typeface="+mn-lt"/>
              <a:ea typeface="+mn-ea"/>
              <a:cs typeface="+mn-cs"/>
            </a:rPr>
            <a:t>M. Sc. Ing.</a:t>
          </a:r>
          <a:r>
            <a:rPr lang="de-DE"/>
            <a:t>)</a:t>
          </a:r>
          <a:endParaRPr lang="de-DE">
            <a:ln>
              <a:noFill/>
            </a:ln>
          </a:endParaRPr>
        </a:p>
        <a:p>
          <a:r>
            <a:rPr lang="de-DE">
              <a:ln>
                <a:noFill/>
              </a:ln>
            </a:rPr>
            <a:t>	Klimaschutzmanagement </a:t>
          </a:r>
        </a:p>
        <a:p>
          <a:r>
            <a:rPr lang="de-DE">
              <a:ln>
                <a:noFill/>
              </a:ln>
            </a:rPr>
            <a:t>	Hochschule Magdeburg-Stendal </a:t>
          </a:r>
          <a:endParaRPr lang="de-DE" sz="1100" b="0">
            <a:solidFill>
              <a:schemeClr val="dk1"/>
            </a:solidFill>
            <a:effectLst/>
            <a:latin typeface="+mn-lt"/>
            <a:ea typeface="+mn-ea"/>
            <a:cs typeface="+mn-cs"/>
          </a:endParaRPr>
        </a:p>
        <a:p>
          <a:r>
            <a:rPr lang="de-DE" sz="1100" b="0">
              <a:solidFill>
                <a:schemeClr val="dk1"/>
              </a:solidFill>
              <a:effectLst/>
              <a:latin typeface="+mn-lt"/>
              <a:ea typeface="+mn-ea"/>
              <a:cs typeface="+mn-cs"/>
            </a:rPr>
            <a:t>	Mail: julia-marie.zigann@h2.de</a:t>
          </a:r>
          <a:endParaRPr lang="de-DE" sz="1100" b="0" baseline="0">
            <a:solidFill>
              <a:schemeClr val="dk1"/>
            </a:solidFill>
            <a:effectLst/>
            <a:latin typeface="+mn-lt"/>
            <a:ea typeface="+mn-ea"/>
            <a:cs typeface="+mn-cs"/>
          </a:endParaRPr>
        </a:p>
        <a:p>
          <a:r>
            <a:rPr lang="de-DE" sz="1100" b="0" baseline="0">
              <a:solidFill>
                <a:schemeClr val="dk1"/>
              </a:solidFill>
              <a:effectLst/>
              <a:latin typeface="+mn-lt"/>
              <a:ea typeface="+mn-ea"/>
              <a:cs typeface="+mn-cs"/>
            </a:rPr>
            <a:t>	Tel: 0391 886 45 33</a:t>
          </a:r>
          <a:endParaRPr lang="de-DE">
            <a:ln>
              <a:noFill/>
            </a:ln>
          </a:endParaRPr>
        </a:p>
        <a:p>
          <a:endParaRPr lang="de-DE">
            <a:ln>
              <a:noFill/>
            </a:ln>
          </a:endParaRPr>
        </a:p>
        <a:p>
          <a:r>
            <a:rPr lang="de-DE" sz="1100">
              <a:solidFill>
                <a:schemeClr val="dk1"/>
              </a:solidFill>
              <a:effectLst/>
              <a:latin typeface="+mn-lt"/>
              <a:ea typeface="+mn-ea"/>
              <a:cs typeface="+mn-cs"/>
            </a:rPr>
            <a:t>Projektleitung: Prof. Dr. rer. nat.</a:t>
          </a:r>
          <a:r>
            <a:rPr lang="de-DE" sz="1100" baseline="0">
              <a:solidFill>
                <a:schemeClr val="dk1"/>
              </a:solidFill>
              <a:effectLst/>
              <a:latin typeface="+mn-lt"/>
              <a:ea typeface="+mn-ea"/>
              <a:cs typeface="+mn-cs"/>
            </a:rPr>
            <a:t> Petra Schneider (Hochschule Magdeburg-Stendal)</a:t>
          </a:r>
          <a:endParaRPr lang="de-DE">
            <a:ln>
              <a:noFill/>
            </a:ln>
          </a:endParaRPr>
        </a:p>
        <a:p>
          <a:r>
            <a:rPr lang="de-DE">
              <a:ln>
                <a:noFill/>
              </a:ln>
            </a:rPr>
            <a:t>Fachliche</a:t>
          </a:r>
          <a:r>
            <a:rPr lang="de-DE" baseline="0">
              <a:ln>
                <a:noFill/>
              </a:ln>
            </a:rPr>
            <a:t> Beratung: </a:t>
          </a:r>
          <a:r>
            <a:rPr lang="de-DE" sz="1100" baseline="0">
              <a:solidFill>
                <a:schemeClr val="dk1"/>
              </a:solidFill>
              <a:effectLst/>
              <a:latin typeface="+mn-lt"/>
              <a:ea typeface="+mn-ea"/>
              <a:cs typeface="+mn-cs"/>
            </a:rPr>
            <a:t>Philipp Wachter (ifeu Institut), </a:t>
          </a:r>
          <a:r>
            <a:rPr lang="de-DE" baseline="0">
              <a:ln>
                <a:noFill/>
              </a:ln>
            </a:rPr>
            <a:t>Prof. Dr. Ute Urban (Hochschule Harz), Cord Wöhning (HIS-HE), Prof. Dr.-Ing. Kati Jagnow (Hochschule Magdeburg-Stendal)</a:t>
          </a:r>
          <a:br>
            <a:rPr lang="de-DE">
              <a:ln>
                <a:noFill/>
              </a:ln>
            </a:rPr>
          </a:br>
          <a:r>
            <a:rPr lang="de-DE">
              <a:ln>
                <a:noFill/>
              </a:ln>
            </a:rPr>
            <a:t>Redaktionelle Beratung: Ingo Elstner </a:t>
          </a:r>
        </a:p>
      </xdr:txBody>
    </xdr:sp>
    <xdr:clientData/>
  </xdr:twoCellAnchor>
  <xdr:twoCellAnchor editAs="oneCell">
    <xdr:from>
      <xdr:col>1</xdr:col>
      <xdr:colOff>68067</xdr:colOff>
      <xdr:row>1</xdr:row>
      <xdr:rowOff>103665</xdr:rowOff>
    </xdr:from>
    <xdr:to>
      <xdr:col>2</xdr:col>
      <xdr:colOff>407636</xdr:colOff>
      <xdr:row>6</xdr:row>
      <xdr:rowOff>144979</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9217" y="287815"/>
          <a:ext cx="1006319" cy="962064"/>
        </a:xfrm>
        <a:prstGeom prst="rect">
          <a:avLst/>
        </a:prstGeom>
      </xdr:spPr>
    </xdr:pic>
    <xdr:clientData/>
  </xdr:twoCellAnchor>
  <xdr:twoCellAnchor editAs="oneCell">
    <xdr:from>
      <xdr:col>5</xdr:col>
      <xdr:colOff>84584</xdr:colOff>
      <xdr:row>31</xdr:row>
      <xdr:rowOff>89606</xdr:rowOff>
    </xdr:from>
    <xdr:to>
      <xdr:col>6</xdr:col>
      <xdr:colOff>896170</xdr:colOff>
      <xdr:row>35</xdr:row>
      <xdr:rowOff>85087</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a:fillRect/>
        </a:stretch>
      </xdr:blipFill>
      <xdr:spPr>
        <a:xfrm>
          <a:off x="5564634" y="5798256"/>
          <a:ext cx="1497386" cy="738431"/>
        </a:xfrm>
        <a:prstGeom prst="rect">
          <a:avLst/>
        </a:prstGeom>
      </xdr:spPr>
    </xdr:pic>
    <xdr:clientData/>
  </xdr:twoCellAnchor>
  <xdr:twoCellAnchor editAs="oneCell">
    <xdr:from>
      <xdr:col>4</xdr:col>
      <xdr:colOff>353528</xdr:colOff>
      <xdr:row>31</xdr:row>
      <xdr:rowOff>56257</xdr:rowOff>
    </xdr:from>
    <xdr:to>
      <xdr:col>4</xdr:col>
      <xdr:colOff>1685295</xdr:colOff>
      <xdr:row>34</xdr:row>
      <xdr:rowOff>174409</xdr:rowOff>
    </xdr:to>
    <xdr:pic>
      <xdr:nvPicPr>
        <xdr:cNvPr id="10" name="Grafik 9" descr="Ein Bild, das Text, Logo, Schrift, Grafiken enthält.&#10;&#10;Automatisch generierte Beschreibung">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6828" y="5764907"/>
          <a:ext cx="1338117" cy="670602"/>
        </a:xfrm>
        <a:prstGeom prst="rect">
          <a:avLst/>
        </a:prstGeom>
      </xdr:spPr>
    </xdr:pic>
    <xdr:clientData/>
  </xdr:twoCellAnchor>
  <xdr:twoCellAnchor editAs="oneCell">
    <xdr:from>
      <xdr:col>4</xdr:col>
      <xdr:colOff>330199</xdr:colOff>
      <xdr:row>35</xdr:row>
      <xdr:rowOff>43784</xdr:rowOff>
    </xdr:from>
    <xdr:to>
      <xdr:col>4</xdr:col>
      <xdr:colOff>1685646</xdr:colOff>
      <xdr:row>36</xdr:row>
      <xdr:rowOff>10572</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73499" y="6489034"/>
          <a:ext cx="1361797" cy="150938"/>
        </a:xfrm>
        <a:prstGeom prst="rect">
          <a:avLst/>
        </a:prstGeom>
      </xdr:spPr>
    </xdr:pic>
    <xdr:clientData/>
  </xdr:twoCellAnchor>
  <xdr:twoCellAnchor editAs="oneCell">
    <xdr:from>
      <xdr:col>6</xdr:col>
      <xdr:colOff>1011377</xdr:colOff>
      <xdr:row>0</xdr:row>
      <xdr:rowOff>31422</xdr:rowOff>
    </xdr:from>
    <xdr:to>
      <xdr:col>7</xdr:col>
      <xdr:colOff>117117</xdr:colOff>
      <xdr:row>1</xdr:row>
      <xdr:rowOff>19842</xdr:rowOff>
    </xdr:to>
    <xdr:pic>
      <xdr:nvPicPr>
        <xdr:cNvPr id="14" name="Grafik 13" descr="Umschlag">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74002" y="31422"/>
          <a:ext cx="163015" cy="178920"/>
        </a:xfrm>
        <a:prstGeom prst="rect">
          <a:avLst/>
        </a:prstGeom>
      </xdr:spPr>
    </xdr:pic>
    <xdr:clientData/>
  </xdr:twoCellAnchor>
  <xdr:twoCellAnchor editAs="oneCell">
    <xdr:from>
      <xdr:col>4</xdr:col>
      <xdr:colOff>63142</xdr:colOff>
      <xdr:row>87</xdr:row>
      <xdr:rowOff>4730</xdr:rowOff>
    </xdr:from>
    <xdr:to>
      <xdr:col>4</xdr:col>
      <xdr:colOff>240097</xdr:colOff>
      <xdr:row>88</xdr:row>
      <xdr:rowOff>1819</xdr:rowOff>
    </xdr:to>
    <xdr:pic>
      <xdr:nvPicPr>
        <xdr:cNvPr id="15" name="Grafik 14" descr="Kreis mit Pfeil nach rechts">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rot="10800000">
          <a:off x="3484815" y="16475653"/>
          <a:ext cx="170605" cy="1780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447285</xdr:colOff>
      <xdr:row>0</xdr:row>
      <xdr:rowOff>12372</xdr:rowOff>
    </xdr:from>
    <xdr:to>
      <xdr:col>10</xdr:col>
      <xdr:colOff>19750</xdr:colOff>
      <xdr:row>1</xdr:row>
      <xdr:rowOff>792</xdr:rowOff>
    </xdr:to>
    <xdr:pic>
      <xdr:nvPicPr>
        <xdr:cNvPr id="5" name="Grafik 4" descr="Umschlag">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78814" y="12372"/>
          <a:ext cx="165736" cy="168034"/>
        </a:xfrm>
        <a:prstGeom prst="rect">
          <a:avLst/>
        </a:prstGeom>
      </xdr:spPr>
    </xdr:pic>
    <xdr:clientData/>
  </xdr:twoCellAnchor>
  <xdr:twoCellAnchor editAs="oneCell">
    <xdr:from>
      <xdr:col>1</xdr:col>
      <xdr:colOff>24384</xdr:colOff>
      <xdr:row>0</xdr:row>
      <xdr:rowOff>14426</xdr:rowOff>
    </xdr:from>
    <xdr:to>
      <xdr:col>1</xdr:col>
      <xdr:colOff>199704</xdr:colOff>
      <xdr:row>1</xdr:row>
      <xdr:rowOff>6652</xdr:rowOff>
    </xdr:to>
    <xdr:pic>
      <xdr:nvPicPr>
        <xdr:cNvPr id="6" name="Grafik 5" descr="Kompass">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8842</xdr:colOff>
      <xdr:row>511</xdr:row>
      <xdr:rowOff>122460</xdr:rowOff>
    </xdr:from>
    <xdr:to>
      <xdr:col>15</xdr:col>
      <xdr:colOff>215900</xdr:colOff>
      <xdr:row>515</xdr:row>
      <xdr:rowOff>133350</xdr:rowOff>
    </xdr:to>
    <xdr:sp macro="" textlink="">
      <xdr:nvSpPr>
        <xdr:cNvPr id="4" name="Textfeld 3">
          <a:extLst>
            <a:ext uri="{FF2B5EF4-FFF2-40B4-BE49-F238E27FC236}">
              <a16:creationId xmlns:a16="http://schemas.microsoft.com/office/drawing/2014/main" id="{00000000-0008-0000-0A00-000004000000}"/>
            </a:ext>
          </a:extLst>
        </xdr:cNvPr>
        <xdr:cNvSpPr txBox="1"/>
      </xdr:nvSpPr>
      <xdr:spPr>
        <a:xfrm>
          <a:off x="189817" y="106478610"/>
          <a:ext cx="11513233" cy="734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Hinweise zur Dateineingabe</a:t>
          </a:r>
        </a:p>
        <a:p>
          <a:r>
            <a:rPr lang="en-GB" sz="1100" b="0" i="0" u="none" strike="noStrike">
              <a:solidFill>
                <a:schemeClr val="dk1"/>
              </a:solidFill>
              <a:effectLst/>
              <a:latin typeface="+mn-lt"/>
              <a:ea typeface="+mn-ea"/>
              <a:cs typeface="+mn-cs"/>
            </a:rPr>
            <a:t>Für ein</a:t>
          </a:r>
          <a:r>
            <a:rPr lang="en-GB" sz="1100" b="0" i="0" u="none" strike="noStrike" baseline="0">
              <a:solidFill>
                <a:schemeClr val="dk1"/>
              </a:solidFill>
              <a:effectLst/>
              <a:latin typeface="+mn-lt"/>
              <a:ea typeface="+mn-ea"/>
              <a:cs typeface="+mn-cs"/>
            </a:rPr>
            <a:t> eigenes Szenario können auch Sonder-</a:t>
          </a:r>
          <a:r>
            <a:rPr lang="en-GB" sz="1100" b="0" i="0" u="none" strike="noStrike">
              <a:solidFill>
                <a:schemeClr val="dk1"/>
              </a:solidFill>
              <a:effectLst/>
              <a:latin typeface="+mn-lt"/>
              <a:ea typeface="+mn-ea"/>
              <a:cs typeface="+mn-cs"/>
            </a:rPr>
            <a:t>Emissionsfaktoren</a:t>
          </a:r>
          <a:r>
            <a:rPr lang="en-GB" sz="1100" b="0" i="0" u="none" strike="noStrike" baseline="0">
              <a:solidFill>
                <a:schemeClr val="dk1"/>
              </a:solidFill>
              <a:effectLst/>
              <a:latin typeface="+mn-lt"/>
              <a:ea typeface="+mn-ea"/>
              <a:cs typeface="+mn-cs"/>
            </a:rPr>
            <a:t> und </a:t>
          </a:r>
          <a:r>
            <a:rPr lang="en-GB" sz="1100" b="0" i="0" u="none" strike="noStrike">
              <a:solidFill>
                <a:schemeClr val="dk1"/>
              </a:solidFill>
              <a:effectLst/>
              <a:latin typeface="+mn-lt"/>
              <a:ea typeface="+mn-ea"/>
              <a:cs typeface="+mn-cs"/>
            </a:rPr>
            <a:t>je nach Änderungen</a:t>
          </a:r>
          <a:r>
            <a:rPr lang="en-GB" sz="1100" b="0" i="0" u="none" strike="noStrike" baseline="0">
              <a:solidFill>
                <a:schemeClr val="dk1"/>
              </a:solidFill>
              <a:effectLst/>
              <a:latin typeface="+mn-lt"/>
              <a:ea typeface="+mn-ea"/>
              <a:cs typeface="+mn-cs"/>
            </a:rPr>
            <a:t> müssen die Formeln zur Berechnung der Emissionen </a:t>
          </a:r>
          <a:r>
            <a:rPr lang="en-GB" sz="1100" b="0" i="0" u="none" strike="noStrike">
              <a:solidFill>
                <a:schemeClr val="dk1"/>
              </a:solidFill>
              <a:effectLst/>
              <a:latin typeface="+mn-lt"/>
              <a:ea typeface="+mn-ea"/>
              <a:cs typeface="+mn-cs"/>
            </a:rPr>
            <a:t>in der Tabelle geändert werden (Achtung bei Änderungen</a:t>
          </a:r>
          <a:r>
            <a:rPr lang="en-GB" sz="1100" b="0" i="0" u="none" strike="noStrike" baseline="0">
              <a:solidFill>
                <a:schemeClr val="dk1"/>
              </a:solidFill>
              <a:effectLst/>
              <a:latin typeface="+mn-lt"/>
              <a:ea typeface="+mn-ea"/>
              <a:cs typeface="+mn-cs"/>
            </a:rPr>
            <a:t> im Bereich elektrischen Strom müssen ggf. die Summe der Verbräuche verwendet oder aufgelöst werden. In diesem Bsp. wurden in ID1 die Verbräuche der ID 2 bis 10 summiert gelöscht). </a:t>
          </a:r>
          <a:endParaRPr lang="en-GB" baseline="0">
            <a:latin typeface="+mn-lt"/>
          </a:endParaRPr>
        </a:p>
        <a:p>
          <a:endParaRPr lang="de-DE" sz="1100">
            <a:latin typeface="+mn-lt"/>
          </a:endParaRPr>
        </a:p>
      </xdr:txBody>
    </xdr:sp>
    <xdr:clientData/>
  </xdr:twoCellAnchor>
  <xdr:twoCellAnchor editAs="oneCell">
    <xdr:from>
      <xdr:col>8</xdr:col>
      <xdr:colOff>458624</xdr:colOff>
      <xdr:row>0</xdr:row>
      <xdr:rowOff>21897</xdr:rowOff>
    </xdr:from>
    <xdr:to>
      <xdr:col>9</xdr:col>
      <xdr:colOff>31089</xdr:colOff>
      <xdr:row>1</xdr:row>
      <xdr:rowOff>7142</xdr:rowOff>
    </xdr:to>
    <xdr:pic>
      <xdr:nvPicPr>
        <xdr:cNvPr id="8" name="Grafik 7" descr="Umschlag">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973849" y="21897"/>
          <a:ext cx="159840" cy="169395"/>
        </a:xfrm>
        <a:prstGeom prst="rect">
          <a:avLst/>
        </a:prstGeom>
      </xdr:spPr>
    </xdr:pic>
    <xdr:clientData/>
  </xdr:twoCellAnchor>
  <xdr:twoCellAnchor editAs="oneCell">
    <xdr:from>
      <xdr:col>1</xdr:col>
      <xdr:colOff>24384</xdr:colOff>
      <xdr:row>0</xdr:row>
      <xdr:rowOff>14426</xdr:rowOff>
    </xdr:from>
    <xdr:to>
      <xdr:col>1</xdr:col>
      <xdr:colOff>199704</xdr:colOff>
      <xdr:row>1</xdr:row>
      <xdr:rowOff>6652</xdr:rowOff>
    </xdr:to>
    <xdr:pic>
      <xdr:nvPicPr>
        <xdr:cNvPr id="5" name="Grafik 4" descr="Kompass">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94853</xdr:colOff>
      <xdr:row>3</xdr:row>
      <xdr:rowOff>46281</xdr:rowOff>
    </xdr:from>
    <xdr:to>
      <xdr:col>10</xdr:col>
      <xdr:colOff>73025</xdr:colOff>
      <xdr:row>8</xdr:row>
      <xdr:rowOff>0</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275828" y="646356"/>
          <a:ext cx="9293622" cy="1992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baseline="0">
              <a:solidFill>
                <a:schemeClr val="dk1"/>
              </a:solidFill>
              <a:effectLst/>
              <a:latin typeface="+mn-lt"/>
              <a:ea typeface="+mn-ea"/>
              <a:cs typeface="+mn-cs"/>
            </a:rPr>
            <a:t>Systemgrenzen: </a:t>
          </a:r>
          <a:r>
            <a:rPr lang="de-DE" sz="1100" b="0" baseline="0">
              <a:solidFill>
                <a:schemeClr val="dk1"/>
              </a:solidFill>
              <a:effectLst/>
              <a:latin typeface="+mn-lt"/>
              <a:ea typeface="+mn-ea"/>
              <a:cs typeface="+mn-cs"/>
            </a:rPr>
            <a:t>Füllen Sie alle Datenpunkte der Handlungsfelder aus, die durch die Vorgaben des Landes, der Institution und weiteren Rahmenbedingungen notwendig sind. </a:t>
          </a:r>
          <a:r>
            <a:rPr lang="de-DE" sz="1100" b="0">
              <a:solidFill>
                <a:schemeClr val="dk1"/>
              </a:solidFill>
              <a:effectLst/>
              <a:latin typeface="+mn-lt"/>
              <a:ea typeface="+mn-ea"/>
              <a:cs typeface="+mn-cs"/>
            </a:rPr>
            <a:t>G</a:t>
          </a:r>
          <a:r>
            <a:rPr lang="de-DE" sz="1100" b="0" baseline="0">
              <a:solidFill>
                <a:schemeClr val="dk1"/>
              </a:solidFill>
              <a:effectLst/>
              <a:latin typeface="+mn-lt"/>
              <a:ea typeface="+mn-ea"/>
              <a:cs typeface="+mn-cs"/>
            </a:rPr>
            <a:t>emäß GHG-Protocol ist mindestens die </a:t>
          </a:r>
          <a:r>
            <a:rPr lang="de-DE" sz="1100" baseline="0">
              <a:solidFill>
                <a:schemeClr val="dk1"/>
              </a:solidFill>
              <a:effectLst/>
              <a:latin typeface="+mn-lt"/>
              <a:ea typeface="+mn-ea"/>
              <a:cs typeface="+mn-cs"/>
            </a:rPr>
            <a:t>Bilanzierung nach Scope 1 und 2 (ebenfalls ID 1-36) verpflichtend (</a:t>
          </a:r>
          <a:r>
            <a:rPr lang="de-DE" sz="1100" b="1">
              <a:solidFill>
                <a:schemeClr val="dk1"/>
              </a:solidFill>
              <a:effectLst/>
              <a:latin typeface="+mn-lt"/>
              <a:ea typeface="+mn-ea"/>
              <a:cs typeface="+mn-cs"/>
            </a:rPr>
            <a:t>fett gedruckte Datenpunkte</a:t>
          </a:r>
          <a:r>
            <a:rPr lang="de-DE" sz="1100" b="0">
              <a:solidFill>
                <a:schemeClr val="dk1"/>
              </a:solidFill>
              <a:effectLst/>
              <a:latin typeface="+mn-lt"/>
              <a:ea typeface="+mn-ea"/>
              <a:cs typeface="+mn-cs"/>
            </a:rPr>
            <a:t>).</a:t>
          </a:r>
          <a:r>
            <a:rPr lang="de-DE" sz="1100" b="0" baseline="0">
              <a:solidFill>
                <a:schemeClr val="dk1"/>
              </a:solidFill>
              <a:effectLst/>
              <a:latin typeface="+mn-lt"/>
              <a:ea typeface="+mn-ea"/>
              <a:cs typeface="+mn-cs"/>
            </a:rPr>
            <a:t>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0" baseline="0">
              <a:solidFill>
                <a:schemeClr val="dk1"/>
              </a:solidFill>
              <a:effectLst/>
              <a:latin typeface="+mn-lt"/>
              <a:ea typeface="+mn-ea"/>
              <a:cs typeface="+mn-cs"/>
            </a:rPr>
            <a:t>Den Beginn der Zukunftsszenarien stellen Sie auf der Startseite ein. Für die Vorjahre geben Sie alle vorliegenden Daten ein.</a:t>
          </a:r>
          <a:endParaRPr lang="de-DE" sz="1100" b="1" i="0">
            <a:solidFill>
              <a:schemeClr val="dk1"/>
            </a:solidFill>
            <a:effectLst/>
            <a:latin typeface="+mn-lt"/>
            <a:ea typeface="+mn-ea"/>
            <a:cs typeface="+mn-cs"/>
          </a:endParaRPr>
        </a:p>
        <a:p>
          <a:pPr eaLnBrk="1" fontAlgn="auto" latinLnBrk="0" hangingPunct="1"/>
          <a:r>
            <a:rPr lang="de-DE" sz="1100" b="1" baseline="0">
              <a:solidFill>
                <a:schemeClr val="dk1"/>
              </a:solidFill>
              <a:effectLst/>
              <a:latin typeface="+mn-lt"/>
              <a:ea typeface="+mn-ea"/>
              <a:cs typeface="+mn-cs"/>
            </a:rPr>
            <a:t>Individuelle Datenpunkte:</a:t>
          </a:r>
          <a:r>
            <a:rPr lang="de-DE" sz="1100" baseline="0">
              <a:solidFill>
                <a:schemeClr val="dk1"/>
              </a:solidFill>
              <a:effectLst/>
              <a:latin typeface="+mn-lt"/>
              <a:ea typeface="+mn-ea"/>
              <a:cs typeface="+mn-cs"/>
            </a:rPr>
            <a:t> Eigene Datenpunkte (bspw. weitere Energieträger) können in der ID </a:t>
          </a:r>
          <a:r>
            <a:rPr lang="de-DE" sz="1100" b="0" baseline="0">
              <a:solidFill>
                <a:schemeClr val="dk1"/>
              </a:solidFill>
              <a:effectLst/>
              <a:latin typeface="+mn-lt"/>
              <a:ea typeface="+mn-ea"/>
              <a:cs typeface="+mn-cs"/>
            </a:rPr>
            <a:t> 149 bis 161 ergänzt werden. Ordnen Sie hierfür auch das Handlungsfeld zum Datenpunkt im Drop-Down-Menü zu. Beachten Sie die Hinweise im Tabellenblatt "Emissionsfaktoren".</a:t>
          </a:r>
          <a:br>
            <a:rPr lang="de-DE" sz="1100" b="1" baseline="0">
              <a:solidFill>
                <a:schemeClr val="dk1"/>
              </a:solidFill>
              <a:effectLst/>
              <a:latin typeface="+mn-lt"/>
              <a:ea typeface="+mn-ea"/>
              <a:cs typeface="+mn-cs"/>
            </a:rPr>
          </a:br>
          <a:r>
            <a:rPr lang="de-DE" sz="1100" b="1" baseline="0">
              <a:solidFill>
                <a:schemeClr val="dk1"/>
              </a:solidFill>
              <a:effectLst/>
              <a:latin typeface="+mn-lt"/>
              <a:ea typeface="+mn-ea"/>
              <a:cs typeface="+mn-cs"/>
            </a:rPr>
            <a:t>Fehlende Daten: </a:t>
          </a:r>
          <a:r>
            <a:rPr lang="de-DE" sz="1100" b="0" baseline="0">
              <a:solidFill>
                <a:schemeClr val="dk1"/>
              </a:solidFill>
              <a:effectLst/>
              <a:latin typeface="+mn-lt"/>
              <a:ea typeface="+mn-ea"/>
              <a:cs typeface="+mn-cs"/>
            </a:rPr>
            <a:t>Falls Daten eines Jahres oder Datenpunktes </a:t>
          </a:r>
          <a:r>
            <a:rPr lang="de-DE" sz="1100" b="1" baseline="0">
              <a:solidFill>
                <a:schemeClr val="dk1"/>
              </a:solidFill>
              <a:effectLst/>
              <a:latin typeface="+mn-lt"/>
              <a:ea typeface="+mn-ea"/>
              <a:cs typeface="+mn-cs"/>
            </a:rPr>
            <a:t>nicht</a:t>
          </a:r>
          <a:r>
            <a:rPr lang="de-DE" sz="1100" b="0" baseline="0">
              <a:solidFill>
                <a:schemeClr val="dk1"/>
              </a:solidFill>
              <a:effectLst/>
              <a:latin typeface="+mn-lt"/>
              <a:ea typeface="+mn-ea"/>
              <a:cs typeface="+mn-cs"/>
            </a:rPr>
            <a:t> eingetragen werden können, lassen Sie die Zellen leer. </a:t>
          </a:r>
        </a:p>
        <a:p>
          <a:pPr eaLnBrk="1" fontAlgn="auto" latinLnBrk="0" hangingPunct="1"/>
          <a:r>
            <a:rPr lang="de-DE" sz="1100" b="1" baseline="0">
              <a:solidFill>
                <a:schemeClr val="dk1"/>
              </a:solidFill>
              <a:effectLst/>
              <a:latin typeface="+mn-lt"/>
              <a:ea typeface="+mn-ea"/>
              <a:cs typeface="+mn-cs"/>
            </a:rPr>
            <a:t>Verbrauch = 0:</a:t>
          </a:r>
          <a:r>
            <a:rPr lang="de-DE" sz="1100" b="0" baseline="0">
              <a:solidFill>
                <a:schemeClr val="dk1"/>
              </a:solidFill>
              <a:effectLst/>
              <a:latin typeface="+mn-lt"/>
              <a:ea typeface="+mn-ea"/>
              <a:cs typeface="+mn-cs"/>
            </a:rPr>
            <a:t> </a:t>
          </a:r>
          <a:r>
            <a:rPr lang="en-GB"/>
            <a:t>Die Eingabe von 0 ist nur dann erforderlich, wenn der Verbrauch tatsächlich 0 betrug. Falls der Wert unbekannt ist, bleibt die Zelle leer. </a:t>
          </a:r>
        </a:p>
        <a:p>
          <a:pPr marL="0" marR="0" lvl="0" indent="0" defTabSz="914400" eaLnBrk="1" fontAlgn="auto" latinLnBrk="0" hangingPunct="1">
            <a:lnSpc>
              <a:spcPct val="100000"/>
            </a:lnSpc>
            <a:spcBef>
              <a:spcPts val="0"/>
            </a:spcBef>
            <a:spcAft>
              <a:spcPts val="0"/>
            </a:spcAft>
            <a:buClrTx/>
            <a:buSzTx/>
            <a:buFontTx/>
            <a:buNone/>
            <a:tabLst/>
            <a:defRPr/>
          </a:pPr>
          <a:r>
            <a:rPr lang="de-DE" sz="1100" b="1" baseline="0">
              <a:solidFill>
                <a:schemeClr val="dk1"/>
              </a:solidFill>
              <a:effectLst/>
              <a:latin typeface="+mn-lt"/>
              <a:ea typeface="+mn-ea"/>
              <a:cs typeface="+mn-cs"/>
            </a:rPr>
            <a:t>Strom:</a:t>
          </a:r>
          <a:r>
            <a:rPr lang="de-DE" sz="1100" b="0" baseline="0">
              <a:solidFill>
                <a:schemeClr val="dk1"/>
              </a:solidFill>
              <a:effectLst/>
              <a:latin typeface="+mn-lt"/>
              <a:ea typeface="+mn-ea"/>
              <a:cs typeface="+mn-cs"/>
            </a:rPr>
            <a:t> </a:t>
          </a:r>
          <a:r>
            <a:rPr lang="de-DE" sz="1100" baseline="0">
              <a:solidFill>
                <a:schemeClr val="dk1"/>
              </a:solidFill>
              <a:effectLst/>
              <a:latin typeface="+mn-lt"/>
              <a:ea typeface="+mn-ea"/>
              <a:cs typeface="+mn-cs"/>
            </a:rPr>
            <a:t>Für Energieverbräuche dürfen gemäß BISKO-Standard keine Witterungskorrekturen vorgenommen werden.</a:t>
          </a:r>
          <a:endParaRPr lang="en-GB">
            <a:effectLst/>
          </a:endParaRPr>
        </a:p>
        <a:p>
          <a:r>
            <a:rPr lang="de-DE" sz="1100" b="0" baseline="0">
              <a:solidFill>
                <a:schemeClr val="dk1"/>
              </a:solidFill>
              <a:effectLst/>
              <a:latin typeface="+mn-lt"/>
              <a:ea typeface="+mn-ea"/>
              <a:cs typeface="+mn-cs"/>
            </a:rPr>
            <a:t>Bei unbekannten Strommix: Eingabe in ID 1 "Bundesmix". Ist der Strommix bekannt (bspw. gemäß Abrechnung) sollte </a:t>
          </a:r>
          <a:r>
            <a:rPr lang="de-DE" sz="1100" baseline="0">
              <a:solidFill>
                <a:schemeClr val="dk1"/>
              </a:solidFill>
              <a:effectLst/>
              <a:latin typeface="+mn-lt"/>
              <a:ea typeface="+mn-ea"/>
              <a:cs typeface="+mn-cs"/>
            </a:rPr>
            <a:t>der Verbrauch in ID 2 bis 8 und </a:t>
          </a:r>
          <a:r>
            <a:rPr lang="de-DE" sz="1100" b="0" baseline="0">
              <a:solidFill>
                <a:schemeClr val="dk1"/>
              </a:solidFill>
              <a:effectLst/>
              <a:latin typeface="+mn-lt"/>
              <a:ea typeface="+mn-ea"/>
              <a:cs typeface="+mn-cs"/>
            </a:rPr>
            <a:t>die Daten zur Stromzusammensetzung im Tabellenblatt </a:t>
          </a:r>
          <a:r>
            <a:rPr lang="de-DE" sz="1100" baseline="0">
              <a:solidFill>
                <a:schemeClr val="dk1"/>
              </a:solidFill>
              <a:effectLst/>
              <a:latin typeface="+mn-lt"/>
              <a:ea typeface="+mn-ea"/>
              <a:cs typeface="+mn-cs"/>
            </a:rPr>
            <a:t>"Strommix &amp; BHKW" eingetragen werden.</a:t>
          </a:r>
          <a:endParaRPr lang="en-GB">
            <a:effectLst/>
          </a:endParaRPr>
        </a:p>
        <a:p>
          <a:pPr eaLnBrk="1" fontAlgn="auto" latinLnBrk="0" hangingPunct="1"/>
          <a:r>
            <a:rPr lang="de-DE" sz="1100" b="1" baseline="0">
              <a:solidFill>
                <a:schemeClr val="dk1"/>
              </a:solidFill>
              <a:effectLst/>
              <a:latin typeface="+mn-lt"/>
              <a:ea typeface="+mn-ea"/>
              <a:cs typeface="+mn-cs"/>
            </a:rPr>
            <a:t>Institutionseigenes BHKW: </a:t>
          </a:r>
          <a:r>
            <a:rPr lang="de-DE" sz="1100" baseline="0">
              <a:solidFill>
                <a:schemeClr val="dk1"/>
              </a:solidFill>
              <a:effectLst/>
              <a:latin typeface="+mn-lt"/>
              <a:ea typeface="+mn-ea"/>
              <a:cs typeface="+mn-cs"/>
            </a:rPr>
            <a:t>Bei der Nutzung eines institutionseigenen BHKW, tragen Sie den Verbrauch im Tabellenblatt "Strommix &amp; BHKW" ein. </a:t>
          </a:r>
          <a:endParaRPr lang="de-DE" sz="1100"/>
        </a:p>
      </xdr:txBody>
    </xdr:sp>
    <xdr:clientData/>
  </xdr:twoCellAnchor>
  <xdr:twoCellAnchor editAs="oneCell">
    <xdr:from>
      <xdr:col>1</xdr:col>
      <xdr:colOff>24384</xdr:colOff>
      <xdr:row>0</xdr:row>
      <xdr:rowOff>14426</xdr:rowOff>
    </xdr:from>
    <xdr:to>
      <xdr:col>1</xdr:col>
      <xdr:colOff>202879</xdr:colOff>
      <xdr:row>1</xdr:row>
      <xdr:rowOff>9827</xdr:rowOff>
    </xdr:to>
    <xdr:pic>
      <xdr:nvPicPr>
        <xdr:cNvPr id="3" name="Grafik 2" descr="Kompass">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3533" y="14426"/>
          <a:ext cx="172145" cy="171445"/>
        </a:xfrm>
        <a:prstGeom prst="rect">
          <a:avLst/>
        </a:prstGeom>
      </xdr:spPr>
    </xdr:pic>
    <xdr:clientData/>
  </xdr:twoCellAnchor>
  <xdr:twoCellAnchor editAs="oneCell">
    <xdr:from>
      <xdr:col>8</xdr:col>
      <xdr:colOff>544349</xdr:colOff>
      <xdr:row>0</xdr:row>
      <xdr:rowOff>21897</xdr:rowOff>
    </xdr:from>
    <xdr:to>
      <xdr:col>9</xdr:col>
      <xdr:colOff>21564</xdr:colOff>
      <xdr:row>1</xdr:row>
      <xdr:rowOff>7142</xdr:rowOff>
    </xdr:to>
    <xdr:pic>
      <xdr:nvPicPr>
        <xdr:cNvPr id="4" name="Grafik 3" descr="Umschla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78699" y="21897"/>
          <a:ext cx="163015" cy="169395"/>
        </a:xfrm>
        <a:prstGeom prst="rect">
          <a:avLst/>
        </a:prstGeom>
      </xdr:spPr>
    </xdr:pic>
    <xdr:clientData/>
  </xdr:twoCellAnchor>
  <xdr:twoCellAnchor editAs="oneCell">
    <xdr:from>
      <xdr:col>4</xdr:col>
      <xdr:colOff>45313</xdr:colOff>
      <xdr:row>0</xdr:row>
      <xdr:rowOff>8882</xdr:rowOff>
    </xdr:from>
    <xdr:to>
      <xdr:col>4</xdr:col>
      <xdr:colOff>215918</xdr:colOff>
      <xdr:row>1</xdr:row>
      <xdr:rowOff>10123</xdr:rowOff>
    </xdr:to>
    <xdr:pic>
      <xdr:nvPicPr>
        <xdr:cNvPr id="7" name="Grafik 6" descr="Kreis mit Pfeil nach rechts">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0800000">
          <a:off x="5483345" y="8882"/>
          <a:ext cx="176955" cy="177285"/>
        </a:xfrm>
        <a:prstGeom prst="rect">
          <a:avLst/>
        </a:prstGeom>
      </xdr:spPr>
    </xdr:pic>
    <xdr:clientData/>
  </xdr:twoCellAnchor>
  <xdr:twoCellAnchor>
    <xdr:from>
      <xdr:col>3</xdr:col>
      <xdr:colOff>2288590</xdr:colOff>
      <xdr:row>12</xdr:row>
      <xdr:rowOff>26932</xdr:rowOff>
    </xdr:from>
    <xdr:to>
      <xdr:col>3</xdr:col>
      <xdr:colOff>2473078</xdr:colOff>
      <xdr:row>12</xdr:row>
      <xdr:rowOff>185365</xdr:rowOff>
    </xdr:to>
    <xdr:sp macro="" textlink="">
      <xdr:nvSpPr>
        <xdr:cNvPr id="9" name="Textfeld 8">
          <a:extLst>
            <a:ext uri="{FF2B5EF4-FFF2-40B4-BE49-F238E27FC236}">
              <a16:creationId xmlns:a16="http://schemas.microsoft.com/office/drawing/2014/main" id="{00000000-0008-0000-0100-000009000000}"/>
            </a:ext>
          </a:extLst>
        </xdr:cNvPr>
        <xdr:cNvSpPr txBox="1"/>
      </xdr:nvSpPr>
      <xdr:spPr>
        <a:xfrm>
          <a:off x="4888915" y="3494032"/>
          <a:ext cx="184488" cy="158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a:t>
          </a:r>
        </a:p>
      </xdr:txBody>
    </xdr:sp>
    <xdr:clientData/>
  </xdr:twoCellAnchor>
  <xdr:twoCellAnchor>
    <xdr:from>
      <xdr:col>3</xdr:col>
      <xdr:colOff>2288590</xdr:colOff>
      <xdr:row>13</xdr:row>
      <xdr:rowOff>18466</xdr:rowOff>
    </xdr:from>
    <xdr:to>
      <xdr:col>3</xdr:col>
      <xdr:colOff>2473078</xdr:colOff>
      <xdr:row>13</xdr:row>
      <xdr:rowOff>176899</xdr:rowOff>
    </xdr:to>
    <xdr:sp macro="" textlink="">
      <xdr:nvSpPr>
        <xdr:cNvPr id="10" name="Textfeld 9">
          <a:extLst>
            <a:ext uri="{FF2B5EF4-FFF2-40B4-BE49-F238E27FC236}">
              <a16:creationId xmlns:a16="http://schemas.microsoft.com/office/drawing/2014/main" id="{00000000-0008-0000-0100-00000A000000}"/>
            </a:ext>
          </a:extLst>
        </xdr:cNvPr>
        <xdr:cNvSpPr txBox="1"/>
      </xdr:nvSpPr>
      <xdr:spPr>
        <a:xfrm>
          <a:off x="4888915" y="3695116"/>
          <a:ext cx="184488" cy="158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a:t>
          </a:r>
        </a:p>
      </xdr:txBody>
    </xdr:sp>
    <xdr:clientData/>
  </xdr:twoCellAnchor>
  <xdr:twoCellAnchor>
    <xdr:from>
      <xdr:col>3</xdr:col>
      <xdr:colOff>2284357</xdr:colOff>
      <xdr:row>14</xdr:row>
      <xdr:rowOff>26932</xdr:rowOff>
    </xdr:from>
    <xdr:to>
      <xdr:col>3</xdr:col>
      <xdr:colOff>2478370</xdr:colOff>
      <xdr:row>14</xdr:row>
      <xdr:rowOff>185365</xdr:rowOff>
    </xdr:to>
    <xdr:sp macro="" textlink="">
      <xdr:nvSpPr>
        <xdr:cNvPr id="11" name="Textfeld 10">
          <a:extLst>
            <a:ext uri="{FF2B5EF4-FFF2-40B4-BE49-F238E27FC236}">
              <a16:creationId xmlns:a16="http://schemas.microsoft.com/office/drawing/2014/main" id="{00000000-0008-0000-0100-00000B000000}"/>
            </a:ext>
          </a:extLst>
        </xdr:cNvPr>
        <xdr:cNvSpPr txBox="1"/>
      </xdr:nvSpPr>
      <xdr:spPr>
        <a:xfrm>
          <a:off x="4884682" y="3913132"/>
          <a:ext cx="194013" cy="1584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a:t>
          </a:r>
        </a:p>
      </xdr:txBody>
    </xdr:sp>
    <xdr:clientData/>
  </xdr:twoCellAnchor>
  <xdr:twoCellAnchor editAs="oneCell">
    <xdr:from>
      <xdr:col>6</xdr:col>
      <xdr:colOff>468840</xdr:colOff>
      <xdr:row>8</xdr:row>
      <xdr:rowOff>9525</xdr:rowOff>
    </xdr:from>
    <xdr:to>
      <xdr:col>7</xdr:col>
      <xdr:colOff>705</xdr:colOff>
      <xdr:row>9</xdr:row>
      <xdr:rowOff>37748</xdr:rowOff>
    </xdr:to>
    <xdr:pic>
      <xdr:nvPicPr>
        <xdr:cNvPr id="13" name="Grafik 12" descr="Bücher">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222065" y="2647950"/>
          <a:ext cx="217665" cy="209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154578</xdr:colOff>
      <xdr:row>3</xdr:row>
      <xdr:rowOff>161999</xdr:rowOff>
    </xdr:from>
    <xdr:to>
      <xdr:col>10</xdr:col>
      <xdr:colOff>440219</xdr:colOff>
      <xdr:row>9</xdr:row>
      <xdr:rowOff>57151</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354603" y="762074"/>
          <a:ext cx="8705741" cy="981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Minderungsfaktor: </a:t>
          </a:r>
          <a:r>
            <a:rPr lang="en-GB" sz="1100" b="0" i="0">
              <a:solidFill>
                <a:schemeClr val="dk1"/>
              </a:solidFill>
              <a:effectLst/>
              <a:latin typeface="+mn-lt"/>
              <a:ea typeface="+mn-ea"/>
              <a:cs typeface="+mn-cs"/>
            </a:rPr>
            <a:t>Tragen</a:t>
          </a:r>
          <a:r>
            <a:rPr lang="en-GB" sz="1100" b="0" i="0" baseline="0">
              <a:solidFill>
                <a:schemeClr val="dk1"/>
              </a:solidFill>
              <a:effectLst/>
              <a:latin typeface="+mn-lt"/>
              <a:ea typeface="+mn-ea"/>
              <a:cs typeface="+mn-cs"/>
            </a:rPr>
            <a:t> Sie in diesem Tabellenblatt den Minderungsfaktor aller Datenpunkte ein, von denen Daten vorliegen. Einen künftig steigenden Verbrauch geben Sie mit einem negativen Minderungsfaktor an (bspw. -1%, um darzustellen, dass die Nutzung des ÖPV steigt).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0">
              <a:solidFill>
                <a:schemeClr val="dk1"/>
              </a:solidFill>
              <a:effectLst/>
              <a:latin typeface="+mn-lt"/>
              <a:ea typeface="+mn-ea"/>
              <a:cs typeface="+mn-cs"/>
            </a:rPr>
            <a:t>Individuelle Anpassung: </a:t>
          </a:r>
          <a:r>
            <a:rPr lang="en-GB" sz="1100" b="0" i="0">
              <a:solidFill>
                <a:schemeClr val="dk1"/>
              </a:solidFill>
              <a:effectLst/>
              <a:latin typeface="+mn-lt"/>
              <a:ea typeface="+mn-ea"/>
              <a:cs typeface="+mn-cs"/>
            </a:rPr>
            <a:t>Die</a:t>
          </a:r>
          <a:r>
            <a:rPr lang="en-GB" sz="1100" b="0" i="0" baseline="0">
              <a:solidFill>
                <a:schemeClr val="dk1"/>
              </a:solidFill>
              <a:effectLst/>
              <a:latin typeface="+mn-lt"/>
              <a:ea typeface="+mn-ea"/>
              <a:cs typeface="+mn-cs"/>
            </a:rPr>
            <a:t> Zukunftsszenarien beruhen auf einer Zinses-Zins-Rechnung.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können die Zukunftsszenarien auch nach eigenen Bedarfen anpassen, indem </a:t>
          </a:r>
          <a:r>
            <a:rPr lang="en-GB" sz="1100" b="0" i="0">
              <a:solidFill>
                <a:schemeClr val="dk1"/>
              </a:solidFill>
              <a:effectLst/>
              <a:latin typeface="+mn-lt"/>
              <a:ea typeface="+mn-ea"/>
              <a:cs typeface="+mn-cs"/>
            </a:rPr>
            <a:t>Sie</a:t>
          </a:r>
          <a:r>
            <a:rPr lang="en-GB" sz="1100" b="0" i="0" baseline="0">
              <a:solidFill>
                <a:schemeClr val="dk1"/>
              </a:solidFill>
              <a:effectLst/>
              <a:latin typeface="+mn-lt"/>
              <a:ea typeface="+mn-ea"/>
              <a:cs typeface="+mn-cs"/>
            </a:rPr>
            <a:t> die Formeln der orangenen Felder ändern und die Methode in Ihrem Bericht beschreiben. Ein Beispiel wäre: ab 2030 werden keine Dieselfahrzeuge mehr genutzt (dann geben Sie ab 2030 in diesen Zellen den Wert 0 ein).</a:t>
          </a:r>
          <a:endParaRPr lang="en-GB">
            <a:effectLst/>
          </a:endParaRPr>
        </a:p>
      </xdr:txBody>
    </xdr:sp>
    <xdr:clientData/>
  </xdr:twoCellAnchor>
  <xdr:twoCellAnchor editAs="oneCell">
    <xdr:from>
      <xdr:col>8</xdr:col>
      <xdr:colOff>525299</xdr:colOff>
      <xdr:row>0</xdr:row>
      <xdr:rowOff>21897</xdr:rowOff>
    </xdr:from>
    <xdr:to>
      <xdr:col>8</xdr:col>
      <xdr:colOff>659739</xdr:colOff>
      <xdr:row>1</xdr:row>
      <xdr:rowOff>7142</xdr:rowOff>
    </xdr:to>
    <xdr:pic>
      <xdr:nvPicPr>
        <xdr:cNvPr id="10" name="Grafik 9" descr="Umschlag">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392949" y="21897"/>
          <a:ext cx="159840" cy="169395"/>
        </a:xfrm>
        <a:prstGeom prst="rect">
          <a:avLst/>
        </a:prstGeom>
      </xdr:spPr>
    </xdr:pic>
    <xdr:clientData/>
  </xdr:twoCellAnchor>
  <xdr:twoCellAnchor editAs="oneCell">
    <xdr:from>
      <xdr:col>4</xdr:col>
      <xdr:colOff>45313</xdr:colOff>
      <xdr:row>0</xdr:row>
      <xdr:rowOff>8882</xdr:rowOff>
    </xdr:from>
    <xdr:to>
      <xdr:col>4</xdr:col>
      <xdr:colOff>219093</xdr:colOff>
      <xdr:row>1</xdr:row>
      <xdr:rowOff>6948</xdr:rowOff>
    </xdr:to>
    <xdr:pic>
      <xdr:nvPicPr>
        <xdr:cNvPr id="11" name="Grafik 10" descr="Kreis mit Pfeil nach recht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rot="10800000">
          <a:off x="5436463" y="8882"/>
          <a:ext cx="176955" cy="179041"/>
        </a:xfrm>
        <a:prstGeom prst="rect">
          <a:avLst/>
        </a:prstGeom>
      </xdr:spPr>
    </xdr:pic>
    <xdr:clientData/>
  </xdr:twoCellAnchor>
  <xdr:twoCellAnchor editAs="oneCell">
    <xdr:from>
      <xdr:col>1</xdr:col>
      <xdr:colOff>24384</xdr:colOff>
      <xdr:row>0</xdr:row>
      <xdr:rowOff>14426</xdr:rowOff>
    </xdr:from>
    <xdr:to>
      <xdr:col>1</xdr:col>
      <xdr:colOff>199704</xdr:colOff>
      <xdr:row>1</xdr:row>
      <xdr:rowOff>6652</xdr:rowOff>
    </xdr:to>
    <xdr:pic>
      <xdr:nvPicPr>
        <xdr:cNvPr id="8" name="Grafik 7" descr="Kompass">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18059" y="11251"/>
          <a:ext cx="172145" cy="176376"/>
        </a:xfrm>
        <a:prstGeom prst="rect">
          <a:avLst/>
        </a:prstGeom>
      </xdr:spPr>
    </xdr:pic>
    <xdr:clientData/>
  </xdr:twoCellAnchor>
  <xdr:twoCellAnchor editAs="oneCell">
    <xdr:from>
      <xdr:col>8</xdr:col>
      <xdr:colOff>468840</xdr:colOff>
      <xdr:row>9</xdr:row>
      <xdr:rowOff>9525</xdr:rowOff>
    </xdr:from>
    <xdr:to>
      <xdr:col>9</xdr:col>
      <xdr:colOff>705</xdr:colOff>
      <xdr:row>15</xdr:row>
      <xdr:rowOff>37748</xdr:rowOff>
    </xdr:to>
    <xdr:pic>
      <xdr:nvPicPr>
        <xdr:cNvPr id="7" name="Grafik 6" descr="Bücher">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218890" y="2644775"/>
          <a:ext cx="220840" cy="2123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126813</xdr:colOff>
      <xdr:row>3</xdr:row>
      <xdr:rowOff>113966</xdr:rowOff>
    </xdr:from>
    <xdr:to>
      <xdr:col>12</xdr:col>
      <xdr:colOff>120650</xdr:colOff>
      <xdr:row>7</xdr:row>
      <xdr:rowOff>47625</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307788" y="714041"/>
          <a:ext cx="8556812" cy="676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baseline="0">
              <a:solidFill>
                <a:schemeClr val="dk1"/>
              </a:solidFill>
              <a:effectLst/>
              <a:latin typeface="+mn-lt"/>
              <a:ea typeface="+mn-ea"/>
              <a:cs typeface="+mn-cs"/>
            </a:rPr>
            <a:t>Jedem grünen Feld muss eine Datengüte zugeordnet werden. </a:t>
          </a:r>
          <a:r>
            <a:rPr lang="en-GB" sz="1100" b="0" i="0" u="none" strike="noStrike" baseline="0">
              <a:solidFill>
                <a:schemeClr val="dk1"/>
              </a:solidFill>
              <a:effectLst/>
              <a:latin typeface="+mn-lt"/>
              <a:ea typeface="+mn-ea"/>
              <a:cs typeface="+mn-cs"/>
            </a:rPr>
            <a:t>Die notwendigen Kennzahlen sind in der orangen Tabelle "Datengüte" enthalten.</a:t>
          </a:r>
          <a:br>
            <a:rPr lang="en-GB" sz="1100" b="0" i="0" u="none" strike="noStrike" baseline="0">
              <a:solidFill>
                <a:schemeClr val="dk1"/>
              </a:solidFill>
              <a:effectLst/>
              <a:latin typeface="+mn-lt"/>
              <a:ea typeface="+mn-ea"/>
              <a:cs typeface="+mn-cs"/>
            </a:rPr>
          </a:br>
          <a:r>
            <a:rPr lang="en-GB"/>
            <a:t>Die Eingabe muss mindestens für das Referenzjahr (s.</a:t>
          </a:r>
          <a:r>
            <a:rPr lang="en-GB" baseline="0"/>
            <a:t> Startseite)</a:t>
          </a:r>
          <a:r>
            <a:rPr lang="en-GB"/>
            <a:t> erfolgen.</a:t>
          </a:r>
        </a:p>
        <a:p>
          <a:r>
            <a:rPr lang="en-GB"/>
            <a:t>Bei</a:t>
          </a:r>
          <a:r>
            <a:rPr lang="en-GB" baseline="0"/>
            <a:t> der Meldung "Daten fehlen" fehlen die Verbrauchswerte im Tabellenblatt "Refsz-Verbräuche".</a:t>
          </a:r>
          <a:endParaRPr lang="en-GB"/>
        </a:p>
      </xdr:txBody>
    </xdr:sp>
    <xdr:clientData/>
  </xdr:twoCellAnchor>
  <xdr:twoCellAnchor editAs="oneCell">
    <xdr:from>
      <xdr:col>1</xdr:col>
      <xdr:colOff>30423</xdr:colOff>
      <xdr:row>0</xdr:row>
      <xdr:rowOff>14426</xdr:rowOff>
    </xdr:from>
    <xdr:to>
      <xdr:col>1</xdr:col>
      <xdr:colOff>202568</xdr:colOff>
      <xdr:row>1</xdr:row>
      <xdr:rowOff>9827</xdr:rowOff>
    </xdr:to>
    <xdr:pic>
      <xdr:nvPicPr>
        <xdr:cNvPr id="6" name="Grafik 5" descr="Kompass">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0923" y="14426"/>
          <a:ext cx="172145" cy="173201"/>
        </a:xfrm>
        <a:prstGeom prst="rect">
          <a:avLst/>
        </a:prstGeom>
      </xdr:spPr>
    </xdr:pic>
    <xdr:clientData/>
  </xdr:twoCellAnchor>
  <xdr:twoCellAnchor editAs="oneCell">
    <xdr:from>
      <xdr:col>11</xdr:col>
      <xdr:colOff>312574</xdr:colOff>
      <xdr:row>0</xdr:row>
      <xdr:rowOff>21897</xdr:rowOff>
    </xdr:from>
    <xdr:to>
      <xdr:col>11</xdr:col>
      <xdr:colOff>488289</xdr:colOff>
      <xdr:row>1</xdr:row>
      <xdr:rowOff>16667</xdr:rowOff>
    </xdr:to>
    <xdr:pic>
      <xdr:nvPicPr>
        <xdr:cNvPr id="7" name="Grafik 6" descr="Umschla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37424" y="21897"/>
          <a:ext cx="172540" cy="175745"/>
        </a:xfrm>
        <a:prstGeom prst="rect">
          <a:avLst/>
        </a:prstGeom>
      </xdr:spPr>
    </xdr:pic>
    <xdr:clientData/>
  </xdr:twoCellAnchor>
  <xdr:twoCellAnchor editAs="oneCell">
    <xdr:from>
      <xdr:col>4</xdr:col>
      <xdr:colOff>45313</xdr:colOff>
      <xdr:row>0</xdr:row>
      <xdr:rowOff>8882</xdr:rowOff>
    </xdr:from>
    <xdr:to>
      <xdr:col>4</xdr:col>
      <xdr:colOff>215918</xdr:colOff>
      <xdr:row>1</xdr:row>
      <xdr:rowOff>10123</xdr:rowOff>
    </xdr:to>
    <xdr:pic>
      <xdr:nvPicPr>
        <xdr:cNvPr id="8" name="Grafik 7" descr="Kreis mit Pfeil nach rechts">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0800000">
          <a:off x="5487263" y="8882"/>
          <a:ext cx="176955" cy="179041"/>
        </a:xfrm>
        <a:prstGeom prst="rect">
          <a:avLst/>
        </a:prstGeom>
      </xdr:spPr>
    </xdr:pic>
    <xdr:clientData/>
  </xdr:twoCellAnchor>
  <xdr:twoCellAnchor editAs="oneCell">
    <xdr:from>
      <xdr:col>1</xdr:col>
      <xdr:colOff>24384</xdr:colOff>
      <xdr:row>0</xdr:row>
      <xdr:rowOff>14426</xdr:rowOff>
    </xdr:from>
    <xdr:to>
      <xdr:col>1</xdr:col>
      <xdr:colOff>199704</xdr:colOff>
      <xdr:row>1</xdr:row>
      <xdr:rowOff>6652</xdr:rowOff>
    </xdr:to>
    <xdr:pic>
      <xdr:nvPicPr>
        <xdr:cNvPr id="10" name="Grafik 9" descr="Kompass">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8059" y="11251"/>
          <a:ext cx="172145" cy="176376"/>
        </a:xfrm>
        <a:prstGeom prst="rect">
          <a:avLst/>
        </a:prstGeom>
      </xdr:spPr>
    </xdr:pic>
    <xdr:clientData/>
  </xdr:twoCellAnchor>
  <xdr:twoCellAnchor editAs="oneCell">
    <xdr:from>
      <xdr:col>5</xdr:col>
      <xdr:colOff>294215</xdr:colOff>
      <xdr:row>7</xdr:row>
      <xdr:rowOff>6350</xdr:rowOff>
    </xdr:from>
    <xdr:to>
      <xdr:col>6</xdr:col>
      <xdr:colOff>7055</xdr:colOff>
      <xdr:row>8</xdr:row>
      <xdr:rowOff>37748</xdr:rowOff>
    </xdr:to>
    <xdr:pic>
      <xdr:nvPicPr>
        <xdr:cNvPr id="9" name="Grafik 8" descr="Bücher">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5504390" y="1349375"/>
          <a:ext cx="217665" cy="2123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122</xdr:row>
      <xdr:rowOff>75580</xdr:rowOff>
    </xdr:from>
    <xdr:to>
      <xdr:col>4</xdr:col>
      <xdr:colOff>517426</xdr:colOff>
      <xdr:row>140</xdr:row>
      <xdr:rowOff>133350</xdr:rowOff>
    </xdr:to>
    <xdr:graphicFrame macro="">
      <xdr:nvGraphicFramePr>
        <xdr:cNvPr id="5" name="Diagramm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105146</xdr:colOff>
      <xdr:row>47</xdr:row>
      <xdr:rowOff>159135</xdr:rowOff>
    </xdr:from>
    <xdr:to>
      <xdr:col>2</xdr:col>
      <xdr:colOff>66230</xdr:colOff>
      <xdr:row>70</xdr:row>
      <xdr:rowOff>28575</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3803079</xdr:colOff>
      <xdr:row>47</xdr:row>
      <xdr:rowOff>174271</xdr:rowOff>
    </xdr:from>
    <xdr:to>
      <xdr:col>8</xdr:col>
      <xdr:colOff>268038</xdr:colOff>
      <xdr:row>70</xdr:row>
      <xdr:rowOff>0</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544341</xdr:colOff>
      <xdr:row>122</xdr:row>
      <xdr:rowOff>36143</xdr:rowOff>
    </xdr:from>
    <xdr:to>
      <xdr:col>14</xdr:col>
      <xdr:colOff>314832</xdr:colOff>
      <xdr:row>140</xdr:row>
      <xdr:rowOff>133350</xdr:rowOff>
    </xdr:to>
    <xdr:graphicFrame macro="">
      <xdr:nvGraphicFramePr>
        <xdr:cNvPr id="6" name="Diagramm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21738</xdr:colOff>
      <xdr:row>281</xdr:row>
      <xdr:rowOff>141235</xdr:rowOff>
    </xdr:from>
    <xdr:to>
      <xdr:col>1</xdr:col>
      <xdr:colOff>4057650</xdr:colOff>
      <xdr:row>296</xdr:row>
      <xdr:rowOff>158750</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650105</xdr:colOff>
      <xdr:row>281</xdr:row>
      <xdr:rowOff>77656</xdr:rowOff>
    </xdr:from>
    <xdr:to>
      <xdr:col>22</xdr:col>
      <xdr:colOff>466722</xdr:colOff>
      <xdr:row>314</xdr:row>
      <xdr:rowOff>25919</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2846</xdr:colOff>
      <xdr:row>281</xdr:row>
      <xdr:rowOff>101600</xdr:rowOff>
    </xdr:from>
    <xdr:to>
      <xdr:col>15</xdr:col>
      <xdr:colOff>571938</xdr:colOff>
      <xdr:row>314</xdr:row>
      <xdr:rowOff>19050</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65216</xdr:colOff>
      <xdr:row>88</xdr:row>
      <xdr:rowOff>56381</xdr:rowOff>
    </xdr:from>
    <xdr:to>
      <xdr:col>4</xdr:col>
      <xdr:colOff>615950</xdr:colOff>
      <xdr:row>89</xdr:row>
      <xdr:rowOff>145596</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227141" y="16029806"/>
          <a:ext cx="6151434" cy="270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i="0" u="none" strike="noStrike">
            <a:ln>
              <a:noFill/>
            </a:ln>
            <a:solidFill>
              <a:schemeClr val="dk1"/>
            </a:solidFill>
            <a:effectLst/>
            <a:latin typeface="+mn-lt"/>
            <a:ea typeface="+mn-ea"/>
            <a:cs typeface="+mn-cs"/>
          </a:endParaRPr>
        </a:p>
      </xdr:txBody>
    </xdr:sp>
    <xdr:clientData/>
  </xdr:twoCellAnchor>
  <xdr:twoCellAnchor>
    <xdr:from>
      <xdr:col>2</xdr:col>
      <xdr:colOff>115596</xdr:colOff>
      <xdr:row>281</xdr:row>
      <xdr:rowOff>122237</xdr:rowOff>
    </xdr:from>
    <xdr:to>
      <xdr:col>8</xdr:col>
      <xdr:colOff>504825</xdr:colOff>
      <xdr:row>313</xdr:row>
      <xdr:rowOff>164776</xdr:rowOff>
    </xdr:to>
    <xdr:graphicFrame macro="">
      <xdr:nvGraphicFramePr>
        <xdr:cNvPr id="14" name="Diagramm 1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408330</xdr:colOff>
      <xdr:row>106</xdr:row>
      <xdr:rowOff>149332</xdr:rowOff>
    </xdr:from>
    <xdr:to>
      <xdr:col>7</xdr:col>
      <xdr:colOff>255140</xdr:colOff>
      <xdr:row>109</xdr:row>
      <xdr:rowOff>83759</xdr:rowOff>
    </xdr:to>
    <xdr:pic>
      <xdr:nvPicPr>
        <xdr:cNvPr id="15" name="Grafik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324808" y="8937180"/>
          <a:ext cx="608810" cy="567719"/>
        </a:xfrm>
        <a:prstGeom prst="rect">
          <a:avLst/>
        </a:prstGeom>
      </xdr:spPr>
    </xdr:pic>
    <xdr:clientData/>
  </xdr:twoCellAnchor>
  <xdr:twoCellAnchor>
    <xdr:from>
      <xdr:col>7</xdr:col>
      <xdr:colOff>126876</xdr:colOff>
      <xdr:row>106</xdr:row>
      <xdr:rowOff>2622</xdr:rowOff>
    </xdr:from>
    <xdr:to>
      <xdr:col>7</xdr:col>
      <xdr:colOff>321848</xdr:colOff>
      <xdr:row>107</xdr:row>
      <xdr:rowOff>31250</xdr:rowOff>
    </xdr:to>
    <xdr:sp macro="" textlink="">
      <xdr:nvSpPr>
        <xdr:cNvPr id="9" name="Gleichschenkliges Dreieck 8">
          <a:extLst>
            <a:ext uri="{FF2B5EF4-FFF2-40B4-BE49-F238E27FC236}">
              <a16:creationId xmlns:a16="http://schemas.microsoft.com/office/drawing/2014/main" id="{00000000-0008-0000-0400-000009000000}"/>
            </a:ext>
          </a:extLst>
        </xdr:cNvPr>
        <xdr:cNvSpPr/>
      </xdr:nvSpPr>
      <xdr:spPr>
        <a:xfrm rot="10800000">
          <a:off x="8165976" y="20138472"/>
          <a:ext cx="194972" cy="238178"/>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6</xdr:col>
      <xdr:colOff>327436</xdr:colOff>
      <xdr:row>92</xdr:row>
      <xdr:rowOff>107919</xdr:rowOff>
    </xdr:from>
    <xdr:ext cx="613236" cy="567142"/>
    <xdr:pic>
      <xdr:nvPicPr>
        <xdr:cNvPr id="16" name="Grafik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228269" y="8901707"/>
          <a:ext cx="613236" cy="567142"/>
        </a:xfrm>
        <a:prstGeom prst="rect">
          <a:avLst/>
        </a:prstGeom>
      </xdr:spPr>
    </xdr:pic>
    <xdr:clientData/>
  </xdr:oneCellAnchor>
  <xdr:twoCellAnchor>
    <xdr:from>
      <xdr:col>7</xdr:col>
      <xdr:colOff>123701</xdr:colOff>
      <xdr:row>92</xdr:row>
      <xdr:rowOff>2622</xdr:rowOff>
    </xdr:from>
    <xdr:to>
      <xdr:col>7</xdr:col>
      <xdr:colOff>321848</xdr:colOff>
      <xdr:row>93</xdr:row>
      <xdr:rowOff>28075</xdr:rowOff>
    </xdr:to>
    <xdr:sp macro="" textlink="">
      <xdr:nvSpPr>
        <xdr:cNvPr id="17" name="Gleichschenkliges Dreieck 16">
          <a:extLst>
            <a:ext uri="{FF2B5EF4-FFF2-40B4-BE49-F238E27FC236}">
              <a16:creationId xmlns:a16="http://schemas.microsoft.com/office/drawing/2014/main" id="{00000000-0008-0000-0400-000011000000}"/>
            </a:ext>
          </a:extLst>
        </xdr:cNvPr>
        <xdr:cNvSpPr/>
      </xdr:nvSpPr>
      <xdr:spPr>
        <a:xfrm rot="10800000">
          <a:off x="11784610" y="6314137"/>
          <a:ext cx="198147" cy="237120"/>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5</xdr:col>
      <xdr:colOff>327436</xdr:colOff>
      <xdr:row>149</xdr:row>
      <xdr:rowOff>137802</xdr:rowOff>
    </xdr:from>
    <xdr:ext cx="613236" cy="567142"/>
    <xdr:pic>
      <xdr:nvPicPr>
        <xdr:cNvPr id="21" name="Grafik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89024" y="23214449"/>
          <a:ext cx="613236" cy="567142"/>
        </a:xfrm>
        <a:prstGeom prst="rect">
          <a:avLst/>
        </a:prstGeom>
      </xdr:spPr>
    </xdr:pic>
    <xdr:clientData/>
  </xdr:oneCellAnchor>
  <xdr:twoCellAnchor>
    <xdr:from>
      <xdr:col>6</xdr:col>
      <xdr:colOff>123701</xdr:colOff>
      <xdr:row>149</xdr:row>
      <xdr:rowOff>2622</xdr:rowOff>
    </xdr:from>
    <xdr:to>
      <xdr:col>6</xdr:col>
      <xdr:colOff>321848</xdr:colOff>
      <xdr:row>150</xdr:row>
      <xdr:rowOff>28075</xdr:rowOff>
    </xdr:to>
    <xdr:sp macro="" textlink="">
      <xdr:nvSpPr>
        <xdr:cNvPr id="22" name="Gleichschenkliges Dreieck 21">
          <a:extLst>
            <a:ext uri="{FF2B5EF4-FFF2-40B4-BE49-F238E27FC236}">
              <a16:creationId xmlns:a16="http://schemas.microsoft.com/office/drawing/2014/main" id="{00000000-0008-0000-0400-000016000000}"/>
            </a:ext>
          </a:extLst>
        </xdr:cNvPr>
        <xdr:cNvSpPr/>
      </xdr:nvSpPr>
      <xdr:spPr>
        <a:xfrm rot="10800000">
          <a:off x="11805354" y="6338818"/>
          <a:ext cx="194972" cy="235693"/>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237571</xdr:colOff>
      <xdr:row>71</xdr:row>
      <xdr:rowOff>132976</xdr:rowOff>
    </xdr:from>
    <xdr:to>
      <xdr:col>14</xdr:col>
      <xdr:colOff>228040</xdr:colOff>
      <xdr:row>84</xdr:row>
      <xdr:rowOff>134470</xdr:rowOff>
    </xdr:to>
    <xdr:graphicFrame macro="">
      <xdr:nvGraphicFramePr>
        <xdr:cNvPr id="20" name="Diagramm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xdr:col>
      <xdr:colOff>588799</xdr:colOff>
      <xdr:row>0</xdr:row>
      <xdr:rowOff>21897</xdr:rowOff>
    </xdr:from>
    <xdr:to>
      <xdr:col>8</xdr:col>
      <xdr:colOff>751814</xdr:colOff>
      <xdr:row>1</xdr:row>
      <xdr:rowOff>7142</xdr:rowOff>
    </xdr:to>
    <xdr:pic>
      <xdr:nvPicPr>
        <xdr:cNvPr id="24" name="Grafik 23" descr="Umschla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93099" y="21897"/>
          <a:ext cx="169365" cy="169395"/>
        </a:xfrm>
        <a:prstGeom prst="rect">
          <a:avLst/>
        </a:prstGeom>
      </xdr:spPr>
    </xdr:pic>
    <xdr:clientData/>
  </xdr:twoCellAnchor>
  <xdr:twoCellAnchor>
    <xdr:from>
      <xdr:col>0</xdr:col>
      <xdr:colOff>121829</xdr:colOff>
      <xdr:row>19</xdr:row>
      <xdr:rowOff>10780</xdr:rowOff>
    </xdr:from>
    <xdr:to>
      <xdr:col>8</xdr:col>
      <xdr:colOff>638174</xdr:colOff>
      <xdr:row>23</xdr:row>
      <xdr:rowOff>86133</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1829" y="3601705"/>
          <a:ext cx="9317445" cy="818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bg1"/>
              </a:solidFill>
              <a:effectLst/>
              <a:latin typeface="+mn-lt"/>
              <a:ea typeface="+mn-ea"/>
              <a:cs typeface="+mn-cs"/>
            </a:rPr>
            <a:t>Nach dem BISKO-Standard ist die Bilanzeriung nach dem </a:t>
          </a:r>
          <a:r>
            <a:rPr lang="en-GB" sz="1100" b="1" i="0" u="none" strike="noStrike">
              <a:solidFill>
                <a:schemeClr val="bg1"/>
              </a:solidFill>
              <a:effectLst/>
              <a:latin typeface="+mn-lt"/>
              <a:ea typeface="+mn-ea"/>
              <a:cs typeface="+mn-cs"/>
            </a:rPr>
            <a:t>Bundesmix</a:t>
          </a:r>
          <a:r>
            <a:rPr lang="en-GB" sz="1100" b="0" i="0" u="none" strike="noStrike">
              <a:solidFill>
                <a:schemeClr val="bg1"/>
              </a:solidFill>
              <a:effectLst/>
              <a:latin typeface="+mn-lt"/>
              <a:ea typeface="+mn-ea"/>
              <a:cs typeface="+mn-cs"/>
            </a:rPr>
            <a:t> verpflichtend</a:t>
          </a:r>
          <a:r>
            <a:rPr lang="en-GB" sz="1100" b="0" i="0" u="none" strike="noStrike" baseline="0">
              <a:solidFill>
                <a:schemeClr val="bg1"/>
              </a:solidFill>
              <a:effectLst/>
              <a:latin typeface="+mn-lt"/>
              <a:ea typeface="+mn-ea"/>
              <a:cs typeface="+mn-cs"/>
            </a:rPr>
            <a:t> und nach dem </a:t>
          </a:r>
          <a:r>
            <a:rPr lang="en-GB" sz="1100" b="0" i="0" u="none" strike="noStrike">
              <a:solidFill>
                <a:schemeClr val="bg1"/>
              </a:solidFill>
              <a:effectLst/>
              <a:latin typeface="+mn-lt"/>
              <a:ea typeface="+mn-ea"/>
              <a:cs typeface="+mn-cs"/>
            </a:rPr>
            <a:t>Regiomix optional. Gemäß GHG-Protocol seine beide Methoden verpflichtend</a:t>
          </a:r>
          <a:r>
            <a:rPr lang="en-GB" sz="1100" b="0" i="0" u="none" strike="noStrike" baseline="0">
              <a:solidFill>
                <a:schemeClr val="bg1"/>
              </a:solidFill>
              <a:effectLst/>
              <a:latin typeface="+mn-lt"/>
              <a:ea typeface="+mn-ea"/>
              <a:cs typeface="+mn-cs"/>
            </a:rPr>
            <a:t> und wird "Dual Reporting" genannt.</a:t>
          </a:r>
          <a:r>
            <a:rPr lang="en-GB" sz="1100" b="0" i="0" u="none" strike="noStrike">
              <a:solidFill>
                <a:schemeClr val="bg1"/>
              </a:solidFill>
              <a:effectLst/>
              <a:latin typeface="+mn-lt"/>
              <a:ea typeface="+mn-ea"/>
              <a:cs typeface="+mn-cs"/>
            </a:rPr>
            <a:t> Der</a:t>
          </a:r>
          <a:r>
            <a:rPr lang="en-GB" sz="1100" b="0" i="0" u="none" strike="noStrike" baseline="0">
              <a:solidFill>
                <a:schemeClr val="bg1"/>
              </a:solidFill>
              <a:effectLst/>
              <a:latin typeface="+mn-lt"/>
              <a:ea typeface="+mn-ea"/>
              <a:cs typeface="+mn-cs"/>
            </a:rPr>
            <a:t> </a:t>
          </a:r>
          <a:r>
            <a:rPr lang="en-GB" sz="1100" b="0" i="0" u="none" strike="noStrike">
              <a:solidFill>
                <a:schemeClr val="bg1"/>
              </a:solidFill>
              <a:effectLst/>
              <a:latin typeface="+mn-lt"/>
              <a:ea typeface="+mn-ea"/>
              <a:cs typeface="+mn-cs"/>
            </a:rPr>
            <a:t>Bundesmix KS80 und das eigene Szenario sind optional.</a:t>
          </a:r>
          <a:r>
            <a:rPr lang="en-GB">
              <a:solidFill>
                <a:schemeClr val="bg1"/>
              </a:solidFill>
            </a:rPr>
            <a:t> </a:t>
          </a:r>
          <a:r>
            <a:rPr lang="en-GB" sz="1100" b="0" i="0" u="none" strike="noStrike">
              <a:solidFill>
                <a:schemeClr val="bg1"/>
              </a:solidFill>
              <a:effectLst/>
              <a:latin typeface="+mn-lt"/>
              <a:ea typeface="+mn-ea"/>
              <a:cs typeface="+mn-cs"/>
            </a:rPr>
            <a:t>Falls Sie kompensieren oder Senken eingetragen haben, müssen Sie diese in der Auswertung gesondert angeben. </a:t>
          </a:r>
          <a:r>
            <a:rPr lang="en-GB">
              <a:solidFill>
                <a:schemeClr val="bg1"/>
              </a:solidFill>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chemeClr val="bg1"/>
              </a:solidFill>
              <a:effectLst/>
              <a:latin typeface="+mn-lt"/>
              <a:ea typeface="+mn-ea"/>
              <a:cs typeface="+mn-cs"/>
            </a:rPr>
            <a:t>Auswahl des dargestellten Jahres:   1. Rechtsklick auf das Diagramm</a:t>
          </a:r>
          <a:r>
            <a:rPr lang="en-GB" sz="1100" b="0" i="0" baseline="0">
              <a:solidFill>
                <a:schemeClr val="bg1"/>
              </a:solidFill>
              <a:effectLst/>
              <a:latin typeface="+mn-lt"/>
              <a:ea typeface="+mn-ea"/>
              <a:cs typeface="+mn-cs"/>
            </a:rPr>
            <a:t>   2. "</a:t>
          </a:r>
          <a:r>
            <a:rPr lang="en-GB" sz="1100" b="0" i="0">
              <a:solidFill>
                <a:schemeClr val="bg1"/>
              </a:solidFill>
              <a:effectLst/>
              <a:latin typeface="+mn-lt"/>
              <a:ea typeface="+mn-ea"/>
              <a:cs typeface="+mn-cs"/>
            </a:rPr>
            <a:t>Daten auswählen"</a:t>
          </a:r>
          <a:r>
            <a:rPr lang="en-GB" sz="1100" b="0" i="0" baseline="0">
              <a:solidFill>
                <a:schemeClr val="bg1"/>
              </a:solidFill>
              <a:effectLst/>
              <a:latin typeface="+mn-lt"/>
              <a:ea typeface="+mn-ea"/>
              <a:cs typeface="+mn-cs"/>
            </a:rPr>
            <a:t>    3. </a:t>
          </a:r>
          <a:r>
            <a:rPr lang="en-GB" sz="1100" b="0" i="0">
              <a:solidFill>
                <a:schemeClr val="bg1"/>
              </a:solidFill>
              <a:effectLst/>
              <a:latin typeface="+mn-lt"/>
              <a:ea typeface="+mn-ea"/>
              <a:cs typeface="+mn-cs"/>
            </a:rPr>
            <a:t>Häkchen setzen</a:t>
          </a:r>
          <a:r>
            <a:rPr lang="en-GB" sz="1100">
              <a:solidFill>
                <a:schemeClr val="bg1"/>
              </a:solidFill>
              <a:effectLst/>
              <a:latin typeface="+mn-lt"/>
              <a:ea typeface="+mn-ea"/>
              <a:cs typeface="+mn-cs"/>
            </a:rPr>
            <a:t>   4. "OK"   5.</a:t>
          </a:r>
          <a:r>
            <a:rPr lang="en-GB" sz="1100" baseline="0">
              <a:solidFill>
                <a:schemeClr val="bg1"/>
              </a:solidFill>
              <a:effectLst/>
              <a:latin typeface="+mn-lt"/>
              <a:ea typeface="+mn-ea"/>
              <a:cs typeface="+mn-cs"/>
            </a:rPr>
            <a:t> Ggf. Achsen und Legende skalieren</a:t>
          </a:r>
          <a:endParaRPr lang="en-GB">
            <a:solidFill>
              <a:schemeClr val="bg1"/>
            </a:solidFill>
            <a:effectLst/>
          </a:endParaRPr>
        </a:p>
        <a:p>
          <a:endParaRPr lang="en-GB" sz="1100">
            <a:solidFill>
              <a:schemeClr val="bg1"/>
            </a:solidFill>
          </a:endParaRPr>
        </a:p>
      </xdr:txBody>
    </xdr:sp>
    <xdr:clientData/>
  </xdr:twoCellAnchor>
  <xdr:twoCellAnchor editAs="oneCell">
    <xdr:from>
      <xdr:col>1</xdr:col>
      <xdr:colOff>24384</xdr:colOff>
      <xdr:row>0</xdr:row>
      <xdr:rowOff>14426</xdr:rowOff>
    </xdr:from>
    <xdr:to>
      <xdr:col>1</xdr:col>
      <xdr:colOff>199704</xdr:colOff>
      <xdr:row>1</xdr:row>
      <xdr:rowOff>6652</xdr:rowOff>
    </xdr:to>
    <xdr:pic>
      <xdr:nvPicPr>
        <xdr:cNvPr id="25" name="Grafik 24" descr="Kompass">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18059" y="11251"/>
          <a:ext cx="172145" cy="176376"/>
        </a:xfrm>
        <a:prstGeom prst="rect">
          <a:avLst/>
        </a:prstGeom>
      </xdr:spPr>
    </xdr:pic>
    <xdr:clientData/>
  </xdr:twoCellAnchor>
  <xdr:twoCellAnchor>
    <xdr:from>
      <xdr:col>0</xdr:col>
      <xdr:colOff>125132</xdr:colOff>
      <xdr:row>24</xdr:row>
      <xdr:rowOff>174439</xdr:rowOff>
    </xdr:from>
    <xdr:to>
      <xdr:col>3</xdr:col>
      <xdr:colOff>156508</xdr:colOff>
      <xdr:row>47</xdr:row>
      <xdr:rowOff>4670</xdr:rowOff>
    </xdr:to>
    <xdr:graphicFrame macro="">
      <xdr:nvGraphicFramePr>
        <xdr:cNvPr id="28" name="Diagramm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123825</xdr:colOff>
      <xdr:row>108</xdr:row>
      <xdr:rowOff>180975</xdr:rowOff>
    </xdr:from>
    <xdr:to>
      <xdr:col>7</xdr:col>
      <xdr:colOff>325147</xdr:colOff>
      <xdr:row>110</xdr:row>
      <xdr:rowOff>53</xdr:rowOff>
    </xdr:to>
    <xdr:sp macro="" textlink="">
      <xdr:nvSpPr>
        <xdr:cNvPr id="30" name="Gleichschenkliges Dreieck 29">
          <a:extLst>
            <a:ext uri="{FF2B5EF4-FFF2-40B4-BE49-F238E27FC236}">
              <a16:creationId xmlns:a16="http://schemas.microsoft.com/office/drawing/2014/main" id="{00000000-0008-0000-0400-00001E000000}"/>
            </a:ext>
          </a:extLst>
        </xdr:cNvPr>
        <xdr:cNvSpPr/>
      </xdr:nvSpPr>
      <xdr:spPr>
        <a:xfrm>
          <a:off x="8162925" y="20735925"/>
          <a:ext cx="201322" cy="238178"/>
        </a:xfrm>
        <a:prstGeom prst="triangl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xdr:col>
      <xdr:colOff>468840</xdr:colOff>
      <xdr:row>23</xdr:row>
      <xdr:rowOff>9525</xdr:rowOff>
    </xdr:from>
    <xdr:to>
      <xdr:col>4</xdr:col>
      <xdr:colOff>686505</xdr:colOff>
      <xdr:row>24</xdr:row>
      <xdr:rowOff>2823</xdr:rowOff>
    </xdr:to>
    <xdr:pic>
      <xdr:nvPicPr>
        <xdr:cNvPr id="29" name="Grafik 28" descr="Bücher">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r:embed="rId17"/>
            </a:ext>
          </a:extLst>
        </a:blip>
        <a:stretch>
          <a:fillRect/>
        </a:stretch>
      </xdr:blipFill>
      <xdr:spPr>
        <a:xfrm>
          <a:off x="7218890" y="2644775"/>
          <a:ext cx="220840" cy="2123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493549</xdr:colOff>
      <xdr:row>0</xdr:row>
      <xdr:rowOff>21897</xdr:rowOff>
    </xdr:from>
    <xdr:to>
      <xdr:col>10</xdr:col>
      <xdr:colOff>637514</xdr:colOff>
      <xdr:row>1</xdr:row>
      <xdr:rowOff>7142</xdr:rowOff>
    </xdr:to>
    <xdr:pic>
      <xdr:nvPicPr>
        <xdr:cNvPr id="3" name="Grafik 2" descr="Umschla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494299" y="21897"/>
          <a:ext cx="163015" cy="166220"/>
        </a:xfrm>
        <a:prstGeom prst="rect">
          <a:avLst/>
        </a:prstGeom>
      </xdr:spPr>
    </xdr:pic>
    <xdr:clientData/>
  </xdr:twoCellAnchor>
  <xdr:twoCellAnchor editAs="oneCell">
    <xdr:from>
      <xdr:col>1</xdr:col>
      <xdr:colOff>24384</xdr:colOff>
      <xdr:row>0</xdr:row>
      <xdr:rowOff>14426</xdr:rowOff>
    </xdr:from>
    <xdr:to>
      <xdr:col>1</xdr:col>
      <xdr:colOff>199704</xdr:colOff>
      <xdr:row>1</xdr:row>
      <xdr:rowOff>6652</xdr:rowOff>
    </xdr:to>
    <xdr:pic>
      <xdr:nvPicPr>
        <xdr:cNvPr id="6" name="Grafik 5" descr="Kompass">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twoCellAnchor editAs="oneCell">
    <xdr:from>
      <xdr:col>10</xdr:col>
      <xdr:colOff>468840</xdr:colOff>
      <xdr:row>9</xdr:row>
      <xdr:rowOff>9525</xdr:rowOff>
    </xdr:from>
    <xdr:to>
      <xdr:col>11</xdr:col>
      <xdr:colOff>19755</xdr:colOff>
      <xdr:row>10</xdr:row>
      <xdr:rowOff>37748</xdr:rowOff>
    </xdr:to>
    <xdr:pic>
      <xdr:nvPicPr>
        <xdr:cNvPr id="9" name="Grafik 8" descr="Bücher">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218890" y="2644775"/>
          <a:ext cx="220840" cy="212373"/>
        </a:xfrm>
        <a:prstGeom prst="rect">
          <a:avLst/>
        </a:prstGeom>
      </xdr:spPr>
    </xdr:pic>
    <xdr:clientData/>
  </xdr:twoCellAnchor>
  <xdr:oneCellAnchor>
    <xdr:from>
      <xdr:col>10</xdr:col>
      <xdr:colOff>468840</xdr:colOff>
      <xdr:row>38</xdr:row>
      <xdr:rowOff>9525</xdr:rowOff>
    </xdr:from>
    <xdr:ext cx="220840" cy="212373"/>
    <xdr:pic>
      <xdr:nvPicPr>
        <xdr:cNvPr id="11" name="Grafik 10" descr="Bücher">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114115" y="6997700"/>
          <a:ext cx="220840" cy="21237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190500</xdr:colOff>
      <xdr:row>12</xdr:row>
      <xdr:rowOff>38098</xdr:rowOff>
    </xdr:from>
    <xdr:to>
      <xdr:col>9</xdr:col>
      <xdr:colOff>454025</xdr:colOff>
      <xdr:row>18</xdr:row>
      <xdr:rowOff>161925</xdr:rowOff>
    </xdr:to>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361950" y="2305048"/>
          <a:ext cx="7893050" cy="1266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Falls Ihnen kein</a:t>
          </a:r>
          <a:r>
            <a:rPr lang="en-GB" sz="1100" baseline="0">
              <a:solidFill>
                <a:schemeClr val="dk1"/>
              </a:solidFill>
              <a:effectLst/>
              <a:latin typeface="+mn-lt"/>
              <a:ea typeface="+mn-ea"/>
              <a:cs typeface="+mn-cs"/>
            </a:rPr>
            <a:t>e </a:t>
          </a:r>
          <a:r>
            <a:rPr lang="en-GB" sz="1100">
              <a:solidFill>
                <a:schemeClr val="dk1"/>
              </a:solidFill>
              <a:effectLst/>
              <a:latin typeface="+mn-lt"/>
              <a:ea typeface="+mn-ea"/>
              <a:cs typeface="+mn-cs"/>
            </a:rPr>
            <a:t>Stromabrechnung vorliegt, tragen Sie die Verbrauchswerte mit den fehlenden Abrechnungen im Tabellenblatt "Refsz-Verbräuche" unter ID 1 (Bundesmix) ein.</a:t>
          </a:r>
          <a:endParaRPr lang="en-GB"/>
        </a:p>
        <a:p>
          <a:pPr marL="0" marR="0" lvl="0" indent="0" defTabSz="914400" eaLnBrk="1" fontAlgn="auto" latinLnBrk="0" hangingPunct="1">
            <a:lnSpc>
              <a:spcPct val="100000"/>
            </a:lnSpc>
            <a:spcBef>
              <a:spcPts val="0"/>
            </a:spcBef>
            <a:spcAft>
              <a:spcPts val="0"/>
            </a:spcAft>
            <a:buClrTx/>
            <a:buSzTx/>
            <a:buFontTx/>
            <a:buNone/>
            <a:tabLst/>
            <a:defRPr/>
          </a:pPr>
          <a:r>
            <a:rPr lang="en-GB"/>
            <a:t>Wenn Ihnen mind</a:t>
          </a:r>
          <a:r>
            <a:rPr lang="en-GB" baseline="0"/>
            <a:t>. eine Stromabrechnung vorliegt, gehen Sie wie folgt vor: T</a:t>
          </a:r>
          <a:r>
            <a:rPr lang="en-GB"/>
            <a:t>ragen Sie die prozentuale Verteilung der Energieträger basierend auf den Stromabrechnungsdaten in die grünen Zellen ein. Geben Sie den Strom</a:t>
          </a:r>
          <a:r>
            <a:rPr lang="en-GB" b="1"/>
            <a:t>verbrauch</a:t>
          </a:r>
          <a:r>
            <a:rPr lang="en-GB"/>
            <a:t> des individuellen Strommix ausschließlich im Tabellenblatt "Refsz-Verbräuche" für das entsprechende Jahr ein, von dem Sie hier auch den Emissionsfaktor berechnet haben. </a:t>
          </a:r>
        </a:p>
        <a:p>
          <a:pPr marL="0" marR="0" lvl="0" indent="0" defTabSz="914400" eaLnBrk="1" fontAlgn="auto" latinLnBrk="0" hangingPunct="1">
            <a:lnSpc>
              <a:spcPct val="100000"/>
            </a:lnSpc>
            <a:spcBef>
              <a:spcPts val="0"/>
            </a:spcBef>
            <a:spcAft>
              <a:spcPts val="0"/>
            </a:spcAft>
            <a:buClrTx/>
            <a:buSzTx/>
            <a:buFontTx/>
            <a:buNone/>
            <a:tabLst/>
            <a:defRPr/>
          </a:pPr>
          <a:r>
            <a:rPr lang="en-GB"/>
            <a:t>Der künftige</a:t>
          </a:r>
          <a:r>
            <a:rPr lang="en-GB" baseline="0"/>
            <a:t> Emissionsfaktor wird aus den Vorjahren (ohne 0) berechnet.</a:t>
          </a:r>
          <a:endParaRPr lang="en-GB"/>
        </a:p>
      </xdr:txBody>
    </xdr:sp>
    <xdr:clientData/>
  </xdr:twoCellAnchor>
  <xdr:twoCellAnchor>
    <xdr:from>
      <xdr:col>1</xdr:col>
      <xdr:colOff>227724</xdr:colOff>
      <xdr:row>140</xdr:row>
      <xdr:rowOff>73898</xdr:rowOff>
    </xdr:from>
    <xdr:to>
      <xdr:col>12</xdr:col>
      <xdr:colOff>237249</xdr:colOff>
      <xdr:row>142</xdr:row>
      <xdr:rowOff>177800</xdr:rowOff>
    </xdr:to>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75374" y="16866473"/>
          <a:ext cx="10248900" cy="4658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ysClr val="windowText" lastClr="000000"/>
              </a:solidFill>
              <a:effectLst/>
              <a:latin typeface="+mn-lt"/>
              <a:ea typeface="+mn-ea"/>
              <a:cs typeface="+mn-cs"/>
            </a:rPr>
            <a:t>Diese Tabellen dienen</a:t>
          </a:r>
          <a:r>
            <a:rPr lang="en-GB" sz="1100" b="0" i="0" u="none" strike="noStrike" baseline="0">
              <a:solidFill>
                <a:sysClr val="windowText" lastClr="000000"/>
              </a:solidFill>
              <a:effectLst/>
              <a:latin typeface="+mn-lt"/>
              <a:ea typeface="+mn-ea"/>
              <a:cs typeface="+mn-cs"/>
            </a:rPr>
            <a:t> der Bilanzierung eines institutseigenen BHKW nach dem </a:t>
          </a:r>
          <a:r>
            <a:rPr lang="en-GB" sz="1100" b="0" i="0" u="none" strike="noStrike">
              <a:solidFill>
                <a:sysClr val="windowText" lastClr="000000"/>
              </a:solidFill>
              <a:effectLst/>
              <a:latin typeface="+mn-lt"/>
              <a:ea typeface="+mn-ea"/>
              <a:cs typeface="+mn-cs"/>
            </a:rPr>
            <a:t>BISKO-Standard.</a:t>
          </a:r>
          <a:endParaRPr lang="en-GB" sz="1100" b="0" i="0" u="none" strike="noStrike" baseline="0">
            <a:solidFill>
              <a:srgbClr val="FF0000"/>
            </a:solidFill>
            <a:effectLst/>
            <a:latin typeface="+mn-lt"/>
            <a:ea typeface="+mn-ea"/>
            <a:cs typeface="+mn-cs"/>
          </a:endParaRPr>
        </a:p>
        <a:p>
          <a:r>
            <a:rPr lang="en-GB" sz="1100" b="0" i="0" u="none" strike="noStrike">
              <a:solidFill>
                <a:sysClr val="windowText" lastClr="000000"/>
              </a:solidFill>
              <a:effectLst/>
              <a:latin typeface="+mn-lt"/>
              <a:ea typeface="+mn-ea"/>
              <a:cs typeface="+mn-cs"/>
            </a:rPr>
            <a:t>Die Berechnung der künftigen</a:t>
          </a:r>
          <a:r>
            <a:rPr lang="en-GB" sz="1100" b="0" i="0" u="none" strike="noStrike" baseline="0">
              <a:solidFill>
                <a:sysClr val="windowText" lastClr="000000"/>
              </a:solidFill>
              <a:effectLst/>
              <a:latin typeface="+mn-lt"/>
              <a:ea typeface="+mn-ea"/>
              <a:cs typeface="+mn-cs"/>
            </a:rPr>
            <a:t> Emissionen durch ein institutseigenes BHKW erfolgt ebenfalls in der folgenden Tabelle. Wählen Sie hierfür nur das Wärmenetz.</a:t>
          </a:r>
          <a:endParaRPr lang="en-GB" sz="1100" b="0" i="0" u="none" strike="noStrike">
            <a:solidFill>
              <a:sysClr val="windowText" lastClr="000000"/>
            </a:solidFill>
            <a:effectLst/>
            <a:latin typeface="+mn-lt"/>
            <a:ea typeface="+mn-ea"/>
            <a:cs typeface="+mn-cs"/>
          </a:endParaRPr>
        </a:p>
      </xdr:txBody>
    </xdr:sp>
    <xdr:clientData/>
  </xdr:twoCellAnchor>
  <xdr:twoCellAnchor>
    <xdr:from>
      <xdr:col>1</xdr:col>
      <xdr:colOff>201121</xdr:colOff>
      <xdr:row>189</xdr:row>
      <xdr:rowOff>38101</xdr:rowOff>
    </xdr:from>
    <xdr:to>
      <xdr:col>11</xdr:col>
      <xdr:colOff>561975</xdr:colOff>
      <xdr:row>198</xdr:row>
      <xdr:rowOff>44450</xdr:rowOff>
    </xdr:to>
    <xdr:sp macro="" textlink="">
      <xdr:nvSpPr>
        <xdr:cNvPr id="5" name="Textfeld 4">
          <a:extLst>
            <a:ext uri="{FF2B5EF4-FFF2-40B4-BE49-F238E27FC236}">
              <a16:creationId xmlns:a16="http://schemas.microsoft.com/office/drawing/2014/main" id="{00000000-0008-0000-0600-000005000000}"/>
            </a:ext>
          </a:extLst>
        </xdr:cNvPr>
        <xdr:cNvSpPr txBox="1"/>
      </xdr:nvSpPr>
      <xdr:spPr>
        <a:xfrm>
          <a:off x="378921" y="20878801"/>
          <a:ext cx="9892204" cy="4762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a:solidFill>
                <a:schemeClr val="dk1"/>
              </a:solidFill>
              <a:effectLst/>
              <a:latin typeface="+mn-lt"/>
              <a:ea typeface="+mn-ea"/>
              <a:cs typeface="+mn-cs"/>
            </a:rPr>
            <a:t>Diese Tabellen dienen</a:t>
          </a:r>
          <a:r>
            <a:rPr lang="en-GB" sz="1100" b="0" i="0" baseline="0">
              <a:solidFill>
                <a:schemeClr val="dk1"/>
              </a:solidFill>
              <a:effectLst/>
              <a:latin typeface="+mn-lt"/>
              <a:ea typeface="+mn-ea"/>
              <a:cs typeface="+mn-cs"/>
            </a:rPr>
            <a:t> der Bilanzierung eines institutseigenen BHKW nach der finnischen Methode (ohne Berücksichtigung der Wärmeverluste). Sie ist ungenauer als die Carnot-Methode und sollte nur verwendet werden, wenn keine Bilanzierung nach der Carnot-Methode möglich ist. Sie ist allerdings nicht BISKO-konform.</a:t>
          </a:r>
          <a:endParaRPr lang="en-GB">
            <a:effectLst/>
          </a:endParaRPr>
        </a:p>
      </xdr:txBody>
    </xdr:sp>
    <xdr:clientData/>
  </xdr:twoCellAnchor>
  <xdr:twoCellAnchor editAs="oneCell">
    <xdr:from>
      <xdr:col>8</xdr:col>
      <xdr:colOff>588799</xdr:colOff>
      <xdr:row>0</xdr:row>
      <xdr:rowOff>21897</xdr:rowOff>
    </xdr:from>
    <xdr:to>
      <xdr:col>9</xdr:col>
      <xdr:colOff>2514</xdr:colOff>
      <xdr:row>1</xdr:row>
      <xdr:rowOff>10317</xdr:rowOff>
    </xdr:to>
    <xdr:pic>
      <xdr:nvPicPr>
        <xdr:cNvPr id="7" name="Grafik 6" descr="Umschlag">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593099" y="21897"/>
          <a:ext cx="169365" cy="169395"/>
        </a:xfrm>
        <a:prstGeom prst="rect">
          <a:avLst/>
        </a:prstGeom>
      </xdr:spPr>
    </xdr:pic>
    <xdr:clientData/>
  </xdr:twoCellAnchor>
  <xdr:twoCellAnchor editAs="oneCell">
    <xdr:from>
      <xdr:col>1</xdr:col>
      <xdr:colOff>24384</xdr:colOff>
      <xdr:row>0</xdr:row>
      <xdr:rowOff>14426</xdr:rowOff>
    </xdr:from>
    <xdr:to>
      <xdr:col>1</xdr:col>
      <xdr:colOff>202879</xdr:colOff>
      <xdr:row>1</xdr:row>
      <xdr:rowOff>9827</xdr:rowOff>
    </xdr:to>
    <xdr:pic>
      <xdr:nvPicPr>
        <xdr:cNvPr id="8" name="Grafik 7" descr="Kompass">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twoCellAnchor editAs="oneCell">
    <xdr:from>
      <xdr:col>5</xdr:col>
      <xdr:colOff>468840</xdr:colOff>
      <xdr:row>19</xdr:row>
      <xdr:rowOff>9525</xdr:rowOff>
    </xdr:from>
    <xdr:to>
      <xdr:col>5</xdr:col>
      <xdr:colOff>686505</xdr:colOff>
      <xdr:row>20</xdr:row>
      <xdr:rowOff>37748</xdr:rowOff>
    </xdr:to>
    <xdr:pic>
      <xdr:nvPicPr>
        <xdr:cNvPr id="10" name="Grafik 9" descr="Bücher">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218890" y="2644775"/>
          <a:ext cx="220840" cy="2123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9</xdr:row>
          <xdr:rowOff>12700</xdr:rowOff>
        </xdr:from>
        <xdr:to>
          <xdr:col>4</xdr:col>
          <xdr:colOff>31750</xdr:colOff>
          <xdr:row>9</xdr:row>
          <xdr:rowOff>336550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31750</xdr:rowOff>
        </xdr:from>
        <xdr:to>
          <xdr:col>4</xdr:col>
          <xdr:colOff>19050</xdr:colOff>
          <xdr:row>10</xdr:row>
          <xdr:rowOff>355600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7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11</xdr:row>
          <xdr:rowOff>31750</xdr:rowOff>
        </xdr:from>
        <xdr:to>
          <xdr:col>4</xdr:col>
          <xdr:colOff>31750</xdr:colOff>
          <xdr:row>11</xdr:row>
          <xdr:rowOff>355600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7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31750</xdr:rowOff>
        </xdr:from>
        <xdr:to>
          <xdr:col>4</xdr:col>
          <xdr:colOff>19050</xdr:colOff>
          <xdr:row>12</xdr:row>
          <xdr:rowOff>355600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7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13</xdr:row>
          <xdr:rowOff>31750</xdr:rowOff>
        </xdr:from>
        <xdr:to>
          <xdr:col>4</xdr:col>
          <xdr:colOff>12700</xdr:colOff>
          <xdr:row>13</xdr:row>
          <xdr:rowOff>355600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7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Keins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14</xdr:row>
          <xdr:rowOff>31750</xdr:rowOff>
        </xdr:from>
        <xdr:to>
          <xdr:col>4</xdr:col>
          <xdr:colOff>12700</xdr:colOff>
          <xdr:row>14</xdr:row>
          <xdr:rowOff>355600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7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15</xdr:row>
          <xdr:rowOff>31750</xdr:rowOff>
        </xdr:from>
        <xdr:to>
          <xdr:col>4</xdr:col>
          <xdr:colOff>12700</xdr:colOff>
          <xdr:row>16</xdr:row>
          <xdr:rowOff>31750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7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Gar nicht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9</xdr:row>
          <xdr:rowOff>31750</xdr:rowOff>
        </xdr:from>
        <xdr:to>
          <xdr:col>5</xdr:col>
          <xdr:colOff>12700</xdr:colOff>
          <xdr:row>9</xdr:row>
          <xdr:rowOff>355600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7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10</xdr:row>
          <xdr:rowOff>31750</xdr:rowOff>
        </xdr:from>
        <xdr:to>
          <xdr:col>5</xdr:col>
          <xdr:colOff>12700</xdr:colOff>
          <xdr:row>10</xdr:row>
          <xdr:rowOff>355600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7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11</xdr:row>
          <xdr:rowOff>31750</xdr:rowOff>
        </xdr:from>
        <xdr:to>
          <xdr:col>5</xdr:col>
          <xdr:colOff>12700</xdr:colOff>
          <xdr:row>11</xdr:row>
          <xdr:rowOff>355600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7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12</xdr:row>
          <xdr:rowOff>31750</xdr:rowOff>
        </xdr:from>
        <xdr:to>
          <xdr:col>5</xdr:col>
          <xdr:colOff>12700</xdr:colOff>
          <xdr:row>12</xdr:row>
          <xdr:rowOff>355600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7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Vereinzelt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13</xdr:row>
          <xdr:rowOff>31750</xdr:rowOff>
        </xdr:from>
        <xdr:to>
          <xdr:col>5</xdr:col>
          <xdr:colOff>12700</xdr:colOff>
          <xdr:row>13</xdr:row>
          <xdr:rowOff>355600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7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14</xdr:row>
          <xdr:rowOff>31750</xdr:rowOff>
        </xdr:from>
        <xdr:to>
          <xdr:col>5</xdr:col>
          <xdr:colOff>12700</xdr:colOff>
          <xdr:row>14</xdr:row>
          <xdr:rowOff>355600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7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15</xdr:row>
          <xdr:rowOff>31750</xdr:rowOff>
        </xdr:from>
        <xdr:to>
          <xdr:col>5</xdr:col>
          <xdr:colOff>12700</xdr:colOff>
          <xdr:row>16</xdr:row>
          <xdr:rowOff>31750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7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Teilweise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10</xdr:row>
          <xdr:rowOff>31750</xdr:rowOff>
        </xdr:from>
        <xdr:to>
          <xdr:col>5</xdr:col>
          <xdr:colOff>774700</xdr:colOff>
          <xdr:row>10</xdr:row>
          <xdr:rowOff>355600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7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11</xdr:row>
          <xdr:rowOff>31750</xdr:rowOff>
        </xdr:from>
        <xdr:to>
          <xdr:col>5</xdr:col>
          <xdr:colOff>774700</xdr:colOff>
          <xdr:row>11</xdr:row>
          <xdr:rowOff>355600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7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Regelmäßig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12</xdr:row>
          <xdr:rowOff>31750</xdr:rowOff>
        </xdr:from>
        <xdr:to>
          <xdr:col>5</xdr:col>
          <xdr:colOff>774700</xdr:colOff>
          <xdr:row>12</xdr:row>
          <xdr:rowOff>355600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7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Oft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13</xdr:row>
          <xdr:rowOff>31750</xdr:rowOff>
        </xdr:from>
        <xdr:to>
          <xdr:col>5</xdr:col>
          <xdr:colOff>774700</xdr:colOff>
          <xdr:row>13</xdr:row>
          <xdr:rowOff>355600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7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14</xdr:row>
          <xdr:rowOff>31750</xdr:rowOff>
        </xdr:from>
        <xdr:to>
          <xdr:col>5</xdr:col>
          <xdr:colOff>12700</xdr:colOff>
          <xdr:row>14</xdr:row>
          <xdr:rowOff>355600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7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Unter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14</xdr:row>
          <xdr:rowOff>31750</xdr:rowOff>
        </xdr:from>
        <xdr:to>
          <xdr:col>5</xdr:col>
          <xdr:colOff>774700</xdr:colOff>
          <xdr:row>14</xdr:row>
          <xdr:rowOff>355600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7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Über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xdr:colOff>
          <xdr:row>15</xdr:row>
          <xdr:rowOff>31750</xdr:rowOff>
        </xdr:from>
        <xdr:to>
          <xdr:col>5</xdr:col>
          <xdr:colOff>774700</xdr:colOff>
          <xdr:row>16</xdr:row>
          <xdr:rowOff>31750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7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Größtenteils</a:t>
              </a:r>
            </a:p>
          </xdr:txBody>
        </xdr:sp>
        <xdr:clientData/>
      </xdr:twoCellAnchor>
    </mc:Choice>
    <mc:Fallback/>
  </mc:AlternateContent>
  <xdr:twoCellAnchor>
    <xdr:from>
      <xdr:col>1</xdr:col>
      <xdr:colOff>150285</xdr:colOff>
      <xdr:row>3</xdr:row>
      <xdr:rowOff>92733</xdr:rowOff>
    </xdr:from>
    <xdr:to>
      <xdr:col>9</xdr:col>
      <xdr:colOff>82550</xdr:colOff>
      <xdr:row>5</xdr:row>
      <xdr:rowOff>171451</xdr:rowOff>
    </xdr:to>
    <xdr:sp macro="" textlink="">
      <xdr:nvSpPr>
        <xdr:cNvPr id="23" name="Textfeld 22">
          <a:extLst>
            <a:ext uri="{FF2B5EF4-FFF2-40B4-BE49-F238E27FC236}">
              <a16:creationId xmlns:a16="http://schemas.microsoft.com/office/drawing/2014/main" id="{00000000-0008-0000-0700-000017000000}"/>
            </a:ext>
          </a:extLst>
        </xdr:cNvPr>
        <xdr:cNvSpPr txBox="1"/>
      </xdr:nvSpPr>
      <xdr:spPr>
        <a:xfrm>
          <a:off x="410635" y="695983"/>
          <a:ext cx="9908115" cy="447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t>Das Ziel dieser Untersuchung besteht darin zu prüfen, inwieweit bestimmte Einheiten oder Organisationen, wie Mensen, Fachbereiche, Vereine, Kliniken usw. mit einer Institution verbunden sind. Basierend darauf wird eine Empfehlung erstellt, ob die Emissionen dieser Einheiten in die institutionelle Bilanz aufgenommen werden sollten.</a:t>
          </a:r>
        </a:p>
      </xdr:txBody>
    </xdr:sp>
    <xdr:clientData/>
  </xdr:twoCellAnchor>
  <xdr:twoCellAnchor editAs="oneCell">
    <xdr:from>
      <xdr:col>7</xdr:col>
      <xdr:colOff>588799</xdr:colOff>
      <xdr:row>0</xdr:row>
      <xdr:rowOff>21897</xdr:rowOff>
    </xdr:from>
    <xdr:to>
      <xdr:col>8</xdr:col>
      <xdr:colOff>2514</xdr:colOff>
      <xdr:row>1</xdr:row>
      <xdr:rowOff>10317</xdr:rowOff>
    </xdr:to>
    <xdr:pic>
      <xdr:nvPicPr>
        <xdr:cNvPr id="25" name="Grafik 24" descr="Umschlag">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593099" y="21897"/>
          <a:ext cx="169365" cy="169395"/>
        </a:xfrm>
        <a:prstGeom prst="rect">
          <a:avLst/>
        </a:prstGeom>
      </xdr:spPr>
    </xdr:pic>
    <xdr:clientData/>
  </xdr:twoCellAnchor>
  <xdr:twoCellAnchor editAs="oneCell">
    <xdr:from>
      <xdr:col>1</xdr:col>
      <xdr:colOff>24384</xdr:colOff>
      <xdr:row>0</xdr:row>
      <xdr:rowOff>14426</xdr:rowOff>
    </xdr:from>
    <xdr:to>
      <xdr:col>1</xdr:col>
      <xdr:colOff>202879</xdr:colOff>
      <xdr:row>1</xdr:row>
      <xdr:rowOff>9827</xdr:rowOff>
    </xdr:to>
    <xdr:pic>
      <xdr:nvPicPr>
        <xdr:cNvPr id="27" name="Grafik 26" descr="Kompass">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twoCellAnchor editAs="oneCell">
    <xdr:from>
      <xdr:col>6</xdr:col>
      <xdr:colOff>468840</xdr:colOff>
      <xdr:row>6</xdr:row>
      <xdr:rowOff>9525</xdr:rowOff>
    </xdr:from>
    <xdr:to>
      <xdr:col>6</xdr:col>
      <xdr:colOff>686505</xdr:colOff>
      <xdr:row>7</xdr:row>
      <xdr:rowOff>37748</xdr:rowOff>
    </xdr:to>
    <xdr:pic>
      <xdr:nvPicPr>
        <xdr:cNvPr id="28" name="Grafik 27" descr="Bücher">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218890" y="2644775"/>
          <a:ext cx="220840" cy="2123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37300</xdr:colOff>
      <xdr:row>3</xdr:row>
      <xdr:rowOff>15323</xdr:rowOff>
    </xdr:from>
    <xdr:to>
      <xdr:col>8</xdr:col>
      <xdr:colOff>654275</xdr:colOff>
      <xdr:row>5</xdr:row>
      <xdr:rowOff>165100</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208750" y="618573"/>
          <a:ext cx="8395725" cy="53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de-DE" sz="1100" b="0">
              <a:solidFill>
                <a:schemeClr val="dk1"/>
              </a:solidFill>
              <a:effectLst/>
              <a:latin typeface="+mn-lt"/>
              <a:ea typeface="+mn-ea"/>
              <a:cs typeface="+mn-cs"/>
            </a:rPr>
            <a:t>In</a:t>
          </a:r>
          <a:r>
            <a:rPr lang="de-DE" sz="1100" b="0" baseline="0">
              <a:solidFill>
                <a:schemeClr val="dk1"/>
              </a:solidFill>
              <a:effectLst/>
              <a:latin typeface="+mn-lt"/>
              <a:ea typeface="+mn-ea"/>
              <a:cs typeface="+mn-cs"/>
            </a:rPr>
            <a:t> dieser Tabelle können u. A. Emissionsfaktoren (EF) für eigene Datenpunkte eingetragen werden (ID 149-161). </a:t>
          </a:r>
          <a:endParaRPr lang="de-DE"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0">
              <a:solidFill>
                <a:schemeClr val="dk1"/>
              </a:solidFill>
              <a:effectLst/>
              <a:latin typeface="+mn-lt"/>
              <a:ea typeface="+mn-ea"/>
              <a:cs typeface="+mn-cs"/>
            </a:rPr>
            <a:t>Falls</a:t>
          </a:r>
          <a:r>
            <a:rPr lang="de-DE" sz="1100" b="0" baseline="0">
              <a:solidFill>
                <a:schemeClr val="dk1"/>
              </a:solidFill>
              <a:effectLst/>
              <a:latin typeface="+mn-lt"/>
              <a:ea typeface="+mn-ea"/>
              <a:cs typeface="+mn-cs"/>
            </a:rPr>
            <a:t> EF </a:t>
          </a:r>
          <a:r>
            <a:rPr lang="en-GB"/>
            <a:t>der Stadtwerke für Wärme (ID15) vorliegen, können diese auch dor</a:t>
          </a:r>
          <a:r>
            <a:rPr lang="en-GB" baseline="0"/>
            <a:t>t </a:t>
          </a:r>
          <a:r>
            <a:rPr lang="en-GB"/>
            <a:t>eingetragen werden.</a:t>
          </a:r>
          <a:endParaRPr lang="de-DE" sz="1100"/>
        </a:p>
        <a:p>
          <a:endParaRPr lang="de-DE" sz="1100" baseline="0"/>
        </a:p>
      </xdr:txBody>
    </xdr:sp>
    <xdr:clientData/>
  </xdr:twoCellAnchor>
  <xdr:twoCellAnchor editAs="oneCell">
    <xdr:from>
      <xdr:col>9</xdr:col>
      <xdr:colOff>588799</xdr:colOff>
      <xdr:row>0</xdr:row>
      <xdr:rowOff>21897</xdr:rowOff>
    </xdr:from>
    <xdr:to>
      <xdr:col>9</xdr:col>
      <xdr:colOff>751814</xdr:colOff>
      <xdr:row>1</xdr:row>
      <xdr:rowOff>7142</xdr:rowOff>
    </xdr:to>
    <xdr:pic>
      <xdr:nvPicPr>
        <xdr:cNvPr id="4" name="Grafik 3" descr="Umschla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593099" y="21897"/>
          <a:ext cx="169365" cy="169395"/>
        </a:xfrm>
        <a:prstGeom prst="rect">
          <a:avLst/>
        </a:prstGeom>
      </xdr:spPr>
    </xdr:pic>
    <xdr:clientData/>
  </xdr:twoCellAnchor>
  <xdr:twoCellAnchor editAs="oneCell">
    <xdr:from>
      <xdr:col>1</xdr:col>
      <xdr:colOff>24384</xdr:colOff>
      <xdr:row>0</xdr:row>
      <xdr:rowOff>14426</xdr:rowOff>
    </xdr:from>
    <xdr:to>
      <xdr:col>1</xdr:col>
      <xdr:colOff>202879</xdr:colOff>
      <xdr:row>1</xdr:row>
      <xdr:rowOff>9827</xdr:rowOff>
    </xdr:to>
    <xdr:pic>
      <xdr:nvPicPr>
        <xdr:cNvPr id="7" name="Grafik 6" descr="Kompass">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18059" y="11251"/>
          <a:ext cx="172145" cy="176376"/>
        </a:xfrm>
        <a:prstGeom prst="rect">
          <a:avLst/>
        </a:prstGeom>
      </xdr:spPr>
    </xdr:pic>
    <xdr:clientData/>
  </xdr:twoCellAnchor>
  <xdr:twoCellAnchor editAs="oneCell">
    <xdr:from>
      <xdr:col>6</xdr:col>
      <xdr:colOff>468840</xdr:colOff>
      <xdr:row>6</xdr:row>
      <xdr:rowOff>9525</xdr:rowOff>
    </xdr:from>
    <xdr:to>
      <xdr:col>6</xdr:col>
      <xdr:colOff>686505</xdr:colOff>
      <xdr:row>7</xdr:row>
      <xdr:rowOff>37748</xdr:rowOff>
    </xdr:to>
    <xdr:pic>
      <xdr:nvPicPr>
        <xdr:cNvPr id="8" name="Grafik 7" descr="Büche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218890" y="2644775"/>
          <a:ext cx="220840" cy="2123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maziga/Downloads/Beispiel%20exergetische%20Allokation%20Carnot-Metho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HKW Erdgas"/>
      <sheetName val="Faktoren"/>
      <sheetName val="EF"/>
    </sheetNames>
    <sheetDataSet>
      <sheetData sheetId="0">
        <row r="6">
          <cell r="B6">
            <v>2021</v>
          </cell>
        </row>
      </sheetData>
      <sheetData sheetId="1">
        <row r="5">
          <cell r="B5" t="str">
            <v>Erdgas</v>
          </cell>
        </row>
        <row r="6">
          <cell r="B6" t="str">
            <v>Steinkohle</v>
          </cell>
        </row>
        <row r="7">
          <cell r="B7" t="str">
            <v>Braunkohle</v>
          </cell>
        </row>
        <row r="8">
          <cell r="B8" t="str">
            <v>Heizöl</v>
          </cell>
        </row>
        <row r="9">
          <cell r="B9" t="str">
            <v>Abfall</v>
          </cell>
        </row>
        <row r="10">
          <cell r="B10" t="str">
            <v>Biogas</v>
          </cell>
        </row>
        <row r="11">
          <cell r="B11" t="str">
            <v>Biomasse</v>
          </cell>
        </row>
        <row r="12">
          <cell r="B12" t="str">
            <v>Flüssiggas</v>
          </cell>
        </row>
        <row r="13">
          <cell r="B13" t="str">
            <v>Sonstige konventionelle Energieträger</v>
          </cell>
        </row>
        <row r="14">
          <cell r="B14" t="str">
            <v>Sonstige Erneuerbare Energieträger</v>
          </cell>
        </row>
      </sheetData>
      <sheetData sheetId="2"/>
    </sheetDataSet>
  </externalBook>
</externalLink>
</file>

<file path=xl/persons/person.xml><?xml version="1.0" encoding="utf-8"?>
<personList xmlns="http://schemas.microsoft.com/office/spreadsheetml/2018/threadedcomments" xmlns:x="http://schemas.openxmlformats.org/spreadsheetml/2006/main">
  <person displayName="Julia Zigann" id="{2DC0A044-32E1-4C4D-BE3C-01906F24B5EF}" userId="f1ee611548efa933"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9514036-824C-45EE-B318-ED16EF41EC80}" name="Tabelle46" displayName="Tabelle46" ref="C79:E86" totalsRowShown="0">
  <autoFilter ref="C79:E86" xr:uid="{C9514036-824C-45EE-B318-ED16EF41EC80}"/>
  <tableColumns count="3">
    <tableColumn id="1" xr3:uid="{8273A497-AD8F-4861-B4C7-2AECF8609144}" name="Systemgrenze"/>
    <tableColumn id="2" xr3:uid="{57617759-4BCE-473B-AFEA-6A921887BDCD}" name="Bezeichnung"/>
    <tableColumn id="3" xr3:uid="{A483485F-2784-47BB-9F63-4110DB0C2597}" name="Mobilitätssektor" dataDxfId="12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CB6E2EF-9D0F-4C37-BEAE-901E9FA704BE}" name="Modal_Split_Verkehrsmittel51" displayName="Modal_Split_Verkehrsmittel51" ref="B226:W269" totalsRowCount="1" headerRowDxfId="1066" dataDxfId="1065" totalsRowDxfId="1064">
  <autoFilter ref="B226:W268" xr:uid="{B721DE1C-C84B-4712-963A-B9AE8356F360}"/>
  <tableColumns count="22">
    <tableColumn id="1" xr3:uid="{63F72BFC-1BB6-4F2D-BAED-7851DEE6A6DA}" name="Verkehrsmittel der Gruppen" totalsRowLabel="Ergebnis" dataDxfId="1063" totalsRowDxfId="1062">
      <calculatedColumnFormula>B167</calculatedColumnFormula>
    </tableColumn>
    <tableColumn id="2" xr3:uid="{F052A62F-878D-47E6-B382-E32FE27842B9}" name="Einheit" totalsRowLabel="t CO2-Äq." dataDxfId="1061" totalsRowDxfId="1060"/>
    <tableColumn id="3" xr3:uid="{4C9A08FC-FD57-4B67-9FDF-37DB2DFB06B5}" name="2015" totalsRowFunction="sum" dataDxfId="1059" totalsRowDxfId="1058"/>
    <tableColumn id="4" xr3:uid="{A5C0745F-B341-4307-AA9F-A39BAB41D11C}" name="2016" totalsRowFunction="sum" dataDxfId="1057" totalsRowDxfId="1056"/>
    <tableColumn id="5" xr3:uid="{537C7902-5844-45C4-940A-578E233E6C31}" name="2017" totalsRowFunction="sum" dataDxfId="1055" totalsRowDxfId="1054"/>
    <tableColumn id="6" xr3:uid="{79EF51A4-F79A-4505-AF95-001CA65A7A56}" name="2018" totalsRowFunction="sum" dataDxfId="1053" totalsRowDxfId="1052"/>
    <tableColumn id="7" xr3:uid="{4097B5CE-3A64-4BD8-B913-A86304592659}" name="2019" totalsRowFunction="sum" dataDxfId="1051" totalsRowDxfId="1050"/>
    <tableColumn id="8" xr3:uid="{1E9D777C-721C-459F-90B4-97156EBD4859}" name="2020" totalsRowFunction="sum" dataDxfId="1049" totalsRowDxfId="1048"/>
    <tableColumn id="9" xr3:uid="{0301BA7C-8404-4231-A5C5-1EAE536F4E06}" name="2021" totalsRowFunction="sum" dataDxfId="1047" totalsRowDxfId="1046"/>
    <tableColumn id="10" xr3:uid="{71F127A2-15D5-412C-80C2-78B5693EFF3E}" name="2022" totalsRowFunction="sum" dataDxfId="1045" totalsRowDxfId="1044"/>
    <tableColumn id="11" xr3:uid="{DDA0DD84-F6CB-4343-ADFA-EE78F7769B0F}" name="2023" totalsRowFunction="sum" dataDxfId="1043" totalsRowDxfId="1042"/>
    <tableColumn id="12" xr3:uid="{EAC93D6D-B8D5-40A4-AC3A-A1E40C86200E}" name="2024" totalsRowFunction="sum" dataDxfId="1041" totalsRowDxfId="1040"/>
    <tableColumn id="13" xr3:uid="{EC404EF6-E0BD-4F1F-9613-0DCD889DD1BE}" name="2025" totalsRowFunction="sum" dataDxfId="1039" totalsRowDxfId="1038"/>
    <tableColumn id="14" xr3:uid="{68245282-FAC4-4B79-8E71-CE7716DC8552}" name="2026" totalsRowFunction="sum" dataDxfId="1037" totalsRowDxfId="1036"/>
    <tableColumn id="15" xr3:uid="{B2C9D8BA-99EF-45E3-B34C-7BAF9E6098D5}" name="2027" totalsRowFunction="sum" dataDxfId="1035" totalsRowDxfId="1034"/>
    <tableColumn id="16" xr3:uid="{9089C213-6187-48F1-BF5A-C648BAD8F8F3}" name="2028" totalsRowFunction="sum" dataDxfId="1033" totalsRowDxfId="1032"/>
    <tableColumn id="17" xr3:uid="{C4A5574D-2899-421D-B18A-28599618AB0D}" name="2029" totalsRowFunction="sum" dataDxfId="1031" totalsRowDxfId="1030"/>
    <tableColumn id="18" xr3:uid="{EDA9F38D-5D38-46D2-9C26-7F31DB467A1D}" name="2030" totalsRowFunction="sum" dataDxfId="1029" totalsRowDxfId="1028"/>
    <tableColumn id="19" xr3:uid="{B979CE22-A8C2-4917-88E7-BD480EEE12EF}" name="2035" totalsRowFunction="sum" dataDxfId="1027" totalsRowDxfId="1026"/>
    <tableColumn id="20" xr3:uid="{E408E91A-E363-4635-B68B-50805B07C619}" name="2040" totalsRowFunction="sum" dataDxfId="1025" totalsRowDxfId="1024"/>
    <tableColumn id="21" xr3:uid="{A8A56944-DBF1-4B0F-8489-9B894C880AD9}" name="2045" totalsRowFunction="sum" dataDxfId="1023" totalsRowDxfId="1022"/>
    <tableColumn id="22" xr3:uid="{1F363C9D-FAC6-4D76-B220-F8E0CAB1D533}" name="2050" totalsRowFunction="sum" dataDxfId="1021" totalsRowDxfId="1020"/>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93DCF8F-B649-4A92-8DDC-129F94EDDA56}" name="Modal_Split_Gruppen52" displayName="Modal_Split_Gruppen52" ref="B272:W280" totalsRowCount="1" headerRowDxfId="1019" dataDxfId="1018" totalsRowDxfId="1017">
  <autoFilter ref="B272:W279" xr:uid="{6302E3F9-10C4-48E6-A043-25B63D257D1C}"/>
  <tableColumns count="22">
    <tableColumn id="1" xr3:uid="{981D7976-1D8D-4B6D-8130-51BE3286A6FD}" name="Zusammenfassung der Gruppen" totalsRowLabel="Ergebnis" dataDxfId="1016" totalsRowDxfId="1015">
      <calculatedColumnFormula>B213</calculatedColumnFormula>
    </tableColumn>
    <tableColumn id="2" xr3:uid="{A5F21E26-8F98-424E-8732-104C0F4910F0}" name="Einheit" totalsRowLabel="t CO2-Äq." dataDxfId="1014" totalsRowDxfId="1013"/>
    <tableColumn id="3" xr3:uid="{A43BE7BA-D367-4569-9633-02CAB7223A5D}" name="2015" totalsRowFunction="sum" dataDxfId="1012" totalsRowDxfId="1011"/>
    <tableColumn id="4" xr3:uid="{607F2933-7BFD-4D75-8C5D-1687F16E823F}" name="2016" totalsRowFunction="sum" dataDxfId="1010" totalsRowDxfId="1009"/>
    <tableColumn id="5" xr3:uid="{0348D762-8BDD-47F3-92EE-DD49AA7B671D}" name="2017" totalsRowFunction="sum" dataDxfId="1008" totalsRowDxfId="1007"/>
    <tableColumn id="6" xr3:uid="{83E87C4D-4F5B-4F5B-9A8E-EDC5792D73DE}" name="2018" totalsRowFunction="sum" dataDxfId="1006" totalsRowDxfId="1005"/>
    <tableColumn id="7" xr3:uid="{9F7AF4A3-6702-461B-967A-E194EBA05AEA}" name="2019" totalsRowFunction="sum" dataDxfId="1004" totalsRowDxfId="1003"/>
    <tableColumn id="8" xr3:uid="{2521B506-1A71-4ED2-A27C-245714CD46F4}" name="2020" totalsRowFunction="sum" dataDxfId="1002" totalsRowDxfId="1001"/>
    <tableColumn id="9" xr3:uid="{F938C5CF-9056-4AA5-A5B1-CEDE907E1189}" name="2021" totalsRowFunction="sum" dataDxfId="1000" totalsRowDxfId="999"/>
    <tableColumn id="10" xr3:uid="{FD9DD461-85C8-463D-943F-B7B27F2EAD12}" name="2022" totalsRowFunction="sum" dataDxfId="998" totalsRowDxfId="997"/>
    <tableColumn id="11" xr3:uid="{720EBBC3-DE74-4975-83C7-4A2F70E9BEFE}" name="2023" totalsRowFunction="sum" dataDxfId="996" totalsRowDxfId="995"/>
    <tableColumn id="12" xr3:uid="{C8CB24A8-E99A-49DD-93EC-5CC2EBCDD5CE}" name="2024" totalsRowFunction="sum" dataDxfId="994" totalsRowDxfId="993"/>
    <tableColumn id="13" xr3:uid="{85E8CD27-F79A-479A-A1EC-8DC7A0F41857}" name="2025" totalsRowFunction="sum" dataDxfId="992" totalsRowDxfId="991"/>
    <tableColumn id="14" xr3:uid="{27B203D5-0171-4B5F-BF7D-DB3D234C5C96}" name="2026" totalsRowFunction="sum" dataDxfId="990" totalsRowDxfId="989"/>
    <tableColumn id="15" xr3:uid="{2FEB2600-8A94-466B-B548-1F5CEB644CED}" name="2027" totalsRowFunction="sum" dataDxfId="988" totalsRowDxfId="987"/>
    <tableColumn id="16" xr3:uid="{4CCB5F2E-826E-4642-BE33-74203AFBAAF5}" name="2028" totalsRowFunction="sum" dataDxfId="986" totalsRowDxfId="985"/>
    <tableColumn id="17" xr3:uid="{A54B3E97-923A-4A23-860A-6EBA57064DA2}" name="2029" totalsRowFunction="sum" dataDxfId="984" totalsRowDxfId="983"/>
    <tableColumn id="18" xr3:uid="{D28C86FF-3790-44CA-9BDA-770F099B5ADF}" name="2030" totalsRowFunction="sum" dataDxfId="982" totalsRowDxfId="981"/>
    <tableColumn id="19" xr3:uid="{A28C8AE3-FDB8-4A0F-8D83-0A7A71A6848D}" name="2035" totalsRowFunction="sum" dataDxfId="980" totalsRowDxfId="979"/>
    <tableColumn id="20" xr3:uid="{38D0F671-D7E3-47FD-B4FA-3A96CF65EE06}" name="2040" totalsRowFunction="sum" dataDxfId="978" totalsRowDxfId="977"/>
    <tableColumn id="21" xr3:uid="{BA0213A9-0253-45DD-B5F4-D89097C4009D}" name="2045" totalsRowFunction="sum" dataDxfId="976" totalsRowDxfId="975"/>
    <tableColumn id="22" xr3:uid="{223BB72C-F7DE-4F5B-8F84-0F49B93DE305}" name="2050" totalsRowFunction="sum" dataDxfId="974" totalsRowDxfId="97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B183506-46E1-45D7-B311-D9B78802E15C}" name="Tabelle59" displayName="Tabelle59" ref="B73:F85" totalsRowCount="1" headerRowDxfId="972" dataDxfId="971" totalsRowDxfId="970">
  <autoFilter ref="B73:F84" xr:uid="{8E8C7410-6C43-4215-AED5-A58E5A271C2B}"/>
  <tableColumns count="5">
    <tableColumn id="1" xr3:uid="{2102D863-EB77-47BE-863E-0927AE9962ED}" name="Handlungsfeld in t CO2-Äq.      " totalsRowLabel="Ergebnis" dataDxfId="969" totalsRowDxfId="968">
      <calculatedColumnFormula>'Refsz-Emissionen'!C350</calculatedColumnFormula>
    </tableColumn>
    <tableColumn id="2" xr3:uid="{3FB6E988-FF5D-4341-89E8-BFA4AB8583CF}" name="Scope 1" totalsRowFunction="sum" totalsRowDxfId="967">
      <calculatedColumnFormula>SUMIFS(Scopes_Emissionen_Bundesmix[Scope 1],Scopes_Emissionen_Bundesmix[Handlungsfeld in t CO2-Äq.], Tabelle59[Handlungsfeld in t CO2-Äq.      ])</calculatedColumnFormula>
    </tableColumn>
    <tableColumn id="3" xr3:uid="{6C0D7257-825F-432D-8E46-9B532F4C7688}" name="Scope 2" totalsRowFunction="sum" totalsRowDxfId="966">
      <calculatedColumnFormula>SUMIFS(Scopes_Emissionen_Bundesmix[Scope 2],Scopes_Emissionen_Bundesmix[Handlungsfeld in t CO2-Äq.], Tabelle59[Handlungsfeld in t CO2-Äq.      ])</calculatedColumnFormula>
    </tableColumn>
    <tableColumn id="4" xr3:uid="{174153F3-FD4F-4792-B7EC-19495077C840}" name="Scope 3" totalsRowFunction="sum" totalsRowDxfId="965">
      <calculatedColumnFormula>SUMIFS(Scopes_Emissionen_Bundesmix[Scope 3],Scopes_Emissionen_Bundesmix[Handlungsfeld in t CO2-Äq.], Tabelle59[Handlungsfeld in t CO2-Äq.      ])</calculatedColumnFormula>
    </tableColumn>
    <tableColumn id="5" xr3:uid="{5BF7F579-E9DA-4098-BEFB-9E63FAB33ED7}" name="Gesamt" totalsRowFunction="sum" dataDxfId="964" totalsRowDxfId="963">
      <calculatedColumnFormula>Tabelle59[[#This Row],[Scope 1]]+Tabelle59[[#This Row],[Scope 2]]+Tabelle59[[#This Row],[Scope 3]]</calculatedColumnFormula>
    </tableColumn>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D798E80-5F04-4C58-B187-A11765D59278}" name="Frischfaserpapier_Anzahl_Blatt" displayName="Frischfaserpapier_Anzahl_Blatt" ref="B41:X45" totalsRowCount="1">
  <autoFilter ref="B41:X44" xr:uid="{ED798E80-5F04-4C58-B187-A11765D59278}"/>
  <tableColumns count="23">
    <tableColumn id="1" xr3:uid="{0638706A-EB95-4483-9E6B-37377A7C0DA3}" name="Frischfaserpapier" totalsRowLabel="Ergebnis (umgerechnet)" totalsRowDxfId="961"/>
    <tableColumn id="2" xr3:uid="{40E137ED-FA9D-4856-9331-0BD9E271E718}" name="Einheit" totalsRowLabel="Anzahl A4 Blatt" totalsRowDxfId="960"/>
    <tableColumn id="3" xr3:uid="{6621D1B8-66A9-4BAC-A367-8AC9814462DC}" name="2015" totalsRowFunction="custom" dataDxfId="959" totalsRowDxfId="958">
      <totalsRowFormula>IF(AND(ISBLANK(D42),ISBLANK(D43),ISBLANK(D44)),"",D43+(D42*2)+(D44/2))</totalsRowFormula>
    </tableColumn>
    <tableColumn id="4" xr3:uid="{BC25FB55-DEF9-48A8-8475-8DDFD854C1A9}" name="2016" totalsRowFunction="custom" dataDxfId="957" totalsRowDxfId="956">
      <totalsRowFormula>IF(AND(ISBLANK(E42),ISBLANK(E43),ISBLANK(E44)),"",E43+(E42*2)+(E44/2))</totalsRowFormula>
    </tableColumn>
    <tableColumn id="5" xr3:uid="{B4B07AE1-3EC9-4252-A9A6-7D5CF10B0318}" name="2017" totalsRowFunction="custom" dataDxfId="955" totalsRowDxfId="954">
      <totalsRowFormula>IF(AND(ISBLANK(F42),ISBLANK(F43),ISBLANK(F44)),"",F43+(F42*2)+(F44/2))</totalsRowFormula>
    </tableColumn>
    <tableColumn id="6" xr3:uid="{E36BA6DC-9CFA-4AB2-8C56-00D2F3871758}" name="2018" totalsRowFunction="custom" dataDxfId="953" totalsRowDxfId="952">
      <totalsRowFormula>IF(AND(ISBLANK(G42),ISBLANK(G43),ISBLANK(G44)),"",G43+(G42*2)+(G44/2))</totalsRowFormula>
    </tableColumn>
    <tableColumn id="7" xr3:uid="{8AEF7652-B849-4451-98C9-8C1511DA78A0}" name="2019" totalsRowFunction="custom" dataDxfId="951" totalsRowDxfId="950">
      <totalsRowFormula>IF(AND(ISBLANK(H42),ISBLANK(H43),ISBLANK(H44)),"",H43+(H42*2)+(H44/2))</totalsRowFormula>
    </tableColumn>
    <tableColumn id="8" xr3:uid="{FF60FB31-5C97-4AB8-93C7-3FBC1DE7BEDE}" name="2020" totalsRowFunction="custom" dataDxfId="949" totalsRowDxfId="948">
      <totalsRowFormula>IF(AND(ISBLANK(I42),ISBLANK(I43),ISBLANK(I44)),"",I43+(I42*2)+(I44/2))</totalsRowFormula>
    </tableColumn>
    <tableColumn id="9" xr3:uid="{140BEE79-170A-4375-BDAF-7ADA7DEB6683}" name="2021" totalsRowFunction="custom" dataDxfId="947" totalsRowDxfId="946">
      <totalsRowFormula>IF(AND(ISBLANK(J42),ISBLANK(J43),ISBLANK(J44)),"",J43+(J42*2)+(J44/2))</totalsRowFormula>
    </tableColumn>
    <tableColumn id="10" xr3:uid="{79699B07-8A53-4177-BF6F-EE3842E48807}" name="2022" totalsRowFunction="custom" dataDxfId="945" totalsRowDxfId="944">
      <totalsRowFormula>IF(AND(ISBLANK(K42),ISBLANK(K43),ISBLANK(K44)),"",K43+(K42*2)+(K44/2))</totalsRowFormula>
    </tableColumn>
    <tableColumn id="11" xr3:uid="{93FABD22-9E3A-482D-AA11-1C1E569EE59B}" name="2023" totalsRowFunction="custom" dataDxfId="943" totalsRowDxfId="942">
      <totalsRowFormula>IF(AND(ISBLANK(L42),ISBLANK(L43),ISBLANK(L44)),"",L43+(L42*2)+(L44/2))</totalsRowFormula>
    </tableColumn>
    <tableColumn id="12" xr3:uid="{039EAD4C-FDE6-4637-8FF2-6485EF803CC8}" name="2024" totalsRowFunction="custom" dataDxfId="941" totalsRowDxfId="940">
      <totalsRowFormula>IF(AND(ISBLANK(M42),ISBLANK(M43),ISBLANK(M44)),"",M43+(M42*2)+(M44/2))</totalsRowFormula>
    </tableColumn>
    <tableColumn id="13" xr3:uid="{63DA2353-656B-4206-8BBD-D9CE6B034FD9}" name="2025" totalsRowFunction="custom" dataDxfId="939" totalsRowDxfId="938">
      <totalsRowFormula>IF(AND(ISBLANK(N42),ISBLANK(N43),ISBLANK(N44)),"",N43+(N42*2)+(N44/2))</totalsRowFormula>
    </tableColumn>
    <tableColumn id="14" xr3:uid="{1A31E82B-539D-4D13-AAE0-7D8D88E24669}" name="2026" totalsRowFunction="custom" dataDxfId="937" totalsRowDxfId="936">
      <totalsRowFormula>IF(AND(ISBLANK(O42),ISBLANK(O43),ISBLANK(O44)),"",O43+(O42*2)+(O44/2))</totalsRowFormula>
    </tableColumn>
    <tableColumn id="21" xr3:uid="{42F17872-D17E-468F-A314-CE4652949C0C}" name="2027" totalsRowFunction="custom" dataDxfId="935" totalsRowDxfId="934">
      <totalsRowFormula>IF(AND(ISBLANK(P42),ISBLANK(P43),ISBLANK(P44)),"",P43+(P42*2)+(P44/2))</totalsRowFormula>
    </tableColumn>
    <tableColumn id="22" xr3:uid="{0F83F017-B25E-4B4D-A941-8502C2D96D0A}" name="2028" totalsRowFunction="custom" dataDxfId="933" totalsRowDxfId="932">
      <totalsRowFormula>IF(AND(ISBLANK(Q42),ISBLANK(Q43),ISBLANK(Q44)),"",Q43+(Q42*2)+(Q44/2))</totalsRowFormula>
    </tableColumn>
    <tableColumn id="23" xr3:uid="{A0766D49-AA15-4F6A-B230-BF9DD4298227}" name="2029" totalsRowFunction="custom" dataDxfId="931" totalsRowDxfId="930">
      <totalsRowFormula>IF(AND(ISBLANK(R42),ISBLANK(R43),ISBLANK(R44)),"",R43+(R42*2)+(R44/2))</totalsRowFormula>
    </tableColumn>
    <tableColumn id="15" xr3:uid="{CD87CCFF-60F0-4826-AE85-8EC3446624BA}" name="2030" totalsRowFunction="custom" dataDxfId="929" totalsRowDxfId="928">
      <totalsRowFormula>IF(AND(ISBLANK(S42),ISBLANK(S43),ISBLANK(S44)),"",S43+(S42*2)+(S44/2))</totalsRowFormula>
    </tableColumn>
    <tableColumn id="16" xr3:uid="{D927FD96-F905-4E94-9DEF-F0AEC70B14B5}" name="2035" totalsRowFunction="custom" dataDxfId="927" totalsRowDxfId="926">
      <totalsRowFormula>IF(AND(ISBLANK(T42),ISBLANK(T43),ISBLANK(T44)),"",T43+(T42*2)+(T44/2))</totalsRowFormula>
    </tableColumn>
    <tableColumn id="17" xr3:uid="{8A55F029-9AA0-475B-97B8-477C7794374D}" name="2040" totalsRowFunction="custom" dataDxfId="925" totalsRowDxfId="924">
      <totalsRowFormula>IF(AND(ISBLANK(U42),ISBLANK(U43),ISBLANK(U44)),"",U43+(U42*2)+(U44/2))</totalsRowFormula>
    </tableColumn>
    <tableColumn id="18" xr3:uid="{A91B783F-86EB-444B-9C59-DEA6BD0A0579}" name="2045" totalsRowFunction="custom" dataDxfId="923" totalsRowDxfId="922">
      <totalsRowFormula>IF(AND(ISBLANK(V42),ISBLANK(V43),ISBLANK(V44)),"",V43+(V42*2)+(V44/2))</totalsRowFormula>
    </tableColumn>
    <tableColumn id="19" xr3:uid="{AA8DDEDF-A2E4-492F-8844-E644381E7641}" name="2050" totalsRowFunction="custom" dataDxfId="921" totalsRowDxfId="920">
      <totalsRowFormula>IF(AND(ISBLANK(W42),ISBLANK(W43),ISBLANK(W44)),"",W43+(W42*2)+(W44/2))</totalsRowFormula>
    </tableColumn>
    <tableColumn id="20" xr3:uid="{5D6A90A0-3C5F-41AC-83A4-DDFE29C3D316}" name="Bemerkung" totalsRowDxfId="91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CD6B37-4A01-4D8C-B797-C15BCD0953F7}" name="Recyclingpapier_Anzahl_Blatt" displayName="Recyclingpapier_Anzahl_Blatt" ref="B47:X51" totalsRowCount="1">
  <autoFilter ref="B47:X50" xr:uid="{20CD6B37-4A01-4D8C-B797-C15BCD0953F7}"/>
  <tableColumns count="23">
    <tableColumn id="1" xr3:uid="{AC263BEC-2380-469F-8B88-AA1ACC368243}" name="Recyclingpapier" totalsRowLabel="Ergebnis (umgerechnet)" totalsRowDxfId="918"/>
    <tableColumn id="2" xr3:uid="{4EE758BF-07AB-4DAF-B873-9D6CC4498C95}" name="Einheit" totalsRowLabel="Anzahl A4 Blatt" totalsRowDxfId="917"/>
    <tableColumn id="3" xr3:uid="{BA3D5B73-9296-4E65-BF1E-797FBA5CC2C7}" name="2015" totalsRowFunction="custom" dataDxfId="916" totalsRowDxfId="915">
      <totalsRowFormula>IF(AND(ISBLANK(D48),ISBLANK(D49),ISBLANK(D50)),"",D49+(D48*2)+(D50/2))</totalsRowFormula>
    </tableColumn>
    <tableColumn id="4" xr3:uid="{1BDAC6FF-40C9-4A21-B3A0-7741DCA389AE}" name="2016" totalsRowFunction="custom" dataDxfId="914" totalsRowDxfId="913">
      <totalsRowFormula>IF(AND(ISBLANK(E48),ISBLANK(E49),ISBLANK(E50)),"",E49+(E48*2)+(E50/2))</totalsRowFormula>
    </tableColumn>
    <tableColumn id="5" xr3:uid="{5812184D-D5A8-47E2-BAC2-9BB78EB36760}" name="2017" totalsRowFunction="custom" dataDxfId="912" totalsRowDxfId="911">
      <totalsRowFormula>IF(AND(ISBLANK(F48),ISBLANK(F49),ISBLANK(F50)),"",F49+(F48*2)+(F50/2))</totalsRowFormula>
    </tableColumn>
    <tableColumn id="6" xr3:uid="{AC3D0211-78A4-4023-9957-7558648AC4D1}" name="2018" totalsRowFunction="custom" dataDxfId="910" totalsRowDxfId="909">
      <totalsRowFormula>IF(AND(ISBLANK(G48),ISBLANK(G49),ISBLANK(G50)),"",G49+(G48*2)+(G50/2))</totalsRowFormula>
    </tableColumn>
    <tableColumn id="7" xr3:uid="{DB4D903A-1A61-4275-921E-C5A6B0234257}" name="2019" totalsRowFunction="custom" dataDxfId="908" totalsRowDxfId="907">
      <totalsRowFormula>IF(AND(ISBLANK(H48),ISBLANK(H49),ISBLANK(H50)),"",H49+(H48*2)+(H50/2))</totalsRowFormula>
    </tableColumn>
    <tableColumn id="8" xr3:uid="{3EDFB704-0634-4CCB-9A20-A277A73709A0}" name="2020" totalsRowFunction="custom" dataDxfId="906" totalsRowDxfId="905">
      <totalsRowFormula>IF(AND(ISBLANK(I48),ISBLANK(I49),ISBLANK(I50)),"",I49+(I48*2)+(I50/2))</totalsRowFormula>
    </tableColumn>
    <tableColumn id="9" xr3:uid="{7F5433E9-9812-4DE0-BF0D-0424DD645A6C}" name="2021" totalsRowFunction="custom" dataDxfId="904" totalsRowDxfId="903">
      <totalsRowFormula>IF(AND(ISBLANK(J48),ISBLANK(J49),ISBLANK(J50)),"",J49+(J48*2)+(J50/2))</totalsRowFormula>
    </tableColumn>
    <tableColumn id="10" xr3:uid="{7B2D5961-A822-4590-B066-1C692A0B03CF}" name="2022" totalsRowFunction="custom" dataDxfId="902" totalsRowDxfId="901">
      <totalsRowFormula>IF(AND(ISBLANK(K48),ISBLANK(K49),ISBLANK(K50)),"",K49+(K48*2)+(K50/2))</totalsRowFormula>
    </tableColumn>
    <tableColumn id="11" xr3:uid="{818C9C09-BD2A-40DB-8239-463BF6D2F96B}" name="2023" totalsRowFunction="custom" dataDxfId="900" totalsRowDxfId="899">
      <totalsRowFormula>IF(AND(ISBLANK(L48),ISBLANK(L49),ISBLANK(L50)),"",L49+(L48*2)+(L50/2))</totalsRowFormula>
    </tableColumn>
    <tableColumn id="12" xr3:uid="{D36F4646-CE38-427D-86C1-F9E20703AF31}" name="2024" totalsRowFunction="custom" dataDxfId="898" totalsRowDxfId="897">
      <totalsRowFormula>IF(AND(ISBLANK(M48),ISBLANK(M49),ISBLANK(M50)),"",M49+(M48*2)+(M50/2))</totalsRowFormula>
    </tableColumn>
    <tableColumn id="13" xr3:uid="{CB359888-C2C8-47A0-A794-5A2BC253BF4B}" name="2025" totalsRowFunction="custom" dataDxfId="896" totalsRowDxfId="895">
      <totalsRowFormula>IF(AND(ISBLANK(N48),ISBLANK(N49),ISBLANK(N50)),"",N49+(N48*2)+(N50/2))</totalsRowFormula>
    </tableColumn>
    <tableColumn id="14" xr3:uid="{0187A3EB-FB92-48E1-899F-F0F72C5F846D}" name="2026" totalsRowFunction="custom" dataDxfId="894" totalsRowDxfId="893">
      <totalsRowFormula>IF(AND(ISBLANK(O48),ISBLANK(O49),ISBLANK(O50)),"",O49+(O48*2)+(O50/2))</totalsRowFormula>
    </tableColumn>
    <tableColumn id="21" xr3:uid="{51B89363-8C3E-493D-AA52-F45F2CF614AC}" name="2027" totalsRowFunction="custom" dataDxfId="892" totalsRowDxfId="891">
      <totalsRowFormula>IF(AND(ISBLANK(P48),ISBLANK(P49),ISBLANK(P50)),"",P49+(P48*2)+(P50/2))</totalsRowFormula>
    </tableColumn>
    <tableColumn id="22" xr3:uid="{EBD121C7-E613-4EA7-AD41-3566F147317D}" name="2028" totalsRowFunction="custom" dataDxfId="890" totalsRowDxfId="889">
      <totalsRowFormula>IF(AND(ISBLANK(Q48),ISBLANK(Q49),ISBLANK(Q50)),"",Q49+(Q48*2)+(Q50/2))</totalsRowFormula>
    </tableColumn>
    <tableColumn id="23" xr3:uid="{B8507557-71BA-4DA7-AC32-E9B271C1B9D9}" name="2029" totalsRowFunction="custom" dataDxfId="888" totalsRowDxfId="887">
      <totalsRowFormula>IF(AND(ISBLANK(R48),ISBLANK(R49),ISBLANK(R50)),"",R49+(R48*2)+(R50/2))</totalsRowFormula>
    </tableColumn>
    <tableColumn id="15" xr3:uid="{04803524-9022-466B-B519-D74CD10C9D3A}" name="2030" totalsRowFunction="custom" dataDxfId="886" totalsRowDxfId="885">
      <totalsRowFormula>IF(AND(ISBLANK(S48),ISBLANK(S49),ISBLANK(S50)),"",S49+(S48*2)+(S50/2))</totalsRowFormula>
    </tableColumn>
    <tableColumn id="16" xr3:uid="{FA9B0771-4627-4DCF-9019-EE2749B09647}" name="2035" totalsRowFunction="custom" dataDxfId="884" totalsRowDxfId="883">
      <totalsRowFormula>IF(AND(ISBLANK(T48),ISBLANK(T49),ISBLANK(T50)),"",T49+(T48*2)+(T50/2))</totalsRowFormula>
    </tableColumn>
    <tableColumn id="17" xr3:uid="{AD40A722-AF6B-49D8-8976-82443756B73C}" name="2040" totalsRowFunction="custom" dataDxfId="882" totalsRowDxfId="881">
      <totalsRowFormula>IF(AND(ISBLANK(U48),ISBLANK(U49),ISBLANK(U50)),"",U49+(U48*2)+(U50/2))</totalsRowFormula>
    </tableColumn>
    <tableColumn id="18" xr3:uid="{91F61A1B-E42F-488E-91C2-683CA357C337}" name="2045" totalsRowFunction="custom" dataDxfId="880" totalsRowDxfId="879">
      <totalsRowFormula>IF(AND(ISBLANK(V48),ISBLANK(V49),ISBLANK(V50)),"",V49+(V48*2)+(V50/2))</totalsRowFormula>
    </tableColumn>
    <tableColumn id="19" xr3:uid="{829B9A14-BB1F-41F5-B84C-F86D914501A6}" name="2050" totalsRowFunction="custom" dataDxfId="878" totalsRowDxfId="877">
      <totalsRowFormula>IF(AND(ISBLANK(W48),ISBLANK(W49),ISBLANK(W50)),"",W49+(W48*2)+(W50/2))</totalsRowFormula>
    </tableColumn>
    <tableColumn id="20" xr3:uid="{2ED396D5-126F-49E0-8C6B-5E5F60BBD50B}" name="Bemerkung" totalsRowDxfId="876"/>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1F90468-440B-4EB3-9E1D-74F9CA78E0C7}" name="Papier_kg" displayName="Papier_kg" ref="B53:X55" totalsRowShown="0" headerRowDxfId="875" dataDxfId="874" headerRowCellStyle="Standard" dataCellStyle="Standard">
  <autoFilter ref="B53:X55" xr:uid="{D1F90468-440B-4EB3-9E1D-74F9CA78E0C7}"/>
  <tableColumns count="23">
    <tableColumn id="1" xr3:uid="{41876838-3468-47AF-A190-F034346CCF6F}" name="Ergebnis (Gewicht)" dataDxfId="873" dataCellStyle="Standard"/>
    <tableColumn id="2" xr3:uid="{FED1CB56-0C53-4A1C-88B0-6E3D712406C2}" name="Einheit" dataDxfId="872" dataCellStyle="Standard"/>
    <tableColumn id="3" xr3:uid="{F3DA7381-DAE4-451F-903C-A3DA46071B4E}" name="2015" dataDxfId="871" dataCellStyle="Standard">
      <calculatedColumnFormula>Recyclingpapier_Anzahl_Blatt[[#Totals],[2015]]*5/1000</calculatedColumnFormula>
    </tableColumn>
    <tableColumn id="4" xr3:uid="{69C702A9-288A-40CA-9217-B71987EB7A57}" name="2016" dataDxfId="870" dataCellStyle="Standard">
      <calculatedColumnFormula>Recyclingpapier_Anzahl_Blatt[[#Totals],[2016]]*5/1000</calculatedColumnFormula>
    </tableColumn>
    <tableColumn id="5" xr3:uid="{E10CEE15-7F0A-455D-B0F6-BAED5D21A062}" name="2017" dataDxfId="869" dataCellStyle="Standard">
      <calculatedColumnFormula>Recyclingpapier_Anzahl_Blatt[[#Totals],[2017]]*5/1000</calculatedColumnFormula>
    </tableColumn>
    <tableColumn id="6" xr3:uid="{1C021F1E-2200-418B-83E7-8398BBAF1B57}" name="2018" dataDxfId="868" dataCellStyle="Standard">
      <calculatedColumnFormula>Recyclingpapier_Anzahl_Blatt[[#Totals],[2018]]*5/1000</calculatedColumnFormula>
    </tableColumn>
    <tableColumn id="7" xr3:uid="{1BE1516E-9D11-4D86-A859-8A32E2AF8F50}" name="2019" dataDxfId="867" dataCellStyle="Standard">
      <calculatedColumnFormula>Recyclingpapier_Anzahl_Blatt[[#Totals],[2019]]*5/1000</calculatedColumnFormula>
    </tableColumn>
    <tableColumn id="8" xr3:uid="{9F01915B-D489-40EB-B5ED-7659790D0DC3}" name="2020" dataDxfId="866" dataCellStyle="Standard">
      <calculatedColumnFormula>Recyclingpapier_Anzahl_Blatt[[#Totals],[2020]]*5/1000</calculatedColumnFormula>
    </tableColumn>
    <tableColumn id="9" xr3:uid="{19125D94-E4DB-4750-A5D6-D17F4056DD73}" name="2021" dataDxfId="865" dataCellStyle="Standard">
      <calculatedColumnFormula>Recyclingpapier_Anzahl_Blatt[[#Totals],[2021]]*5/1000</calculatedColumnFormula>
    </tableColumn>
    <tableColumn id="10" xr3:uid="{0BFDA664-9A01-4B78-9412-3C0C1EB67A15}" name="2022" dataDxfId="864" dataCellStyle="Standard">
      <calculatedColumnFormula>IF(AND(ISBLANK(K42),ISBLANK(K43),ISBLANK(K44)),"",Frischfaserpapier_Anzahl_Blatt[[#Totals],[2022]]*5/1000 )</calculatedColumnFormula>
    </tableColumn>
    <tableColumn id="11" xr3:uid="{EF8520DA-F24C-4FAC-B744-343634DA2CD8}" name="2023" dataDxfId="863" dataCellStyle="Standard"/>
    <tableColumn id="12" xr3:uid="{C9483295-F2A6-4E25-915A-745132540ED3}" name="2024" dataDxfId="862" dataCellStyle="Standard"/>
    <tableColumn id="13" xr3:uid="{3BA7DB84-B697-41EB-A22B-51EF6285676D}" name="2025" dataDxfId="861" dataCellStyle="Standard"/>
    <tableColumn id="14" xr3:uid="{05100ACE-624B-4F33-BE36-E9AD0AF31337}" name="2026" dataDxfId="860" dataCellStyle="Standard"/>
    <tableColumn id="21" xr3:uid="{47C6456B-5602-41E2-8DC5-8A903CBCF16D}" name="2027"/>
    <tableColumn id="22" xr3:uid="{100CA461-A98D-47C0-A93C-7D150978248D}" name="2028"/>
    <tableColumn id="23" xr3:uid="{E29A804D-9FA2-483E-B0F1-5D8048194E7A}" name="2029"/>
    <tableColumn id="15" xr3:uid="{3D1DCAAE-DA2D-4A0A-82A4-7A137AE5F8D2}" name="2030" dataDxfId="859" dataCellStyle="Standard"/>
    <tableColumn id="16" xr3:uid="{4302A63A-B63A-4889-AC6F-BED701D4345E}" name="2035" dataDxfId="858" dataCellStyle="Standard"/>
    <tableColumn id="17" xr3:uid="{99816046-8820-42CC-8785-8544FB4AECDE}" name="2040" dataDxfId="857" dataCellStyle="Standard"/>
    <tableColumn id="18" xr3:uid="{7174DA72-7218-40CF-ABFA-E40B9524BB01}" name="2045" dataDxfId="856" dataCellStyle="Standard"/>
    <tableColumn id="19" xr3:uid="{A22A2DB3-A290-4105-A89B-3BB26813FB77}" name="2050" dataDxfId="855" dataCellStyle="Standard"/>
    <tableColumn id="20" xr3:uid="{9765B247-FAAD-488E-B0E2-36F97A52DAD9}" name="Bemerkung" dataDxfId="854" dataCellStyle="Standard"/>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45A5817-C53F-4488-B99C-167D4C0BBF2F}" name="Benzin_km37" displayName="Benzin_km37" ref="B13:X17" totalsRowShown="0">
  <autoFilter ref="B13:X17" xr:uid="{870AD07C-9B9E-400B-A2C2-ED7EB73776F1}"/>
  <tableColumns count="23">
    <tableColumn id="1" xr3:uid="{843F6773-5CC4-477A-93B6-831F1E9ACC05}" name="Literverbrauch Diesel">
      <calculatedColumnFormula>'Refsz-Verbräuche'!D49</calculatedColumnFormula>
    </tableColumn>
    <tableColumn id="2" xr3:uid="{542C8CC8-0CB1-4BAF-8A91-770DFDB7C266}" name="Einheit"/>
    <tableColumn id="3" xr3:uid="{0C35F418-C50D-4BEB-B7D6-61A1D3A2A0CA}" name="2015" dataDxfId="853"/>
    <tableColumn id="4" xr3:uid="{F4173F4D-FF6D-4607-8AA0-CD2EBDED888C}" name="2016" dataDxfId="852"/>
    <tableColumn id="5" xr3:uid="{3A88173C-5A93-4AF4-A94B-698A96D14095}" name="2017" dataDxfId="851"/>
    <tableColumn id="6" xr3:uid="{B776CCA0-29BF-4412-B957-C892ABED6D83}" name="2018" dataDxfId="850"/>
    <tableColumn id="7" xr3:uid="{F3B8177F-25D2-409D-8C28-477433519AA6}" name="2019" dataDxfId="849"/>
    <tableColumn id="8" xr3:uid="{1C195589-AB0D-46FE-8376-E28C33EDE6BE}" name="2020" dataDxfId="848"/>
    <tableColumn id="9" xr3:uid="{B23B83FF-0C12-42BA-9DE8-6735734EA003}" name="2021" dataDxfId="847"/>
    <tableColumn id="10" xr3:uid="{24FA89D0-2944-47E9-895E-6D625F26FA20}" name="2022" dataDxfId="846"/>
    <tableColumn id="11" xr3:uid="{9CA1C3EC-2F78-4F16-AF28-094C2C4CB35A}" name="2023" dataDxfId="845"/>
    <tableColumn id="12" xr3:uid="{407B3703-0AFB-4049-BB21-0C1C1FCDDA16}" name="2024" dataDxfId="844"/>
    <tableColumn id="13" xr3:uid="{7712C0B6-01A6-477D-B761-E82AFE184E04}" name="2025" dataDxfId="843"/>
    <tableColumn id="14" xr3:uid="{0706A912-41D1-4234-BB1E-29AC076B173A}" name="2026" dataDxfId="842"/>
    <tableColumn id="21" xr3:uid="{9F97649E-CC50-4B3D-B9E3-24E9D9C3BD36}" name="2027" dataDxfId="841"/>
    <tableColumn id="22" xr3:uid="{A6BF479E-85F6-41C6-B0F7-AF42DC22BBA6}" name="2028" dataDxfId="840"/>
    <tableColumn id="23" xr3:uid="{E7FB4384-993B-4C92-96EB-F4813CDEE6CF}" name="2029" dataDxfId="839"/>
    <tableColumn id="15" xr3:uid="{A3EFBCBF-FF33-496A-A26D-29DE459461CB}" name="2030" dataDxfId="838"/>
    <tableColumn id="16" xr3:uid="{66F5D3FB-26CC-4C1B-BCC3-82DB283806FC}" name="2035" dataDxfId="837"/>
    <tableColumn id="17" xr3:uid="{61CB3E53-29C6-496E-B4F3-76F214929CBB}" name="2040" dataDxfId="836"/>
    <tableColumn id="18" xr3:uid="{F8EDC019-2A1F-4967-836D-503BCD4046EB}" name="2045" dataDxfId="835"/>
    <tableColumn id="19" xr3:uid="{DDB28CB1-C370-45B2-8AB3-46552932245F}" name="2050" dataDxfId="834"/>
    <tableColumn id="20" xr3:uid="{CFC74EFF-119D-472D-BB62-5CE8A818BB38}" name="Bemerkung"/>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6D82BA5-F92D-4CE2-BC95-15E4C134277D}" name="Benzin_km3738" displayName="Benzin_km3738" ref="B32:X36" totalsRowShown="0">
  <autoFilter ref="B32:X36" xr:uid="{9B718F73-111C-4652-9D34-173E13DEF40D}"/>
  <tableColumns count="23">
    <tableColumn id="1" xr3:uid="{F73D42FC-D4A4-4754-A6AC-3F68A3EBB1B9}" name="Kilometer Benzin">
      <calculatedColumnFormula>B21</calculatedColumnFormula>
    </tableColumn>
    <tableColumn id="2" xr3:uid="{D19330DB-90B4-45F4-93E2-695EF2553B28}" name="Einheit"/>
    <tableColumn id="3" xr3:uid="{637CF9D4-D573-4AA7-BCE0-60344A457859}" name="2015" dataDxfId="833">
      <calculatedColumnFormula>IF(ISBLANK(D21),"",D21*(100/$C$19))</calculatedColumnFormula>
    </tableColumn>
    <tableColumn id="4" xr3:uid="{FDD03995-6B4B-4129-80A0-83847AB7075E}" name="2016" dataDxfId="832">
      <calculatedColumnFormula>IF(ISBLANK(E21),"",E21*(100/$C$19))</calculatedColumnFormula>
    </tableColumn>
    <tableColumn id="5" xr3:uid="{C300584A-BDB2-413A-BF0B-5C33B2922066}" name="2017" dataDxfId="831">
      <calculatedColumnFormula>IF(ISBLANK(F21),"",F21*(100/$C$19))</calculatedColumnFormula>
    </tableColumn>
    <tableColumn id="6" xr3:uid="{C8E4E2E8-1485-467E-9435-9D2F74F33F44}" name="2018" dataDxfId="830">
      <calculatedColumnFormula>IF(ISBLANK(G21),"",G21*(100/$C$19))</calculatedColumnFormula>
    </tableColumn>
    <tableColumn id="7" xr3:uid="{BB5A2755-0E8A-4E4E-A49F-06F802DD67AC}" name="2019" dataDxfId="829">
      <calculatedColumnFormula>IF(ISBLANK(H21),"",H21*(100/$C$19))</calculatedColumnFormula>
    </tableColumn>
    <tableColumn id="8" xr3:uid="{855BE800-CA8B-486A-8440-8B00999BA31C}" name="2020" dataDxfId="828">
      <calculatedColumnFormula>IF(ISBLANK(I21),"",I21*(100/$C$19))</calculatedColumnFormula>
    </tableColumn>
    <tableColumn id="9" xr3:uid="{14434F71-26AF-40CE-9455-B388A005FB66}" name="2021" dataDxfId="827">
      <calculatedColumnFormula>IF(ISBLANK(J21),"",J21*(100/$C$19))</calculatedColumnFormula>
    </tableColumn>
    <tableColumn id="10" xr3:uid="{7C848EC0-A515-430F-8E6C-9610E90F492C}" name="2022" dataDxfId="826">
      <calculatedColumnFormula>IF(ISBLANK(K21),"",K21*(100/$C$19))</calculatedColumnFormula>
    </tableColumn>
    <tableColumn id="11" xr3:uid="{985365EC-2CFE-4DAB-A380-834F3BD095C5}" name="2023" dataDxfId="825">
      <calculatedColumnFormula>IF(ISBLANK(L21),"",L21*(100/$C$19))</calculatedColumnFormula>
    </tableColumn>
    <tableColumn id="12" xr3:uid="{D3BD7C30-1CEE-4C74-B7B1-5A1B9DEAF420}" name="2024" dataDxfId="824">
      <calculatedColumnFormula>IF(ISBLANK(M21),"",M21*(100/$C$19))</calculatedColumnFormula>
    </tableColumn>
    <tableColumn id="13" xr3:uid="{5669C6AE-513C-46A4-B88E-481E2439F083}" name="2025" dataDxfId="823">
      <calculatedColumnFormula>IF(ISBLANK(N21),"",N21*(100/$C$19))</calculatedColumnFormula>
    </tableColumn>
    <tableColumn id="14" xr3:uid="{6FBF9ED2-0AB6-457D-AA59-D6D031148ABF}" name="2026" dataDxfId="822">
      <calculatedColumnFormula>IF(ISBLANK(O21),"",O21*(100/$C$19))</calculatedColumnFormula>
    </tableColumn>
    <tableColumn id="21" xr3:uid="{B6470F8D-FD54-434B-BDFE-C188540D5384}" name="2027" dataDxfId="821">
      <calculatedColumnFormula>IF(ISBLANK(P21),"",P21*(100/$C$19))</calculatedColumnFormula>
    </tableColumn>
    <tableColumn id="22" xr3:uid="{43FCFD90-1724-4B62-8253-88EB999D0B7F}" name="2028" dataDxfId="820">
      <calculatedColumnFormula>IF(ISBLANK(Q21),"",Q21*(100/$C$19))</calculatedColumnFormula>
    </tableColumn>
    <tableColumn id="23" xr3:uid="{F9E170AE-465C-48BA-A5C9-88E821035352}" name="2029" dataDxfId="819">
      <calculatedColumnFormula>IF(ISBLANK(R21),"",R21*(100/$C$19))</calculatedColumnFormula>
    </tableColumn>
    <tableColumn id="15" xr3:uid="{8C255AAC-B76B-4812-97F1-600ADC49D337}" name="2030" dataDxfId="818">
      <calculatedColumnFormula>IF(ISBLANK(S21),"",S21*(100/$C$19))</calculatedColumnFormula>
    </tableColumn>
    <tableColumn id="16" xr3:uid="{E10E1B71-0E81-41C1-8754-70907D6126A6}" name="2035" dataDxfId="817">
      <calculatedColumnFormula>IF(ISBLANK(T21),"",T21*(100/$C$19))</calculatedColumnFormula>
    </tableColumn>
    <tableColumn id="17" xr3:uid="{842B69CA-AB33-4E40-A0A8-4F6DD51D3B86}" name="2040" dataDxfId="816">
      <calculatedColumnFormula>IF(ISBLANK(U21),"",U21*(100/$C$19))</calculatedColumnFormula>
    </tableColumn>
    <tableColumn id="18" xr3:uid="{389E1417-B489-430A-9CAD-358F05F402CC}" name="2045" dataDxfId="815">
      <calculatedColumnFormula>IF(ISBLANK(V21),"",V21*(100/$C$19))</calculatedColumnFormula>
    </tableColumn>
    <tableColumn id="19" xr3:uid="{AA77873C-B400-4658-9A89-4EF417E80597}" name="2050" dataDxfId="814">
      <calculatedColumnFormula>IF(ISBLANK(W21),"",W21*(100/$C$19))</calculatedColumnFormula>
    </tableColumn>
    <tableColumn id="20" xr3:uid="{9D0F5017-58B6-4FBF-BF0D-F9E7BF723F67}" name="Bemerkung"/>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F0E88E6-3144-4A62-9B51-3B7F0E3C52F1}" name="Benzin_km3745" displayName="Benzin_km3745" ref="B20:X24" totalsRowShown="0">
  <autoFilter ref="B20:X24" xr:uid="{F2B08D65-918D-4251-9318-FDAB514370BB}"/>
  <tableColumns count="23">
    <tableColumn id="1" xr3:uid="{5F857606-3B2B-4C1B-A52B-E11DFB6BE828}" name="Literverbrauch Benzin">
      <calculatedColumnFormula>'Refsz-Verbräuche'!D62</calculatedColumnFormula>
    </tableColumn>
    <tableColumn id="2" xr3:uid="{AFE3035E-A353-475C-B0E2-31FBC55A2A68}" name="Einheit"/>
    <tableColumn id="3" xr3:uid="{7EAAD876-6E17-4714-95D6-58C1B26A6866}" name="2015" dataDxfId="813"/>
    <tableColumn id="4" xr3:uid="{C6F5558B-9FA2-4247-8EEC-4482ECF165BC}" name="2016" dataDxfId="812"/>
    <tableColumn id="5" xr3:uid="{8BBC2950-828C-43F5-BCEF-E4671D96D5AC}" name="2017" dataDxfId="811"/>
    <tableColumn id="6" xr3:uid="{237E0852-BD36-4FDC-B05A-7B69D0AE8CB2}" name="2018" dataDxfId="810"/>
    <tableColumn id="7" xr3:uid="{984DDA47-4820-4158-AB30-5768DC284FCC}" name="2019" dataDxfId="809"/>
    <tableColumn id="8" xr3:uid="{64A86836-E69B-4267-8E71-65D906953746}" name="2020" dataDxfId="808"/>
    <tableColumn id="9" xr3:uid="{FB05A1DB-73F2-4FC4-8B7E-A2AD09E3161B}" name="2021" dataDxfId="807"/>
    <tableColumn id="10" xr3:uid="{D06521DD-BBD8-4E27-9B88-71EC53B91146}" name="2022" dataDxfId="806"/>
    <tableColumn id="11" xr3:uid="{A0F066EB-D04E-40CE-A526-47C13CE88B2B}" name="2023" dataDxfId="805"/>
    <tableColumn id="12" xr3:uid="{7923806A-DD35-44B2-A83F-CA2FAD6C9C35}" name="2024" dataDxfId="804"/>
    <tableColumn id="13" xr3:uid="{ECD80658-3B32-4120-9434-038535752872}" name="2025" dataDxfId="803"/>
    <tableColumn id="14" xr3:uid="{A223AA8E-C730-45D7-AF98-EE129F454851}" name="2026" dataDxfId="802"/>
    <tableColumn id="21" xr3:uid="{0E221C4A-D7CA-4DC0-85F6-0EA7E832E0F2}" name="2027" dataDxfId="801"/>
    <tableColumn id="22" xr3:uid="{DF9EC117-085E-4C79-BAA0-D2A28FBAD5C3}" name="2028" dataDxfId="800"/>
    <tableColumn id="23" xr3:uid="{1D984B6A-3F86-4720-9F6E-AA39807D04D5}" name="2029" dataDxfId="799"/>
    <tableColumn id="15" xr3:uid="{FFD14093-2F21-46F5-AC9F-DE40300F4AA9}" name="2030" dataDxfId="798"/>
    <tableColumn id="16" xr3:uid="{6280C7D5-6F22-40AB-98EB-0CCF1F70C678}" name="2035" dataDxfId="797"/>
    <tableColumn id="17" xr3:uid="{D32D0A92-6F0C-412A-A53A-6EF3ECF9538D}" name="2040" dataDxfId="796"/>
    <tableColumn id="18" xr3:uid="{41548C65-68A0-4A1E-A85E-B8F518012749}" name="2045" dataDxfId="795"/>
    <tableColumn id="19" xr3:uid="{BB1B9AD6-373C-4576-BE43-CC8CC409E340}" name="2050" dataDxfId="794"/>
    <tableColumn id="20" xr3:uid="{5BF91BB6-8C88-463B-90D0-D8BD92B7C1F2}" name="Bemerkung"/>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A998C87-FC5B-4223-A527-AD7B642B6A36}" name="Benzin_km373846" displayName="Benzin_km373846" ref="B26:X30" totalsRowShown="0">
  <autoFilter ref="B26:X30" xr:uid="{DC832671-BA6D-43E9-A2E1-C2D22FF829FC}"/>
  <tableColumns count="23">
    <tableColumn id="1" xr3:uid="{23289F46-24F0-43F0-80D2-C2B24A5470C6}" name="Kilometer Diesel">
      <calculatedColumnFormula>B14</calculatedColumnFormula>
    </tableColumn>
    <tableColumn id="2" xr3:uid="{ECDB5911-D536-436F-BE00-948020EC7D40}" name="Einheit"/>
    <tableColumn id="3" xr3:uid="{A6975763-1A67-4B09-B014-23747A3D799D}" name="2015" dataDxfId="793">
      <calculatedColumnFormula>IF(ISBLANK(D14),"",D14*(100/$C$12))</calculatedColumnFormula>
    </tableColumn>
    <tableColumn id="4" xr3:uid="{DC700067-4000-4C10-84C4-DD8585BDD3C0}" name="2016" dataDxfId="792">
      <calculatedColumnFormula>IF(ISBLANK(E14),"",E14*(100/$C$12))</calculatedColumnFormula>
    </tableColumn>
    <tableColumn id="5" xr3:uid="{5B2B6CAA-EA8D-4C9A-B37C-E6B48B4A3507}" name="2017" dataDxfId="791">
      <calculatedColumnFormula>IF(ISBLANK(F14),"",F14*(100/$C$12))</calculatedColumnFormula>
    </tableColumn>
    <tableColumn id="6" xr3:uid="{7585017F-FCBB-44B4-9E81-2EDF3A1D663E}" name="2018" dataDxfId="790">
      <calculatedColumnFormula>IF(ISBLANK(G14),"",G14*(100/$C$12))</calculatedColumnFormula>
    </tableColumn>
    <tableColumn id="7" xr3:uid="{F396FACC-5BDD-4F27-8372-733872AD1FAD}" name="2019" dataDxfId="789">
      <calculatedColumnFormula>IF(ISBLANK(H14),"",H14*(100/$C$12))</calculatedColumnFormula>
    </tableColumn>
    <tableColumn id="8" xr3:uid="{F5E8880E-1F75-4BD3-8C24-D0652530C7A6}" name="2020" dataDxfId="788">
      <calculatedColumnFormula>IF(ISBLANK(I14),"",I14*(100/$C$12))</calculatedColumnFormula>
    </tableColumn>
    <tableColumn id="9" xr3:uid="{D20BB2BB-7B5C-4BDE-803D-5329E94BEAB9}" name="2021" dataDxfId="787">
      <calculatedColumnFormula>IF(ISBLANK(J14),"",J14*(100/$C$12))</calculatedColumnFormula>
    </tableColumn>
    <tableColumn id="10" xr3:uid="{FB1F8088-6B74-4F70-A8F1-D16D62DD50C7}" name="2022" dataDxfId="786">
      <calculatedColumnFormula>IF(ISBLANK(K14),"",K14*(100/$C$12))</calculatedColumnFormula>
    </tableColumn>
    <tableColumn id="11" xr3:uid="{59120762-6852-466E-B863-875ABA0CC512}" name="2023" dataDxfId="785">
      <calculatedColumnFormula>IF(ISBLANK(L14),"",L14*(100/$C$12))</calculatedColumnFormula>
    </tableColumn>
    <tableColumn id="12" xr3:uid="{7899F9C6-905F-405C-89A3-F377E0291D15}" name="2024" dataDxfId="784">
      <calculatedColumnFormula>IF(ISBLANK(M14),"",M14*(100/$C$12))</calculatedColumnFormula>
    </tableColumn>
    <tableColumn id="13" xr3:uid="{D549B059-55ED-4C4A-8786-B50BA6404ACC}" name="2025" dataDxfId="783">
      <calculatedColumnFormula>IF(ISBLANK(N14),"",N14*(100/$C$12))</calculatedColumnFormula>
    </tableColumn>
    <tableColumn id="14" xr3:uid="{2CE2D4EB-D68F-4BF4-92C9-37A17B6998CC}" name="2026" dataDxfId="782">
      <calculatedColumnFormula>IF(ISBLANK(O14),"",O14*(100/$C$12))</calculatedColumnFormula>
    </tableColumn>
    <tableColumn id="21" xr3:uid="{5D6FA141-29A2-4808-99C7-5C31E125CB31}" name="2027" dataDxfId="781">
      <calculatedColumnFormula>IF(ISBLANK(P14),"",P14*(100/$C$12))</calculatedColumnFormula>
    </tableColumn>
    <tableColumn id="22" xr3:uid="{B2419A64-1869-46D4-B2CC-EBCECEAE21C2}" name="2028" dataDxfId="780">
      <calculatedColumnFormula>IF(ISBLANK(Q14),"",Q14*(100/$C$12))</calculatedColumnFormula>
    </tableColumn>
    <tableColumn id="23" xr3:uid="{0006E36D-ACDB-48A8-A181-576AFFDC9C82}" name="2029" dataDxfId="779">
      <calculatedColumnFormula>IF(ISBLANK(R14),"",R14*(100/$C$12))</calculatedColumnFormula>
    </tableColumn>
    <tableColumn id="15" xr3:uid="{E54BC51B-203A-4F3A-A1A6-B7496AD64170}" name="2030" dataDxfId="778">
      <calculatedColumnFormula>IF(ISBLANK(S14),"",S14*(100/$C$12))</calculatedColumnFormula>
    </tableColumn>
    <tableColumn id="16" xr3:uid="{74C63E64-418F-4FF7-ACA2-039275B68030}" name="2035" dataDxfId="777">
      <calculatedColumnFormula>IF(ISBLANK(T14),"",T14*(100/$C$12))</calculatedColumnFormula>
    </tableColumn>
    <tableColumn id="17" xr3:uid="{712DAC62-D786-42C6-9A3E-DABE26A4042A}" name="2040" dataDxfId="776">
      <calculatedColumnFormula>IF(ISBLANK(U14),"",U14*(100/$C$12))</calculatedColumnFormula>
    </tableColumn>
    <tableColumn id="18" xr3:uid="{4C5C886D-1334-447F-9049-81C983FA8F80}" name="2045" dataDxfId="775">
      <calculatedColumnFormula>IF(ISBLANK(V14),"",V14*(100/$C$12))</calculatedColumnFormula>
    </tableColumn>
    <tableColumn id="19" xr3:uid="{499F5288-C510-44F6-91C0-695300CAD2AE}" name="2050" dataDxfId="774">
      <calculatedColumnFormula>IF(ISBLANK(W14),"",W14*(100/$C$12))</calculatedColumnFormula>
    </tableColumn>
    <tableColumn id="20" xr3:uid="{B8515D8B-A974-4C1E-8A64-D4CC77BCEE18}" name="Bemerkung"/>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5BB2B94-1ACC-49BB-B4B5-9C0B33D54069}" name="Kennwerte" displayName="Kennwerte" ref="E71:Z76" totalsRowShown="0">
  <autoFilter ref="E71:Z76" xr:uid="{BB848488-F149-41EB-A139-6826EB0F3737}"/>
  <tableColumns count="22">
    <tableColumn id="1" xr3:uid="{5D624968-2EA7-4E3D-95B4-C4C574910093}" name="Kennwerte"/>
    <tableColumn id="2" xr3:uid="{537E70E4-7BAA-4129-98FA-8D007678332B}" name="Einheit"/>
    <tableColumn id="3" xr3:uid="{F742B185-4DA3-4D48-AE7C-73435226B25C}" name="2015" dataDxfId="1259"/>
    <tableColumn id="4" xr3:uid="{66DF1B7E-344C-4E0A-9685-7E98A2362333}" name="2016" dataDxfId="1258"/>
    <tableColumn id="5" xr3:uid="{C3A16FA2-2024-45DE-8EAF-183804E8D79F}" name="2017" dataDxfId="1257"/>
    <tableColumn id="6" xr3:uid="{E32FBE47-46B0-498D-853F-A30E6B0E598D}" name="2018" dataDxfId="1256"/>
    <tableColumn id="7" xr3:uid="{A856D4E3-036C-4869-AD26-E0EE779DADF6}" name="2019" dataDxfId="1255"/>
    <tableColumn id="8" xr3:uid="{2F05C9CD-00FF-4F41-9B32-5CA48729CA58}" name="2020" dataDxfId="1254"/>
    <tableColumn id="9" xr3:uid="{8DB4148B-2EF0-490D-9DBC-7C03B16A3C91}" name="2021" dataDxfId="1253"/>
    <tableColumn id="10" xr3:uid="{DE33BDA1-59C1-416C-A82B-02C0CECE8755}" name="2022" dataDxfId="1252"/>
    <tableColumn id="11" xr3:uid="{29AB123D-0FAE-403D-8913-F08412734DAB}" name="2023" dataDxfId="1251"/>
    <tableColumn id="12" xr3:uid="{E2CFA0A0-F3A7-427F-A4B0-9B821F69B67A}" name="2024" dataDxfId="1250"/>
    <tableColumn id="13" xr3:uid="{5E1A2657-B2BE-4F91-9E17-833D371B7893}" name="2025" dataDxfId="1249"/>
    <tableColumn id="14" xr3:uid="{FD317055-2650-4B99-986D-3556047919D5}" name="2026" dataDxfId="1248"/>
    <tableColumn id="20" xr3:uid="{D4861496-ACA4-40FC-A29B-63399B8412F7}" name="2027" dataDxfId="1247"/>
    <tableColumn id="21" xr3:uid="{12F677CD-A081-40DB-B0CB-878D431E02B9}" name="2028" dataDxfId="1246"/>
    <tableColumn id="22" xr3:uid="{BFA3FD5C-0643-4CD0-99BC-09EC436E74E2}" name="2029" dataDxfId="1245"/>
    <tableColumn id="15" xr3:uid="{7A89F6DA-CE57-49AA-A5FE-EBDB41A78CFC}" name="2030" dataDxfId="1244"/>
    <tableColumn id="16" xr3:uid="{9628E3BE-B30F-419E-9D5C-4CDD8EDAC283}" name="2035" dataDxfId="1243"/>
    <tableColumn id="17" xr3:uid="{D9E24CF4-59AE-432D-A13E-A5ACE1E94406}" name="2040" dataDxfId="1242"/>
    <tableColumn id="18" xr3:uid="{E80CD585-BA96-48EA-BDC6-431B248E6479}" name="2045" dataDxfId="1241"/>
    <tableColumn id="19" xr3:uid="{B56C04E3-CCF7-45F4-BAF0-9628DABF1E93}" name="2050" dataDxfId="1240"/>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6E200AF-21A3-4FB5-972E-EDECC43B935E}" name="Prozentuale_Aufteilung_Bundesstrommix" displayName="Prozentuale_Aufteilung_Bundesstrommix" ref="B100:V116" totalsRowShown="0">
  <autoFilter ref="B100:V116" xr:uid="{7B247686-0678-40F9-8DA1-26386311F167}"/>
  <tableColumns count="21">
    <tableColumn id="1" xr3:uid="{62D70AE7-1559-460F-B057-E6DF9DDBD4D6}" name="Lieferant"/>
    <tableColumn id="4" xr3:uid="{E5C959C5-4E5D-4209-A066-4ECE9398C910}" name="2015" dataCellStyle="Prozent"/>
    <tableColumn id="2" xr3:uid="{7FB8D760-87D4-4E14-9AE3-250EC0F949DE}" name="2016" dataDxfId="771" dataCellStyle="Prozent"/>
    <tableColumn id="3" xr3:uid="{9A9B48E5-246D-4AEB-B2D1-846F5F703A00}" name="2017" dataDxfId="770" dataCellStyle="Prozent"/>
    <tableColumn id="6" xr3:uid="{79E0B95A-C374-4716-9C76-41447F81FD7A}" name="2018" dataDxfId="769" dataCellStyle="Prozent"/>
    <tableColumn id="5" xr3:uid="{D1737F5E-550B-4383-8495-B659071C3D8A}" name="2019" dataCellStyle="Prozent"/>
    <tableColumn id="7" xr3:uid="{DE214DA0-3CDD-4ADF-860D-8CFA45C33526}" name="2020" dataCellStyle="Prozent"/>
    <tableColumn id="8" xr3:uid="{493865FB-9783-4190-A178-95ED60F442A4}" name="2021" dataDxfId="768" dataCellStyle="Prozent"/>
    <tableColumn id="9" xr3:uid="{2ED83205-6859-462C-9245-C48C49598DF6}" name="2022" dataCellStyle="Prozent">
      <calculatedColumnFormula>Prozentuale_Aufteilung_Bundesstrommix[[#This Row],[2021]]</calculatedColumnFormula>
    </tableColumn>
    <tableColumn id="10" xr3:uid="{3B1455C8-4BE5-457A-8360-726DF58371F9}" name="2023" dataCellStyle="Prozent">
      <calculatedColumnFormula>Prozentuale_Aufteilung_Bundesstrommix[[#This Row],[2022]]</calculatedColumnFormula>
    </tableColumn>
    <tableColumn id="11" xr3:uid="{9EFE08BD-DC5E-4550-B403-74AD97F22175}" name="2024" dataCellStyle="Prozent">
      <calculatedColumnFormula>Prozentuale_Aufteilung_Bundesstrommix[[#This Row],[2023]]</calculatedColumnFormula>
    </tableColumn>
    <tableColumn id="12" xr3:uid="{04C2B75B-E460-415D-8CCC-E193F880C356}" name="2025" dataCellStyle="Prozent">
      <calculatedColumnFormula>Prozentuale_Aufteilung_Bundesstrommix[[#This Row],[2024]]</calculatedColumnFormula>
    </tableColumn>
    <tableColumn id="13" xr3:uid="{3391B3B0-B01F-4969-9088-344DD720B1A1}" name="2026" dataCellStyle="Prozent">
      <calculatedColumnFormula>Prozentuale_Aufteilung_Bundesstrommix[[#This Row],[2025]]</calculatedColumnFormula>
    </tableColumn>
    <tableColumn id="19" xr3:uid="{6E6E9B07-70C8-4919-9B05-3AE576960C84}" name="2027" dataDxfId="767" dataCellStyle="Prozent"/>
    <tableColumn id="20" xr3:uid="{582FDB89-CAFC-42B0-9015-6F0FFEDAD2BD}" name="2028" dataDxfId="766" dataCellStyle="Prozent"/>
    <tableColumn id="21" xr3:uid="{F6CBA800-3D70-4EFA-AE66-C0C0BE5AE35D}" name="2029" dataDxfId="765" dataCellStyle="Prozent"/>
    <tableColumn id="14" xr3:uid="{C2B63E97-0662-4C1A-BB42-F6F47CD8981A}" name="2030" dataCellStyle="Prozent"/>
    <tableColumn id="15" xr3:uid="{5C4A2861-D2A6-42B4-9CA9-AEB78F76B044}" name="2035" dataCellStyle="Prozent"/>
    <tableColumn id="16" xr3:uid="{1D4D2F75-4EC2-44D9-BB7C-FE2304FDBCEF}" name="2040" dataCellStyle="Prozent"/>
    <tableColumn id="17" xr3:uid="{821CFBA5-47DD-4FFC-9468-88F921D067CE}" name="2045" dataCellStyle="Prozent"/>
    <tableColumn id="18" xr3:uid="{5A3B9662-1573-401F-9BB2-2827C4B556B1}" name="2050" dataCellStyle="Prozen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8FAE78-FBC5-4899-BBE7-42179BB4785B}" name="EF_Tarif6" displayName="EF_Tarif6" ref="B81:V87" totalsRowCount="1">
  <autoFilter ref="B81:V86" xr:uid="{53C4DD24-5906-4560-BFE4-DF9C9D9BD6A1}"/>
  <tableColumns count="21">
    <tableColumn id="1" xr3:uid="{669B4CD1-6613-46DF-90B9-49F79A8C0DDF}" name="Stromerzeugung" totalsRowLabel="Erechneter Emissionsfaktor" totalsRowDxfId="764"/>
    <tableColumn id="2" xr3:uid="{4EE7FBA8-9A3A-4812-A269-AF4136E23EB1}" name="2015" totalsRowFunction="custom" dataDxfId="763" totalsRowDxfId="762" dataCellStyle="Prozent">
      <totalsRowFormula>(C82*C93)+(C83*C94)+(C84*C95)+(C85*C96)+(C86*C97)</totalsRowFormula>
    </tableColumn>
    <tableColumn id="3" xr3:uid="{8EBAFD06-E010-4D93-86F8-B5A8228DA2D9}" name="2016" totalsRowFunction="custom" dataDxfId="761" totalsRowDxfId="760">
      <totalsRowFormula>(D82*D93)+(D83*D94)+(D84*D95)+(D85*D96)+(D86*D97)</totalsRowFormula>
    </tableColumn>
    <tableColumn id="4" xr3:uid="{973132D7-9F77-4CD4-ACD9-13ED7037658D}" name="2017" totalsRowFunction="custom" dataDxfId="759" totalsRowDxfId="758">
      <totalsRowFormula>(E82*E93)+(E83*E94)+(E84*E95)+(E85*E96)+(E86*E97)</totalsRowFormula>
    </tableColumn>
    <tableColumn id="5" xr3:uid="{E9458338-75AC-4B2D-9432-95ADAA9F11C7}" name="2018" totalsRowFunction="custom" dataDxfId="757" totalsRowDxfId="756">
      <totalsRowFormula>(F82*F93)+(F83*F94)+(F84*F95)+(F85*F96)+(F86*F97)</totalsRowFormula>
    </tableColumn>
    <tableColumn id="6" xr3:uid="{9684C349-55E7-468C-A71E-3C0818F7389E}" name="2019" totalsRowFunction="custom" dataDxfId="755" totalsRowDxfId="754">
      <totalsRowFormula>(G82*G93)+(G83*G94)+(G84*G95)+(G85*G96)+(G86*G97)</totalsRowFormula>
    </tableColumn>
    <tableColumn id="7" xr3:uid="{CEDBCC75-BE1F-45F9-9739-C607B9EC59D9}" name="2020" totalsRowFunction="custom" dataDxfId="753" totalsRowDxfId="752">
      <totalsRowFormula>(H82*H93)+(H83*H94)+(H84*H95)+(H85*H96)+(H86*H97)</totalsRowFormula>
    </tableColumn>
    <tableColumn id="8" xr3:uid="{C85B2A09-B051-4A2B-838D-BA963C62CB96}" name="2021" totalsRowFunction="custom" dataDxfId="751" totalsRowDxfId="750" dataCellStyle="Prozent">
      <totalsRowFormula>(I82*I93)+(I83*I94)+(I84*I95)+(I85*I96)+(I86*I97)</totalsRowFormula>
    </tableColumn>
    <tableColumn id="9" xr3:uid="{9B3828EC-CDC9-4C3A-A759-2A6C367898FD}" name="2022" totalsRowFunction="custom" dataDxfId="749" totalsRowDxfId="748">
      <totalsRowFormula>IF(Refsz_Verbräuche[[#Headers],[2022]]=Startseite!$D$68,
    IF(AND(COUNT($C87:EF_Tarif6[[#Totals],[2021]])&gt;0,
             SUM($C87:EF_Tarif6[[#Totals],[2021]])&gt;0),
        AVERAGEIF($C87:EF_Tarif6[[#Totals],[2021]],"&gt;0"),
        0),
    IF(Startseite!$D$68=(Refsz_Verbräuche[[#Headers],[2022]]-1),
        EF_Tarif6[[#Totals],[2021]],
        IF(Startseite!$D$68&lt;Refsz_Verbräuche[[#Headers],[2022]],
            EF_Tarif6[[#Totals],[2021]],
    (J82*J93)+(J83*J94)+(J84*J95)+(J85*J96)+(J86*J97)
        )
    )
)</totalsRowFormula>
    </tableColumn>
    <tableColumn id="10" xr3:uid="{576F01EF-441D-4F69-9115-8BEF560BA74C}" name="2023" totalsRowFunction="custom" dataDxfId="747" totalsRowDxfId="746">
      <totalsRowFormula>IF(Refsz_Verbräuche[[#Headers],[2023]]=Startseite!$D$68,
    IF(AND(COUNT($C87:EF_Tarif6[[#Totals],[2022]])&gt;0,
             SUM($C87:EF_Tarif6[[#Totals],[2022]])&gt;0),
        AVERAGEIF($C87:EF_Tarif6[[#Totals],[2022]],"&gt;0"),
        0),
    IF(Startseite!$D$68=(Refsz_Verbräuche[[#Headers],[2023]]-1),
        EF_Tarif6[[#Totals],[2022]],
        IF(Startseite!$D$68&lt;Refsz_Verbräuche[[#Headers],[2023]],
            EF_Tarif6[[#Totals],[2022]],
    (K82*K93)+(K83*K94)+(K84*K95)+(K85*K96)+(K86*K97)
        )
    )
)</totalsRowFormula>
    </tableColumn>
    <tableColumn id="11" xr3:uid="{68D1BFA4-1F45-4F2B-9F05-0036C3F670BA}" name="2024" totalsRowFunction="custom" dataDxfId="745" totalsRowDxfId="744">
      <totalsRowFormula>IF(Refsz_Verbräuche[[#Headers],[2024]]=Startseite!$D$68,
    IF(AND(COUNT($C87:EF_Tarif6[[#Totals],[2023]])&gt;0,
             SUM($C87:EF_Tarif6[[#Totals],[2023]])&gt;0),
        AVERAGEIF($C87:EF_Tarif6[[#Totals],[2023]],"&gt;0"),
        0),
    IF(Startseite!$D$68=(Refsz_Verbräuche[[#Headers],[2024]]-1),
        EF_Tarif6[[#Totals],[2023]],
        IF(Startseite!$D$68&lt;Refsz_Verbräuche[[#Headers],[2024]],
            EF_Tarif6[[#Totals],[2023]],
    (L82*L93)+(L83*L94)+(L84*L95)+(L85*L96)+(L86*L97)
        )
    )
)</totalsRowFormula>
    </tableColumn>
    <tableColumn id="12" xr3:uid="{1BD3FB08-84BD-4AC0-A811-300CF2F7B8FB}" name="2025" totalsRowFunction="custom" dataDxfId="743" totalsRowDxfId="742">
      <totalsRowFormula>IF(Refsz_Verbräuche[[#Headers],[2025]]=Startseite!$D$68,
    IF(AND(COUNT($C87:EF_Tarif6[[#Totals],[2024]])&gt;0,
             SUM($C87:EF_Tarif6[[#Totals],[2024]])&gt;0),
        AVERAGEIF($C87:EF_Tarif6[[#Totals],[2024]],"&gt;0"),
        0),
    IF(Startseite!$D$68=(Refsz_Verbräuche[[#Headers],[2025]]-1),
        EF_Tarif6[[#Totals],[2024]],
        IF(Startseite!$D$68&lt;Refsz_Verbräuche[[#Headers],[2025]],
            EF_Tarif6[[#Totals],[2024]],
    (M82*M93)+(M83*M94)+(M84*M95)+(M85*M96)+(M86*M97)
        )
    )
)</totalsRowFormula>
    </tableColumn>
    <tableColumn id="13" xr3:uid="{7DB6362A-77F3-4721-B9A6-B87A1CF2B545}" name="2026" totalsRowFunction="custom" dataDxfId="741" totalsRowDxfId="740">
      <totalsRowFormula>IF(Refsz_Verbräuche[[#Headers],[2026]]=Startseite!$D$68,
    IF(AND(COUNT($C87:EF_Tarif6[[#Totals],[2025]])&gt;0,
             SUM($C87:EF_Tarif6[[#Totals],[2025]])&gt;0),
        AVERAGEIF($C87:EF_Tarif6[[#Totals],[2025]],"&gt;0"),
        0),
    IF(Startseite!$D$68=(Refsz_Verbräuche[[#Headers],[2026]]-1),
        EF_Tarif6[[#Totals],[2025]],
        IF(Startseite!$D$68&lt;Refsz_Verbräuche[[#Headers],[2026]],
            EF_Tarif6[[#Totals],[2025]],
    (N82*N93)+(N83*N94)+(N84*N95)+(N85*N96)+(N86*N97)
        )
    )
)</totalsRowFormula>
    </tableColumn>
    <tableColumn id="19" xr3:uid="{86081876-1F32-4DCD-8D21-88C638DEB80B}" name="2027" totalsRowFunction="custom" dataDxfId="739" totalsRowDxfId="738" dataCellStyle="Prozent">
      <totalsRowFormula>IF(Refsz_Verbräuche[[#Headers],[2027]]=Startseite!$D$68,
    IF(AND(COUNT($C87:EF_Tarif6[[#Totals],[2026]])&gt;0,
             SUM($C87:EF_Tarif6[[#Totals],[2026]])&gt;0),
        AVERAGEIF($C87:EF_Tarif6[[#Totals],[2026]],"&gt;0"),
        0),
    IF(Startseite!$D$68=(Refsz_Verbräuche[[#Headers],[2027]]-1),
        EF_Tarif6[[#Totals],[2026]],
        IF(Startseite!$D$68&lt;Refsz_Verbräuche[[#Headers],[2027]],
            EF_Tarif6[[#Totals],[2026]],
    (O82*O93)+(O83*O94)+(O84*O95)+(O85*O96)+(O86*O97)
        )
    )
)</totalsRowFormula>
    </tableColumn>
    <tableColumn id="20" xr3:uid="{AB7FC4FA-C698-4752-BEE7-30E18DD50D38}" name="2028" totalsRowFunction="custom" dataDxfId="737" totalsRowDxfId="736" dataCellStyle="Prozent">
      <totalsRowFormula>IF(Refsz_Verbräuche[[#Headers],[2028]]=Startseite!$D$68,
    IF(AND(COUNT($C87:EF_Tarif6[[#Totals],[2027]])&gt;0,
             SUM($C87:EF_Tarif6[[#Totals],[2027]])&gt;0),
        AVERAGEIF($C87:EF_Tarif6[[#Totals],[2027]],"&gt;0"),
        0),
    IF(Startseite!$D$68=(Refsz_Verbräuche[[#Headers],[2028]]-1),
        EF_Tarif6[[#Totals],[2027]],
        IF(Startseite!$D$68&lt;Refsz_Verbräuche[[#Headers],[2028]],
            EF_Tarif6[[#Totals],[2027]],
    (P82*P93)+(P83*P94)+(P84*P95)+(P85*P96)+(P86*P97)
        )
    )
)</totalsRowFormula>
    </tableColumn>
    <tableColumn id="21" xr3:uid="{1B2D1D1C-D4D5-4396-863F-3AC8CB486D23}" name="2029" totalsRowFunction="custom" dataDxfId="735" totalsRowDxfId="734" dataCellStyle="Prozent">
      <totalsRowFormula>IF(Refsz_Verbräuche[[#Headers],[2029]]=Startseite!$D$68,
    IF(AND(COUNT($C87:EF_Tarif6[[#Totals],[2028]])&gt;0,
             SUM($C87:EF_Tarif6[[#Totals],[2028]])&gt;0),
        AVERAGEIF($C87:EF_Tarif6[[#Totals],[2028]],"&gt;0"),
        0),
    IF(Startseite!$D$68=(Refsz_Verbräuche[[#Headers],[2029]]-1),
        EF_Tarif6[[#Totals],[2028]],
        IF(Startseite!$D$68&lt;Refsz_Verbräuche[[#Headers],[2029]],
            EF_Tarif6[[#Totals],[2028]],
    (Q82*Q93)+(Q83*Q94)+(Q84*Q95)+(Q85*Q96)+(Q86*Q97)
        )
    )
)</totalsRowFormula>
    </tableColumn>
    <tableColumn id="14" xr3:uid="{CFCACD37-3254-41D9-9BEF-A5B0261C2563}" name="2030" totalsRowFunction="custom" dataDxfId="733" totalsRowDxfId="732">
      <totalsRowFormula>IF(Refsz_Verbräuche[[#Headers],[2030]]=Startseite!$D$68,
    IF(AND(COUNT($C87:EF_Tarif6[[#Totals],[2029]])&gt;0,
             SUM($C87:EF_Tarif6[[#Totals],[2029]])&gt;0),
        AVERAGEIF($C87:EF_Tarif6[[#Totals],[2029]],"&gt;0"),
        0),
    IF(Startseite!$D$68=(Refsz_Verbräuche[[#Headers],[2030]]-1),
        EF_Tarif6[[#Totals],[2029]],
        IF(Startseite!$D$68&lt;Refsz_Verbräuche[[#Headers],[2030]],
            EF_Tarif6[[#Totals],[2029]],
    (R82*R93)+(R83*R94)+(R84*R95)+(R85*R96)+(R86*R97)
        )
    )
)</totalsRowFormula>
    </tableColumn>
    <tableColumn id="15" xr3:uid="{D36DA267-DA46-48E5-B005-EAD65980343D}" name="2035" totalsRowFunction="custom" dataDxfId="731" totalsRowDxfId="730">
      <totalsRowFormula>IF(Refsz_Verbräuche[[#Headers],[2035]]=Startseite!$D$68,
    IF(AND(COUNT($C87:EF_Tarif6[[#Totals],[2030]])&gt;0,
             SUM($C87:EF_Tarif6[[#Totals],[2030]])&gt;0),
        AVERAGEIF($C87:EF_Tarif6[[#Totals],[2030]],"&gt;0"),
        0),
    IF(Startseite!$D$68=(Refsz_Verbräuche[[#Headers],[2035]]-1),
        EF_Tarif6[[#Totals],[2030]],
        IF(Startseite!$D$68&lt;Refsz_Verbräuche[[#Headers],[2035]],
            EF_Tarif6[[#Totals],[2030]],
    (S82*S93)+(S83*S94)+(S84*S95)+(S85*S96)+(S86*S97)
        )
    )
)</totalsRowFormula>
    </tableColumn>
    <tableColumn id="16" xr3:uid="{C3788DBD-BC84-4961-9255-D284E04F4471}" name="2040" totalsRowFunction="custom" dataDxfId="729" totalsRowDxfId="728">
      <totalsRowFormula>IF(Refsz_Verbräuche[[#Headers],[2040]]=Startseite!$D$68,
    IF(AND(COUNT($C87:EF_Tarif6[[#Totals],[2035]])&gt;0,
             SUM($C87:EF_Tarif6[[#Totals],[2035]])&gt;0),
        AVERAGEIF($C87:EF_Tarif6[[#Totals],[2035]],"&gt;0"),
        0),
    IF(Startseite!$D$68=(Refsz_Verbräuche[[#Headers],[2040]]-1),
        EF_Tarif6[[#Totals],[2035]],
        IF(Startseite!$D$68&lt;Refsz_Verbräuche[[#Headers],[2040]],
            EF_Tarif6[[#Totals],[2035]],
    (T82*T93)+(T83*T94)+(T84*T95)+(T85*T96)+(T86*T97)
        )
    )
)</totalsRowFormula>
    </tableColumn>
    <tableColumn id="17" xr3:uid="{7CCA2767-E4D1-472B-A30C-319E4C8DB37B}" name="2045" totalsRowFunction="custom" dataDxfId="727" totalsRowDxfId="726">
      <totalsRowFormula>IF(Refsz_Verbräuche[[#Headers],[2045]]=Startseite!$D$68,
    IF(AND(COUNT($C87:EF_Tarif6[[#Totals],[2040]])&gt;0,
             SUM($C87:EF_Tarif6[[#Totals],[2040]])&gt;0),
        AVERAGEIF($C87:EF_Tarif6[[#Totals],[2040]],"&gt;0"),
        0),
    IF(Startseite!$D$68=(Refsz_Verbräuche[[#Headers],[2045]]-1),
        EF_Tarif6[[#Totals],[2040]],
        IF(Startseite!$D$68&lt;Refsz_Verbräuche[[#Headers],[2045]],
            EF_Tarif6[[#Totals],[2040]],
    (U82*U93)+(U83*U94)+(U84*U95)+(U85*U96)+(U86*U97)
        )
    )
)</totalsRowFormula>
    </tableColumn>
    <tableColumn id="18" xr3:uid="{19E770CE-39A5-4095-B7CD-4DB17AA1D38E}" name="2050" totalsRowFunction="custom" dataDxfId="725" totalsRowDxfId="724">
      <totalsRowFormula>IF(Refsz_Verbräuche[[#Headers],[2050]]=Startseite!$D$68,
    IF(AND(COUNT($C87:EF_Tarif6[[#Totals],[2045]])&gt;0,
             SUM($C87:EF_Tarif6[[#Totals],[2045]])&gt;0),
        AVERAGEIF($C87:EF_Tarif6[[#Totals],[2045]],"&gt;0"),
        0),
    IF(Startseite!$D$68=(Refsz_Verbräuche[[#Headers],[2050]]-1),
        EF_Tarif6[[#Totals],[2045]],
        IF(Startseite!$D$68&lt;Refsz_Verbräuche[[#Headers],[2050]],
            EF_Tarif6[[#Totals],[2045]],
    (V82*V93)+(V83*V94)+(V84*V95)+(V85*V96)+(V86*V97)
        )
    )
)</totalsRow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A67309D-4A3E-443B-86D1-99004ADF357A}" name="EF_der_Energieträger_Bundesstrommix" displayName="EF_der_Energieträger_Bundesstrommix" ref="B92:W97" totalsRowShown="0" tableBorderDxfId="723">
  <autoFilter ref="B92:W97" xr:uid="{E3C5755F-254E-4983-8229-21F22A957AC3}"/>
  <tableColumns count="22">
    <tableColumn id="1" xr3:uid="{FBEA3296-4E77-4B9D-A2FD-145BD8AF773E}" name="Stromerzeugung" dataDxfId="722"/>
    <tableColumn id="2" xr3:uid="{D0A01E40-58C6-41CB-A061-256441AB8C7F}" name="2015" dataCellStyle="Standard"/>
    <tableColumn id="3" xr3:uid="{46AFB9F1-E52D-4584-B6FE-215E08C2A4A9}" name="2016"/>
    <tableColumn id="4" xr3:uid="{E4B545E8-4D78-4939-A6A8-95D63E8A8B97}" name="2017"/>
    <tableColumn id="5" xr3:uid="{A283C662-C315-43A1-A61B-6F8C16AA59A2}" name="2018"/>
    <tableColumn id="6" xr3:uid="{939D72E9-E265-494B-91AD-86DDC2DDA821}" name="2019"/>
    <tableColumn id="7" xr3:uid="{8E73897A-9652-4F2E-9247-B369DB9AB129}" name="2020" dataCellStyle="Standard"/>
    <tableColumn id="8" xr3:uid="{11C49C45-0E85-44D4-88B7-551159532774}" name="2021"/>
    <tableColumn id="9" xr3:uid="{7EE1C1A5-DE48-4D50-A767-B040121D1261}" name="2022"/>
    <tableColumn id="10" xr3:uid="{DC877431-1D36-4CD2-8E09-F99CEB672CE7}" name="2023"/>
    <tableColumn id="11" xr3:uid="{848118F3-BC3B-4707-8CF8-819AA91BCC7D}" name="2024"/>
    <tableColumn id="12" xr3:uid="{A6480865-EB11-4B62-8CAF-A0B30E65AB8A}" name="2025"/>
    <tableColumn id="13" xr3:uid="{2C297C98-9D91-4E04-BDE0-DE5AF7F18798}" name="2026"/>
    <tableColumn id="20" xr3:uid="{3B102AA0-D01D-4E7C-BA5D-3D2D6D440C11}" name="2027" dataDxfId="721"/>
    <tableColumn id="21" xr3:uid="{06648E7B-3428-4183-B16D-8347A229993C}" name="2028" dataDxfId="720"/>
    <tableColumn id="22" xr3:uid="{A26E999C-8929-4CAF-9A5F-05667EC09312}" name="2029" dataDxfId="719"/>
    <tableColumn id="14" xr3:uid="{1A38C0F2-FC5F-4D35-A0F3-0256F4D83F54}" name="2030"/>
    <tableColumn id="15" xr3:uid="{B35215E3-3502-4A4C-9086-20977E95435F}" name="2035"/>
    <tableColumn id="16" xr3:uid="{499A6384-A691-4D43-B3CE-067D9DB4285C}" name="2040"/>
    <tableColumn id="17" xr3:uid="{752EE837-FEA2-49F6-882D-E791324AA470}" name="2045"/>
    <tableColumn id="18" xr3:uid="{FAC449C4-E967-4A0E-A64F-AF38939D8155}" name="2050"/>
    <tableColumn id="19" xr3:uid="{605DD7D2-771C-4565-ADCD-64DF3624C375}" name="Quelle" dataDxfId="71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23AF38C-98E7-4C26-A1DC-633E2B9BC1DB}" name="EF_Bundesstrommix_Gemis" displayName="EF_Bundesstrommix_Gemis" ref="B120:W136" totalsRowShown="0">
  <autoFilter ref="B120:W136" xr:uid="{86000DBB-8AC9-4E6F-AA34-2F39ACFA4B1A}"/>
  <tableColumns count="22">
    <tableColumn id="1" xr3:uid="{68BC9B47-EF3A-48CB-A9DF-35D346A849C6}" name="Datensatzname (Gemis V. 5.1)"/>
    <tableColumn id="2" xr3:uid="{415777D7-9F2D-4951-B2D5-981962433E87}" name="2015"/>
    <tableColumn id="3" xr3:uid="{BE9ABF54-085C-49EC-8BF4-96AA3A1D3DEA}" name="2016">
      <calculatedColumnFormula>EF_Bundesstrommix_Gemis[[#This Row],[2015]]</calculatedColumnFormula>
    </tableColumn>
    <tableColumn id="4" xr3:uid="{FC44056A-99DE-415D-AEEE-9851101D39C4}" name="2017">
      <calculatedColumnFormula>EF_Bundesstrommix_Gemis[[#This Row],[2016]]</calculatedColumnFormula>
    </tableColumn>
    <tableColumn id="5" xr3:uid="{C4AB5AD9-AA4C-4DA0-88BF-7494D4A66D21}" name="2018">
      <calculatedColumnFormula>EF_Bundesstrommix_Gemis[[#This Row],[2017]]</calculatedColumnFormula>
    </tableColumn>
    <tableColumn id="6" xr3:uid="{982BCAFB-80BD-457B-8D9B-7D9304EB8A1E}" name="2019">
      <calculatedColumnFormula>EF_Bundesstrommix_Gemis[[#This Row],[2018]]</calculatedColumnFormula>
    </tableColumn>
    <tableColumn id="7" xr3:uid="{75B5C679-9607-4CDE-A086-F600ACC63C78}" name="2020">
      <calculatedColumnFormula>EF_Bundesstrommix_Gemis[[#This Row],[2019]]</calculatedColumnFormula>
    </tableColumn>
    <tableColumn id="8" xr3:uid="{E1B77519-2800-45F6-832C-D3B96B777271}" name="2021">
      <calculatedColumnFormula>EF_Bundesstrommix_Gemis[[#This Row],[2020]]</calculatedColumnFormula>
    </tableColumn>
    <tableColumn id="9" xr3:uid="{7ADC3E58-AECC-40DC-9D80-05C24F87109D}" name="2022">
      <calculatedColumnFormula>EF_Bundesstrommix_Gemis[[#This Row],[2021]]</calculatedColumnFormula>
    </tableColumn>
    <tableColumn id="10" xr3:uid="{4708918C-D423-4D37-827A-FDC519601F2F}" name="2023">
      <calculatedColumnFormula>EF_Bundesstrommix_Gemis[[#This Row],[2022]]</calculatedColumnFormula>
    </tableColumn>
    <tableColumn id="11" xr3:uid="{D6573C8E-BE9A-4FA7-8674-D15CDFCE7017}" name="2024">
      <calculatedColumnFormula>EF_Bundesstrommix_Gemis[[#This Row],[2023]]</calculatedColumnFormula>
    </tableColumn>
    <tableColumn id="12" xr3:uid="{6E30C498-BF09-4FD3-9442-58FC2066472B}" name="2025">
      <calculatedColumnFormula>EF_Bundesstrommix_Gemis[[#This Row],[2024]]</calculatedColumnFormula>
    </tableColumn>
    <tableColumn id="13" xr3:uid="{307BD076-F881-4874-B0A9-B84B09D90979}" name="2026">
      <calculatedColumnFormula>EF_Bundesstrommix_Gemis[[#This Row],[2025]]</calculatedColumnFormula>
    </tableColumn>
    <tableColumn id="20" xr3:uid="{FE068950-289E-4CC9-8386-76C0D904E314}" name="2027" dataDxfId="717">
      <calculatedColumnFormula>EF_Bundesstrommix_Gemis[[#This Row],[2025]]</calculatedColumnFormula>
    </tableColumn>
    <tableColumn id="21" xr3:uid="{56E30D43-0533-4069-8F81-497D54EDF443}" name="2028" dataDxfId="716">
      <calculatedColumnFormula>EF_Bundesstrommix_Gemis[[#This Row],[2025]]</calculatedColumnFormula>
    </tableColumn>
    <tableColumn id="22" xr3:uid="{EDEB539A-D901-4929-987F-D79BB02A5105}" name="2029" dataDxfId="715">
      <calculatedColumnFormula>EF_Bundesstrommix_Gemis[[#This Row],[2025]]</calculatedColumnFormula>
    </tableColumn>
    <tableColumn id="14" xr3:uid="{F8EBEF06-6454-4944-BA08-51A909D046A1}" name="2030">
      <calculatedColumnFormula>EF_Bundesstrommix_Gemis[[#This Row],[2026]]</calculatedColumnFormula>
    </tableColumn>
    <tableColumn id="15" xr3:uid="{89687A78-10AE-44EC-B2D7-09FCFC60BB2C}" name="2035">
      <calculatedColumnFormula>EF_Bundesstrommix_Gemis[[#This Row],[2030]]</calculatedColumnFormula>
    </tableColumn>
    <tableColumn id="16" xr3:uid="{D55A8FBF-05B5-4D55-B39C-4F517C37ED23}" name="2040">
      <calculatedColumnFormula>EF_Bundesstrommix_Gemis[[#This Row],[2035]]</calculatedColumnFormula>
    </tableColumn>
    <tableColumn id="17" xr3:uid="{13683071-E75A-47A7-97B3-6E917144BBF4}" name="2045">
      <calculatedColumnFormula>EF_Bundesstrommix_Gemis[[#This Row],[2040]]</calculatedColumnFormula>
    </tableColumn>
    <tableColumn id="18" xr3:uid="{ECF27594-7D66-4BBC-BB53-E1DB9C6E3BD7}" name="2050">
      <calculatedColumnFormula>EF_Bundesstrommix_Gemis[[#This Row],[2045]]</calculatedColumnFormula>
    </tableColumn>
    <tableColumn id="19" xr3:uid="{D05B9D9E-4332-4C7C-87EA-97E6AF343AB9}" name="Einordnung" dataDxfId="71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283765-3F3A-45CB-BCB8-963278CC5A9E}" name="EF_Tarif1" displayName="EF_Tarif1" ref="B31:V37" totalsRowCount="1">
  <autoFilter ref="B31:V36" xr:uid="{2F89EC25-86B4-446E-81BC-C4ECF1091D27}"/>
  <tableColumns count="21">
    <tableColumn id="1" xr3:uid="{2A4F3AFE-C41E-454D-B2F9-5944961F25B2}" name="Stromerzeugung" totalsRowLabel="Erechneter Emissionsfaktor" totalsRowDxfId="713"/>
    <tableColumn id="2" xr3:uid="{D63ADDBD-CB65-4C4C-B1E6-59BECBA4AD5A}" name="2015" totalsRowFunction="custom" dataDxfId="712" totalsRowDxfId="711" dataCellStyle="Prozent">
      <totalsRowFormula>(C32*C93)+(C33*C94)+(C34*C95)+(C35*C96)+(C36*C97)</totalsRowFormula>
    </tableColumn>
    <tableColumn id="3" xr3:uid="{9CA910ED-F2EE-491F-9CB6-D60954FBEEF3}" name="2016" totalsRowFunction="custom" dataDxfId="710" totalsRowDxfId="709" dataCellStyle="Prozent">
      <totalsRowFormula>(D32*D93)+(D33*D94)+(D34*D95)+(D35*D96)+(D36*D97)</totalsRowFormula>
    </tableColumn>
    <tableColumn id="4" xr3:uid="{325FE29F-6148-4417-81A6-C5B3BDB56D0D}" name="2017" totalsRowFunction="custom" dataDxfId="708" totalsRowDxfId="707" dataCellStyle="Prozent">
      <totalsRowFormula>(E32*E93)+(E33*E94)+(E34*E95)+(E35*E96)+(E36*E97)</totalsRowFormula>
    </tableColumn>
    <tableColumn id="5" xr3:uid="{57E75015-F945-40FC-B27D-B0F55D209FD9}" name="2018" totalsRowFunction="custom" dataDxfId="706" totalsRowDxfId="705" dataCellStyle="Prozent">
      <totalsRowFormula>(F32*F93)+(F33*F94)+(F34*F95)+(F35*F96)+(F36*F97)</totalsRowFormula>
    </tableColumn>
    <tableColumn id="6" xr3:uid="{777F1305-B9AE-4111-83C6-657540F6CE70}" name="2019" totalsRowFunction="custom" dataDxfId="704" totalsRowDxfId="703" dataCellStyle="Prozent">
      <totalsRowFormula>(G32*G93)+(G33*G94)+(G34*G95)+(G35*G96)+(G36*G97)</totalsRowFormula>
    </tableColumn>
    <tableColumn id="7" xr3:uid="{03DE2454-5EE5-46FA-9338-9E5C6D8D1965}" name="2020" totalsRowFunction="custom" dataDxfId="702" totalsRowDxfId="701" dataCellStyle="Prozent">
      <totalsRowFormula>(H32*H93)+(H33*H94)+(H34*H95)+(H35*H96)+(H36*H97)</totalsRowFormula>
    </tableColumn>
    <tableColumn id="8" xr3:uid="{EEC33CCF-D7B7-4B96-B586-5A9479868F5B}" name="2021" totalsRowFunction="custom" dataDxfId="700" totalsRowDxfId="699" dataCellStyle="Prozent">
      <totalsRowFormula>(I32*I93)+(I33*I94)+(I34*I95)+(I35*I96)+(I36*I97)</totalsRowFormula>
    </tableColumn>
    <tableColumn id="9" xr3:uid="{A76509EE-9470-46D4-8EF2-41F6172F44B8}" name="2022" totalsRowFunction="custom" dataDxfId="698" totalsRowDxfId="697" dataCellStyle="Prozent">
      <totalsRowFormula>IF(Refsz_Verbräuche[[#Headers],[2022]]=Startseite!$D$68,
    IF(AND(COUNT($C37:EF_Tarif1[[#Totals],[2021]])&gt;0,
             SUM($C37:EF_Tarif1[[#Totals],[2021]])&gt;0),
        AVERAGEIF($C37:EF_Tarif1[[#Totals],[2021]],"&gt;0"),
        0),
    IF(Startseite!$D$68=(Refsz_Verbräuche[[#Headers],[2022]]-1),
        EF_Tarif1[[#Totals],[2021]],
        IF(Startseite!$D$68&lt;Refsz_Verbräuche[[#Headers],[2022]],
            EF_Tarif1[[#Totals],[2021]],
           (J32*J93)+(J33*J94)+(J34*J95)+(J35*J96)+(J36*J97)
        )
    )
)</totalsRowFormula>
    </tableColumn>
    <tableColumn id="10" xr3:uid="{E933B5CF-C3B3-4CED-960A-2257DB4E1BDF}" name="2023" totalsRowFunction="custom" dataDxfId="696" totalsRowDxfId="695" dataCellStyle="Prozent">
      <totalsRowFormula>IF(Refsz_Verbräuche[[#Headers],[2023]]=Startseite!$D$68,
    IF(AND(COUNT($C37:EF_Tarif1[[#Totals],[2022]])&gt;0,
             SUM($C37:EF_Tarif1[[#Totals],[2022]])&gt;0),
        AVERAGEIF($C37:EF_Tarif1[[#Totals],[2022]],"&gt;0"),
        0),
    IF(Startseite!$D$68=(Refsz_Verbräuche[[#Headers],[2023]]-1),
        EF_Tarif1[[#Totals],[2022]],
        IF(Startseite!$D$68&lt;Refsz_Verbräuche[[#Headers],[2023]],
            EF_Tarif1[[#Totals],[2022]],
           (K32*K93)+(K33*K94)+(K34*K95)+(K35*K96)+(K36*K97)
        )
    )
)</totalsRowFormula>
    </tableColumn>
    <tableColumn id="11" xr3:uid="{1F62AB3B-9E14-405B-891A-3465E2E0FDAC}" name="2024" totalsRowFunction="custom" dataDxfId="694" totalsRowDxfId="693" dataCellStyle="Prozent">
      <totalsRowFormula>IF(Refsz_Verbräuche[[#Headers],[2024]]=Startseite!$D$68,
    IF(AND(COUNT($C37:EF_Tarif1[[#Totals],[2023]])&gt;0,
             SUM($C37:EF_Tarif1[[#Totals],[2023]])&gt;0),
        AVERAGEIF($C37:EF_Tarif1[[#Totals],[2023]],"&gt;0"),
        0),
    IF(Startseite!$D$68=(Refsz_Verbräuche[[#Headers],[2024]]-1),
        EF_Tarif1[[#Totals],[2023]],
        IF(Startseite!$D$68&lt;Refsz_Verbräuche[[#Headers],[2024]],
            EF_Tarif1[[#Totals],[2023]],
           (L32*L93)+(L33*L94)+(L34*L95)+(L35*L96)+(L36*L97)
        )
    )
)</totalsRowFormula>
    </tableColumn>
    <tableColumn id="12" xr3:uid="{895144AA-E893-41BE-8C37-70EC24CD1F76}" name="2025" totalsRowFunction="custom" dataDxfId="692" totalsRowDxfId="691" dataCellStyle="Prozent">
      <totalsRowFormula>IF(Refsz_Verbräuche[[#Headers],[2025]]=Startseite!$D$68,
    IF(AND(COUNT($C37:EF_Tarif1[[#Totals],[2024]])&gt;0,
             SUM($C37:EF_Tarif1[[#Totals],[2024]])&gt;0),
        AVERAGEIF($C37:EF_Tarif1[[#Totals],[2024]],"&gt;0"),
        0),
    IF(Startseite!$D$68=(Refsz_Verbräuche[[#Headers],[2025]]-1),
        EF_Tarif1[[#Totals],[2024]],
        IF(Startseite!$D$68&lt;Refsz_Verbräuche[[#Headers],[2025]],
            EF_Tarif1[[#Totals],[2024]],
           (M32*M93)+(M33*M94)+(M34*M95)+(M35*M96)+(M36*M97)
        )
    )
)</totalsRowFormula>
    </tableColumn>
    <tableColumn id="13" xr3:uid="{B4840039-660D-4F11-AC86-0221970B8F5C}" name="2026" totalsRowFunction="custom" dataDxfId="690" totalsRowDxfId="689" dataCellStyle="Prozent">
      <totalsRowFormula>IF(Refsz_Verbräuche[[#Headers],[2026]]=Startseite!$D$68,
    IF(AND(COUNT($C37:EF_Tarif1[[#Totals],[2025]])&gt;0,
             SUM($C37:EF_Tarif1[[#Totals],[2025]])&gt;0),
        AVERAGEIF($C37:EF_Tarif1[[#Totals],[2025]],"&gt;0"),
        0),
    IF(Startseite!$D$68=(Refsz_Verbräuche[[#Headers],[2026]]-1),
        EF_Tarif1[[#Totals],[2025]],
        IF(Startseite!$D$68&lt;Refsz_Verbräuche[[#Headers],[2026]],
            EF_Tarif1[[#Totals],[2025]],
           (N32*N93)+(N33*N94)+(N34*N95)+(N35*N96)+(N36*N97)
        )
    )
)</totalsRowFormula>
    </tableColumn>
    <tableColumn id="19" xr3:uid="{0945A484-D4D9-460D-9D88-2A7A6C34F0B7}" name="2027" totalsRowFunction="custom" dataDxfId="688" totalsRowDxfId="687" dataCellStyle="Prozent">
      <totalsRowFormula>IF(Refsz_Verbräuche[[#Headers],[2027]]=Startseite!$D$68,
    IF(AND(COUNT($C37:EF_Tarif1[[#Totals],[2026]])&gt;0,
             SUM($C37:EF_Tarif1[[#Totals],[2026]])&gt;0),
        AVERAGEIF($C37:EF_Tarif1[[#Totals],[2026]],"&gt;0"),
        0),
    IF(Startseite!$D$68=(Refsz_Verbräuche[[#Headers],[2027]]-1),
        EF_Tarif1[[#Totals],[2026]],
        IF(Startseite!$D$68&lt;Refsz_Verbräuche[[#Headers],[2027]],
            EF_Tarif1[[#Totals],[2026]],
           (O32*O93)+(O33*O94)+(O34*O95)+(O35*O96)+(O36*O97)
        )
    )
)</totalsRowFormula>
    </tableColumn>
    <tableColumn id="20" xr3:uid="{0C7F6D8C-5371-45F9-A4A3-519A13D9CDA6}" name="2028" totalsRowFunction="custom" dataDxfId="686" totalsRowDxfId="685" dataCellStyle="Prozent">
      <totalsRowFormula>IF(Refsz_Verbräuche[[#Headers],[2028]]=Startseite!$D$68,
    IF(AND(COUNT($C37:EF_Tarif1[[#Totals],[2027]])&gt;0,
             SUM($C37:EF_Tarif1[[#Totals],[2027]])&gt;0),
        AVERAGEIF($C37:EF_Tarif1[[#Totals],[2027]],"&gt;0"),
        0),
    IF(Startseite!$D$68=(Refsz_Verbräuche[[#Headers],[2028]]-1),
        EF_Tarif1[[#Totals],[2027]],
        IF(Startseite!$D$68&lt;Refsz_Verbräuche[[#Headers],[2028]],
            EF_Tarif1[[#Totals],[2027]],
           (P32*P93)+(P33*P94)+(P34*P95)+(P35*P96)+(P36*P97)
        )
    )
)</totalsRowFormula>
    </tableColumn>
    <tableColumn id="21" xr3:uid="{2BC8E3E7-657E-4983-AF23-07362B154664}" name="2029" totalsRowFunction="custom" dataDxfId="684" totalsRowDxfId="683" dataCellStyle="Prozent">
      <totalsRowFormula>IF(Refsz_Verbräuche[[#Headers],[2029]]=Startseite!$D$68,
    IF(AND(COUNT($C37:EF_Tarif1[[#Totals],[2028]])&gt;0,
             SUM($C37:EF_Tarif1[[#Totals],[2028]])&gt;0),
        AVERAGEIF($C37:EF_Tarif1[[#Totals],[2028]],"&gt;0"),
        0),
    IF(Startseite!$D$68=(Refsz_Verbräuche[[#Headers],[2029]]-1),
        EF_Tarif1[[#Totals],[2028]],
        IF(Startseite!$D$68&lt;Refsz_Verbräuche[[#Headers],[2029]],
            EF_Tarif1[[#Totals],[2028]],
           (Q32*Q93)+(Q33*Q94)+(Q34*Q95)+(Q35*Q96)+(Q36*Q97)
        )
    )
)</totalsRowFormula>
    </tableColumn>
    <tableColumn id="14" xr3:uid="{2AFEA1E0-659F-4AD1-A92C-797B0BC92ED9}" name="2030" totalsRowFunction="custom" dataDxfId="682" totalsRowDxfId="681" dataCellStyle="Prozent">
      <totalsRowFormula>IF(Refsz_Verbräuche[[#Headers],[2030]]=Startseite!$D$68,
    IF(AND(COUNT($C37:EF_Tarif1[[#Totals],[2029]])&gt;0,
             SUM($C37:EF_Tarif1[[#Totals],[2029]])&gt;0),
        AVERAGEIF($C37:EF_Tarif1[[#Totals],[2029]],"&gt;0"),
        0),
    IF(Startseite!$D$68=(Refsz_Verbräuche[[#Headers],[2030]]-1),
        EF_Tarif1[[#Totals],[2029]],
        IF(Startseite!$D$68&lt;Refsz_Verbräuche[[#Headers],[2030]],
            EF_Tarif1[[#Totals],[2029]],
           (R32*R93)+(R33*R94)+(R34*R95)+(R35*R96)+(R36*R97)
        )
    )
)</totalsRowFormula>
    </tableColumn>
    <tableColumn id="15" xr3:uid="{77882A9C-E3D3-49E1-92A8-60FAC3D860F6}" name="2035" totalsRowFunction="custom" dataDxfId="680" totalsRowDxfId="679" dataCellStyle="Prozent">
      <totalsRowFormula>IF(Refsz_Verbräuche[[#Headers],[2035]]=Startseite!$D$68,
    IF(AND(COUNT($C37:EF_Tarif1[[#Totals],[2030]])&gt;0,
             SUM($C37:EF_Tarif1[[#Totals],[2030]])&gt;0),
        AVERAGEIF($C37:EF_Tarif1[[#Totals],[2030]],"&gt;0"),
        0),
    IF(Startseite!$D$68=(Refsz_Verbräuche[[#Headers],[2035]]-1),
        EF_Tarif1[[#Totals],[2030]],
        IF(Startseite!$D$68&lt;Refsz_Verbräuche[[#Headers],[2035]],
            EF_Tarif1[[#Totals],[2030]],
           (S32*S93)+(S33*S94)+(S34*S95)+(S35*S96)+(S36*S97)
        )
    )
)</totalsRowFormula>
    </tableColumn>
    <tableColumn id="16" xr3:uid="{9AC2C8DB-B313-492B-B5D6-95512B8C224F}" name="2040" totalsRowFunction="custom" dataDxfId="678" totalsRowDxfId="677" dataCellStyle="Prozent">
      <totalsRowFormula>IF(Refsz_Verbräuche[[#Headers],[2040]]=Startseite!$D$68,
    IF(AND(COUNT($C37:EF_Tarif1[[#Totals],[2035]])&gt;0,
             SUM($C37:EF_Tarif1[[#Totals],[2035]])&gt;0),
        AVERAGEIF($C37:EF_Tarif1[[#Totals],[2035]],"&gt;0"),
        0),
    IF(Startseite!$D$68=(Refsz_Verbräuche[[#Headers],[2040]]-1),
        EF_Tarif1[[#Totals],[2035]],
        IF(Startseite!$D$68&lt;Refsz_Verbräuche[[#Headers],[2040]],
            EF_Tarif1[[#Totals],[2035]],
           (T32*T93)+(T33*T94)+(T34*T95)+(T35*T96)+(T36*T97)
        )
    )
)</totalsRowFormula>
    </tableColumn>
    <tableColumn id="17" xr3:uid="{4F00096D-4C7B-459B-8BD6-F14E7D94BE96}" name="2045" totalsRowFunction="custom" dataDxfId="676" totalsRowDxfId="675" dataCellStyle="Prozent">
      <totalsRowFormula>IF(Refsz_Verbräuche[[#Headers],[2045]]=Startseite!$D$68,
    IF(AND(COUNT($C37:EF_Tarif1[[#Totals],[2040]])&gt;0,
             SUM($C37:EF_Tarif1[[#Totals],[2040]])&gt;0),
        AVERAGEIF($C37:EF_Tarif1[[#Totals],[2040]],"&gt;0"),
        0),
    IF(Startseite!$D$68=(Refsz_Verbräuche[[#Headers],[2045]]-1),
        EF_Tarif1[[#Totals],[2040]],
        IF(Startseite!$D$68&lt;Refsz_Verbräuche[[#Headers],[2045]],
            EF_Tarif1[[#Totals],[2040]],
           (U32*U93)+(U33*U94)+(U34*U95)+(U35*U96)+(U36*U97)
        )
    )
)</totalsRowFormula>
    </tableColumn>
    <tableColumn id="18" xr3:uid="{FFA5B433-B5BD-489F-9DA3-E1B01D4BBD13}" name="2050" totalsRowFunction="custom" dataDxfId="674" totalsRowDxfId="673" dataCellStyle="Prozent">
      <totalsRowFormula>IF(Refsz_Verbräuche[[#Headers],[2050]]=Startseite!$D$68,
    IF(AND(COUNT($C37:EF_Tarif1[[#Totals],[2045]])&gt;0,
             SUM($C37:EF_Tarif1[[#Totals],[2045]])&gt;0),
        AVERAGEIF($C37:EF_Tarif1[[#Totals],[2045]],"&gt;0"),
        0),
    IF(Startseite!$D$68=(Refsz_Verbräuche[[#Headers],[2050]]-1),
        EF_Tarif1[[#Totals],[2045]],
        IF(Startseite!$D$68&lt;Refsz_Verbräuche[[#Headers],[2050]],
            EF_Tarif1[[#Totals],[2045]],
           (V32*V93)+(V33*V94)+(V34*V95)+(V35*V96)+(V36*V97)
        )
    )
)</totalsRow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BC3971C-8C7F-434B-9627-253584CA8166}" name="Einrichtungen_mit_Stromtarifen" displayName="Einrichtungen_mit_Stromtarifen" ref="B21:C27" totalsRowShown="0">
  <autoFilter ref="B21:C27" xr:uid="{EEECCE8C-BC90-4899-9C0B-A3123A3D8C6D}"/>
  <tableColumns count="2">
    <tableColumn id="1" xr3:uid="{C9C6A53B-4A42-4E73-89D0-C20895D681B6}" name="Name der Einrichtung" dataDxfId="672"/>
    <tableColumn id="2" xr3:uid="{6B5A0380-E592-46D3-A17E-8EB14FB79E19}" name="Tarif" dataDxfId="671"/>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C417450-D3F3-4586-99B9-6BC9F13AED0F}" name="EF_Tarif2" displayName="EF_Tarif2" ref="B41:V47" totalsRowCount="1">
  <autoFilter ref="B41:V46" xr:uid="{32F4217E-79C8-4271-92FB-0C3E957A40A1}"/>
  <tableColumns count="21">
    <tableColumn id="1" xr3:uid="{B24D3638-C5CE-421B-ADE6-7D3891A8850F}" name="Stromerzeugung" totalsRowLabel="Erechneter Emissionsfaktor" totalsRowDxfId="670"/>
    <tableColumn id="2" xr3:uid="{15D69814-D4C2-4532-8E80-E0715780E307}" name="2015" totalsRowFunction="custom" dataDxfId="669" totalsRowDxfId="668" dataCellStyle="Prozent">
      <totalsRowFormula>(C42*C93)+(C43*C94)+(C44*C95)+(C45*C96)+(C46*C97)</totalsRowFormula>
    </tableColumn>
    <tableColumn id="3" xr3:uid="{B7BA5BA2-9B88-4257-B953-8ECB05C54D3F}" name="2016" totalsRowFunction="custom" dataDxfId="667" totalsRowDxfId="666">
      <totalsRowFormula>(D42*D93)+(D43*D94)+(D44*D95)+(D45*D96)+(D46*D97)</totalsRowFormula>
    </tableColumn>
    <tableColumn id="4" xr3:uid="{8A537B77-BCB8-4823-8C93-1DDE07CD0B0D}" name="2017" totalsRowFunction="custom" dataDxfId="665" totalsRowDxfId="664">
      <totalsRowFormula>(E42*E93)+(E43*E94)+(E44*E95)+(E45*E96)+(E46*E97)</totalsRowFormula>
    </tableColumn>
    <tableColumn id="5" xr3:uid="{28B2D225-8D8F-4048-9EDE-7CD4A106C7C6}" name="2018" totalsRowFunction="custom" dataDxfId="663" totalsRowDxfId="662">
      <totalsRowFormula>(F42*F93)+(F43*F94)+(F44*F95)+(F45*F96)+(F46*F97)</totalsRowFormula>
    </tableColumn>
    <tableColumn id="6" xr3:uid="{9EE87A47-4732-4D6D-96AC-0134BB82E967}" name="2019" totalsRowFunction="custom" dataDxfId="661" totalsRowDxfId="660">
      <totalsRowFormula>(G42*G93)+(G43*G94)+(G44*G95)+(G45*G96)+(G46*G97)</totalsRowFormula>
    </tableColumn>
    <tableColumn id="7" xr3:uid="{0B40E99D-A67B-4DF4-A02B-6649ADD02831}" name="2020" totalsRowFunction="custom" dataDxfId="659" totalsRowDxfId="658">
      <totalsRowFormula>(H42*H93)+(H43*H94)+(H44*H95)+(H45*H96)+(H46*H97)</totalsRowFormula>
    </tableColumn>
    <tableColumn id="8" xr3:uid="{FBC84F27-A67D-440E-8197-E1534ED91D69}" name="2021" totalsRowFunction="custom" dataDxfId="657" totalsRowDxfId="656" dataCellStyle="Prozent">
      <totalsRowFormula>(I42*I93)+(I43*I94)+(I44*I95)+(I45*I96)+(I46*I97)</totalsRowFormula>
    </tableColumn>
    <tableColumn id="9" xr3:uid="{859BCA8A-F131-488E-A844-A54F0E1F5B3C}" name="2022" totalsRowFunction="custom" dataDxfId="655" totalsRowDxfId="654">
      <totalsRowFormula>IF(Refsz_Verbräuche[[#Headers],[2022]]=Startseite!$D$68,
    IF(AND(COUNT($C47:EF_Tarif2[[#Totals],[2021]])&gt;0,
             SUM($C47:EF_Tarif2[[#Totals],[2021]])&gt;0),
        AVERAGEIF($C47:EF_Tarif2[[#Totals],[2021]],"&gt;0"),
        0),
    IF(Startseite!$D$68=(Refsz_Verbräuche[[#Headers],[2022]]-1),
        EF_Tarif2[[#Totals],[2021]],
        IF(Startseite!$D$68&lt;Refsz_Verbräuche[[#Headers],[2022]],
            EF_Tarif2[[#Totals],[2021]],
           (I42*I93)+(I43*I94)+(I44*I95)+(I45*I96)+(I46*I97)
        )
    )
)</totalsRowFormula>
    </tableColumn>
    <tableColumn id="10" xr3:uid="{AC1B6554-77DA-46BE-AA30-D0F366FC251B}" name="2023" totalsRowFunction="custom" dataDxfId="653" totalsRowDxfId="652">
      <totalsRowFormula>IF(Refsz_Verbräuche[[#Headers],[2023]]=Startseite!$D$68,
    IF(AND(COUNT($C47:EF_Tarif2[[#Totals],[2022]])&gt;0,
             SUM($C47:EF_Tarif2[[#Totals],[2022]])&gt;0),
        AVERAGEIF($C47:EF_Tarif2[[#Totals],[2022]],"&gt;0"),
        0),
    IF(Startseite!$D$68=(Refsz_Verbräuche[[#Headers],[2023]]-1),
        EF_Tarif2[[#Totals],[2022]],
        IF(Startseite!$D$68&lt;Refsz_Verbräuche[[#Headers],[2023]],
            EF_Tarif2[[#Totals],[2022]],
           (J42*J93)+(J43*J94)+(J44*J95)+(J45*J96)+(J46*J97)
        )
    )
)</totalsRowFormula>
    </tableColumn>
    <tableColumn id="11" xr3:uid="{C7A8091E-A94A-4E61-AD55-11B335690DB2}" name="2024" totalsRowFunction="custom" dataDxfId="651" totalsRowDxfId="650">
      <totalsRowFormula>IF(Refsz_Verbräuche[[#Headers],[2024]]=Startseite!$D$68,
    IF(AND(COUNT($C47:EF_Tarif2[[#Totals],[2023]])&gt;0,
             SUM($C47:EF_Tarif2[[#Totals],[2023]])&gt;0),
        AVERAGEIF($C47:EF_Tarif2[[#Totals],[2023]],"&gt;0"),
        0),
    IF(Startseite!$D$68=(Refsz_Verbräuche[[#Headers],[2024]]-1),
        EF_Tarif2[[#Totals],[2023]],
        IF(Startseite!$D$68&lt;Refsz_Verbräuche[[#Headers],[2024]],
            EF_Tarif2[[#Totals],[2023]],
           (K42*K93)+(K43*K94)+(K44*K95)+(K45*K96)+(K46*K97)
        )
    )
)</totalsRowFormula>
    </tableColumn>
    <tableColumn id="12" xr3:uid="{925D2767-6BBF-4D30-85A5-9F9DFFB5F287}" name="2025" totalsRowFunction="custom" dataDxfId="649" totalsRowDxfId="648">
      <totalsRowFormula>IF(Refsz_Verbräuche[[#Headers],[2025]]=Startseite!$D$68,
    IF(AND(COUNT($C47:EF_Tarif2[[#Totals],[2024]])&gt;0,
             SUM($C47:EF_Tarif2[[#Totals],[2024]])&gt;0),
        AVERAGEIF($C47:EF_Tarif2[[#Totals],[2024]],"&gt;0"),
        0),
    IF(Startseite!$D$68=(Refsz_Verbräuche[[#Headers],[2025]]-1),
        EF_Tarif2[[#Totals],[2024]],
        IF(Startseite!$D$68&lt;Refsz_Verbräuche[[#Headers],[2025]],
            EF_Tarif2[[#Totals],[2024]],
           (L42*L93)+(L43*L94)+(L44*L95)+(L45*L96)+(L46*L97)
        )
    )
)</totalsRowFormula>
    </tableColumn>
    <tableColumn id="13" xr3:uid="{87D8CDE9-448F-4028-82B7-9B4F82558485}" name="2026" totalsRowFunction="custom" dataDxfId="647" totalsRowDxfId="646">
      <totalsRowFormula>IF(Refsz_Verbräuche[[#Headers],[2026]]=Startseite!$D$68,
    IF(AND(COUNT($C47:EF_Tarif2[[#Totals],[2025]])&gt;0,
             SUM($C47:EF_Tarif2[[#Totals],[2025]])&gt;0),
        AVERAGEIF($C47:EF_Tarif2[[#Totals],[2025]],"&gt;0"),
        0),
    IF(Startseite!$D$68=(Refsz_Verbräuche[[#Headers],[2026]]-1),
        EF_Tarif2[[#Totals],[2025]],
        IF(Startseite!$D$68&lt;Refsz_Verbräuche[[#Headers],[2026]],
            EF_Tarif2[[#Totals],[2025]],
           (M42*M93)+(M43*M94)+(M44*M95)+(M45*M96)+(M46*M97)
        )
    )
)</totalsRowFormula>
    </tableColumn>
    <tableColumn id="19" xr3:uid="{A0D4B975-8E4D-4F09-90E3-9026ED2F45E8}" name="2027" totalsRowFunction="custom" dataDxfId="645" totalsRowDxfId="644" dataCellStyle="Prozent">
      <totalsRowFormula>IF(Refsz_Verbräuche[[#Headers],[2027]]=Startseite!$D$68,
    IF(AND(COUNT($C47:EF_Tarif2[[#Totals],[2026]])&gt;0,
             SUM($C47:EF_Tarif2[[#Totals],[2026]])&gt;0),
        AVERAGEIF($C47:EF_Tarif2[[#Totals],[2026]],"&gt;0"),
        0),
    IF(Startseite!$D$68=(Refsz_Verbräuche[[#Headers],[2027]]-1),
        EF_Tarif2[[#Totals],[2026]],
        IF(Startseite!$D$68&lt;Refsz_Verbräuche[[#Headers],[2027]],
            EF_Tarif2[[#Totals],[2026]],
           (N42*N93)+(N43*N94)+(N44*N95)+(N45*N96)+(N46*N97)
        )
    )
)</totalsRowFormula>
    </tableColumn>
    <tableColumn id="20" xr3:uid="{90F5329A-5D27-4512-89E3-FD1AE6DD5A86}" name="2028" totalsRowFunction="custom" dataDxfId="643" totalsRowDxfId="642" dataCellStyle="Prozent">
      <totalsRowFormula>IF(Refsz_Verbräuche[[#Headers],[2028]]=Startseite!$D$68,
    IF(AND(COUNT($C47:EF_Tarif2[[#Totals],[2027]])&gt;0,
             SUM($C47:EF_Tarif2[[#Totals],[2027]])&gt;0),
        AVERAGEIF($C47:EF_Tarif2[[#Totals],[2027]],"&gt;0"),
        0),
    IF(Startseite!$D$68=(Refsz_Verbräuche[[#Headers],[2028]]-1),
        EF_Tarif2[[#Totals],[2027]],
        IF(Startseite!$D$68&lt;Refsz_Verbräuche[[#Headers],[2028]],
            EF_Tarif2[[#Totals],[2027]],
           (O42*O93)+(O43*O94)+(O44*O95)+(O45*O96)+(O46*O97)
        )
    )
)</totalsRowFormula>
    </tableColumn>
    <tableColumn id="21" xr3:uid="{A104BCA9-D36E-4B8C-BDAA-EAEC123A8A14}" name="2029" totalsRowFunction="custom" dataDxfId="641" totalsRowDxfId="640" dataCellStyle="Prozent">
      <totalsRowFormula>IF(Refsz_Verbräuche[[#Headers],[2029]]=Startseite!$D$68,
    IF(AND(COUNT($C47:EF_Tarif2[[#Totals],[2028]])&gt;0,
             SUM($C47:EF_Tarif2[[#Totals],[2028]])&gt;0),
        AVERAGEIF($C47:EF_Tarif2[[#Totals],[2028]],"&gt;0"),
        0),
    IF(Startseite!$D$68=(Refsz_Verbräuche[[#Headers],[2029]]-1),
        EF_Tarif2[[#Totals],[2028]],
        IF(Startseite!$D$68&lt;Refsz_Verbräuche[[#Headers],[2029]],
            EF_Tarif2[[#Totals],[2028]],
           (P42*P93)+(P43*P94)+(P44*P95)+(P45*P96)+(P46*P97)
        )
    )
)</totalsRowFormula>
    </tableColumn>
    <tableColumn id="14" xr3:uid="{A21F91B3-9EA3-452D-8F90-03E208722B57}" name="2030" totalsRowFunction="custom" dataDxfId="639" totalsRowDxfId="638">
      <totalsRowFormula>IF(Refsz_Verbräuche[[#Headers],[2030]]=Startseite!$D$68,
    IF(AND(COUNT($C47:EF_Tarif2[[#Totals],[2029]])&gt;0,
             SUM($C47:EF_Tarif2[[#Totals],[2029]])&gt;0),
        AVERAGEIF($C47:EF_Tarif2[[#Totals],[2029]],"&gt;0"),
        0),
    IF(Startseite!$D$68=(Refsz_Verbräuche[[#Headers],[2030]]-1),
        EF_Tarif2[[#Totals],[2029]],
        IF(Startseite!$D$68&lt;Refsz_Verbräuche[[#Headers],[2030]],
            EF_Tarif2[[#Totals],[2029]],
           (Q42*Q93)+(Q43*Q94)+(Q44*Q95)+(Q45*Q96)+(Q46*Q97)
        )
    )
)</totalsRowFormula>
    </tableColumn>
    <tableColumn id="15" xr3:uid="{7FE12B6F-659A-4CBE-BEE2-CCA9E5901EBF}" name="2035" totalsRowFunction="custom" dataDxfId="637" totalsRowDxfId="636">
      <totalsRowFormula>IF(Refsz_Verbräuche[[#Headers],[2035]]=Startseite!$D$68,
    IF(AND(COUNT($C47:EF_Tarif2[[#Totals],[2030]])&gt;0,
             SUM($C47:EF_Tarif2[[#Totals],[2030]])&gt;0),
        AVERAGEIF($C47:EF_Tarif2[[#Totals],[2030]],"&gt;0"),
        0),
    IF(Startseite!$D$68=(Refsz_Verbräuche[[#Headers],[2035]]-1),
        EF_Tarif2[[#Totals],[2030]],
        IF(Startseite!$D$68&lt;Refsz_Verbräuche[[#Headers],[2035]],
            EF_Tarif2[[#Totals],[2030]],
           (R42*R93)+(R43*R94)+(R44*R95)+(R45*R96)+(R46*R97)
        )
    )
)</totalsRowFormula>
    </tableColumn>
    <tableColumn id="16" xr3:uid="{8914AD68-F158-4414-A80A-C67ECBF904D9}" name="2040" totalsRowFunction="custom" dataDxfId="635" totalsRowDxfId="634">
      <totalsRowFormula>IF(Refsz_Verbräuche[[#Headers],[2040]]=Startseite!$D$68,
    IF(AND(COUNT($C47:EF_Tarif2[[#Totals],[2035]])&gt;0,
             SUM($C47:EF_Tarif2[[#Totals],[2035]])&gt;0),
        AVERAGEIF($C47:EF_Tarif2[[#Totals],[2035]],"&gt;0"),
        0),
    IF(Startseite!$D$68=(Refsz_Verbräuche[[#Headers],[2040]]-1),
        EF_Tarif2[[#Totals],[2035]],
        IF(Startseite!$D$68&lt;Refsz_Verbräuche[[#Headers],[2040]],
            EF_Tarif2[[#Totals],[2035]],
           (S42*S93)+(S43*S94)+(S44*S95)+(S45*S96)+(S46*S97)
        )
    )
)</totalsRowFormula>
    </tableColumn>
    <tableColumn id="17" xr3:uid="{6A75282A-DD68-44A6-929F-AAE355674A6B}" name="2045" totalsRowFunction="custom" dataDxfId="633" totalsRowDxfId="632">
      <totalsRowFormula>IF(Refsz_Verbräuche[[#Headers],[2045]]=Startseite!$D$68,
    IF(AND(COUNT($C47:EF_Tarif2[[#Totals],[2040]])&gt;0,
             SUM($C47:EF_Tarif2[[#Totals],[2040]])&gt;0),
        AVERAGEIF($C47:EF_Tarif2[[#Totals],[2040]],"&gt;0"),
        0),
    IF(Startseite!$D$68=(Refsz_Verbräuche[[#Headers],[2045]]-1),
        EF_Tarif2[[#Totals],[2040]],
        IF(Startseite!$D$68&lt;Refsz_Verbräuche[[#Headers],[2045]],
            EF_Tarif2[[#Totals],[2040]],
           (T42*T93)+(T43*T94)+(T44*T95)+(T45*T96)+(T46*T97)
        )
    )
)</totalsRowFormula>
    </tableColumn>
    <tableColumn id="18" xr3:uid="{4F0C04FE-3C00-4241-8C48-214410560D30}" name="2050" totalsRowFunction="custom" dataDxfId="631" totalsRowDxfId="630">
      <totalsRowFormula>IF(Refsz_Verbräuche[[#Headers],[2050]]=Startseite!$D$68,
    IF(AND(COUNT($C47:EF_Tarif2[[#Totals],[2045]])&gt;0,
             SUM($C47:EF_Tarif2[[#Totals],[2045]])&gt;0),
        AVERAGEIF($C47:EF_Tarif2[[#Totals],[2045]],"&gt;0"),
        0),
    IF(Startseite!$D$68=(Refsz_Verbräuche[[#Headers],[2050]]-1),
        EF_Tarif2[[#Totals],[2045]],
        IF(Startseite!$D$68&lt;Refsz_Verbräuche[[#Headers],[2050]],
            EF_Tarif2[[#Totals],[2045]],
           (U42*U93)+(U43*U94)+(U44*U95)+(U45*U96)+(U46*U97)
        )
    )
)</totalsRow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A86936F-361E-40C2-ACC3-0325E69B81F3}" name="EF_Tarif3" displayName="EF_Tarif3" ref="B51:V57" totalsRowCount="1">
  <autoFilter ref="B51:V56" xr:uid="{1B2D3168-2F1A-4DB3-87B7-0416A9EFC05D}"/>
  <tableColumns count="21">
    <tableColumn id="1" xr3:uid="{9B5F7306-C8D3-4F0E-89CC-B939B91EA841}" name="Stromerzeugung" totalsRowLabel="Erechneter Emissionsfaktor" totalsRowDxfId="629"/>
    <tableColumn id="2" xr3:uid="{7E8F8508-862C-4647-829E-13337353FA2F}" name="2015" totalsRowFunction="custom" dataDxfId="628" totalsRowDxfId="627" dataCellStyle="Prozent">
      <totalsRowFormula>(C52*C93)+(C53*C94)+(C54*C95)+(C55*C96)+(C56*C97)</totalsRowFormula>
    </tableColumn>
    <tableColumn id="3" xr3:uid="{4EA90A66-9C56-442B-8462-FDC00ED1300C}" name="2016" totalsRowFunction="custom" dataDxfId="626" totalsRowDxfId="625">
      <totalsRowFormula>(D52*D93)+(D53*D94)+(D54*D95)+(D55*D96)+(D56*D97)</totalsRowFormula>
    </tableColumn>
    <tableColumn id="4" xr3:uid="{B406436E-9396-4808-B95D-E3E7C78D8EEB}" name="2017" totalsRowFunction="custom" dataDxfId="624" totalsRowDxfId="623">
      <totalsRowFormula>(E52*E93)+(E53*E94)+(E54*E95)+(E55*E96)+(E56*E97)</totalsRowFormula>
    </tableColumn>
    <tableColumn id="5" xr3:uid="{5414B99C-78BB-49A1-94D8-C2604864E5D0}" name="2018" totalsRowFunction="custom" dataDxfId="622" totalsRowDxfId="621">
      <totalsRowFormula>(F52*F93)+(F53*F94)+(F54*F95)+(F55*F96)+(F56*F97)</totalsRowFormula>
    </tableColumn>
    <tableColumn id="6" xr3:uid="{20C58CD4-7255-407B-88D1-95CBCCBB7FEF}" name="2019" totalsRowFunction="custom" dataDxfId="620" totalsRowDxfId="619">
      <totalsRowFormula>(G52*G93)+(G53*G94)+(G54*G95)+(G55*G96)+(G56*G97)</totalsRowFormula>
    </tableColumn>
    <tableColumn id="7" xr3:uid="{0A1F4E42-16AB-4490-AF33-E032813C0B22}" name="2020" totalsRowFunction="custom" dataDxfId="618" totalsRowDxfId="617">
      <totalsRowFormula>(H52*H93)+(H53*H94)+(H54*H95)+(H55*H96)+(H56*H97)</totalsRowFormula>
    </tableColumn>
    <tableColumn id="8" xr3:uid="{69201FC8-EC69-493C-9CC1-E6A7063A1DD5}" name="2021" totalsRowFunction="custom" dataDxfId="616" totalsRowDxfId="615" dataCellStyle="Prozent">
      <totalsRowFormula>(I52*I93)+(I53*I94)+(I54*I95)+(I55*I96)+(I56*I97)</totalsRowFormula>
    </tableColumn>
    <tableColumn id="9" xr3:uid="{9FC9A99C-5E40-4D0E-BE2A-FF057E6E2B35}" name="2022" totalsRowFunction="custom" dataDxfId="614" totalsRowDxfId="613">
      <totalsRowFormula>IF(Refsz_Verbräuche[[#Headers],[2022]]=Startseite!$D$68,
    IF(AND(COUNT($C57:EF_Tarif3[[#Totals],[2021]])&gt;0,
             SUM($C57:EF_Tarif3[[#Totals],[2021]])&gt;0),
        AVERAGEIF($C57:EF_Tarif3[[#Totals],[2021]],"&gt;0"),
        0),
    IF(Startseite!$D$68=(Refsz_Verbräuche[[#Headers],[2022]]-1),
        EF_Tarif3[[#Totals],[2021]],
        IF(Startseite!$D$68&lt;Refsz_Verbräuche[[#Headers],[2022]],
            EF_Tarif3[[#Totals],[2021]],
         (J52*J93)+(J53*J94)+(J54*J95)+(J55*J96)+(J56*J97)
        )
    )
)</totalsRowFormula>
    </tableColumn>
    <tableColumn id="10" xr3:uid="{0279AAE0-4147-4CAC-B210-E0549E6E1F92}" name="2023" totalsRowFunction="custom" dataDxfId="612" totalsRowDxfId="611">
      <totalsRowFormula>IF(Refsz_Verbräuche[[#Headers],[2023]]=Startseite!$D$68,
    IF(AND(COUNT($C57:EF_Tarif3[[#Totals],[2022]])&gt;0,
             SUM($C57:EF_Tarif3[[#Totals],[2022]])&gt;0),
        AVERAGEIF($C57:EF_Tarif3[[#Totals],[2022]],"&gt;0"),
        0),
    IF(Startseite!$D$68=(Refsz_Verbräuche[[#Headers],[2023]]-1),
        EF_Tarif3[[#Totals],[2022]],
        IF(Startseite!$D$68&lt;Refsz_Verbräuche[[#Headers],[2023]],
            EF_Tarif3[[#Totals],[2022]],
         (K52*K93)+(K53*K94)+(K54*K95)+(K55*K96)+(K56*K97)
        )
    )
)</totalsRowFormula>
    </tableColumn>
    <tableColumn id="11" xr3:uid="{6EA58CC5-D190-46B1-BBA6-C9A9DCCD839D}" name="2024" totalsRowFunction="custom" dataDxfId="610" totalsRowDxfId="609">
      <totalsRowFormula>IF(Refsz_Verbräuche[[#Headers],[2024]]=Startseite!$D$68,
    IF(AND(COUNT($C57:EF_Tarif3[[#Totals],[2023]])&gt;0,
             SUM($C57:EF_Tarif3[[#Totals],[2023]])&gt;0),
        AVERAGEIF($C57:EF_Tarif3[[#Totals],[2023]],"&gt;0"),
        0),
    IF(Startseite!$D$68=(Refsz_Verbräuche[[#Headers],[2024]]-1),
        EF_Tarif3[[#Totals],[2023]],
        IF(Startseite!$D$68&lt;Refsz_Verbräuche[[#Headers],[2024]],
            EF_Tarif3[[#Totals],[2023]],
         (L52*L93)+(L53*L94)+(L54*L95)+(L55*L96)+(L56*L97)
        )
    )
)</totalsRowFormula>
    </tableColumn>
    <tableColumn id="12" xr3:uid="{275D2FF4-6CE2-426C-9D6C-AA4269B62C8A}" name="2025" totalsRowFunction="custom" dataDxfId="608" totalsRowDxfId="607">
      <totalsRowFormula>IF(Refsz_Verbräuche[[#Headers],[2025]]=Startseite!$D$68,
    IF(AND(COUNT($C57:EF_Tarif3[[#Totals],[2024]])&gt;0,
             SUM($C57:EF_Tarif3[[#Totals],[2024]])&gt;0),
        AVERAGEIF($C57:EF_Tarif3[[#Totals],[2024]],"&gt;0"),
        0),
    IF(Startseite!$D$68=(Refsz_Verbräuche[[#Headers],[2025]]-1),
        EF_Tarif3[[#Totals],[2024]],
        IF(Startseite!$D$68&lt;Refsz_Verbräuche[[#Headers],[2025]],
            EF_Tarif3[[#Totals],[2024]],
         (M52*M93)+(M53*M94)+(M54*M95)+(M55*M96)+(M56*M97)
        )
    )
)</totalsRowFormula>
    </tableColumn>
    <tableColumn id="13" xr3:uid="{FF27686D-96CE-48AA-881B-890F3A176EAA}" name="2026" totalsRowFunction="custom" dataDxfId="606" totalsRowDxfId="605">
      <totalsRowFormula>IF(Refsz_Verbräuche[[#Headers],[2026]]=Startseite!$D$68,
    IF(AND(COUNT($C57:EF_Tarif3[[#Totals],[2025]])&gt;0,
             SUM($C57:EF_Tarif3[[#Totals],[2025]])&gt;0),
        AVERAGEIF($C57:EF_Tarif3[[#Totals],[2025]],"&gt;0"),
        0),
    IF(Startseite!$D$68=(Refsz_Verbräuche[[#Headers],[2026]]-1),
        EF_Tarif3[[#Totals],[2025]],
        IF(Startseite!$D$68&lt;Refsz_Verbräuche[[#Headers],[2026]],
            EF_Tarif3[[#Totals],[2025]],
         (N52*N93)+(N53*N94)+(N54*N95)+(N55*N96)+(N56*N97)
        )
    )
)</totalsRowFormula>
    </tableColumn>
    <tableColumn id="19" xr3:uid="{025D1522-6419-413C-855A-CE9BADDF739F}" name="2027" totalsRowFunction="custom" dataDxfId="604" totalsRowDxfId="603" dataCellStyle="Prozent">
      <totalsRowFormula>IF(Refsz_Verbräuche[[#Headers],[2027]]=Startseite!$D$68,
    IF(AND(COUNT($C57:EF_Tarif3[[#Totals],[2026]])&gt;0,
             SUM($C57:EF_Tarif3[[#Totals],[2026]])&gt;0),
        AVERAGEIF($C57:EF_Tarif3[[#Totals],[2026]],"&gt;0"),
        0),
    IF(Startseite!$D$68=(Refsz_Verbräuche[[#Headers],[2027]]-1),
        EF_Tarif3[[#Totals],[2026]],
        IF(Startseite!$D$68&lt;Refsz_Verbräuche[[#Headers],[2027]],
            EF_Tarif3[[#Totals],[2026]],
         (O52*O93)+(O53*O94)+(O54*O95)+(O55*O96)+(O56*O97)
        )
    )
)</totalsRowFormula>
    </tableColumn>
    <tableColumn id="20" xr3:uid="{B62734B9-B2B4-4DEA-877C-729CC2AFC6EB}" name="2028" totalsRowFunction="custom" dataDxfId="602" totalsRowDxfId="601" dataCellStyle="Prozent">
      <totalsRowFormula>IF(Refsz_Verbräuche[[#Headers],[2028]]=Startseite!$D$68,
    IF(AND(COUNT($C57:EF_Tarif3[[#Totals],[2027]])&gt;0,
             SUM($C57:EF_Tarif3[[#Totals],[2027]])&gt;0),
        AVERAGEIF($C57:EF_Tarif3[[#Totals],[2027]],"&gt;0"),
        0),
    IF(Startseite!$D$68=(Refsz_Verbräuche[[#Headers],[2028]]-1),
        EF_Tarif3[[#Totals],[2027]],
        IF(Startseite!$D$68&lt;Refsz_Verbräuche[[#Headers],[2028]],
            EF_Tarif3[[#Totals],[2027]],
         (P52*P93)+(P53*P94)+(P54*P95)+(P55*P96)+(P56*P97)
        )
    )
)</totalsRowFormula>
    </tableColumn>
    <tableColumn id="21" xr3:uid="{94307B57-78EB-446D-8BE1-1480317FA78B}" name="2029" totalsRowFunction="custom" dataDxfId="600" totalsRowDxfId="599" dataCellStyle="Prozent">
      <totalsRowFormula>IF(Refsz_Verbräuche[[#Headers],[2029]]=Startseite!$D$68,
    IF(AND(COUNT($C57:EF_Tarif3[[#Totals],[2028]])&gt;0,
             SUM($C57:EF_Tarif3[[#Totals],[2028]])&gt;0),
        AVERAGEIF($C57:EF_Tarif3[[#Totals],[2028]],"&gt;0"),
        0),
    IF(Startseite!$D$68=(Refsz_Verbräuche[[#Headers],[2029]]-1),
        EF_Tarif3[[#Totals],[2028]],
        IF(Startseite!$D$68&lt;Refsz_Verbräuche[[#Headers],[2029]],
            EF_Tarif3[[#Totals],[2028]],
         (Q52*Q93)+(Q53*Q94)+(Q54*Q95)+(Q55*Q96)+(Q56*Q97)
        )
    )
)</totalsRowFormula>
    </tableColumn>
    <tableColumn id="14" xr3:uid="{FB9FF21B-B80F-43CA-89FB-EA92C91B5F57}" name="2030" totalsRowFunction="custom" dataDxfId="598" totalsRowDxfId="597">
      <totalsRowFormula>IF(Refsz_Verbräuche[[#Headers],[2030]]=Startseite!$D$68,
    IF(AND(COUNT($C57:EF_Tarif3[[#Totals],[2029]])&gt;0,
             SUM($C57:EF_Tarif3[[#Totals],[2029]])&gt;0),
        AVERAGEIF($C57:EF_Tarif3[[#Totals],[2029]],"&gt;0"),
        0),
    IF(Startseite!$D$68=(Refsz_Verbräuche[[#Headers],[2030]]-1),
        EF_Tarif3[[#Totals],[2029]],
        IF(Startseite!$D$68&lt;Refsz_Verbräuche[[#Headers],[2030]],
            EF_Tarif3[[#Totals],[2029]],
         (R52*R93)+(R53*R94)+(R54*R95)+(R55*R96)+(R56*R97)
        )
    )
)</totalsRowFormula>
    </tableColumn>
    <tableColumn id="15" xr3:uid="{339FE4AE-18DE-451D-9BB2-EB3B2AE3A1D6}" name="2035" totalsRowFunction="custom" dataDxfId="596" totalsRowDxfId="595">
      <totalsRowFormula>IF(Refsz_Verbräuche[[#Headers],[2035]]=Startseite!$D$68,
    IF(AND(COUNT($C57:EF_Tarif3[[#Totals],[2030]])&gt;0,
             SUM($C57:EF_Tarif3[[#Totals],[2030]])&gt;0),
        AVERAGEIF($C57:EF_Tarif3[[#Totals],[2030]],"&gt;0"),
        0),
    IF(Startseite!$D$68=(Refsz_Verbräuche[[#Headers],[2035]]-1),
        EF_Tarif3[[#Totals],[2030]],
        IF(Startseite!$D$68&lt;Refsz_Verbräuche[[#Headers],[2035]],
            EF_Tarif3[[#Totals],[2030]],
         (S52*S93)+(S53*S94)+(S54*S95)+(S55*S96)+(S56*S97)
        )
    )
)</totalsRowFormula>
    </tableColumn>
    <tableColumn id="16" xr3:uid="{50C87286-A6A1-47D1-A37F-01348989E190}" name="2040" totalsRowFunction="custom" dataDxfId="594" totalsRowDxfId="593">
      <totalsRowFormula>IF(Refsz_Verbräuche[[#Headers],[2040]]=Startseite!$D$68,
    IF(AND(COUNT($C57:EF_Tarif3[[#Totals],[2035]])&gt;0,
             SUM($C57:EF_Tarif3[[#Totals],[2035]])&gt;0),
        AVERAGEIF($C57:EF_Tarif3[[#Totals],[2035]],"&gt;0"),
        0),
    IF(Startseite!$D$68=(Refsz_Verbräuche[[#Headers],[2040]]-1),
        EF_Tarif3[[#Totals],[2035]],
        IF(Startseite!$D$68&lt;Refsz_Verbräuche[[#Headers],[2040]],
            EF_Tarif3[[#Totals],[2035]],
         (T52*T93)+(T53*T94)+(T54*T95)+(T55*T96)+(T56*T97)
        )
    )
)</totalsRowFormula>
    </tableColumn>
    <tableColumn id="17" xr3:uid="{6C52667F-3A1E-4CC6-A550-03FC8E44CAAD}" name="2045" totalsRowFunction="custom" dataDxfId="592" totalsRowDxfId="591">
      <totalsRowFormula>IF(Refsz_Verbräuche[[#Headers],[2045]]=Startseite!$D$68,
    IF(AND(COUNT($C57:EF_Tarif3[[#Totals],[2040]])&gt;0,
             SUM($C57:EF_Tarif3[[#Totals],[2040]])&gt;0),
        AVERAGEIF($C57:EF_Tarif3[[#Totals],[2040]],"&gt;0"),
        0),
    IF(Startseite!$D$68=(Refsz_Verbräuche[[#Headers],[2045]]-1),
        EF_Tarif3[[#Totals],[2040]],
        IF(Startseite!$D$68&lt;Refsz_Verbräuche[[#Headers],[2045]],
            EF_Tarif3[[#Totals],[2040]],
         (U52*U93)+(U53*U94)+(U54*U95)+(U55*U96)+(U56*U97)
        )
    )
)</totalsRowFormula>
    </tableColumn>
    <tableColumn id="18" xr3:uid="{CEE6A151-DCE8-4B45-964F-DC53F667167B}" name="2050" totalsRowFunction="custom" dataDxfId="590" totalsRowDxfId="589">
      <totalsRowFormula>IF(Refsz_Verbräuche[[#Headers],[2050]]=Startseite!$D$68,
    IF(AND(COUNT($C57:EF_Tarif3[[#Totals],[2045]])&gt;0,
             SUM($C57:EF_Tarif3[[#Totals],[2045]])&gt;0),
        AVERAGEIF($C57:EF_Tarif3[[#Totals],[2045]],"&gt;0"),
        0),
    IF(Startseite!$D$68=(Refsz_Verbräuche[[#Headers],[2050]]-1),
        EF_Tarif3[[#Totals],[2045]],
        IF(Startseite!$D$68&lt;Refsz_Verbräuche[[#Headers],[2050]],
            EF_Tarif3[[#Totals],[2045]],
         (V52*V93)+(V53*V94)+(V54*V95)+(V55*V96)+(V56*V97)
        )
    )
)</totalsRow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7C63349-69F6-4866-9AFE-9EDA50C9C91B}" name="EF_Tarif4" displayName="EF_Tarif4" ref="B61:V67" totalsRowCount="1">
  <autoFilter ref="B61:V66" xr:uid="{EEE56C69-1BD6-4CEA-A944-438ACEFC1637}"/>
  <tableColumns count="21">
    <tableColumn id="1" xr3:uid="{68678F75-8D13-49C2-B870-0E7432132E89}" name="Stromerzeugung" totalsRowLabel="Erechneter Emissionsfaktor" totalsRowDxfId="588"/>
    <tableColumn id="2" xr3:uid="{CBAB1B3A-E0AC-43E2-81D9-2F13A7E1B912}" name="2015" totalsRowFunction="custom" dataDxfId="587" totalsRowDxfId="586" dataCellStyle="Prozent">
      <totalsRowFormula>(C62*C93)+(C63*C94)+(C64*C95)+(C65*C96)+(C66*C97)</totalsRowFormula>
    </tableColumn>
    <tableColumn id="3" xr3:uid="{F8A9D62A-2876-42BA-9DCE-017781C62A34}" name="2016" totalsRowFunction="custom" dataDxfId="585" totalsRowDxfId="584">
      <totalsRowFormula>(D62*D93)+(D63*D94)+(D64*D95)+(D65*D96)+(D66*D97)</totalsRowFormula>
    </tableColumn>
    <tableColumn id="4" xr3:uid="{FAA5AFE8-A4BE-4F95-A3EB-DFE56992CCAA}" name="2017" totalsRowFunction="custom" dataDxfId="583" totalsRowDxfId="582">
      <totalsRowFormula>(E62*E93)+(E63*E94)+(E64*E95)+(E65*E96)+(E66*E97)</totalsRowFormula>
    </tableColumn>
    <tableColumn id="5" xr3:uid="{01CA1EE0-602C-4B4B-9E13-E488DFF1527D}" name="2018" totalsRowFunction="custom" dataDxfId="581" totalsRowDxfId="580">
      <totalsRowFormula>(F62*F93)+(F63*F94)+(F64*F95)+(F65*F96)+(F66*F97)</totalsRowFormula>
    </tableColumn>
    <tableColumn id="6" xr3:uid="{4A239976-848D-43EC-BE47-87CCCD2F1C96}" name="2019" totalsRowFunction="custom" dataDxfId="579" totalsRowDxfId="578">
      <totalsRowFormula>(G62*G93)+(G63*G94)+(G64*G95)+(G65*G96)+(G66*G97)</totalsRowFormula>
    </tableColumn>
    <tableColumn id="7" xr3:uid="{159A71AC-ECD8-4D0D-8747-E010F9204DB4}" name="2020" totalsRowFunction="custom" dataDxfId="577" totalsRowDxfId="576">
      <totalsRowFormula>(H62*H93)+(H63*H94)+(H64*H95)+(H65*H96)+(H66*H97)</totalsRowFormula>
    </tableColumn>
    <tableColumn id="8" xr3:uid="{1C1FA178-8A63-4C91-8392-F0869C9B00F5}" name="2021" totalsRowFunction="custom" dataDxfId="575" totalsRowDxfId="574" dataCellStyle="Prozent">
      <totalsRowFormula>(I62*I93)+(I63*I94)+(I64*I95)+(I65*I96)+(I66*I97)</totalsRowFormula>
    </tableColumn>
    <tableColumn id="9" xr3:uid="{9825A035-CEEE-44E8-A18C-22560FC082C1}" name="2022" totalsRowFunction="custom" dataDxfId="573" totalsRowDxfId="572">
      <totalsRowFormula>IF(Refsz_Verbräuche[[#Headers],[2022]]=Startseite!$D$68,
    IF(AND(COUNT($C67:EF_Tarif4[[#Totals],[2021]])&gt;0,
             SUM($C67:EF_Tarif4[[#Totals],[2021]])&gt;0),
        AVERAGEIF($C67:EF_Tarif4[[#Totals],[2021]],"&gt;0"),
        0),
    IF(Startseite!$D$68=(Refsz_Verbräuche[[#Headers],[2022]]-1),
        EF_Tarif4[[#Totals],[2021]],
        IF(Startseite!$D$68&lt;Refsz_Verbräuche[[#Headers],[2022]],
            EF_Tarif4[[#Totals],[2021]],
        (J62*J93)+(J63*J94)+(J64*J95)+(J65*J96)+(J66*J97)
        )
    )
)</totalsRowFormula>
    </tableColumn>
    <tableColumn id="10" xr3:uid="{9D20D7F6-BC37-48D1-B9F7-AED81C95BE8E}" name="2023" totalsRowFunction="custom" dataDxfId="571" totalsRowDxfId="570">
      <totalsRowFormula>IF(Refsz_Verbräuche[[#Headers],[2023]]=Startseite!$D$68,
    IF(AND(COUNT($C67:EF_Tarif4[[#Totals],[2022]])&gt;0,
             SUM($C67:EF_Tarif4[[#Totals],[2022]])&gt;0),
        AVERAGEIF($C67:EF_Tarif4[[#Totals],[2022]],"&gt;0"),
        0),
    IF(Startseite!$D$68=(Refsz_Verbräuche[[#Headers],[2023]]-1),
        EF_Tarif4[[#Totals],[2022]],
        IF(Startseite!$D$68&lt;Refsz_Verbräuche[[#Headers],[2023]],
            EF_Tarif4[[#Totals],[2022]],
        (K62*K93)+(K63*K94)+(K64*K95)+(K65*K96)+(K66*K97)
        )
    )
)</totalsRowFormula>
    </tableColumn>
    <tableColumn id="11" xr3:uid="{E1F94464-BCEA-49E4-A4F9-31879FB1EDA6}" name="2024" totalsRowFunction="custom" dataDxfId="569" totalsRowDxfId="568">
      <totalsRowFormula>IF(Refsz_Verbräuche[[#Headers],[2024]]=Startseite!$D$68,
    IF(AND(COUNT($C67:EF_Tarif4[[#Totals],[2023]])&gt;0,
             SUM($C67:EF_Tarif4[[#Totals],[2023]])&gt;0),
        AVERAGEIF($C67:EF_Tarif4[[#Totals],[2023]],"&gt;0"),
        0),
    IF(Startseite!$D$68=(Refsz_Verbräuche[[#Headers],[2024]]-1),
        EF_Tarif4[[#Totals],[2023]],
        IF(Startseite!$D$68&lt;Refsz_Verbräuche[[#Headers],[2024]],
            EF_Tarif4[[#Totals],[2023]],
        (L62*L93)+(L63*L94)+(L64*L95)+(L65*L96)+(L66*L97)
        )
    )
)</totalsRowFormula>
    </tableColumn>
    <tableColumn id="12" xr3:uid="{32D16C96-78FE-481F-959E-477C73FFF36A}" name="2025" totalsRowFunction="custom" dataDxfId="567" totalsRowDxfId="566">
      <totalsRowFormula>IF(Refsz_Verbräuche[[#Headers],[2025]]=Startseite!$D$68,
    IF(AND(COUNT($C67:EF_Tarif4[[#Totals],[2024]])&gt;0,
             SUM($C67:EF_Tarif4[[#Totals],[2024]])&gt;0),
        AVERAGEIF($C67:EF_Tarif4[[#Totals],[2024]],"&gt;0"),
        0),
    IF(Startseite!$D$68=(Refsz_Verbräuche[[#Headers],[2025]]-1),
        EF_Tarif4[[#Totals],[2024]],
        IF(Startseite!$D$68&lt;Refsz_Verbräuche[[#Headers],[2025]],
            EF_Tarif4[[#Totals],[2024]],
        (M62*M93)+(M63*M94)+(M64*M95)+(M65*M96)+(M66*M97)
        )
    )
)</totalsRowFormula>
    </tableColumn>
    <tableColumn id="13" xr3:uid="{A1F0CE65-833E-45D7-8883-CE3A5F0DDBEB}" name="2026" totalsRowFunction="custom" dataDxfId="565" totalsRowDxfId="564">
      <totalsRowFormula>IF(Refsz_Verbräuche[[#Headers],[2026]]=Startseite!$D$68,
    IF(AND(COUNT($C67:EF_Tarif4[[#Totals],[2025]])&gt;0,
             SUM($C67:EF_Tarif4[[#Totals],[2025]])&gt;0),
        AVERAGEIF($C67:EF_Tarif4[[#Totals],[2025]],"&gt;0"),
        0),
    IF(Startseite!$D$68=(Refsz_Verbräuche[[#Headers],[2026]]-1),
        EF_Tarif4[[#Totals],[2025]],
        IF(Startseite!$D$68&lt;Refsz_Verbräuche[[#Headers],[2026]],
            EF_Tarif4[[#Totals],[2025]],
        (N62*N93)+(N63*N94)+(N64*N95)+(N65*N96)+(N66*N97)
        )
    )
)</totalsRowFormula>
    </tableColumn>
    <tableColumn id="19" xr3:uid="{288E8C25-E473-4D5E-A9D9-C702ACE0E6E6}" name="2027" totalsRowFunction="custom" dataDxfId="563" totalsRowDxfId="562" dataCellStyle="Prozent">
      <totalsRowFormula>IF(Refsz_Verbräuche[[#Headers],[2027]]=Startseite!$D$68,
    IF(AND(COUNT($C67:EF_Tarif4[[#Totals],[2026]])&gt;0,
             SUM($C67:EF_Tarif4[[#Totals],[2026]])&gt;0),
        AVERAGEIF($C67:EF_Tarif4[[#Totals],[2026]],"&gt;0"),
        0),
    IF(Startseite!$D$68=(Refsz_Verbräuche[[#Headers],[2027]]-1),
        EF_Tarif4[[#Totals],[2026]],
        IF(Startseite!$D$68&lt;Refsz_Verbräuche[[#Headers],[2027]],
            EF_Tarif4[[#Totals],[2026]],
        (O62*O93)+(O63*O94)+(O64*O95)+(O65*O96)+(O66*O97)
        )
    )
)</totalsRowFormula>
    </tableColumn>
    <tableColumn id="20" xr3:uid="{CCE3E28C-EE39-4F08-AD34-99F0BCC8609C}" name="2028" totalsRowFunction="custom" dataDxfId="561" totalsRowDxfId="560" dataCellStyle="Prozent">
      <totalsRowFormula>IF(Refsz_Verbräuche[[#Headers],[2028]]=Startseite!$D$68,
    IF(AND(COUNT($C67:EF_Tarif4[[#Totals],[2027]])&gt;0,
             SUM($C67:EF_Tarif4[[#Totals],[2027]])&gt;0),
        AVERAGEIF($C67:EF_Tarif4[[#Totals],[2027]],"&gt;0"),
        0),
    IF(Startseite!$D$68=(Refsz_Verbräuche[[#Headers],[2028]]-1),
        EF_Tarif4[[#Totals],[2027]],
        IF(Startseite!$D$68&lt;Refsz_Verbräuche[[#Headers],[2028]],
            EF_Tarif4[[#Totals],[2027]],
        (P62*P93)+(P63*P94)+(P64*P95)+(P65*P96)+(P66*P97)
        )
    )
)</totalsRowFormula>
    </tableColumn>
    <tableColumn id="21" xr3:uid="{4EE1D295-231D-41AB-90EA-DF483D48C9C9}" name="2029" totalsRowFunction="custom" dataDxfId="559" totalsRowDxfId="558" dataCellStyle="Prozent">
      <totalsRowFormula>IF(Refsz_Verbräuche[[#Headers],[2029]]=Startseite!$D$68,
    IF(AND(COUNT($C67:EF_Tarif4[[#Totals],[2028]])&gt;0,
             SUM($C67:EF_Tarif4[[#Totals],[2028]])&gt;0),
        AVERAGEIF($C67:EF_Tarif4[[#Totals],[2028]],"&gt;0"),
        0),
    IF(Startseite!$D$68=(Refsz_Verbräuche[[#Headers],[2029]]-1),
        EF_Tarif4[[#Totals],[2028]],
        IF(Startseite!$D$68&lt;Refsz_Verbräuche[[#Headers],[2029]],
            EF_Tarif4[[#Totals],[2028]],
        (Q62*Q93)+(Q63*Q94)+(Q64*Q95)+(Q65*Q96)+(Q66*Q97)
        )
    )
)</totalsRowFormula>
    </tableColumn>
    <tableColumn id="14" xr3:uid="{A4DE825E-E3C1-4E62-A98B-8D12FF1517F3}" name="2030" totalsRowFunction="custom" dataDxfId="557" totalsRowDxfId="556">
      <totalsRowFormula>IF(Refsz_Verbräuche[[#Headers],[2030]]=Startseite!$D$68,
    IF(AND(COUNT($C67:EF_Tarif4[[#Totals],[2029]])&gt;0,
             SUM($C67:EF_Tarif4[[#Totals],[2029]])&gt;0),
        AVERAGEIF($C67:EF_Tarif4[[#Totals],[2029]],"&gt;0"),
        0),
    IF(Startseite!$D$68=(Refsz_Verbräuche[[#Headers],[2030]]-1),
        EF_Tarif4[[#Totals],[2029]],
        IF(Startseite!$D$68&lt;Refsz_Verbräuche[[#Headers],[2030]],
            EF_Tarif4[[#Totals],[2029]],
        (R62*R93)+(R63*R94)+(R64*R95)+(R65*R96)+(R66*R97)
        )
    )
)</totalsRowFormula>
    </tableColumn>
    <tableColumn id="15" xr3:uid="{72F8CD58-99F4-458B-9A9F-5F9802B991AD}" name="2035" totalsRowFunction="custom" dataDxfId="555" totalsRowDxfId="554">
      <totalsRowFormula>IF(Refsz_Verbräuche[[#Headers],[2035]]=Startseite!$D$68,
    IF(AND(COUNT($C67:EF_Tarif4[[#Totals],[2030]])&gt;0,
             SUM($C67:EF_Tarif4[[#Totals],[2030]])&gt;0),
        AVERAGEIF($C67:EF_Tarif4[[#Totals],[2030]],"&gt;0"),
        0),
    IF(Startseite!$D$68=(Refsz_Verbräuche[[#Headers],[2035]]-1),
        EF_Tarif4[[#Totals],[2030]],
        IF(Startseite!$D$68&lt;Refsz_Verbräuche[[#Headers],[2035]],
            EF_Tarif4[[#Totals],[2030]],
        (S62*S93)+(S63*S94)+(S64*S95)+(S65*S96)+(S66*S97)
        )
    )
)</totalsRowFormula>
    </tableColumn>
    <tableColumn id="16" xr3:uid="{333243B9-1137-4063-9D17-4A8BC0683CB3}" name="2040" totalsRowFunction="custom" dataDxfId="553" totalsRowDxfId="552">
      <totalsRowFormula>IF(Refsz_Verbräuche[[#Headers],[2040]]=Startseite!$D$68,
    IF(AND(COUNT($C67:EF_Tarif4[[#Totals],[2035]])&gt;0,
             SUM($C67:EF_Tarif4[[#Totals],[2035]])&gt;0),
        AVERAGEIF($C67:EF_Tarif4[[#Totals],[2035]],"&gt;0"),
        0),
    IF(Startseite!$D$68=(Refsz_Verbräuche[[#Headers],[2040]]-1),
        EF_Tarif4[[#Totals],[2035]],
        IF(Startseite!$D$68&lt;Refsz_Verbräuche[[#Headers],[2040]],
            EF_Tarif4[[#Totals],[2035]],
        (T62*T93)+(T63*T94)+(T64*T95)+(T65*T96)+(T66*T97)
        )
    )
)</totalsRowFormula>
    </tableColumn>
    <tableColumn id="17" xr3:uid="{C889629A-F709-4117-B073-4CBD95B64865}" name="2045" totalsRowFunction="custom" dataDxfId="551" totalsRowDxfId="550">
      <totalsRowFormula>IF(Refsz_Verbräuche[[#Headers],[2045]]=Startseite!$D$68,
    IF(AND(COUNT($C67:EF_Tarif4[[#Totals],[2040]])&gt;0,
             SUM($C67:EF_Tarif4[[#Totals],[2040]])&gt;0),
        AVERAGEIF($C67:EF_Tarif4[[#Totals],[2040]],"&gt;0"),
        0),
    IF(Startseite!$D$68=(Refsz_Verbräuche[[#Headers],[2045]]-1),
        EF_Tarif4[[#Totals],[2040]],
        IF(Startseite!$D$68&lt;Refsz_Verbräuche[[#Headers],[2045]],
            EF_Tarif4[[#Totals],[2040]],
        (U62*U93)+(U63*U94)+(U64*U95)+(U65*U96)+(U66*U97)
        )
    )
)</totalsRowFormula>
    </tableColumn>
    <tableColumn id="18" xr3:uid="{211C28A9-C4D6-4A83-AFD7-BCB650810472}" name="2050" totalsRowFunction="custom" dataDxfId="549" totalsRowDxfId="548">
      <totalsRowFormula>IF(Refsz_Verbräuche[[#Headers],[2050]]=Startseite!$D$68,
    IF(AND(COUNT($C67:EF_Tarif4[[#Totals],[2045]])&gt;0,
             SUM($C67:EF_Tarif4[[#Totals],[2045]])&gt;0),
        AVERAGEIF($C67:EF_Tarif4[[#Totals],[2045]],"&gt;0"),
        0),
    IF(Startseite!$D$68=(Refsz_Verbräuche[[#Headers],[2050]]-1),
        EF_Tarif4[[#Totals],[2045]],
        IF(Startseite!$D$68&lt;Refsz_Verbräuche[[#Headers],[2050]],
            EF_Tarif4[[#Totals],[2045]],
        (V62*V93)+(V63*V94)+(V64*V95)+(V65*V96)+(V66*V97)
        )
    )
)</totalsRowFormula>
    </tableColumn>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BCDEAAD-287E-4405-A99E-CC5CFE3948A7}" name="EF_Tarif5" displayName="EF_Tarif5" ref="B71:V77" totalsRowCount="1">
  <autoFilter ref="B71:V76" xr:uid="{C06AE2B1-2514-4AC8-8A88-8188C9505325}"/>
  <tableColumns count="21">
    <tableColumn id="1" xr3:uid="{B0A7AFD8-8DD5-4189-97BF-5A082C039B53}" name="Stromerzeugung" totalsRowLabel="Erechneter Emissionsfaktor" totalsRowDxfId="547"/>
    <tableColumn id="2" xr3:uid="{6EDF11DD-E87E-4D69-9649-C2CCE136D005}" name="2015" totalsRowFunction="custom" dataDxfId="546" totalsRowDxfId="545" dataCellStyle="Prozent">
      <totalsRowFormula>(C72*C93)+(C73*C94)+(C74*C95)+(C75*C96)+(C76*C97)</totalsRowFormula>
    </tableColumn>
    <tableColumn id="3" xr3:uid="{F81F038F-0472-4116-9319-96925FD045A4}" name="2016" totalsRowFunction="custom" dataDxfId="544" totalsRowDxfId="543">
      <totalsRowFormula>(D72*D93)+(D73*D94)+(D74*D95)+(D75*D96)+(D76*D97)</totalsRowFormula>
    </tableColumn>
    <tableColumn id="4" xr3:uid="{AB8B8DA2-4DBE-4C8E-AC31-C33DCF420510}" name="2017" totalsRowFunction="custom" dataDxfId="542" totalsRowDxfId="541">
      <totalsRowFormula>(E72*E93)+(E73*E94)+(E74*E95)+(E75*E96)+(E76*E97)</totalsRowFormula>
    </tableColumn>
    <tableColumn id="5" xr3:uid="{E6BD2E12-345E-46E4-BD47-5BA16314AF40}" name="2018" totalsRowFunction="custom" dataDxfId="540" totalsRowDxfId="539">
      <totalsRowFormula>(F72*F93)+(F73*F94)+(F74*F95)+(F75*F96)+(F76*F97)</totalsRowFormula>
    </tableColumn>
    <tableColumn id="6" xr3:uid="{948C2C7D-ED60-41EA-93F7-E80C3490E704}" name="2019" totalsRowFunction="custom" dataDxfId="538" totalsRowDxfId="537">
      <totalsRowFormula>(G72*G93)+(G73*G94)+(G74*G95)+(G75*G96)+(G76*G97)</totalsRowFormula>
    </tableColumn>
    <tableColumn id="7" xr3:uid="{D376B3DC-DC19-4F84-8185-5B6B75CAE88A}" name="2020" totalsRowFunction="custom" dataDxfId="536" totalsRowDxfId="535">
      <totalsRowFormula>(H72*H93)+(H73*H94)+(H74*H95)+(H75*H96)+(H76*H97)</totalsRowFormula>
    </tableColumn>
    <tableColumn id="8" xr3:uid="{050CEB12-C502-4DF7-B6B4-BEED52D434E5}" name="2021" totalsRowFunction="custom" dataDxfId="534" totalsRowDxfId="533" dataCellStyle="Prozent">
      <totalsRowFormula>(I72*I93)+(I73*I94)+(I74*I95)+(I75*I96)+(I76*I97)</totalsRowFormula>
    </tableColumn>
    <tableColumn id="9" xr3:uid="{AE28F414-4D8B-4391-BFA8-CF9258DBA7F1}" name="2022" totalsRowFunction="custom" dataDxfId="532" totalsRowDxfId="531">
      <totalsRowFormula>IF(Refsz_Verbräuche[[#Headers],[2022]]=Startseite!$D$68,
    IF(AND(COUNT($C77:EF_Tarif5[[#Totals],[2021]])&gt;0,
             SUM($C77:EF_Tarif5[[#Totals],[2021]])&gt;0),
        AVERAGEIF($C77:EF_Tarif5[[#Totals],[2021]],"&gt;0"),
        0),
    IF(Startseite!$D$68=(Refsz_Verbräuche[[#Headers],[2022]]-1),
        EF_Tarif5[[#Totals],[2021]],
        IF(Startseite!$D$68&lt;Refsz_Verbräuche[[#Headers],[2022]],
            EF_Tarif5[[#Totals],[2021]],
    (I72*I93)+(I73*I94)+(I74*I95)+(I75*I96)+(I76*I97)
        )
    )
)</totalsRowFormula>
    </tableColumn>
    <tableColumn id="10" xr3:uid="{9F0C56DF-5908-4796-8D2B-513628F4E627}" name="2023" totalsRowFunction="custom" dataDxfId="530" totalsRowDxfId="529">
      <totalsRowFormula>IF(Refsz_Verbräuche[[#Headers],[2023]]=Startseite!$D$68,
    IF(AND(COUNT($C77:EF_Tarif5[[#Totals],[2022]])&gt;0,
             SUM($C77:EF_Tarif5[[#Totals],[2022]])&gt;0),
        AVERAGEIF($C77:EF_Tarif5[[#Totals],[2022]],"&gt;0"),
        0),
    IF(Startseite!$D$68=(Refsz_Verbräuche[[#Headers],[2023]]-1),
        EF_Tarif5[[#Totals],[2022]],
        IF(Startseite!$D$68&lt;Refsz_Verbräuche[[#Headers],[2023]],
            EF_Tarif5[[#Totals],[2022]],
    (J72*J93)+(J73*J94)+(J74*J95)+(J75*J96)+(J76*J97)
        )
    )
)</totalsRowFormula>
    </tableColumn>
    <tableColumn id="11" xr3:uid="{21CB24A2-63EE-45E7-9BFC-9C2EA7BD4FBD}" name="2024" totalsRowFunction="custom" dataDxfId="528" totalsRowDxfId="527">
      <totalsRowFormula>IF(Refsz_Verbräuche[[#Headers],[2024]]=Startseite!$D$68,
    IF(AND(COUNT($C77:EF_Tarif5[[#Totals],[2023]])&gt;0,
             SUM($C77:EF_Tarif5[[#Totals],[2023]])&gt;0),
        AVERAGEIF($C77:EF_Tarif5[[#Totals],[2023]],"&gt;0"),
        0),
    IF(Startseite!$D$68=(Refsz_Verbräuche[[#Headers],[2024]]-1),
        EF_Tarif5[[#Totals],[2023]],
        IF(Startseite!$D$68&lt;Refsz_Verbräuche[[#Headers],[2024]],
            EF_Tarif5[[#Totals],[2023]],
    (K72*K93)+(K73*K94)+(K74*K95)+(K75*K96)+(K76*K97)
        )
    )
)</totalsRowFormula>
    </tableColumn>
    <tableColumn id="12" xr3:uid="{568A7F78-CDBC-4992-B1DC-BA7B4C5E32F9}" name="2025" totalsRowFunction="custom" dataDxfId="526" totalsRowDxfId="525">
      <totalsRowFormula>IF(Refsz_Verbräuche[[#Headers],[2025]]=Startseite!$D$68,
    IF(AND(COUNT($C77:EF_Tarif5[[#Totals],[2024]])&gt;0,
             SUM($C77:EF_Tarif5[[#Totals],[2024]])&gt;0),
        AVERAGEIF($C77:EF_Tarif5[[#Totals],[2024]],"&gt;0"),
        0),
    IF(Startseite!$D$68=(Refsz_Verbräuche[[#Headers],[2025]]-1),
        EF_Tarif5[[#Totals],[2024]],
        IF(Startseite!$D$68&lt;Refsz_Verbräuche[[#Headers],[2025]],
            EF_Tarif5[[#Totals],[2024]],
    (L72*L93)+(L73*L94)+(L74*L95)+(L75*L96)+(L76*L97)
        )
    )
)</totalsRowFormula>
    </tableColumn>
    <tableColumn id="13" xr3:uid="{06C922F9-7AE7-409B-B066-A6C812F1A711}" name="2026" totalsRowFunction="custom" dataDxfId="524" totalsRowDxfId="523">
      <totalsRowFormula>IF(Refsz_Verbräuche[[#Headers],[2026]]=Startseite!$D$68,
    IF(AND(COUNT($C77:EF_Tarif5[[#Totals],[2025]])&gt;0,
             SUM($C77:EF_Tarif5[[#Totals],[2025]])&gt;0),
        AVERAGEIF($C77:EF_Tarif5[[#Totals],[2025]],"&gt;0"),
        0),
    IF(Startseite!$D$68=(Refsz_Verbräuche[[#Headers],[2026]]-1),
        EF_Tarif5[[#Totals],[2025]],
        IF(Startseite!$D$68&lt;Refsz_Verbräuche[[#Headers],[2026]],
            EF_Tarif5[[#Totals],[2025]],
    (M72*M93)+(M73*M94)+(M74*M95)+(M75*M96)+(M76*M97)
        )
    )
)</totalsRowFormula>
    </tableColumn>
    <tableColumn id="19" xr3:uid="{3D46D0B9-33D9-4481-8351-BF1AA11625A4}" name="2027" totalsRowFunction="custom" dataDxfId="522" totalsRowDxfId="521" dataCellStyle="Prozent">
      <totalsRowFormula>IF(Refsz_Verbräuche[[#Headers],[2027]]=Startseite!$D$68,
    IF(AND(COUNT($C77:EF_Tarif5[[#Totals],[2026]])&gt;0,
             SUM($C77:EF_Tarif5[[#Totals],[2026]])&gt;0),
        AVERAGEIF($C77:EF_Tarif5[[#Totals],[2026]],"&gt;0"),
        0),
    IF(Startseite!$D$68=(Refsz_Verbräuche[[#Headers],[2027]]-1),
        EF_Tarif5[[#Totals],[2026]],
        IF(Startseite!$D$68&lt;Refsz_Verbräuche[[#Headers],[2027]],
            EF_Tarif5[[#Totals],[2026]],
    (N72*N93)+(N73*N94)+(N74*N95)+(N75*N96)+(N76*N97)
        )
    )
)</totalsRowFormula>
    </tableColumn>
    <tableColumn id="20" xr3:uid="{09DC235D-E1CD-4A43-B6AD-F7105099BF8F}" name="2028" totalsRowFunction="custom" dataDxfId="520" totalsRowDxfId="519" dataCellStyle="Prozent">
      <totalsRowFormula>IF(Refsz_Verbräuche[[#Headers],[2028]]=Startseite!$D$68,
    IF(AND(COUNT($C77:EF_Tarif5[[#Totals],[2027]])&gt;0,
             SUM($C77:EF_Tarif5[[#Totals],[2027]])&gt;0),
        AVERAGEIF($C77:EF_Tarif5[[#Totals],[2027]],"&gt;0"),
        0),
    IF(Startseite!$D$68=(Refsz_Verbräuche[[#Headers],[2028]]-1),
        EF_Tarif5[[#Totals],[2027]],
        IF(Startseite!$D$68&lt;Refsz_Verbräuche[[#Headers],[2028]],
            EF_Tarif5[[#Totals],[2027]],
    (O72*O93)+(O73*O94)+(O74*O95)+(O75*O96)+(O76*O97)
        )
    )
)</totalsRowFormula>
    </tableColumn>
    <tableColumn id="21" xr3:uid="{C1DE0038-0423-4095-84AA-6C7683FD3B83}" name="2029" totalsRowFunction="custom" dataDxfId="518" totalsRowDxfId="517" dataCellStyle="Prozent">
      <totalsRowFormula>IF(Refsz_Verbräuche[[#Headers],[2029]]=Startseite!$D$68,
    IF(AND(COUNT($C77:EF_Tarif5[[#Totals],[2028]])&gt;0,
             SUM($C77:EF_Tarif5[[#Totals],[2028]])&gt;0),
        AVERAGEIF($C77:EF_Tarif5[[#Totals],[2028]],"&gt;0"),
        0),
    IF(Startseite!$D$68=(Refsz_Verbräuche[[#Headers],[2029]]-1),
        EF_Tarif5[[#Totals],[2028]],
        IF(Startseite!$D$68&lt;Refsz_Verbräuche[[#Headers],[2029]],
            EF_Tarif5[[#Totals],[2028]],
    (P72*P93)+(P73*P94)+(P74*P95)+(P75*P96)+(P76*P97)
        )
    )
)</totalsRowFormula>
    </tableColumn>
    <tableColumn id="14" xr3:uid="{0F396264-D3E6-4D8A-8315-BC43BB0CEC8E}" name="2030" totalsRowFunction="custom" dataDxfId="516" totalsRowDxfId="515">
      <totalsRowFormula>IF(Refsz_Verbräuche[[#Headers],[2030]]=Startseite!$D$68,
    IF(AND(COUNT($C77:EF_Tarif5[[#Totals],[2029]])&gt;0,
             SUM($C77:EF_Tarif5[[#Totals],[2029]])&gt;0),
        AVERAGEIF($C77:EF_Tarif5[[#Totals],[2029]],"&gt;0"),
        0),
    IF(Startseite!$D$68=(Refsz_Verbräuche[[#Headers],[2030]]-1),
        EF_Tarif5[[#Totals],[2029]],
        IF(Startseite!$D$68&lt;Refsz_Verbräuche[[#Headers],[2030]],
            EF_Tarif5[[#Totals],[2029]],
    (Q72*Q93)+(Q73*Q94)+(Q74*Q95)+(Q75*Q96)+(Q76*Q97)
        )
    )
)</totalsRowFormula>
    </tableColumn>
    <tableColumn id="15" xr3:uid="{50A1C645-38E2-4FE3-BC44-FBAC752136DC}" name="2035" totalsRowFunction="custom" dataDxfId="514" totalsRowDxfId="513">
      <totalsRowFormula>IF(Refsz_Verbräuche[[#Headers],[2035]]=Startseite!$D$68,
    IF(AND(COUNT($C77:EF_Tarif5[[#Totals],[2030]])&gt;0,
             SUM($C77:EF_Tarif5[[#Totals],[2030]])&gt;0),
        AVERAGEIF($C77:EF_Tarif5[[#Totals],[2030]],"&gt;0"),
        0),
    IF(Startseite!$D$68=(Refsz_Verbräuche[[#Headers],[2035]]-1),
        EF_Tarif5[[#Totals],[2030]],
        IF(Startseite!$D$68&lt;Refsz_Verbräuche[[#Headers],[2035]],
            EF_Tarif5[[#Totals],[2030]],
    (R72*R93)+(R73*R94)+(R74*R95)+(R75*R96)+(R76*R97)
        )
    )
)</totalsRowFormula>
    </tableColumn>
    <tableColumn id="16" xr3:uid="{A8563DD4-E440-4730-B4E8-16A6485BE278}" name="2040" totalsRowFunction="custom" dataDxfId="512" totalsRowDxfId="511">
      <totalsRowFormula>IF(Refsz_Verbräuche[[#Headers],[2040]]=Startseite!$D$68,
    IF(AND(COUNT($C77:EF_Tarif5[[#Totals],[2035]])&gt;0,
             SUM($C77:EF_Tarif5[[#Totals],[2035]])&gt;0),
        AVERAGEIF($C77:EF_Tarif5[[#Totals],[2035]],"&gt;0"),
        0),
    IF(Startseite!$D$68=(Refsz_Verbräuche[[#Headers],[2040]]-1),
        EF_Tarif5[[#Totals],[2035]],
        IF(Startseite!$D$68&lt;Refsz_Verbräuche[[#Headers],[2040]],
            EF_Tarif5[[#Totals],[2035]],
    (S72*S93)+(S73*S94)+(S74*S95)+(S75*S96)+(S76*S97)
        )
    )
)</totalsRowFormula>
    </tableColumn>
    <tableColumn id="17" xr3:uid="{3EDBB5C0-DB7D-4E71-BB40-E54AF518BE72}" name="2045" totalsRowFunction="custom" dataDxfId="510" totalsRowDxfId="509">
      <totalsRowFormula>IF(Refsz_Verbräuche[[#Headers],[2045]]=Startseite!$D$68,
    IF(AND(COUNT($C77:EF_Tarif5[[#Totals],[2040]])&gt;0,
             SUM($C77:EF_Tarif5[[#Totals],[2040]])&gt;0),
        AVERAGEIF($C77:EF_Tarif5[[#Totals],[2040]],"&gt;0"),
        0),
    IF(Startseite!$D$68=(Refsz_Verbräuche[[#Headers],[2045]]-1),
        EF_Tarif5[[#Totals],[2040]],
        IF(Startseite!$D$68&lt;Refsz_Verbräuche[[#Headers],[2045]],
            EF_Tarif5[[#Totals],[2040]],
    (T72*T93)+(T73*T94)+(T74*T95)+(T75*T96)+(T76*T97)
        )
    )
)</totalsRowFormula>
    </tableColumn>
    <tableColumn id="18" xr3:uid="{B24B2D56-6452-4C56-9D44-561937115F22}" name="2050" totalsRowFunction="custom" dataDxfId="508" totalsRowDxfId="507">
      <totalsRowFormula>IF(Refsz_Verbräuche[[#Headers],[2050]]=Startseite!$D$68,
    IF(AND(COUNT($C77:EF_Tarif5[[#Totals],[2045]])&gt;0,
             SUM($C77:EF_Tarif5[[#Totals],[2045]])&gt;0),
        AVERAGEIF($C77:EF_Tarif5[[#Totals],[2045]],"&gt;0"),
        0),
    IF(Startseite!$D$68=(Refsz_Verbräuche[[#Headers],[2050]]-1),
        EF_Tarif5[[#Totals],[2045]],
        IF(Startseite!$D$68&lt;Refsz_Verbräuche[[#Headers],[2050]],
            EF_Tarif5[[#Totals],[2045]],
    (U72*U93)+(U73*U94)+(U74*U95)+(U75*U96)+(U76*U97)
        )
    )
)</totalsRow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9B166CA-B6A4-4AB2-816D-12F3F7A24730}" name="Refsz_Verbräuche" displayName="Refsz_Verbräuche" ref="B17:AA178" totalsRowShown="0" headerRowCellStyle="Standard" dataCellStyle="Standard">
  <autoFilter ref="B17:AA178" xr:uid="{89B166CA-B6A4-4AB2-816D-12F3F7A24730}"/>
  <tableColumns count="26">
    <tableColumn id="22" xr3:uid="{70C65153-BE63-4433-BFA1-02EA340665BE}" name="ID" dataDxfId="1238" dataCellStyle="Standard"/>
    <tableColumn id="26" xr3:uid="{598C1EF8-03F1-4598-BE6F-5A8F829A93EA}" name="Handlungsfeld" dataDxfId="1237"/>
    <tableColumn id="2" xr3:uid="{0D009DC4-5D5C-4F76-9A75-86795C80B8A4}" name="Datenpunkt" dataDxfId="1236" dataCellStyle="Standard"/>
    <tableColumn id="3" xr3:uid="{9BE04590-A30E-4414-ACCC-E244E89AA1E2}" name="Einheit" dataCellStyle="Standard"/>
    <tableColumn id="4" xr3:uid="{478B840A-22AC-4530-A08D-5ECA1DB3F169}" name="2015" dataDxfId="1235" dataCellStyle="Standard"/>
    <tableColumn id="5" xr3:uid="{C7B2DFDB-7F5E-4EDB-B9F5-D5B5D190462A}" name="2016" dataDxfId="1234" dataCellStyle="Standard"/>
    <tableColumn id="6" xr3:uid="{CA8AB3EE-7F60-44FB-BF3A-32BCEAA7F235}" name="2017" dataDxfId="1233" dataCellStyle="Standard"/>
    <tableColumn id="7" xr3:uid="{3790F22B-62C5-4C5C-AB76-8B3C99AC731C}" name="2018" dataDxfId="1232" dataCellStyle="Standard"/>
    <tableColumn id="8" xr3:uid="{E0DCCBE8-D4EE-46E4-8BAD-CE2C927FCE38}" name="2019" dataDxfId="1231" dataCellStyle="Standard"/>
    <tableColumn id="9" xr3:uid="{591C45A6-DF88-4382-B94F-5653649E4700}" name="2020" dataDxfId="1230" dataCellStyle="Standard"/>
    <tableColumn id="10" xr3:uid="{D0F6E227-911A-40C8-8D15-B68F96A36485}" name="2021" dataDxfId="1229" dataCellStyle="Standard"/>
    <tableColumn id="11" xr3:uid="{D2AB919D-764E-4BFF-A8DC-F4FB3372EA37}" name="2022" dataDxfId="1228" dataCellStyle="Standard">
      <calculatedColumnFormula>IF(Refsz_Verbräuche[[#Headers],[2022]]=Startseite!$D$68,IF(OR(SUMIF($F18:Refsz_Verbräuche[[#This Row],[2021]],"&gt;0")&gt;0,), AVERAGEIF($F18:Refsz_Verbräuche[[#This Row],[2021]],"&lt;&gt;"""), ""),IF(Startseite!$D$68=(Refsz_Verbräuche[[#Headers],[2022]]-1),Refsz_Verbräuche[[#This Row],[2021]],IF(Startseite!$D$68&lt;Refsz_Verbräuche[[#Headers],[2022]],Refsz_Verbräuche[[#This Row],[2021]],"")))</calculatedColumnFormula>
    </tableColumn>
    <tableColumn id="12" xr3:uid="{AA25B162-9DE5-4835-A6EB-208FCFD2FCE4}" name="2023" dataDxfId="1227" dataCellStyle="Standard">
      <calculatedColumnFormula>IF(Refsz_Verbräuche[[#Headers],[2023]]=Startseite!$D$68,IF(OR(SUMIF($F18:Refsz_Verbräuche[[#This Row],[2022]],"&gt;0")&gt;0,), AVERAGEIF($F18:Refsz_Verbräuche[[#This Row],[2022]],"&lt;&gt;"""), ""),IF(Startseite!$D$68=(Refsz_Verbräuche[[#Headers],[2023]]-1),Refsz_Verbräuche[[#This Row],[2022]],IF(Startseite!$D$68&lt;Refsz_Verbräuche[[#Headers],[2023]],Refsz_Verbräuche[[#This Row],[2022]],"")))</calculatedColumnFormula>
    </tableColumn>
    <tableColumn id="13" xr3:uid="{7CA07D38-8B13-4DCE-B5ED-CCC2FB267E27}" name="2024" dataDxfId="1226" dataCellStyle="Standard">
      <calculatedColumnFormula>IF(Refsz_Verbräuche[[#Headers],[2024]]=Startseite!$D$68,IF(OR(SUMIF($F18:Refsz_Verbräuche[[#This Row],[2023]],"&gt;0")&gt;0,), AVERAGEIF($F18:Refsz_Verbräuche[[#This Row],[2023]],"&lt;&gt;"""), ""),IF(Startseite!$D$68=(Refsz_Verbräuche[[#Headers],[2024]]-1),Refsz_Verbräuche[[#This Row],[2023]],IF(Startseite!$D$68&lt;Refsz_Verbräuche[[#Headers],[2024]],Refsz_Verbräuche[[#This Row],[2023]],"")))</calculatedColumnFormula>
    </tableColumn>
    <tableColumn id="14" xr3:uid="{76C313F7-F539-47EE-A46F-F51E2357F7FD}" name="2025" dataDxfId="1225" dataCellStyle="Standard">
      <calculatedColumnFormula>IF(Refsz_Verbräuche[[#Headers],[2025]]=Startseite!$D$68,IF(OR(SUMIF($F18:Refsz_Verbräuche[[#This Row],[2024]],"&gt;0")&gt;0,), AVERAGEIF($F18:Refsz_Verbräuche[[#This Row],[2024]],"&lt;&gt;"""), ""),IF(Startseite!$D$68=(Refsz_Verbräuche[[#Headers],[2025]]-1),Refsz_Verbräuche[[#This Row],[2024]],IF(Startseite!$D$68&lt;Refsz_Verbräuche[[#Headers],[2025]],Refsz_Verbräuche[[#This Row],[2024]],"")))</calculatedColumnFormula>
    </tableColumn>
    <tableColumn id="15" xr3:uid="{DFF4C9B7-5EEF-463C-8FBC-CA3AC0CEB141}" name="2026" dataDxfId="1224" dataCellStyle="Standard">
      <calculatedColumnFormula>IF(Refsz_Verbräuche[[#Headers],[2026]]=Startseite!$D$68,IF(OR(SUMIF($F18:Refsz_Verbräuche[[#This Row],[2025]],"&gt;0")&gt;0,), AVERAGEIF($F18:Refsz_Verbräuche[[#This Row],[2025]],"&lt;&gt;"""), ""),IF(Startseite!$D$68=(Refsz_Verbräuche[[#Headers],[2026]]-1),Refsz_Verbräuche[[#This Row],[2025]],IF(Startseite!$D$68&lt;Refsz_Verbräuche[[#Headers],[2026]],Refsz_Verbräuche[[#This Row],[2025]],"")))</calculatedColumnFormula>
    </tableColumn>
    <tableColumn id="23" xr3:uid="{648B5E8E-C932-48ED-BC67-C5D3E28F7D04}" name="2027" dataDxfId="1223">
      <calculatedColumnFormula>IF(Refsz_Verbräuche[[#Headers],[2027]]=Startseite!$D$68,IF(OR(SUMIF($F18:Refsz_Verbräuche[[#This Row],[2026]],"&gt;0")&gt;0,), AVERAGEIF($F18:Refsz_Verbräuche[[#This Row],[2026]],"&lt;&gt;"""), ""),IF(Startseite!$D$68=(Refsz_Verbräuche[[#Headers],[2027]]-1),Refsz_Verbräuche[[#This Row],[2026]],IF(Startseite!$D$68&lt;Refsz_Verbräuche[[#Headers],[2027]],Refsz_Verbräuche[[#This Row],[2026]],"")))</calculatedColumnFormula>
    </tableColumn>
    <tableColumn id="24" xr3:uid="{2B038593-7FAC-4CC0-AF58-85A3486B0BE7}" name="2028" dataDxfId="1222">
      <calculatedColumnFormula>IF(Refsz_Verbräuche[[#Headers],[2028]]=Startseite!$D$68,IF(OR(SUMIF($F18:Refsz_Verbräuche[[#This Row],[2027]],"&gt;0")&gt;0,), AVERAGEIF($F18:Refsz_Verbräuche[[#This Row],[2027]],"&lt;&gt;"""), ""),IF(Startseite!$D$68=(Refsz_Verbräuche[[#Headers],[2028]]-1),Refsz_Verbräuche[[#This Row],[2027]],IF(Startseite!$D$68&lt;Refsz_Verbräuche[[#Headers],[2028]],Refsz_Verbräuche[[#This Row],[2027]],"")))</calculatedColumnFormula>
    </tableColumn>
    <tableColumn id="25" xr3:uid="{74F93B72-06AD-4057-BAEF-99ECEE0DCF6D}" name="2029" dataDxfId="1221">
      <calculatedColumnFormula>IF(Refsz_Verbräuche[[#Headers],[2029]]=Startseite!$D$68,IF(OR(SUMIF($F18:Refsz_Verbräuche[[#This Row],[2028]],"&gt;0")&gt;0,), AVERAGEIF($F18:Refsz_Verbräuche[[#This Row],[2028]],"&lt;&gt;"""), ""),IF(Startseite!$D$68=(Refsz_Verbräuche[[#Headers],[2029]]-1),Refsz_Verbräuche[[#This Row],[2028]],IF(Startseite!$D$68&lt;Refsz_Verbräuche[[#Headers],[2029]],Refsz_Verbräuche[[#This Row],[2028]],"")))</calculatedColumnFormula>
    </tableColumn>
    <tableColumn id="16" xr3:uid="{26AB2157-8222-41B6-83C3-E17408F17123}" name="2030" dataDxfId="1220" dataCellStyle="Standard">
      <calculatedColumnFormula>IF(Refsz_Verbräuche[[#Headers],[2030]]=Startseite!$D$68,IF(OR(SUMIF($F18:Refsz_Verbräuche[[#This Row],[2029]],"&gt;0")&gt;0,), AVERAGEIF($F18:Refsz_Verbräuche[[#This Row],[2029]],"&lt;&gt;"""), ""),IF(Startseite!$D$68=(Refsz_Verbräuche[[#Headers],[2030]]-1),Refsz_Verbräuche[[#This Row],[2029]],IF(Startseite!$D$68&lt;Refsz_Verbräuche[[#Headers],[2030]],Refsz_Verbräuche[[#This Row],[2029]],"")))</calculatedColumnFormula>
    </tableColumn>
    <tableColumn id="17" xr3:uid="{6C2E287D-174D-4C53-9D38-950194FE1B2C}" name="2035" dataDxfId="1219" dataCellStyle="Standard">
      <calculatedColumnFormula>IF(Refsz_Verbräuche[[#Headers],[2035]]=Startseite!$D$68,IF(OR(SUMIF($F18:Refsz_Verbräuche[[#This Row],[2030]],"&gt;0")&gt;0,), AVERAGEIF($F18:Refsz_Verbräuche[[#This Row],[2030]],"&lt;&gt;"""), ""),IF(Startseite!$D$68=(Refsz_Verbräuche[[#Headers],[2035]]-1),Refsz_Verbräuche[[#This Row],[2030]],IF(Startseite!$D$68&lt;Refsz_Verbräuche[[#Headers],[2035]],Refsz_Verbräuche[[#This Row],[2030]],"")))</calculatedColumnFormula>
    </tableColumn>
    <tableColumn id="18" xr3:uid="{167C717E-D423-4B58-A4B5-BFF4D1BD67FE}" name="2040" dataDxfId="1218" dataCellStyle="Standard">
      <calculatedColumnFormula>IF(Refsz_Verbräuche[[#Headers],[2040]]=Startseite!$D$68,IF(OR(SUMIF($F18:Refsz_Verbräuche[[#This Row],[2035]],"&gt;0")&gt;0,), AVERAGEIF($F18:Refsz_Verbräuche[[#This Row],[2035]],"&lt;&gt;"""), ""),IF(Startseite!$D$68=(Refsz_Verbräuche[[#Headers],[2040]]-1),Refsz_Verbräuche[[#This Row],[2035]],IF(Startseite!$D$68&lt;Refsz_Verbräuche[[#Headers],[2040]],Refsz_Verbräuche[[#This Row],[2035]],"")))</calculatedColumnFormula>
    </tableColumn>
    <tableColumn id="19" xr3:uid="{680AE67F-5222-4045-A0C1-AFB571C6C855}" name="2045" dataDxfId="1217" dataCellStyle="Standard">
      <calculatedColumnFormula>IF(Refsz_Verbräuche[[#Headers],[2045]]=Startseite!$D$68,IF(OR(SUMIF($F18:Refsz_Verbräuche[[#This Row],[2040]],"&gt;0")&gt;0,), AVERAGEIF($F18:Refsz_Verbräuche[[#This Row],[2040]],"&lt;&gt;"""), ""),IF(Startseite!$D$68=(Refsz_Verbräuche[[#Headers],[2045]]-1),Refsz_Verbräuche[[#This Row],[2040]],IF(Startseite!$D$68&lt;Refsz_Verbräuche[[#Headers],[2045]],Refsz_Verbräuche[[#This Row],[2040]],"")))</calculatedColumnFormula>
    </tableColumn>
    <tableColumn id="20" xr3:uid="{0381ADF3-E7FA-48CB-B6FF-3586015C3179}" name="2050" dataDxfId="1216" dataCellStyle="Standard">
      <calculatedColumnFormula>IF(Refsz_Verbräuche[[#Headers],[2050]]=Startseite!$D$68,IF(OR(SUMIF($F18:Refsz_Verbräuche[[#This Row],[2045]],"&gt;0")&gt;0,), AVERAGEIF($F18:Refsz_Verbräuche[[#This Row],[2045]],"&lt;&gt;"""), ""),IF(Startseite!$D$68=(Refsz_Verbräuche[[#Headers],[2050]]-1),Refsz_Verbräuche[[#This Row],[2045]],IF(Startseite!$D$68&lt;Refsz_Verbräuche[[#Headers],[2050]],Refsz_Verbräuche[[#This Row],[2045]],"")))</calculatedColumnFormula>
    </tableColumn>
    <tableColumn id="21" xr3:uid="{ABEFA9A7-A4FE-4D0F-8937-6A9637356CE4}" name="Bemerkungen" dataCellStyle="Standard"/>
    <tableColumn id="1" xr3:uid="{557B1DC9-3C1D-42C3-ACF8-61005DDFF6E4}" name=" " dataDxfId="1215" dataCellStyle="Standard"/>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30E790D-99E2-480E-B114-07E38B41A6D1}" name="Carnot_Grunddaten" displayName="Carnot_Grunddaten" ref="B145:X160" totalsRowShown="0" headerRowDxfId="506" tableBorderDxfId="505">
  <autoFilter ref="B145:X160" xr:uid="{68A8BA01-1E13-4B98-8477-EFECBE1D8255}"/>
  <tableColumns count="23">
    <tableColumn id="1" xr3:uid="{F3584D99-7265-48C8-AAD5-109D14A6D8A7}" name="Energieträger Input (Hu)" dataDxfId="504"/>
    <tableColumn id="2" xr3:uid="{F0BEEB5C-73DC-4763-9397-4C4324DB9449}" name="Einheit" dataDxfId="503"/>
    <tableColumn id="3" xr3:uid="{0AE3D70C-883F-4BCE-9E7D-BA2F34580D6F}" name="2015"/>
    <tableColumn id="4" xr3:uid="{F5DB1BE1-32F6-487F-86FE-D8AE4D13D773}" name="2016"/>
    <tableColumn id="5" xr3:uid="{5A71EE46-A657-45FB-820F-E9C3ED5D89F3}" name="2017"/>
    <tableColumn id="6" xr3:uid="{0F17C01B-FE60-48E4-B0D1-6737702003FE}" name="2018"/>
    <tableColumn id="7" xr3:uid="{DF059CD1-6C50-483B-A276-215758943191}" name="2019"/>
    <tableColumn id="8" xr3:uid="{AD3F7777-5D74-4A41-821C-B462E4C1018A}" name="2020"/>
    <tableColumn id="9" xr3:uid="{FD33613E-68B7-48D4-85E3-7D1080338954}" name="2021"/>
    <tableColumn id="10" xr3:uid="{AF931610-DC7B-4CAF-AF09-5046C2A5EABF}" name="2022"/>
    <tableColumn id="11" xr3:uid="{14A0238A-654D-452D-9D67-19F3B69A70E5}" name="2023"/>
    <tableColumn id="12" xr3:uid="{C0212394-24FC-4554-BB81-120342DA4E07}" name="2024"/>
    <tableColumn id="13" xr3:uid="{1324A494-42BB-4740-BA29-6B50FA787316}" name="2025"/>
    <tableColumn id="14" xr3:uid="{079AFD19-FBA7-48B5-8991-73A6BD717EEC}" name="2026"/>
    <tableColumn id="15" xr3:uid="{2069EAD8-F07C-4127-A850-624B27F23003}" name="2027"/>
    <tableColumn id="16" xr3:uid="{D4802749-02C6-4932-8E18-8E3339601802}" name="2028"/>
    <tableColumn id="17" xr3:uid="{73111939-E913-4185-8632-FE538CC8C29D}" name="2029"/>
    <tableColumn id="18" xr3:uid="{9B94A362-8064-4CE6-9991-10DFB9E0BAC6}" name="2030"/>
    <tableColumn id="19" xr3:uid="{E2A5D6B4-7D8F-4BB8-A0B1-07E1C8A7D996}" name="2035"/>
    <tableColumn id="20" xr3:uid="{7F54ED6F-999B-4952-820B-8559FC7BD33D}" name="2040"/>
    <tableColumn id="21" xr3:uid="{D7E06426-8B22-4F05-B478-E0C9CDE9EDA3}" name="2045"/>
    <tableColumn id="22" xr3:uid="{72BED650-ECC2-46A0-8A73-3A75FDC9F7E1}" name="2050"/>
    <tableColumn id="23" xr3:uid="{65E4E311-3903-42C8-BA74-76053279DA33}" name="Bemerkung"/>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DB2666-1DE3-4D39-8EC6-6C94E584DD87}" name="Eigenes_BHKWklein" displayName="Eigenes_BHKWklein" ref="B200:X204" totalsRowShown="0">
  <autoFilter ref="B200:X204" xr:uid="{7E3F54A2-329C-49F7-B41B-7CC335ABE5D3}"/>
  <tableColumns count="23">
    <tableColumn id="1" xr3:uid="{740376EB-6A9B-42F1-8262-E0B47571514E}" name="BHKW &lt; 500 kW"/>
    <tableColumn id="2" xr3:uid="{5D3C7AF4-A396-41EF-BE8C-1AB5D62FD69F}" name="Einheit" dataDxfId="502"/>
    <tableColumn id="3" xr3:uid="{79611B52-AB74-4A4C-A4A8-D3456B49E977}" name="2015" dataDxfId="501"/>
    <tableColumn id="4" xr3:uid="{1F8C3396-09C4-44FF-8A5E-5B47C0785E8D}" name="2016" dataDxfId="500"/>
    <tableColumn id="5" xr3:uid="{7B831327-0C8B-4960-9F9D-32FA57E59F8B}" name="2017" dataDxfId="499"/>
    <tableColumn id="6" xr3:uid="{D367E974-88A8-4B7A-906C-F40AA869A6FF}" name="2018" dataDxfId="498"/>
    <tableColumn id="7" xr3:uid="{48354C29-F7E5-4F84-9E71-F0BCB003E0CE}" name="2019" dataDxfId="497"/>
    <tableColumn id="8" xr3:uid="{9C361823-8117-4F49-B4ED-9AC29CAEC644}" name="2020" dataDxfId="496"/>
    <tableColumn id="9" xr3:uid="{E8EFFC5C-5364-4423-9097-45E3D2BFD516}" name="2021" dataDxfId="495"/>
    <tableColumn id="10" xr3:uid="{39911480-2384-487E-8805-B156811D42F3}" name="2022" dataDxfId="494"/>
    <tableColumn id="11" xr3:uid="{CAACDAFC-10AF-4721-82DD-3C431AF2649C}" name="2023" dataDxfId="493"/>
    <tableColumn id="12" xr3:uid="{BDB9DFFA-83A4-4CD1-B857-75C4AD70CB19}" name="2024" dataDxfId="492"/>
    <tableColumn id="13" xr3:uid="{0CD8475B-923E-43CD-B26B-CD5679489921}" name="2025" dataDxfId="491"/>
    <tableColumn id="14" xr3:uid="{F5FDF822-4E3A-4F84-8166-BB3249AF9F36}" name="2026" dataDxfId="490"/>
    <tableColumn id="21" xr3:uid="{5B47FD1E-BC4A-4518-B017-54B451140EBE}" name="2027"/>
    <tableColumn id="22" xr3:uid="{8F7E2B82-0195-405A-BCAB-340C53F74476}" name="2028"/>
    <tableColumn id="23" xr3:uid="{4A144E74-CFCE-41F2-8B55-DF5714725FF7}" name="2029"/>
    <tableColumn id="15" xr3:uid="{1FFC3126-078B-4E8F-AA80-EBC4EFD01BE4}" name="2030" dataDxfId="489"/>
    <tableColumn id="16" xr3:uid="{64CEF237-B0B1-4088-A5A9-A1A7221B90DA}" name="2035" dataDxfId="488"/>
    <tableColumn id="17" xr3:uid="{468FE779-7C07-45FC-A913-0C81DAD7AEA0}" name="2040" dataDxfId="487"/>
    <tableColumn id="18" xr3:uid="{AE6A5CC0-2128-4207-AF79-A30561DF7CD5}" name="2045" dataDxfId="486"/>
    <tableColumn id="19" xr3:uid="{A77DDB1D-58E3-43D7-A1FF-D4314115D593}" name="2050" dataDxfId="485"/>
    <tableColumn id="20" xr3:uid="{63EDEAC8-7E18-4C06-8151-6A7E2749AC97}" name="Bemerkung"/>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BF60BDD-08F6-4F8B-A13E-539A40BCDC50}" name="Eigenes_BHKWmittel" displayName="Eigenes_BHKWmittel" ref="B206:X210" totalsRowShown="0">
  <autoFilter ref="B206:X210" xr:uid="{751BAC4F-3E8D-41E5-8ADD-0DC8E50B85E3}"/>
  <tableColumns count="23">
    <tableColumn id="1" xr3:uid="{2E4C0454-E6B7-4C5A-BC1E-3AFCCF37908C}" name="BHKW 500 - 1.000 kW"/>
    <tableColumn id="2" xr3:uid="{BB0EE591-C713-4737-9D1B-0DEAEFE7180F}" name="Einheit" dataDxfId="484"/>
    <tableColumn id="3" xr3:uid="{867A0967-80BD-4485-A8C5-6FFE75EFB3E1}" name="2015" dataDxfId="483"/>
    <tableColumn id="4" xr3:uid="{2AD23A1F-CC63-490F-90D0-902546E9D432}" name="2016" dataDxfId="482"/>
    <tableColumn id="5" xr3:uid="{5ADCE5AB-FDDA-4DFF-814A-2D7DF2339F12}" name="2017" dataDxfId="481"/>
    <tableColumn id="6" xr3:uid="{DB18CF34-3623-4D3C-A402-E6C59B3D8CC8}" name="2018" dataDxfId="480"/>
    <tableColumn id="7" xr3:uid="{858674C5-7200-4609-9A19-58B49F893343}" name="2019" dataDxfId="479"/>
    <tableColumn id="8" xr3:uid="{83E5CCC6-1FD5-483B-A85A-AD67CC5C6C4D}" name="2020" dataDxfId="478"/>
    <tableColumn id="9" xr3:uid="{950DF4F9-F29B-4EA3-B935-E051E3B17324}" name="2021" dataDxfId="477"/>
    <tableColumn id="10" xr3:uid="{A647120B-C03D-47B1-BD45-0852D325D83B}" name="2022" dataDxfId="476"/>
    <tableColumn id="11" xr3:uid="{A6A609E9-58B1-41E8-B0EA-CB357F100705}" name="2023" dataDxfId="475"/>
    <tableColumn id="12" xr3:uid="{C99558A9-4577-40D2-85C5-2DD9F0729098}" name="2024" dataDxfId="474"/>
    <tableColumn id="13" xr3:uid="{E984AD7B-9C62-4D59-91A6-94F6A0E6185E}" name="2025" dataDxfId="473"/>
    <tableColumn id="14" xr3:uid="{7753C652-E9F4-41B5-BD14-CDB209BC1ABE}" name="2026" dataDxfId="472"/>
    <tableColumn id="21" xr3:uid="{F3BBB404-819C-4485-B8A2-FC97D3E6BBE9}" name="2027"/>
    <tableColumn id="22" xr3:uid="{733138A5-0160-4AD9-BE65-863EFBFD9821}" name="2028"/>
    <tableColumn id="23" xr3:uid="{7F1F7CD0-6C7E-45B1-AED6-4BAF8723DDBF}" name="2029"/>
    <tableColumn id="15" xr3:uid="{AF2CBF72-84E9-4AFA-A3BB-CE1EC8FDF3FC}" name="2030" dataDxfId="471"/>
    <tableColumn id="16" xr3:uid="{2745B0A7-37D0-4582-95D6-19FBA691786A}" name="2035" dataDxfId="470"/>
    <tableColumn id="17" xr3:uid="{B30C1CE9-157C-4490-B32B-09211A324B1C}" name="2040" dataDxfId="469"/>
    <tableColumn id="18" xr3:uid="{9BB8B10C-04DF-4C75-91C8-972421C11F9D}" name="2045" dataDxfId="468"/>
    <tableColumn id="19" xr3:uid="{B1BE9F80-F8C9-45AC-B493-70AA222D9F01}" name="2050" dataDxfId="467"/>
    <tableColumn id="20" xr3:uid="{497CECD5-5860-4F07-A1C4-2F3D3A85413E}" name="Bemerkung" dataDxfId="466"/>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5260A202-8220-4048-9CA5-C26DB70AC006}" name="Eigenes_BHKWgroß" displayName="Eigenes_BHKWgroß" ref="B212:X216" totalsRowShown="0">
  <autoFilter ref="B212:X216" xr:uid="{CCECA5FB-6BF0-4F7B-B355-D55E2353D3C8}"/>
  <tableColumns count="23">
    <tableColumn id="1" xr3:uid="{B45D8EF5-1E3E-41BE-AD29-5F09E3DF391E}" name="BHKW 1.000 - 2.000 kW"/>
    <tableColumn id="2" xr3:uid="{65EE8F27-6CB3-43C8-93D3-DFB693560F33}" name="Einheit" dataDxfId="465"/>
    <tableColumn id="3" xr3:uid="{50B386C9-B916-41FB-914F-3B44A75A24A3}" name="2015" dataDxfId="464"/>
    <tableColumn id="4" xr3:uid="{4B2F590C-3D88-45F8-B593-2E5B272BE213}" name="2016" dataDxfId="463"/>
    <tableColumn id="5" xr3:uid="{C425B7BA-3531-4BF7-8DDE-9133EBD21D72}" name="2017" dataDxfId="462"/>
    <tableColumn id="6" xr3:uid="{05C4D9E4-7CA8-42D6-B394-13D614831F6C}" name="2018" dataDxfId="461"/>
    <tableColumn id="7" xr3:uid="{BDEBC737-09D1-4893-B498-E8C6B7179EF4}" name="2019" dataDxfId="460"/>
    <tableColumn id="8" xr3:uid="{0FD7B498-FCFA-42B4-9329-2FB10FFC265B}" name="2020" dataDxfId="459"/>
    <tableColumn id="9" xr3:uid="{2A2AA726-7F5F-4A15-8609-C3EAE2569EDB}" name="2021" dataDxfId="458"/>
    <tableColumn id="10" xr3:uid="{1520E6CC-F981-4EB4-B80A-763A8C09B258}" name="2022" dataDxfId="457"/>
    <tableColumn id="11" xr3:uid="{9708429A-AB84-4674-A4ED-13740D13C647}" name="2023" dataDxfId="456"/>
    <tableColumn id="12" xr3:uid="{9BA4074E-6B21-4EA6-B879-488EFA1893F8}" name="2024" dataDxfId="455"/>
    <tableColumn id="13" xr3:uid="{797AD938-E138-4C81-8C11-3B2888FCA3AD}" name="2025" dataDxfId="454"/>
    <tableColumn id="14" xr3:uid="{B49AE788-497E-429D-8503-741A0EE2C3DE}" name="2026" dataDxfId="453"/>
    <tableColumn id="21" xr3:uid="{277FE26B-194C-4721-A226-0982D7F739F5}" name="2027"/>
    <tableColumn id="22" xr3:uid="{A1B31CE5-CE8B-4CA1-AD7C-1E23FC419B3C}" name="2028"/>
    <tableColumn id="23" xr3:uid="{AD668B06-481C-489C-AF40-782E81A4221E}" name="2029"/>
    <tableColumn id="15" xr3:uid="{DBBAF005-8577-48D5-B586-E6F313C9F1A2}" name="2030" dataDxfId="452"/>
    <tableColumn id="16" xr3:uid="{7517E1E3-C5F2-4978-921C-6D0B9A84D09C}" name="2035" dataDxfId="451"/>
    <tableColumn id="17" xr3:uid="{A6635203-2986-4857-9A6B-4C5A1E84DDE2}" name="2040" dataDxfId="450"/>
    <tableColumn id="18" xr3:uid="{9935D2BE-2EBA-46B4-97C1-4A8A5F66E50B}" name="2045" dataDxfId="449"/>
    <tableColumn id="19" xr3:uid="{75484BDB-337A-4F30-8F0B-AEC15A03A9F5}" name="2050" dataDxfId="448"/>
    <tableColumn id="20" xr3:uid="{34D3D810-BA80-4252-A90B-4ED2421BF368}" name="Bemerkung"/>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8B15711D-9A30-40E0-A12C-646F3F85E77B}" name="Carnot_Allokation" displayName="Carnot_Allokation" ref="B169:X175" totalsRowShown="0" headerRowDxfId="447" dataDxfId="446">
  <autoFilter ref="B169:X175" xr:uid="{83E2DC6A-393F-4FC0-8FF7-3D74DD376C39}"/>
  <tableColumns count="23">
    <tableColumn id="1" xr3:uid="{95C555AF-B649-4740-BCBD-9BF72FD67354}" name="  " dataDxfId="445"/>
    <tableColumn id="2" xr3:uid="{EF765D26-0140-44CF-87BC-FAC275B11230}" name="Einheit" dataDxfId="444"/>
    <tableColumn id="3" xr3:uid="{87F11BC5-7D8B-4E14-A31B-6D2755D6F4A6}" name="2015" dataDxfId="443" dataCellStyle="Prozent"/>
    <tableColumn id="4" xr3:uid="{2949F04E-AA94-442C-8DB0-EBDC2F34F531}" name="2016" dataDxfId="442" dataCellStyle="Prozent"/>
    <tableColumn id="5" xr3:uid="{F8F6F361-23C6-4C8B-A403-6AB91FB96A8D}" name="2017" dataDxfId="441" dataCellStyle="Prozent"/>
    <tableColumn id="6" xr3:uid="{2055DFD2-29E5-4185-9C4C-5EBF7FE3AEBF}" name="2018" dataDxfId="440"/>
    <tableColumn id="7" xr3:uid="{ECC65718-EF68-4CBF-96A5-FF4353D57006}" name="2019" dataDxfId="439"/>
    <tableColumn id="8" xr3:uid="{1CD9848D-3F5A-42EC-B01F-29BD1DE827E0}" name="2020" dataDxfId="438"/>
    <tableColumn id="9" xr3:uid="{223CF960-FA88-4261-8DED-43FFC9AB1BA8}" name="2021" dataDxfId="437"/>
    <tableColumn id="10" xr3:uid="{ADC4A7C4-9C4B-4F34-A18F-2E269BCDABD2}" name="2022" dataDxfId="436"/>
    <tableColumn id="11" xr3:uid="{EA4C8B6E-4157-436B-A461-56D67B490043}" name="2023" dataDxfId="435"/>
    <tableColumn id="12" xr3:uid="{98C1ECC0-F573-4120-BA51-4AFEEF89951F}" name="2024" dataDxfId="434"/>
    <tableColumn id="13" xr3:uid="{D8569BAE-02B9-4A1D-8E2F-3F6F735BC017}" name="2025" dataDxfId="433"/>
    <tableColumn id="14" xr3:uid="{2BB4A3F9-BEC2-4F12-B60B-9006EE992822}" name="2026" dataDxfId="432"/>
    <tableColumn id="15" xr3:uid="{8EC621F1-1A63-41C1-A76B-D7C32E7E1EAE}" name="2027" dataDxfId="431"/>
    <tableColumn id="16" xr3:uid="{665776EC-8119-4221-9375-B347A28A46D8}" name="2028" dataDxfId="430"/>
    <tableColumn id="17" xr3:uid="{4883F5B7-F294-48DF-A728-1BB24E688E43}" name="2029" dataDxfId="429"/>
    <tableColumn id="18" xr3:uid="{3EAD9EAF-3B1D-4EA7-8A22-1D358803DCBE}" name="2030" dataDxfId="428"/>
    <tableColumn id="19" xr3:uid="{448F08AA-3BFD-463C-82F4-C62E6446E6AD}" name="2035" dataDxfId="427"/>
    <tableColumn id="20" xr3:uid="{A9F2933D-4B3C-4B61-BCA6-8085968CE2C4}" name="2040" dataDxfId="426"/>
    <tableColumn id="21" xr3:uid="{A49E600A-D95E-49D9-8570-96C207771F7A}" name="2045" dataDxfId="425"/>
    <tableColumn id="22" xr3:uid="{E1E62669-A888-4D27-8298-F33EA4386681}" name="2050" dataDxfId="424"/>
    <tableColumn id="23" xr3:uid="{54C5C114-9956-4C5D-B896-A6C5819E2E42}" name="Bemerkung" dataDxfId="423"/>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BB0873F-3DED-4836-999D-A680D55FA409}" name="Carnot_Strom_Waerme_Emissionen" displayName="Carnot_Strom_Waerme_Emissionen" ref="B178:X180" totalsRowShown="0" headerRowDxfId="422" dataDxfId="421">
  <autoFilter ref="B178:X180" xr:uid="{8B7D5D09-47E5-446B-BECF-5A2DF1F3422F}"/>
  <tableColumns count="23">
    <tableColumn id="1" xr3:uid="{3F52B6DA-2A2E-47D1-A355-42C3534FF68B}" name=" " dataDxfId="420"/>
    <tableColumn id="2" xr3:uid="{67091D18-64DC-4EF0-BE2F-EEF5D39A5269}" name="Einheit" dataDxfId="419"/>
    <tableColumn id="3" xr3:uid="{43BCE8F4-4DA8-4DAC-8DED-EEFD4C48F01A}" name="2015" dataDxfId="418">
      <calculatedColumnFormula>+#REF!*D174</calculatedColumnFormula>
    </tableColumn>
    <tableColumn id="4" xr3:uid="{FC1BB77C-313C-4BC6-B708-30AF21273C0F}" name="2016" dataDxfId="417"/>
    <tableColumn id="5" xr3:uid="{04EDDDD3-EC28-48AD-9B86-70DA1D14879F}" name="2017" dataDxfId="416"/>
    <tableColumn id="6" xr3:uid="{7CDB6F44-47DA-4294-BBBF-60C936698558}" name="2018" dataDxfId="415"/>
    <tableColumn id="7" xr3:uid="{0DFB5800-226E-4E14-BBB7-A1B4CDBD585E}" name="2019" dataDxfId="414"/>
    <tableColumn id="8" xr3:uid="{253829C2-AE40-4AB5-88C5-BBA64D06A416}" name="2020" dataDxfId="413"/>
    <tableColumn id="9" xr3:uid="{DD239092-C76B-451A-AD9C-A05726949E18}" name="2021" dataDxfId="412"/>
    <tableColumn id="10" xr3:uid="{02CC5199-DF4F-4B6D-982B-947A8604CE51}" name="2022" dataDxfId="411"/>
    <tableColumn id="11" xr3:uid="{DA9ECD23-0752-4AD3-8752-A8AC280148D5}" name="2023" dataDxfId="410"/>
    <tableColumn id="12" xr3:uid="{6DBA3A15-09A6-4C29-8E82-6799694B4AD3}" name="2024" dataDxfId="409"/>
    <tableColumn id="13" xr3:uid="{D250D80E-5FF7-4A57-B679-B7DAE4B57459}" name="2025" dataDxfId="408"/>
    <tableColumn id="14" xr3:uid="{F7CCFA9D-AB44-4FB6-8A29-DEA3E3A0900C}" name="2026" dataDxfId="407"/>
    <tableColumn id="15" xr3:uid="{0C5F9EF7-6B23-4706-85FB-02FC34E2FB5D}" name="2027" dataDxfId="406"/>
    <tableColumn id="16" xr3:uid="{FA942160-257B-4179-AD10-2849A9AB5692}" name="2028" dataDxfId="405"/>
    <tableColumn id="17" xr3:uid="{788C223E-837C-4773-801C-C0DE0984B6B0}" name="2029" dataDxfId="404"/>
    <tableColumn id="18" xr3:uid="{8201150F-BD27-4FDA-9829-1474F25EDD5A}" name="2030" dataDxfId="403"/>
    <tableColumn id="19" xr3:uid="{28162399-C583-4159-AABF-C205D1BD288C}" name="2035" dataDxfId="402"/>
    <tableColumn id="20" xr3:uid="{75A3CB18-B69F-41BB-BF9E-1C3CC3337F07}" name="2040" dataDxfId="401"/>
    <tableColumn id="21" xr3:uid="{6810913D-A42B-4288-96ED-2E862737DC10}" name="2045" dataDxfId="400"/>
    <tableColumn id="22" xr3:uid="{DD64CC2B-BC0F-4AD2-9051-34194134E657}" name="2050" dataDxfId="399"/>
    <tableColumn id="23" xr3:uid="{1F96D542-96AB-4305-9556-0E2EC4F78751}" name="Bemerkung" dataDxfId="398"/>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4CEB5BB-45F5-48AA-9F5B-5D4ACBDE722D}" name="Carnot_Ergebnisse" displayName="Carnot_Ergebnisse" ref="B183:X187" totalsRowShown="0" headerRowDxfId="397" headerRowBorderDxfId="396" tableBorderDxfId="395">
  <autoFilter ref="B183:X187" xr:uid="{2511D932-96CA-44AD-BAA3-E527E2C0436E}"/>
  <tableColumns count="23">
    <tableColumn id="1" xr3:uid="{C31B8925-1D91-4EBC-934C-4495A8E5E431}" name="Ergebnisse"/>
    <tableColumn id="2" xr3:uid="{3DC3852E-2024-4F28-B44A-C27C1316C6F2}" name="Einheit"/>
    <tableColumn id="3" xr3:uid="{0ED4A82C-C2A2-42B8-B592-4A3FF26368E4}" name="2015"/>
    <tableColumn id="4" xr3:uid="{C36617D0-A764-444E-BC48-A06BB8C3DE0D}" name="2016"/>
    <tableColumn id="5" xr3:uid="{A7D554BA-DE0A-4F17-93C1-71E1D105407E}" name="2017" dataDxfId="394"/>
    <tableColumn id="6" xr3:uid="{7FA18A9F-AE48-4763-AC3C-F8902234C770}" name="2018" dataDxfId="393"/>
    <tableColumn id="7" xr3:uid="{B8A26901-86CF-4C6B-A081-8D31467BFB05}" name="2019" dataDxfId="392"/>
    <tableColumn id="8" xr3:uid="{1FE5AF7D-4D71-4374-98EA-0959476D21AC}" name="2020" dataDxfId="391"/>
    <tableColumn id="9" xr3:uid="{21C96810-DB3D-498F-BF82-F0A5503093F1}" name="2021" dataDxfId="390"/>
    <tableColumn id="10" xr3:uid="{1ED900DA-88CB-49E5-8CEC-AE1CBDCF44AF}" name="2022" dataDxfId="389"/>
    <tableColumn id="11" xr3:uid="{C21E197E-3223-4FD5-A75B-4FB0EA81C294}" name="2023" dataDxfId="388"/>
    <tableColumn id="12" xr3:uid="{EA484FF3-70CF-4162-BE46-C6978515BD2A}" name="2024" dataDxfId="387"/>
    <tableColumn id="13" xr3:uid="{CD440541-AB4E-42EC-817F-0B93026D1E69}" name="2025"/>
    <tableColumn id="14" xr3:uid="{ADBAF64E-DC2A-46D9-ADD0-D52D57F3C7EE}" name="2026"/>
    <tableColumn id="15" xr3:uid="{951E6C90-5D03-4C79-82B2-DD825E76536B}" name="2027"/>
    <tableColumn id="16" xr3:uid="{A86A878A-259B-4D21-BC84-509BF77130F7}" name="2028"/>
    <tableColumn id="17" xr3:uid="{3D95AACC-B756-4C49-8580-19849B134A20}" name="2029"/>
    <tableColumn id="18" xr3:uid="{6DB8A35D-C282-4951-878A-DBC1ED4275C2}" name="2030"/>
    <tableColumn id="19" xr3:uid="{CE5D6122-9ECA-404A-BAD3-C7ABF7B50571}" name="2035"/>
    <tableColumn id="20" xr3:uid="{2704F500-2A84-479D-8E65-C17A813E3003}" name="2040"/>
    <tableColumn id="21" xr3:uid="{FFDFCB42-38E5-43C9-AE9F-A61C7FAE25EF}" name="2045"/>
    <tableColumn id="22" xr3:uid="{129832D3-5F04-4562-B1AF-751F481F99A2}" name="2050"/>
    <tableColumn id="23" xr3:uid="{B17E404C-A163-4838-A0D0-C671F8B039FE}" name="Bemerkung"/>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87463C7-7B0F-4A51-ACE1-7370EEA19B1D}" name="Emissionsfaktoren" displayName="Emissionsfaktoren" ref="B17:Z178" totalsRowShown="0" headerRowDxfId="377" dataDxfId="376">
  <autoFilter ref="B17:Z178" xr:uid="{A87463C7-7B0F-4A51-ACE1-7370EEA19B1D}"/>
  <tableColumns count="25">
    <tableColumn id="23" xr3:uid="{6DA0BF35-1FE7-4B65-9BDC-5667FE2FF2FE}" name="ID" dataDxfId="375"/>
    <tableColumn id="2" xr3:uid="{05883407-4B4B-4BEA-9DE9-3981E62857DC}" name="Handlungsfeld" dataDxfId="374">
      <calculatedColumnFormula>Refsz_Verbräuche[[#This Row],[Datenpunkt]]</calculatedColumnFormula>
    </tableColumn>
    <tableColumn id="3" xr3:uid="{BB38C044-F4AA-42C5-9093-45BFD5CD120B}" name="Einheit" dataDxfId="373"/>
    <tableColumn id="4" xr3:uid="{5BD321DD-7F20-484C-8F6A-5B53B8CDB9CB}" name="2015" dataDxfId="372"/>
    <tableColumn id="5" xr3:uid="{08A624E6-B4BA-48A9-A0A0-E04D85531EA3}" name="2016" dataDxfId="371"/>
    <tableColumn id="6" xr3:uid="{0AA12D1F-BD4A-46C3-B04B-3CDAAFAE8C88}" name="2017" dataDxfId="370"/>
    <tableColumn id="7" xr3:uid="{C3D8E67C-137A-4D73-BC8E-EF5C1616FC9A}" name="2018" dataDxfId="369"/>
    <tableColumn id="8" xr3:uid="{8EA1C9B5-4391-405D-9F2E-B9E1561EB2CA}" name="2019" dataDxfId="368"/>
    <tableColumn id="9" xr3:uid="{2BAF3239-B774-44D7-BAC1-3EFC2B4BB2C2}" name="2020" dataDxfId="367"/>
    <tableColumn id="10" xr3:uid="{E463CAE1-7BC5-483D-8695-9628136D9CA6}" name="2021" dataDxfId="366"/>
    <tableColumn id="11" xr3:uid="{CD8766D1-4AC6-440E-B151-04B8823BD1CE}" name="2022" dataDxfId="365"/>
    <tableColumn id="12" xr3:uid="{EA083C1A-D519-4405-B04C-97A009B840A3}" name="2023" dataDxfId="364"/>
    <tableColumn id="13" xr3:uid="{CB3074B3-20B7-40BB-B8AA-1CE46F62003B}" name="2024" dataDxfId="363"/>
    <tableColumn id="14" xr3:uid="{5911E661-8923-4E7D-92AE-3663F037ED5A}" name="2025" dataDxfId="362"/>
    <tableColumn id="15" xr3:uid="{94C46596-BB77-43A2-A486-A5A682BDE3E2}" name="2026" dataDxfId="361"/>
    <tableColumn id="1" xr3:uid="{78F2BEAD-5899-43B8-84FD-E14A2FA55C03}" name="2027" dataDxfId="360"/>
    <tableColumn id="24" xr3:uid="{E9A34C40-9891-44BB-A310-832584B9C883}" name="2028" dataDxfId="359"/>
    <tableColumn id="25" xr3:uid="{871C6D19-B649-4D8F-A2B0-83A5D5006644}" name="2029" dataDxfId="358"/>
    <tableColumn id="16" xr3:uid="{0694A159-FE8C-43A7-AFC8-738AFE4B556D}" name="2030" dataDxfId="357"/>
    <tableColumn id="17" xr3:uid="{FDE2A4C5-2F37-4E3D-9353-453B389E7129}" name="2035" dataDxfId="356"/>
    <tableColumn id="18" xr3:uid="{5E083433-6B59-49AF-88EA-A15227548C14}" name="2040" dataDxfId="355"/>
    <tableColumn id="19" xr3:uid="{B7BB069C-A295-4938-A70B-5411F7836CE5}" name="2045" dataDxfId="354"/>
    <tableColumn id="20" xr3:uid="{9789B175-A83E-4347-BF1D-C42BBABF8D35}" name="2050" dataDxfId="353"/>
    <tableColumn id="21" xr3:uid="{AAAA194D-5976-4340-9A74-0858637D1315}" name="Quelle" dataDxfId="352"/>
    <tableColumn id="22" xr3:uid="{D4260EA2-29BA-4DC5-B483-3805182DFD61}" name="Datensatz, Hinweise" dataDxfId="351"/>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808FF5BF-CEC9-4679-8028-5A4136E49A4C}" name="Tabelle2" displayName="Tabelle2" ref="B181:Z191" totalsRowShown="0">
  <autoFilter ref="B181:Z191" xr:uid="{10784E08-AFAA-49B3-BAC3-10E87798549C}"/>
  <tableColumns count="25">
    <tableColumn id="1" xr3:uid="{5B6F413C-4E92-46BF-A735-37A2A2DC87E1}" name="ID" dataDxfId="350"/>
    <tableColumn id="2" xr3:uid="{F27934F3-C530-46D0-A9F1-6087FA7C6317}" name="Energieträger" dataDxfId="349"/>
    <tableColumn id="3" xr3:uid="{1B30940B-CA20-49DE-BC88-128DA32AF716}" name="Einheit"/>
    <tableColumn id="4" xr3:uid="{4AF20592-436F-4002-9D7D-80FD6ED9BACF}" name="2015" dataDxfId="348"/>
    <tableColumn id="5" xr3:uid="{AEDD92E4-12F9-411F-A3A2-9AB2E42BEBEA}" name="2016" dataDxfId="347"/>
    <tableColumn id="6" xr3:uid="{CAACCE7F-D2EC-4B38-8537-D6AA84376EF9}" name="2017" dataDxfId="346"/>
    <tableColumn id="7" xr3:uid="{4E341626-4E4E-4039-8CB1-68C6975EA85D}" name="2018" dataDxfId="345"/>
    <tableColumn id="8" xr3:uid="{1A3EE90A-3DC6-4DFD-ADCF-8632235B4115}" name="2019" dataDxfId="344"/>
    <tableColumn id="9" xr3:uid="{1339B7AF-7D91-4A54-9ECC-62DB7F3E85CF}" name="2020" dataDxfId="343"/>
    <tableColumn id="10" xr3:uid="{032FAB5A-786A-4E8A-8296-F7CF3B501FD6}" name="2021" dataDxfId="342"/>
    <tableColumn id="11" xr3:uid="{B61F40E9-261F-44DC-859D-740FCD8F15C2}" name="2022" dataDxfId="341"/>
    <tableColumn id="12" xr3:uid="{5A3900CA-FB35-41B8-8A1C-38BEF9281EF8}" name="2023" dataDxfId="340"/>
    <tableColumn id="13" xr3:uid="{8690BFB9-C267-4F22-AEC7-254B82039B23}" name="2024" dataDxfId="339"/>
    <tableColumn id="14" xr3:uid="{3987C13B-40B8-4804-A105-00BA5224A937}" name="2025" dataDxfId="338"/>
    <tableColumn id="15" xr3:uid="{3912A7E1-954A-4370-94A0-14928AD01CA9}" name="2026" dataDxfId="337"/>
    <tableColumn id="16" xr3:uid="{8BD95D4A-43E0-4E85-A3DA-1B90628EBE25}" name="2027" dataDxfId="336"/>
    <tableColumn id="17" xr3:uid="{E30C80D8-43E0-461C-AB72-5173C1379FB5}" name="2028" dataDxfId="335"/>
    <tableColumn id="18" xr3:uid="{C2A2EBE8-C8AD-418D-9BF8-BBECB41C8704}" name="2029" dataDxfId="334"/>
    <tableColumn id="19" xr3:uid="{88032963-A9C3-4514-8BE3-862EA6753795}" name="2030" dataDxfId="333"/>
    <tableColumn id="20" xr3:uid="{E348174A-3F35-4942-8B3C-2E415DA58B3F}" name="2035" dataDxfId="332"/>
    <tableColumn id="21" xr3:uid="{F0768B2C-8D10-4AA6-BFB0-5BD49CCB6940}" name="2040" dataDxfId="331"/>
    <tableColumn id="22" xr3:uid="{B9A241A1-12C7-4D5C-8E37-FBFB48B9493C}" name="2045" dataDxfId="330"/>
    <tableColumn id="23" xr3:uid="{E97DD9E1-E176-4F61-876F-5A48DAFB6D54}" name="2050" dataDxfId="329"/>
    <tableColumn id="24" xr3:uid="{EA4B4910-474A-4330-872F-8F7DACCFC028}" name="Quelle"/>
    <tableColumn id="25" xr3:uid="{7BE12ECD-B18B-4F38-A05A-1C1EEFFF24D3}" name="Datensatz, Hinweise" dataDxfId="328"/>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88030A2-5C24-451D-9333-633347761C9C}" name="Emissionsfaktoren_Scopeberechnung" displayName="Emissionsfaktoren_Scopeberechnung" ref="B194:H230" totalsRowShown="0" headerRowDxfId="327" dataDxfId="326">
  <autoFilter ref="B194:H230" xr:uid="{3EFC7738-4B0C-4A51-AA3F-DD37CD69A804}"/>
  <tableColumns count="7">
    <tableColumn id="1" xr3:uid="{74975F9F-274A-4587-A4AF-052C6CF7F91A}" name="ID" dataDxfId="325"/>
    <tableColumn id="2" xr3:uid="{3AE6083E-A768-40EC-A8FD-A96035A32065}" name="Handlungsfeld" dataDxfId="324">
      <calculatedColumnFormula>C18</calculatedColumnFormula>
    </tableColumn>
    <tableColumn id="3" xr3:uid="{BAB5D04C-3A79-4003-B22D-D58AE0D0B454}" name="Einheit" dataDxfId="323"/>
    <tableColumn id="4" xr3:uid="{840C8FA6-40D6-4B9B-B766-2380F8606077}" name="Gesamt" dataDxfId="322"/>
    <tableColumn id="5" xr3:uid="{AE0C548E-DC9B-4646-81E8-14C58BC073FC}" name="Scope 1" dataDxfId="321"/>
    <tableColumn id="6" xr3:uid="{14BCDC49-BD6E-4749-B453-A04FFD34C027}" name="Scope 2" dataDxfId="320"/>
    <tableColumn id="7" xr3:uid="{442986F0-516B-4ECF-94CC-785228927B05}" name="Scope 3" dataDxfId="31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1BD901-FF3A-42E7-8CC1-BC71416786C0}" name="Klisz_Verbräuche" displayName="Klisz_Verbräuche" ref="B17:AA178" totalsRowShown="0" headerRowCellStyle="Standard" dataCellStyle="Standard">
  <autoFilter ref="B17:AA178" xr:uid="{27EB4125-8631-4298-A1A8-144C72CCE532}"/>
  <tableColumns count="26">
    <tableColumn id="22" xr3:uid="{10D17B78-D335-4DF3-9C1A-6FABCB7DBB67}" name="ID" dataDxfId="1213" dataCellStyle="Standard"/>
    <tableColumn id="26" xr3:uid="{36A9F074-9E3A-4576-9BAA-20E93227A7C8}" name="Handlungsfeld" dataDxfId="1212">
      <calculatedColumnFormula>Refsz_Verbräuche[[#This Row],[Handlungsfeld]]</calculatedColumnFormula>
    </tableColumn>
    <tableColumn id="2" xr3:uid="{03D78399-2437-428D-8F11-ECA884BC6C5F}" name="Datenpunkt" dataDxfId="1211" dataCellStyle="Standard"/>
    <tableColumn id="3" xr3:uid="{7EBC1C18-011B-437B-85C5-9A74BEBA6EA6}" name="Einheit" dataDxfId="1210" dataCellStyle="Standard"/>
    <tableColumn id="21" xr3:uid="{ADAC9A44-E470-4E3C-8ADF-DD5107A65A00}" name="Jährlicher Minderungs- faktor" dataDxfId="1209" dataCellStyle="Prozent"/>
    <tableColumn id="4" xr3:uid="{62F4A6B7-3F16-4646-AFD4-6D436451FB59}" name="2015" dataDxfId="1208" dataCellStyle="Standard">
      <calculatedColumnFormula>IF(ISBLANK(Refsz_Verbräuche[[#This Row],[2015]]),"",Refsz_Verbräuche[[#This Row],[2015]])</calculatedColumnFormula>
    </tableColumn>
    <tableColumn id="5" xr3:uid="{E34619BC-BAFB-4569-81E0-46E0293A40C2}" name="2016" dataDxfId="1207" dataCellStyle="Standard">
      <calculatedColumnFormula>IF(ISBLANK(Refsz_Verbräuche[[#This Row],[2016]]),"",Refsz_Verbräuche[[#This Row],[2016]])</calculatedColumnFormula>
    </tableColumn>
    <tableColumn id="6" xr3:uid="{6F6BC5F4-1391-4535-90CD-E602D11721F0}" name="2017" dataDxfId="1206" dataCellStyle="Standard">
      <calculatedColumnFormula>IF(ISBLANK(Refsz_Verbräuche[[#This Row],[2017]]),"",Refsz_Verbräuche[[#This Row],[2017]])</calculatedColumnFormula>
    </tableColumn>
    <tableColumn id="7" xr3:uid="{12EB4926-5148-40BC-8842-D7B66804FD24}" name="2018" dataDxfId="1205" dataCellStyle="Standard">
      <calculatedColumnFormula>IF(ISBLANK(Refsz_Verbräuche[[#This Row],[2018]]),"",Refsz_Verbräuche[[#This Row],[2018]])</calculatedColumnFormula>
    </tableColumn>
    <tableColumn id="8" xr3:uid="{7DC4AC8F-F158-4F5A-8AB3-D6FDBAA19137}" name="2019" dataDxfId="1204" dataCellStyle="Standard">
      <calculatedColumnFormula>IF(ISBLANK(Refsz_Verbräuche[[#This Row],[2019]]),"",Refsz_Verbräuche[[#This Row],[2019]])</calculatedColumnFormula>
    </tableColumn>
    <tableColumn id="9" xr3:uid="{2052AC62-536C-440B-9329-115F74B1BA4B}" name="2020" dataDxfId="1203" dataCellStyle="Standard">
      <calculatedColumnFormula>IF(ISBLANK(Refsz_Verbräuche[[#This Row],[2020]]),"",Refsz_Verbräuche[[#This Row],[2020]])</calculatedColumnFormula>
    </tableColumn>
    <tableColumn id="10" xr3:uid="{9EECB01F-B9B8-4F09-8D4E-3C78FD0952AF}" name="2021" dataDxfId="1202" dataCellStyle="Standard">
      <calculatedColumnFormula>IF(ISBLANK(Refsz_Verbräuche[[#This Row],[2021]]),"",Refsz_Verbräuche[[#This Row],[2021]])</calculatedColumnFormula>
    </tableColumn>
    <tableColumn id="11" xr3:uid="{6EE57987-5528-454C-A81E-CB0450A064C9}" name="2022" dataDxfId="1201" dataCellStyle="Standard">
      <calculatedColumnFormula>IF(Klisz_Verbräuche[[#Headers],[2022]]=$B$14,IF(COUNTIF($G18:Klisz_Verbräuche[[#This Row],[2021]],"&gt;0")&gt;0, AVERAGEIF($G18:Klisz_Verbräuche[[#This Row],[2021]],"&lt;&gt;"), ""),IF($B$14&lt;Klisz_Verbräuche[[#Headers],[2022]],IF(COUNTIF($G18:Klisz_Verbräuche[[#This Row],[2021]],"&gt;0")&gt;0,IF(COUNTIF($G18:Klisz_Verbräuche[[#This Row],[2021]],"&gt;0")&gt;0,Klisz_Verbräuche[[#This Row],[2021]]*(1-$F18)^1, ""), ""),IF($B$14&gt;Klisz_Verbräuche[[#Headers],[2022]],Refsz_Verbräuche[[#This Row],[2022]],"")))</calculatedColumnFormula>
    </tableColumn>
    <tableColumn id="12" xr3:uid="{FC774AD4-7848-4A42-B14D-7A2607B26E4F}" name="2023" dataDxfId="1200" dataCellStyle="Standard">
      <calculatedColumnFormula>IF(Klisz_Verbräuche[[#Headers],[2023]]=$B$14,IF(COUNTIF($G18:Klisz_Verbräuche[[#This Row],[2022]],"&gt;0")&gt;0, AVERAGEIF($G18:Klisz_Verbräuche[[#This Row],[2022]],"&lt;&gt;"), ""),IF($B$14&lt;Klisz_Verbräuche[[#Headers],[2023]],IF(COUNTIF($G18:Klisz_Verbräuche[[#This Row],[2022]],"&gt;0")&gt;0,IF(COUNTIF($G18:Klisz_Verbräuche[[#This Row],[2022]],"&gt;0")&gt;0,Klisz_Verbräuche[[#This Row],[2022]]*(1-$F18)^1, ""), ""),IF($B$14&gt;Klisz_Verbräuche[[#Headers],[2023]],Refsz_Verbräuche[[#This Row],[2023]],"")))</calculatedColumnFormula>
    </tableColumn>
    <tableColumn id="13" xr3:uid="{CDAEBE87-DB39-40B5-A482-F2D7347E627C}" name="2024" dataDxfId="1199" dataCellStyle="Standard">
      <calculatedColumnFormula>IF(Klisz_Verbräuche[[#Headers],[2024]]=$B$14,IF(COUNTIF($G18:Klisz_Verbräuche[[#This Row],[2023]],"&gt;0")&gt;0, AVERAGEIF($G18:Klisz_Verbräuche[[#This Row],[2023]],"&lt;&gt;"), ""),IF($B$14&lt;Klisz_Verbräuche[[#Headers],[2024]],IF(COUNTIF($G18:Klisz_Verbräuche[[#This Row],[2023]],"&gt;0")&gt;0,IF(COUNTIF($G18:Klisz_Verbräuche[[#This Row],[2023]],"&gt;0")&gt;0,Klisz_Verbräuche[[#This Row],[2023]]*(1-$F18)^1, ""), ""),IF($B$14&gt;Klisz_Verbräuche[[#Headers],[2024]],Refsz_Verbräuche[[#This Row],[2024]],"")))</calculatedColumnFormula>
    </tableColumn>
    <tableColumn id="14" xr3:uid="{4EB9FB16-FF96-48CD-AB28-0AEB1469CC43}" name="2025" dataDxfId="1198" dataCellStyle="Standard">
      <calculatedColumnFormula>IF(Klisz_Verbräuche[[#Headers],[2025]]=$B$14,IF(COUNTIF($G18:Klisz_Verbräuche[[#This Row],[2024]],"&gt;0")&gt;0, AVERAGEIF($G18:Klisz_Verbräuche[[#This Row],[2024]],"&lt;&gt;"), ""),IF($B$14&lt;Klisz_Verbräuche[[#Headers],[2025]],IF(COUNTIF($G18:Klisz_Verbräuche[[#This Row],[2024]],"&gt;0")&gt;0,IF(COUNTIF($G18:Klisz_Verbräuche[[#This Row],[2024]],"&gt;0")&gt;0,Klisz_Verbräuche[[#This Row],[2024]]*(1-$F18)^1, ""), ""),IF($B$14&gt;Klisz_Verbräuche[[#Headers],[2025]],Refsz_Verbräuche[[#This Row],[2025]],"")))</calculatedColumnFormula>
    </tableColumn>
    <tableColumn id="15" xr3:uid="{B34EC022-06EE-4A95-9F81-313D1CDF5535}" name="2026" dataDxfId="1197" dataCellStyle="Standard">
      <calculatedColumnFormula>IF(Klisz_Verbräuche[[#Headers],[2026]]=$B$14,IF(COUNTIF($G18:Klisz_Verbräuche[[#This Row],[2025]],"&gt;0")&gt;0, AVERAGEIF($G18:Klisz_Verbräuche[[#This Row],[2025]],"&lt;&gt;"), ""),IF($B$14&lt;Klisz_Verbräuche[[#Headers],[2026]],IF(COUNTIF($G18:Klisz_Verbräuche[[#This Row],[2025]],"&gt;0")&gt;0,IF(COUNTIF($G18:Klisz_Verbräuche[[#This Row],[2025]],"&gt;0")&gt;0,Klisz_Verbräuche[[#This Row],[2025]]*(1-$F18)^1, ""), ""),IF($B$14&gt;Klisz_Verbräuche[[#Headers],[2026]],Refsz_Verbräuche[[#This Row],[2026]],"")))</calculatedColumnFormula>
    </tableColumn>
    <tableColumn id="23" xr3:uid="{04F978D0-48FE-479F-833E-49B437F190FA}" name="2027" dataDxfId="1196">
      <calculatedColumnFormula>IF(Klisz_Verbräuche[[#Headers],[2027]]=$B$14,IF(COUNTIF($G18:Klisz_Verbräuche[[#This Row],[2026]],"&gt;0")&gt;0, AVERAGEIF($G18:Klisz_Verbräuche[[#This Row],[2026]],"&lt;&gt;"), ""),IF($B$14&lt;Klisz_Verbräuche[[#Headers],[2027]],IF(COUNTIF($G18:Klisz_Verbräuche[[#This Row],[2026]],"&gt;0")&gt;0,IF(COUNTIF($G18:Klisz_Verbräuche[[#This Row],[2026]],"&gt;0")&gt;0,Klisz_Verbräuche[[#This Row],[2026]]*(1-$F18)^1, ""), ""),IF($B$14&gt;Klisz_Verbräuche[[#Headers],[2027]],Refsz_Verbräuche[[#This Row],[2027]],"")))</calculatedColumnFormula>
    </tableColumn>
    <tableColumn id="24" xr3:uid="{072871C4-7DA4-48A8-A978-32135A324849}" name="2028" dataDxfId="1195">
      <calculatedColumnFormula>IF(Klisz_Verbräuche[[#Headers],[2028]]=$B$14,IF(COUNTIF($G18:Klisz_Verbräuche[[#This Row],[2027]],"&gt;0")&gt;0, AVERAGEIF($G18:Klisz_Verbräuche[[#This Row],[2027]],"&lt;&gt;"), ""),IF($B$14&lt;Klisz_Verbräuche[[#Headers],[2028]],IF(COUNTIF($G18:Klisz_Verbräuche[[#This Row],[2027]],"&gt;0")&gt;0,IF(COUNTIF($G18:Klisz_Verbräuche[[#This Row],[2027]],"&gt;0")&gt;0,Klisz_Verbräuche[[#This Row],[2027]]*(1-$F18)^1, ""), ""),IF($B$14&gt;Klisz_Verbräuche[[#Headers],[2028]],Refsz_Verbräuche[[#This Row],[2028]],"")))</calculatedColumnFormula>
    </tableColumn>
    <tableColumn id="25" xr3:uid="{103C5003-76E4-4E25-A482-4BBF0A5AB500}" name="2029" dataDxfId="1194">
      <calculatedColumnFormula>IF(Klisz_Verbräuche[[#Headers],[2029]]=$B$14,IF(COUNTIF($G18:Klisz_Verbräuche[[#This Row],[2028]],"&gt;0")&gt;0, AVERAGEIF($G18:Klisz_Verbräuche[[#This Row],[2028]],"&lt;&gt;"), ""),IF($B$14&lt;Klisz_Verbräuche[[#Headers],[2029]],IF(COUNTIF($G18:Klisz_Verbräuche[[#This Row],[2028]],"&gt;0")&gt;0,IF(COUNTIF($G18:Klisz_Verbräuche[[#This Row],[2028]],"&gt;0")&gt;0,Klisz_Verbräuche[[#This Row],[2028]]*(1-$F18)^1, ""), ""),IF($B$14&gt;Klisz_Verbräuche[[#Headers],[2029]],Refsz_Verbräuche[[#This Row],[2029]],"")))</calculatedColumnFormula>
    </tableColumn>
    <tableColumn id="16" xr3:uid="{5558F45B-DCD5-4DA7-BCA1-423565EE18F8}" name="2030" dataDxfId="1193" dataCellStyle="Standard">
      <calculatedColumnFormula>IF(Klisz_Verbräuche[[#Headers],[2030]]=$B$14,IF(COUNTIF($G18:Klisz_Verbräuche[[#This Row],[2029]],"&gt;0")&gt;0, AVERAGEIF($G18:Klisz_Verbräuche[[#This Row],[2029]],"&lt;&gt;"), ""),IF($B$14&lt;Klisz_Verbräuche[[#Headers],[2030]],IF(COUNTIF($G18:Klisz_Verbräuche[[#This Row],[2029]],"&gt;0")&gt;0,IF(COUNTIF($G18:Klisz_Verbräuche[[#This Row],[2029]],"&gt;0")&gt;0,Klisz_Verbräuche[[#This Row],[2029]]*(1-$F18)^1, ""), ""),IF($B$14&gt;Klisz_Verbräuche[[#Headers],[2030]],Refsz_Verbräuche[[#This Row],[2030]],"")))</calculatedColumnFormula>
    </tableColumn>
    <tableColumn id="17" xr3:uid="{EE21F0DD-0D87-4E60-BE58-BE4616331CDB}" name="2035" dataDxfId="1192" dataCellStyle="Standard">
      <calculatedColumnFormula>IF(Klisz_Verbräuche[[#Headers],[2035]]=$B$14,IF(COUNTIF($G18:Klisz_Verbräuche[[#This Row],[2030]],"&gt;0")&gt;0, AVERAGEIF($G18:Klisz_Verbräuche[[#This Row],[2030]],"&lt;&gt;"), ""),IF($B$14&lt;Klisz_Verbräuche[[#Headers],[2035]],IF(COUNTIF($G18:Klisz_Verbräuche[[#This Row],[2030]],"&gt;0")&gt;0,IF(COUNTIF($G18:Klisz_Verbräuche[[#This Row],[2030]],"&gt;0")&gt;0,Klisz_Verbräuche[[#This Row],[2030]]*(1-$F18)^5, ""), ""),IF($B$14&gt;Klisz_Verbräuche[[#Headers],[2035]],Refsz_Verbräuche[[#This Row],[2035]],"")))</calculatedColumnFormula>
    </tableColumn>
    <tableColumn id="18" xr3:uid="{19AED438-45E0-4899-9217-79A4C05D1850}" name="2040" dataDxfId="1191" dataCellStyle="Standard">
      <calculatedColumnFormula>IF(Klisz_Verbräuche[[#Headers],[2040]]=$B$14,IF(COUNTIF($G18:Klisz_Verbräuche[[#This Row],[2035]],"&gt;0")&gt;0, AVERAGEIF($G18:Klisz_Verbräuche[[#This Row],[2035]],"&lt;&gt;"), ""),IF($B$14&lt;Klisz_Verbräuche[[#Headers],[2040]],IF(COUNTIF($G18:Klisz_Verbräuche[[#This Row],[2035]],"&gt;0")&gt;0,IF(COUNTIF($G18:Klisz_Verbräuche[[#This Row],[2035]],"&gt;0")&gt;0,Klisz_Verbräuche[[#This Row],[2035]]*(1-$F18)^5, ""), ""),IF($B$14&gt;Klisz_Verbräuche[[#Headers],[2040]],Refsz_Verbräuche[[#This Row],[2040]],"")))</calculatedColumnFormula>
    </tableColumn>
    <tableColumn id="19" xr3:uid="{0DA0508E-129B-4633-9578-FEAC1082DA1D}" name="2045" dataDxfId="1190" dataCellStyle="Standard">
      <calculatedColumnFormula>IF(Klisz_Verbräuche[[#Headers],[2045]]=$B$14,IF(COUNTIF($G18:Klisz_Verbräuche[[#This Row],[2040]],"&gt;0")&gt;0, AVERAGEIF($G18:Klisz_Verbräuche[[#This Row],[2040]],"&lt;&gt;"), ""),IF($B$14&lt;Klisz_Verbräuche[[#Headers],[2045]],IF(COUNTIF($G18:Klisz_Verbräuche[[#This Row],[2040]],"&gt;0")&gt;0,IF(COUNTIF($G18:Klisz_Verbräuche[[#This Row],[2040]],"&gt;0")&gt;0,Klisz_Verbräuche[[#This Row],[2040]]*(1-$F18)^5, ""), ""),IF($B$14&gt;Klisz_Verbräuche[[#Headers],[2045]],Refsz_Verbräuche[[#This Row],[2045]],"")))</calculatedColumnFormula>
    </tableColumn>
    <tableColumn id="20" xr3:uid="{C66FA6EA-5463-41AB-9405-1D313F5AD86C}" name="2050" dataDxfId="1189" dataCellStyle="Standard">
      <calculatedColumnFormula>IF(Klisz_Verbräuche[[#Headers],[2050]]=$B$14,IF(COUNTIF($G18:Klisz_Verbräuche[[#This Row],[2045]],"&gt;0")&gt;0, AVERAGEIF($G18:Klisz_Verbräuche[[#This Row],[2045]],"&lt;&gt;"), ""),IF($B$14&lt;Klisz_Verbräuche[[#Headers],[2050]],IF(COUNTIF($G18:Klisz_Verbräuche[[#This Row],[2045]],"&gt;0")&gt;0,IF(COUNTIF($G18:Klisz_Verbräuche[[#This Row],[2045]],"&gt;0")&gt;0,Klisz_Verbräuche[[#This Row],[2045]]*(1-$F18)^5, ""), ""),IF($B$14&gt;Klisz_Verbräuche[[#Headers],[2050]],Refsz_Verbräuche[[#This Row],[2050]],"")))</calculatedColumnFormula>
    </tableColumn>
    <tableColumn id="1" xr3:uid="{0046DB8B-B5F4-4605-B873-0442CB7E1646}" name="Annahmen" dataDxfId="1188" dataCellStyle="Standard"/>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27AC5B8-0262-41EA-BF2F-2F1C81B5D310}" name="Refsz_Emissionen_Bundesmix" displayName="Refsz_Emissionen_Bundesmix" ref="B17:Z178" totalsRowShown="0" headerRowCellStyle="Standard" dataCellStyle="Standard">
  <autoFilter ref="B17:Z178" xr:uid="{827AC5B8-0262-41EA-BF2F-2F1C81B5D310}"/>
  <tableColumns count="25">
    <tableColumn id="22" xr3:uid="{F2293536-1FA2-4ECD-88A2-DE097B73C1ED}" name="ID" dataDxfId="316" dataCellStyle="Standard"/>
    <tableColumn id="25" xr3:uid="{3C9C45D6-7377-4988-9CA3-78C48D0A7557}" name="Handlungsfeld" dataDxfId="315">
      <calculatedColumnFormula>Refsz_Verbräuche[[#This Row],[Handlungsfeld]]</calculatedColumnFormula>
    </tableColumn>
    <tableColumn id="2" xr3:uid="{6206D293-C52F-423A-BAA5-FA16D0708475}" name="Datenpunkt" dataDxfId="314" dataCellStyle="Standard">
      <calculatedColumnFormula>Refsz_Verbräuche[[#This Row],[Datenpunkt]]</calculatedColumnFormula>
    </tableColumn>
    <tableColumn id="3" xr3:uid="{865DBB44-73C9-44F4-B20E-3167C24222FF}" name="Einheit" dataCellStyle="Standard"/>
    <tableColumn id="4" xr3:uid="{D115A3BD-02FD-4B79-AFED-61EC95642CFD}" name="2015" dataDxfId="313" dataCellStyle="Standard">
      <calculatedColumnFormula>IF(Refsz_Verbräuche[[#This Row],[2015]], Refsz_Verbräuche[[#This Row],[2015]]*Emissionsfaktoren[[#This Row],[2015]]/1000,0)</calculatedColumnFormula>
    </tableColumn>
    <tableColumn id="5" xr3:uid="{AE110743-222C-4AB4-9357-9495906B20B5}" name="2016" dataDxfId="312" dataCellStyle="Standard">
      <calculatedColumnFormula>IF(Refsz_Verbräuche[[#This Row],[2016]], Refsz_Verbräuche[[#This Row],[2016]]*Emissionsfaktoren[[#This Row],[2016]]/1000,0)</calculatedColumnFormula>
    </tableColumn>
    <tableColumn id="6" xr3:uid="{34FFF114-E721-41BB-9965-BD9F35580E71}" name="2017" dataDxfId="311" dataCellStyle="Standard">
      <calculatedColumnFormula>IF(Refsz_Verbräuche[[#This Row],[2017]], Refsz_Verbräuche[[#This Row],[2017]]*Emissionsfaktoren[[#This Row],[2017]]/1000,0)</calculatedColumnFormula>
    </tableColumn>
    <tableColumn id="7" xr3:uid="{588F58E9-A0E8-426A-9BB2-EA8A3E2304B1}" name="2018" dataDxfId="310" dataCellStyle="Standard">
      <calculatedColumnFormula>IF(Refsz_Verbräuche[[#This Row],[2018]], Refsz_Verbräuche[[#This Row],[2018]]*Emissionsfaktoren[[#This Row],[2018]]/1000,0)</calculatedColumnFormula>
    </tableColumn>
    <tableColumn id="8" xr3:uid="{D69DCD80-8E50-443E-AEF9-02CAB57F3FE9}" name="2019" dataDxfId="309" dataCellStyle="Standard">
      <calculatedColumnFormula>IF(Refsz_Verbräuche[[#This Row],[2019]], Refsz_Verbräuche[[#This Row],[2019]]*Emissionsfaktoren[[#This Row],[2019]]/1000,0)</calculatedColumnFormula>
    </tableColumn>
    <tableColumn id="9" xr3:uid="{37CA197C-AAAA-424F-A1E9-71D59A5A6337}" name="2020" dataDxfId="308" dataCellStyle="Standard">
      <calculatedColumnFormula>IF(Refsz_Verbräuche[[#This Row],[2020]], Refsz_Verbräuche[[#This Row],[2020]]*Emissionsfaktoren[[#This Row],[2020]]/1000,0)</calculatedColumnFormula>
    </tableColumn>
    <tableColumn id="10" xr3:uid="{533FD367-EE6B-4FF7-BE32-528C70DB211F}" name="2021" dataDxfId="307" dataCellStyle="Standard">
      <calculatedColumnFormula>IF(Refsz_Verbräuche[[#This Row],[2021]], Refsz_Verbräuche[[#This Row],[2021]]*Emissionsfaktoren[[#This Row],[2021]]/1000,0)</calculatedColumnFormula>
    </tableColumn>
    <tableColumn id="11" xr3:uid="{DA2CD141-C5B7-41EB-A4DA-EE6EFCF816EF}" name="2022" dataDxfId="306" dataCellStyle="Standard">
      <calculatedColumnFormula>IF(Refsz_Verbräuche[[#This Row],[2022]], Refsz_Verbräuche[[#This Row],[2022]]*Emissionsfaktoren[[#This Row],[2022]]/1000,0)</calculatedColumnFormula>
    </tableColumn>
    <tableColumn id="12" xr3:uid="{8C60318C-61AA-4848-B0C6-B2745DA14735}" name="2023" dataDxfId="305" dataCellStyle="Standard">
      <calculatedColumnFormula>IF(Refsz_Verbräuche[[#This Row],[2023]], Refsz_Verbräuche[[#This Row],[2023]]*Emissionsfaktoren[[#This Row],[2023]]/1000,0)</calculatedColumnFormula>
    </tableColumn>
    <tableColumn id="13" xr3:uid="{A09975AE-D8B1-4710-85E0-E876D9F191A9}" name="2024" dataDxfId="304" dataCellStyle="Standard">
      <calculatedColumnFormula>IF(Refsz_Verbräuche[[#This Row],[2024]], Refsz_Verbräuche[[#This Row],[2024]]*Emissionsfaktoren[[#This Row],[2024]]/1000,0)</calculatedColumnFormula>
    </tableColumn>
    <tableColumn id="14" xr3:uid="{EBF80818-CA1A-46A9-AEE6-E7D7E846D9A1}" name="2025" dataDxfId="303" dataCellStyle="Standard">
      <calculatedColumnFormula>IF(Refsz_Verbräuche[[#This Row],[2025]], Refsz_Verbräuche[[#This Row],[2025]]*Emissionsfaktoren[[#This Row],[2025]]/1000,0)</calculatedColumnFormula>
    </tableColumn>
    <tableColumn id="15" xr3:uid="{37844114-03CF-4701-8B59-9F0A9B24D09B}" name="2026" dataDxfId="302" dataCellStyle="Standard">
      <calculatedColumnFormula>IF(Refsz_Verbräuche[[#This Row],[2026]], (((((SUM('Refsz-Verbräuche'!Q18:Q28))*Emissionsfaktoren[[#This Row],[2026]]))/1000)+#REF!+#REF!+#REF!),0)</calculatedColumnFormula>
    </tableColumn>
    <tableColumn id="1" xr3:uid="{10C3B1E6-B58E-4539-8805-22DD26DC0641}" name="2027" dataDxfId="301">
      <calculatedColumnFormula>IF(Refsz_Verbräuche[[#This Row],[2027]], (((((SUM('Refsz-Verbräuche'!R18:R28))*Emissionsfaktoren[[#This Row],[2030]]))/1000)+#REF!+#REF!+#REF!),0)</calculatedColumnFormula>
    </tableColumn>
    <tableColumn id="23" xr3:uid="{E373F34D-F946-44D4-A5D5-4F8AE43BCA5E}" name="2028" dataDxfId="300">
      <calculatedColumnFormula>IF(Refsz_Verbräuche[[#This Row],[2028]], (((((SUM('Refsz-Verbräuche'!S18:S28))*Emissionsfaktoren[[#This Row],[2035]]))/1000)+#REF!+#REF!+#REF!),0)</calculatedColumnFormula>
    </tableColumn>
    <tableColumn id="24" xr3:uid="{980B89BB-CCC4-4FF6-946B-2179EA19B215}" name="2029" dataDxfId="299">
      <calculatedColumnFormula>IF(Refsz_Verbräuche[[#This Row],[2029]], (((((SUM('Refsz-Verbräuche'!T18:T28))*Emissionsfaktoren[[#This Row],[2040]]))/1000)+#REF!+#REF!+#REF!),0)</calculatedColumnFormula>
    </tableColumn>
    <tableColumn id="16" xr3:uid="{21027E32-30D6-4691-814E-236634B75C90}" name="2030" dataDxfId="298" dataCellStyle="Standard">
      <calculatedColumnFormula>IF(Refsz_Verbräuche[[#This Row],[2030]], Refsz_Verbräuche[[#This Row],[2030]]*Emissionsfaktoren[[#This Row],[2030]]/1000,0)</calculatedColumnFormula>
    </tableColumn>
    <tableColumn id="17" xr3:uid="{2E691C29-8163-4935-A4D9-A354C79D997F}" name="2035" dataDxfId="297" dataCellStyle="Standard">
      <calculatedColumnFormula>IF(Refsz_Verbräuche[[#This Row],[2035]], Refsz_Verbräuche[[#This Row],[2035]]*Emissionsfaktoren[[#This Row],[2035]]/1000,0)</calculatedColumnFormula>
    </tableColumn>
    <tableColumn id="18" xr3:uid="{E9A2B99A-9BB8-4587-9277-14C310F4244F}" name="2040" dataDxfId="296" dataCellStyle="Standard">
      <calculatedColumnFormula>IF(Refsz_Verbräuche[[#This Row],[2040]], Refsz_Verbräuche[[#This Row],[2040]]*Emissionsfaktoren[[#This Row],[2040]]/1000,0)</calculatedColumnFormula>
    </tableColumn>
    <tableColumn id="19" xr3:uid="{8D24E0F3-B4EF-4577-80B1-77879C14998F}" name="2045" dataDxfId="295" dataCellStyle="Standard">
      <calculatedColumnFormula>IF(Refsz_Verbräuche[[#This Row],[2045]], Refsz_Verbräuche[[#This Row],[2045]]*Emissionsfaktoren[[#This Row],[2045]]/1000,0)</calculatedColumnFormula>
    </tableColumn>
    <tableColumn id="20" xr3:uid="{3C1A2C59-BF98-4EDB-AEFC-D30329645253}" name="2050" dataDxfId="294" dataCellStyle="Standard">
      <calculatedColumnFormula>IF(Refsz_Verbräuche[[#This Row],[2050]], Refsz_Verbräuche[[#This Row],[2050]]*Emissionsfaktoren[[#This Row],[2050]]/1000,0)</calculatedColumnFormula>
    </tableColumn>
    <tableColumn id="21" xr3:uid="{94025485-1C09-4117-983B-376AB42CEE8F}" name="Bemerkungen" dataCellStyle="Standard"/>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24EDDE5-6A73-429E-B830-241C1DC3DBC0}" name="Refsz_Emissionen_Regiomix" displayName="Refsz_Emissionen_Regiomix" ref="B182:Z343" totalsRowShown="0" headerRowCellStyle="Standard" dataCellStyle="Standard">
  <autoFilter ref="B182:Z343" xr:uid="{F645A874-1884-441D-AC9E-801488431193}"/>
  <tableColumns count="25">
    <tableColumn id="22" xr3:uid="{CEA5AE95-7C29-415A-8BEC-107F462EA129}" name="ID" dataDxfId="293" dataCellStyle="Standard"/>
    <tableColumn id="25" xr3:uid="{6C963DE4-3F02-40D3-B4A3-42782C2533E9}" name="Handlungsfeld" dataDxfId="292">
      <calculatedColumnFormula>'Refsz-Verbräuche'!C18</calculatedColumnFormula>
    </tableColumn>
    <tableColumn id="2" xr3:uid="{39CDB24F-3E35-4EB4-92B8-CFB52609D97D}" name="Datenpunkt" dataDxfId="291" dataCellStyle="Standard">
      <calculatedColumnFormula>'Refsz-Verbräuche'!D18</calculatedColumnFormula>
    </tableColumn>
    <tableColumn id="3" xr3:uid="{18DB4044-EBF4-4103-B934-E4F64889B871}" name="Einheit" dataCellStyle="Standard"/>
    <tableColumn id="4" xr3:uid="{26393CB9-F9BD-4442-A620-0C3A3006062D}" name="2015" dataDxfId="290" dataCellStyle="Standard">
      <calculatedColumnFormula>IF(ISNUMBER('Refsz-Verbräuche'!F18), 'Refsz-Verbräuche'!F18*Emissionsfaktoren!E18/1000, 0)</calculatedColumnFormula>
    </tableColumn>
    <tableColumn id="5" xr3:uid="{1A36867F-76A4-4AD0-8E9B-00CAC7D19814}" name="2016" dataDxfId="289" dataCellStyle="Standard"/>
    <tableColumn id="6" xr3:uid="{0F8BDC70-8E18-4AD4-A03A-F5013AB8EB9C}" name="2017" dataDxfId="288" dataCellStyle="Standard"/>
    <tableColumn id="7" xr3:uid="{8AD4F4A8-8EED-4FE4-92A5-F46D2FF846F9}" name="2018" dataDxfId="287" dataCellStyle="Standard"/>
    <tableColumn id="8" xr3:uid="{C1591901-3ED3-402C-86EF-82801BC7E70D}" name="2019" dataDxfId="286" dataCellStyle="Standard"/>
    <tableColumn id="9" xr3:uid="{A887E61C-C010-4616-84CD-6064743CAE5C}" name="2020" dataDxfId="285" dataCellStyle="Standard"/>
    <tableColumn id="10" xr3:uid="{34D25D76-A4D4-40A1-B34D-F01036904146}" name="2021" dataDxfId="284" dataCellStyle="Standard"/>
    <tableColumn id="11" xr3:uid="{FE74A38A-CD92-442F-A624-90C193EB8C4F}" name="2022" dataDxfId="283" dataCellStyle="Standard"/>
    <tableColumn id="12" xr3:uid="{36CE1221-6FA9-4BA4-9DB3-A79F416064D6}" name="2023" dataDxfId="282" dataCellStyle="Standard"/>
    <tableColumn id="13" xr3:uid="{78725BE7-D2E4-4BA3-ACD7-2F498D709391}" name="2024" dataDxfId="281" dataCellStyle="Standard"/>
    <tableColumn id="14" xr3:uid="{A86F8CBF-0BCC-4555-B914-37A20B87C930}" name="2025" dataDxfId="280" dataCellStyle="Standard"/>
    <tableColumn id="15" xr3:uid="{03D846AA-7C59-4893-A956-134A4B483114}" name="2026" dataDxfId="279" dataCellStyle="Standard"/>
    <tableColumn id="1" xr3:uid="{938CFD34-B5C8-47D7-8176-B09505E76F87}" name="2027" dataDxfId="278"/>
    <tableColumn id="23" xr3:uid="{B9376825-E38D-4471-93E5-9945B419F544}" name="2028" dataDxfId="277"/>
    <tableColumn id="24" xr3:uid="{A9727E90-3D36-4C3B-9924-7858559A155D}" name="2029" dataDxfId="276"/>
    <tableColumn id="16" xr3:uid="{8A565C67-B3F3-4464-B491-66A5A25EA233}" name="2030" dataDxfId="275" dataCellStyle="Standard"/>
    <tableColumn id="17" xr3:uid="{7E0688CE-598A-40E0-A56F-249F758A2EE0}" name="2035" dataDxfId="274" dataCellStyle="Standard"/>
    <tableColumn id="18" xr3:uid="{A28D8E37-F4DC-4589-B5B2-C92E9EAF884B}" name="2040" dataDxfId="273" dataCellStyle="Standard"/>
    <tableColumn id="19" xr3:uid="{8F25F646-C295-4A78-9D17-9181EEB6C493}" name="2045" dataDxfId="272" dataCellStyle="Standard"/>
    <tableColumn id="20" xr3:uid="{8F5BADE6-C56B-4C59-9675-29495FA75524}" name="2050" dataDxfId="271" dataCellStyle="Standard"/>
    <tableColumn id="21" xr3:uid="{E27AABD8-DA07-44C4-B658-A6F67299F453}" name="Bemerkungen" dataCellStyle="Standard"/>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6B7A641-E769-4FCC-B6F1-CE5E6D4C047D}" name="Refsz_Bundesmix_Handlungsfelder" displayName="Refsz_Bundesmix_Handlungsfelder" ref="C349:X361" totalsRowCount="1">
  <autoFilter ref="C349:X360" xr:uid="{609C4AE2-435D-4309-8586-1E02203646B8}"/>
  <tableColumns count="22">
    <tableColumn id="1" xr3:uid="{9A74499F-00CC-45F6-A344-9D0E9BA96DCF}" name="Handlungsfeld" totalsRowLabel="Ergebnis" totalsRowDxfId="270"/>
    <tableColumn id="2" xr3:uid="{12845B5E-BA94-4076-9E3B-2F917CA7B5C5}" name="Einheit" totalsRowLabel="t CO2-Äq." totalsRowDxfId="269"/>
    <tableColumn id="3" xr3:uid="{5CD7F259-63CA-4983-820D-82CE2F1DCDBE}" name="2015" totalsRowFunction="sum" totalsRowDxfId="268">
      <calculatedColumnFormula>SUMIFS(Refsz_Emissionen_Bundesmix[2015], $C$18:$C$178,$C350)</calculatedColumnFormula>
    </tableColumn>
    <tableColumn id="4" xr3:uid="{22B68752-3C0E-4764-AF9F-8B6DC18BC13B}" name="2016" totalsRowFunction="sum" totalsRowDxfId="267">
      <calculatedColumnFormula>SUMIFS(Refsz_Emissionen_Bundesmix[2016], $C$18:$C$178,$C350)</calculatedColumnFormula>
    </tableColumn>
    <tableColumn id="5" xr3:uid="{AFD1EC91-A24E-4C25-99DC-1E2D3F0D567C}" name="2017" totalsRowFunction="sum" totalsRowDxfId="266">
      <calculatedColumnFormula>SUMIFS(Refsz_Emissionen_Bundesmix[2017], $C$18:$C$178,$C350)</calculatedColumnFormula>
    </tableColumn>
    <tableColumn id="6" xr3:uid="{79B52FE4-9A6D-4A48-8A24-01586663CD21}" name="2018" totalsRowFunction="sum" totalsRowDxfId="265">
      <calculatedColumnFormula>SUMIFS(Refsz_Emissionen_Bundesmix[2018], $C$18:$C$178,$C350)</calculatedColumnFormula>
    </tableColumn>
    <tableColumn id="7" xr3:uid="{AF995E2F-E6F3-40CF-9ED8-998DC824CE04}" name="2019" totalsRowFunction="sum" totalsRowDxfId="264">
      <calculatedColumnFormula>SUMIFS(Refsz_Emissionen_Bundesmix[2019], $C$18:$C$178,$C350)</calculatedColumnFormula>
    </tableColumn>
    <tableColumn id="8" xr3:uid="{E92E6C4C-85BB-47BC-9C2A-6C366D9351CB}" name="2020" totalsRowFunction="sum" totalsRowDxfId="263">
      <calculatedColumnFormula>SUMIFS(Refsz_Emissionen_Bundesmix[2020], $C$18:$C$178,$C350)</calculatedColumnFormula>
    </tableColumn>
    <tableColumn id="9" xr3:uid="{200CF16B-256A-4765-ACC2-90D8116A61F0}" name="2021" totalsRowFunction="sum" totalsRowDxfId="262">
      <calculatedColumnFormula>SUMIFS(Refsz_Emissionen_Bundesmix[2021], $C$18:$C$178,$C350)</calculatedColumnFormula>
    </tableColumn>
    <tableColumn id="10" xr3:uid="{E67BA2B8-D713-4801-8135-0B78B3F58EAE}" name="2022" totalsRowFunction="sum" totalsRowDxfId="261">
      <calculatedColumnFormula>SUMIFS(Refsz_Emissionen_Bundesmix[2022], $C$18:$C$178,$C350)</calculatedColumnFormula>
    </tableColumn>
    <tableColumn id="11" xr3:uid="{35CEA98A-3DE4-48D9-81B4-F02FAC8250DF}" name="2023" totalsRowFunction="sum" totalsRowDxfId="260">
      <calculatedColumnFormula>SUMIFS(Refsz_Emissionen_Bundesmix[2023], $C$18:$C$178,$C350)</calculatedColumnFormula>
    </tableColumn>
    <tableColumn id="12" xr3:uid="{439E7A30-2DE3-4361-BB50-BDBBCAB964AA}" name="2024" totalsRowFunction="sum" totalsRowDxfId="259">
      <calculatedColumnFormula>SUMIFS(Refsz_Emissionen_Bundesmix[2024], $C$18:$C$178,$C350)</calculatedColumnFormula>
    </tableColumn>
    <tableColumn id="13" xr3:uid="{7B93CBBD-7CA5-4F0E-83D9-62A289B500E8}" name="2025" totalsRowFunction="sum" totalsRowDxfId="258">
      <calculatedColumnFormula>SUMIFS(Refsz_Emissionen_Bundesmix[2025], $C$18:$C$178,$C350)</calculatedColumnFormula>
    </tableColumn>
    <tableColumn id="14" xr3:uid="{90A6087E-66F9-4DD4-8A34-93270F160D87}" name="2026" totalsRowFunction="sum" totalsRowDxfId="257">
      <calculatedColumnFormula>SUMIFS(Refsz_Emissionen_Bundesmix[2026], $C$18:$C$178,$C350)</calculatedColumnFormula>
    </tableColumn>
    <tableColumn id="20" xr3:uid="{4B152730-D689-4CAA-B3E9-C9B7A723F040}" name="2027" totalsRowFunction="sum" totalsRowDxfId="256">
      <calculatedColumnFormula>SUMIFS(Refsz_Emissionen_Bundesmix[2027], $C$18:$C$178,$C350)</calculatedColumnFormula>
    </tableColumn>
    <tableColumn id="21" xr3:uid="{2FD3A337-7F75-408A-866C-9CFAA9E2FA9E}" name="2028" totalsRowFunction="sum" totalsRowDxfId="255">
      <calculatedColumnFormula>SUMIFS(Refsz_Emissionen_Bundesmix[2028], $C$18:$C$178,$C350)</calculatedColumnFormula>
    </tableColumn>
    <tableColumn id="22" xr3:uid="{880B0A35-FE4A-4B10-AE1D-846BB3E628B2}" name="2029" totalsRowFunction="sum" totalsRowDxfId="254">
      <calculatedColumnFormula>SUMIFS(Refsz_Emissionen_Bundesmix[2029], $C$18:$C$178,$C350)</calculatedColumnFormula>
    </tableColumn>
    <tableColumn id="15" xr3:uid="{46BC2078-C654-4865-8F0A-B5F7D4D90F76}" name="2030" totalsRowFunction="sum" totalsRowDxfId="253">
      <calculatedColumnFormula>SUMIFS(Refsz_Emissionen_Bundesmix[2030], $C$18:$C$178,$C350)</calculatedColumnFormula>
    </tableColumn>
    <tableColumn id="16" xr3:uid="{266288D8-B984-4EC5-95C6-E544D00D0340}" name="2035" totalsRowFunction="sum" totalsRowDxfId="252">
      <calculatedColumnFormula>SUMIFS(Refsz_Emissionen_Bundesmix[2035], $C$18:$C$178,$C350)</calculatedColumnFormula>
    </tableColumn>
    <tableColumn id="17" xr3:uid="{ACF71E71-72C9-45E8-A948-1EC8BA08D047}" name="2040" totalsRowFunction="sum" totalsRowDxfId="251">
      <calculatedColumnFormula>SUMIFS(Refsz_Emissionen_Bundesmix[2040], $C$18:$C$178,$C350)</calculatedColumnFormula>
    </tableColumn>
    <tableColumn id="18" xr3:uid="{CF610935-BDE5-4076-8BBA-63785607C746}" name="2045" totalsRowFunction="sum" totalsRowDxfId="250">
      <calculatedColumnFormula>SUMIFS(Refsz_Emissionen_Bundesmix[2045], $C$18:$C$178,$C350)</calculatedColumnFormula>
    </tableColumn>
    <tableColumn id="19" xr3:uid="{740B4CE4-E843-4383-9B15-EC6CFD10BEDB}" name="2050" totalsRowFunction="sum" totalsRowDxfId="249">
      <calculatedColumnFormula>SUMIFS(Refsz_Emissionen_Bundesmix[2050], $C$18:$C$178,$C350)</calculatedColumnFormula>
    </tableColumn>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543F7C-E86E-4868-96B2-66FF6AD2760E}" name="Refsz_Bundesmix_Kennwerte" displayName="Refsz_Bundesmix_Kennwerte" ref="C363:X365" totalsRowShown="0">
  <autoFilter ref="C363:X365" xr:uid="{E4AF9F7B-0DEA-491A-93A6-92326AA71FBF}"/>
  <tableColumns count="22">
    <tableColumn id="1" xr3:uid="{866E9A9E-16DC-4BB3-9B91-8BFF3B48EEC2}" name="Kennwerte"/>
    <tableColumn id="2" xr3:uid="{CEA6E70D-3516-4112-BC6A-B9C01FAD3C8E}" name="Einheit"/>
    <tableColumn id="3" xr3:uid="{CDFD0FDB-9608-4624-9673-FCCDB05235A9}" name="2015"/>
    <tableColumn id="4" xr3:uid="{3B14F572-66F3-40DF-8F8F-8B244C17B80C}" name="2016"/>
    <tableColumn id="5" xr3:uid="{D84ED740-E1A9-44CC-BBD3-160643924AC9}" name="2017"/>
    <tableColumn id="6" xr3:uid="{C2A41C67-81BB-4008-8E51-EFE96B1170D6}" name="2018"/>
    <tableColumn id="7" xr3:uid="{69C610E8-F646-4B6C-BAB5-DEB504FA76C8}" name="2019"/>
    <tableColumn id="8" xr3:uid="{0617D64D-05B2-42B9-BA31-0E231F512B50}" name="2020"/>
    <tableColumn id="9" xr3:uid="{780AFAE4-9E20-4B4C-A210-057AA995F761}" name="2021"/>
    <tableColumn id="10" xr3:uid="{0BDEB1D4-9056-4AA2-B3F7-993A3A876BD2}" name="2022"/>
    <tableColumn id="11" xr3:uid="{E366161A-F2A1-4BE6-8028-11814C53B6DE}" name="2023"/>
    <tableColumn id="12" xr3:uid="{E92F3BB0-6DD4-4552-A323-B2C108C2575B}" name="2024"/>
    <tableColumn id="13" xr3:uid="{7353A483-7CC1-4164-ACC7-D8EFABD8EC1E}" name="2025"/>
    <tableColumn id="14" xr3:uid="{4F2C3F68-29DD-48D6-8B93-AE1B5BC2F7F3}" name="2026"/>
    <tableColumn id="24" xr3:uid="{8318C21C-4D11-4D06-A5BA-1895E5647768}" name="2027"/>
    <tableColumn id="25" xr3:uid="{EE8F56C4-157B-47F9-A6DB-136325D2F64A}" name="2028"/>
    <tableColumn id="26" xr3:uid="{9C854F40-256E-4E3F-9003-BD99AB7EE0BE}" name="2029"/>
    <tableColumn id="15" xr3:uid="{25A4865B-32FA-48C2-9497-7B831C0F25B7}" name="2030"/>
    <tableColumn id="16" xr3:uid="{EAD99227-818D-4640-9BD1-11BD325FCC77}" name="2035"/>
    <tableColumn id="17" xr3:uid="{52B6244B-3CC1-47DB-AA79-DA6B0B1CB695}" name="2040"/>
    <tableColumn id="18" xr3:uid="{7E3CC926-F6AF-4B44-98D0-AB7EA007AF91}" name="2045"/>
    <tableColumn id="19" xr3:uid="{9E53947D-748F-46BC-B687-5367028AD606}" name="2050"/>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70CC7AA7-6BB0-484A-B89E-5A8DDA5B2FEC}" name="Refsz_Regiomix_Handlungsfelder" displayName="Refsz_Regiomix_Handlungsfelder" ref="C370:X382" totalsRowCount="1">
  <autoFilter ref="C370:X381" xr:uid="{6DF1A475-DDE4-4A9C-8937-B81BC225C42F}"/>
  <tableColumns count="22">
    <tableColumn id="1" xr3:uid="{0B3DC6CA-696A-4874-95CE-37FCF3754840}" name="Handlungsfeld" totalsRowLabel="Ergebnis" totalsRowDxfId="248"/>
    <tableColumn id="2" xr3:uid="{EED8C5E9-A0F9-4847-9F10-43306EC440EC}" name="Einheit" totalsRowLabel="t CO2-Äq." totalsRowDxfId="247"/>
    <tableColumn id="3" xr3:uid="{DD221A22-26F5-4057-98A1-50CC727A6A32}" name="2015" totalsRowFunction="sum" totalsRowDxfId="246">
      <calculatedColumnFormula>SUMIFS(Refsz_Emissionen_Regiomix[2015], $C$183:$C$343,$C371)</calculatedColumnFormula>
    </tableColumn>
    <tableColumn id="4" xr3:uid="{537B9999-33EF-47EA-B5F4-511AE22D6CB9}" name="2016" totalsRowFunction="sum" totalsRowDxfId="245">
      <calculatedColumnFormula>SUMIFS(Refsz_Emissionen_Regiomix[2016], $C$183:$C$343,$C371)</calculatedColumnFormula>
    </tableColumn>
    <tableColumn id="5" xr3:uid="{41FF27E7-DE52-41FC-9D47-C6FDC082AA9F}" name="2017" totalsRowFunction="sum" totalsRowDxfId="244">
      <calculatedColumnFormula>SUMIFS(Refsz_Emissionen_Regiomix[2017], $C$183:$C$343,$C371)</calculatedColumnFormula>
    </tableColumn>
    <tableColumn id="6" xr3:uid="{29648912-863C-4A0F-930E-0DC02453224B}" name="2018" totalsRowFunction="sum" totalsRowDxfId="243">
      <calculatedColumnFormula>SUMIFS(Refsz_Emissionen_Regiomix[2018], $C$183:$C$343,$C371)</calculatedColumnFormula>
    </tableColumn>
    <tableColumn id="7" xr3:uid="{EA432871-B254-43BA-B7B8-1A56091708E2}" name="2019" totalsRowFunction="sum" totalsRowDxfId="242">
      <calculatedColumnFormula>SUMIFS(Refsz_Emissionen_Regiomix[2019], $C$183:$C$343,$C371)</calculatedColumnFormula>
    </tableColumn>
    <tableColumn id="8" xr3:uid="{927D3D5D-8B21-42E4-AD11-3965CF7DC865}" name="2020" totalsRowFunction="sum" totalsRowDxfId="241">
      <calculatedColumnFormula>SUMIFS(Refsz_Emissionen_Regiomix[2020], $C$183:$C$343,$C371)</calculatedColumnFormula>
    </tableColumn>
    <tableColumn id="9" xr3:uid="{5B7F7849-CFD1-4E7D-9ADD-BA94C2E81E81}" name="2021" totalsRowFunction="sum" totalsRowDxfId="240">
      <calculatedColumnFormula>SUMIFS(Refsz_Emissionen_Regiomix[2021], $C$183:$C$343,$C371)</calculatedColumnFormula>
    </tableColumn>
    <tableColumn id="10" xr3:uid="{4FDAF71B-5CF8-4F25-B7E6-FBD18788CF18}" name="2022" totalsRowFunction="sum" totalsRowDxfId="239">
      <calculatedColumnFormula>SUMIFS(Refsz_Emissionen_Regiomix[2022], $C$183:$C$343,$C371)</calculatedColumnFormula>
    </tableColumn>
    <tableColumn id="11" xr3:uid="{DDDA0D46-E35F-4687-B6CB-BC09BA5FC4F8}" name="2023" totalsRowFunction="sum" totalsRowDxfId="238">
      <calculatedColumnFormula>SUMIFS(Refsz_Emissionen_Regiomix[2023], $C$183:$C$343,$C371)</calculatedColumnFormula>
    </tableColumn>
    <tableColumn id="12" xr3:uid="{7BD99F64-A729-4890-8597-619C6EEA6500}" name="2024" totalsRowFunction="sum" totalsRowDxfId="237">
      <calculatedColumnFormula>SUMIFS(Refsz_Emissionen_Regiomix[2024], $C$183:$C$343,$C371)</calculatedColumnFormula>
    </tableColumn>
    <tableColumn id="13" xr3:uid="{83151466-0117-424B-B547-9DA21DEF03D7}" name="2025" totalsRowFunction="sum" totalsRowDxfId="236">
      <calculatedColumnFormula>SUMIFS(Refsz_Emissionen_Regiomix[2025], $C$183:$C$343,$C371)</calculatedColumnFormula>
    </tableColumn>
    <tableColumn id="14" xr3:uid="{823E2A14-18B6-4F2D-BD80-669CD2C734F3}" name="2026" totalsRowFunction="sum" totalsRowDxfId="235">
      <calculatedColumnFormula>SUMIFS(Refsz_Emissionen_Regiomix[2026], $C$183:$C$343,$C371)</calculatedColumnFormula>
    </tableColumn>
    <tableColumn id="20" xr3:uid="{7C4B6210-4606-43C2-BEE2-B8704180D260}" name="2027" totalsRowFunction="sum" totalsRowDxfId="234">
      <calculatedColumnFormula>SUMIFS(Refsz_Emissionen_Regiomix[2027], $C$183:$C$343,$C371)</calculatedColumnFormula>
    </tableColumn>
    <tableColumn id="21" xr3:uid="{D3984CC4-49FF-48C5-A5D6-E6A335D9CA5A}" name="2028" totalsRowFunction="sum" totalsRowDxfId="233">
      <calculatedColumnFormula>SUMIFS(Refsz_Emissionen_Regiomix[2028], $C$183:$C$343,$C371)</calculatedColumnFormula>
    </tableColumn>
    <tableColumn id="22" xr3:uid="{788DA778-90C7-40C5-B8BC-13F745B7CEAB}" name="2029" totalsRowFunction="sum" totalsRowDxfId="232">
      <calculatedColumnFormula>SUMIFS(Refsz_Emissionen_Regiomix[2029], $C$183:$C$343,$C371)</calculatedColumnFormula>
    </tableColumn>
    <tableColumn id="15" xr3:uid="{08022304-EE57-4CA5-B616-B6238AE15821}" name="2030" totalsRowFunction="sum" totalsRowDxfId="231">
      <calculatedColumnFormula>SUMIFS(Refsz_Emissionen_Regiomix[2030], $C$183:$C$343,$C371)</calculatedColumnFormula>
    </tableColumn>
    <tableColumn id="16" xr3:uid="{77A77163-4EAD-4C46-9800-C6A357DC6060}" name="2035" totalsRowFunction="sum" totalsRowDxfId="230">
      <calculatedColumnFormula>SUMIFS(Refsz_Emissionen_Regiomix[2035], $C$183:$C$343,$C371)</calculatedColumnFormula>
    </tableColumn>
    <tableColumn id="17" xr3:uid="{43628C20-87A1-4F6B-9E6E-50EBE961491B}" name="2040" totalsRowFunction="sum" totalsRowDxfId="229">
      <calculatedColumnFormula>SUMIFS(Refsz_Emissionen_Regiomix[2040], $C$183:$C$343,$C371)</calculatedColumnFormula>
    </tableColumn>
    <tableColumn id="18" xr3:uid="{9623D456-A0EC-4D7F-A6EC-57344D06E267}" name="2045" totalsRowFunction="sum" totalsRowDxfId="228">
      <calculatedColumnFormula>SUMIFS(Refsz_Emissionen_Regiomix[2045], $C$183:$C$343,$C371)</calculatedColumnFormula>
    </tableColumn>
    <tableColumn id="19" xr3:uid="{F156F6BA-0D2A-484B-9F5A-4BD213819553}" name="2050" totalsRowFunction="sum" totalsRowDxfId="227">
      <calculatedColumnFormula>SUMIFS(Refsz_Emissionen_Regiomix[2050], $C$183:$C$343,$C371)</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BE7023E-F2CB-4B39-8B27-C4842BDBA0DD}" name="Refsz_Regiomix_Kennwerte" displayName="Refsz_Regiomix_Kennwerte" ref="C384:X386" totalsRowShown="0">
  <autoFilter ref="C384:X386" xr:uid="{E9DA5229-7E33-427E-8732-963795FED79F}"/>
  <tableColumns count="22">
    <tableColumn id="1" xr3:uid="{12E87CFC-3B81-4C4E-98C4-438156CEC743}" name="Kennwerte"/>
    <tableColumn id="2" xr3:uid="{022D5D3B-10E3-4E31-86D6-AF9F739B3F39}" name="Einheit"/>
    <tableColumn id="3" xr3:uid="{2A142B24-0DF1-4840-B3A6-38D0B728ACB1}" name="2015"/>
    <tableColumn id="4" xr3:uid="{3162E7DC-D278-4FC4-87BB-6635369DA87C}" name="2016"/>
    <tableColumn id="5" xr3:uid="{E91D65DC-DBF7-46B4-B5E6-ABE879A44CC6}" name="2017"/>
    <tableColumn id="6" xr3:uid="{288E722C-1A8B-49EF-9FC3-94D4FE438DF0}" name="2018"/>
    <tableColumn id="7" xr3:uid="{232C2567-DFD8-4EDD-8B90-C85BD6558388}" name="2019"/>
    <tableColumn id="8" xr3:uid="{8EB9CFC2-FD3E-48BC-A261-69D499F691D6}" name="2020"/>
    <tableColumn id="9" xr3:uid="{C3DAB960-3272-4A87-B5FB-5D52CB57A82C}" name="2021"/>
    <tableColumn id="10" xr3:uid="{3DDCF184-41C9-415F-9E26-7D68B728DADA}" name="2022"/>
    <tableColumn id="11" xr3:uid="{9243F0F4-1F60-4CEC-9ACF-BF5AC109A763}" name="2023"/>
    <tableColumn id="12" xr3:uid="{27447D8A-6A0D-45ED-8195-2EC75595CB44}" name="2024"/>
    <tableColumn id="13" xr3:uid="{82F76E65-7F3E-4C03-8DE7-863F713C3555}" name="2025"/>
    <tableColumn id="14" xr3:uid="{B3FDBDD1-8E1B-4FFB-879A-BEBA4FBE3E6A}" name="2026"/>
    <tableColumn id="24" xr3:uid="{24A22630-B463-4BE3-B3CF-D238D3BAB3BD}" name="2027"/>
    <tableColumn id="25" xr3:uid="{C22C4E75-29A2-4B64-AD30-142F3E64B9EC}" name="2028"/>
    <tableColumn id="26" xr3:uid="{C2F07631-9ACB-45AB-8FDF-A8CB27532F82}" name="2029"/>
    <tableColumn id="15" xr3:uid="{69D7B370-5747-44FB-B799-E0165D82AB43}" name="2030"/>
    <tableColumn id="16" xr3:uid="{A68653F4-6D2A-41A9-9570-760E8D75FCA3}" name="2035"/>
    <tableColumn id="17" xr3:uid="{D9DF5E94-F8A4-44F1-9683-6EB6E420B83B}" name="2040"/>
    <tableColumn id="18" xr3:uid="{1629F605-83D1-4367-9718-D42D047B7D01}" name="2045"/>
    <tableColumn id="19" xr3:uid="{B5695712-88D1-4C0B-9020-30FE9961BD2B}" name="2050"/>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C9D7C885-9120-49C2-9445-95D25E84F248}" name="Scopes_Emissionen_Bundesmix" displayName="Scopes_Emissionen_Bundesmix" ref="B391:G552" totalsRowShown="0" headerRowDxfId="226" dataDxfId="225" tableBorderDxfId="224">
  <autoFilter ref="B391:G552" xr:uid="{8F04BF7C-C834-4EF9-A3B8-840EFEF36DD0}"/>
  <tableColumns count="6">
    <tableColumn id="1" xr3:uid="{A7960AA2-2820-4656-882B-EEB284C49C4C}" name="ID" dataDxfId="223">
      <calculatedColumnFormula>'Refsz-Verbräuche'!B18</calculatedColumnFormula>
    </tableColumn>
    <tableColumn id="5" xr3:uid="{153F8369-845D-41C5-8489-2A55DF0C4E3A}" name="Handlungsfeld in t CO2-Äq." dataDxfId="222">
      <calculatedColumnFormula>'Refsz-Verbräuche'!C18</calculatedColumnFormula>
    </tableColumn>
    <tableColumn id="2" xr3:uid="{08772FD5-A08F-4F73-B316-AB5056F8E98A}" name="Datenpunkt" dataDxfId="221">
      <calculatedColumnFormula>'Refsz-Verbräuche'!D18</calculatedColumnFormula>
    </tableColumn>
    <tableColumn id="4" xr3:uid="{51B388DB-F41F-4171-9A3D-7637333339B6}" name="Scope 1" dataDxfId="220"/>
    <tableColumn id="6" xr3:uid="{6206708E-CE1A-4590-9064-94F47B8439F2}" name="Scope 2" dataDxfId="219"/>
    <tableColumn id="7" xr3:uid="{DD594168-4E78-401E-807F-62E5F9DB6EB1}" name="Scope 3" dataDxfId="218"/>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84AD8B9-17F0-4E99-8B92-C72019BF2C68}" name="Klisz_Emissionen_Bundesmix" displayName="Klisz_Emissionen_Bundesmix" ref="B17:Z178" totalsRowShown="0" headerRowCellStyle="Standard" dataCellStyle="Standard">
  <autoFilter ref="B17:Z178" xr:uid="{57BE4B1F-9EDD-4191-A217-88F1F6FA323C}"/>
  <tableColumns count="25">
    <tableColumn id="22" xr3:uid="{1DF34A87-9562-4680-B826-199F3F972CE6}" name="ID" dataDxfId="207" dataCellStyle="Standard"/>
    <tableColumn id="25" xr3:uid="{293399F3-AB2E-4EC7-9419-6FFC47D682EC}" name="Handlungsfeld" dataDxfId="206">
      <calculatedColumnFormula>Refsz_Verbräuche[[#This Row],[Handlungsfeld]]</calculatedColumnFormula>
    </tableColumn>
    <tableColumn id="2" xr3:uid="{EE30E185-6D54-488F-8985-462D73C98802}" name="Datenpunkt" dataDxfId="205" dataCellStyle="Standard">
      <calculatedColumnFormula>Refsz_Verbräuche[[#This Row],[Datenpunkt]]</calculatedColumnFormula>
    </tableColumn>
    <tableColumn id="3" xr3:uid="{AF3CD7CD-417A-47EE-BA32-88BB130DF973}" name="Einheit" dataCellStyle="Standard"/>
    <tableColumn id="4" xr3:uid="{FF5246F3-EABC-4441-B591-720CDDF70F84}" name="2015" dataDxfId="204" dataCellStyle="Standard"/>
    <tableColumn id="5" xr3:uid="{622FB66D-4C81-4447-B3C4-CDCFD72191B1}" name="2016" dataDxfId="203" dataCellStyle="Standard"/>
    <tableColumn id="6" xr3:uid="{A1105FFC-A62A-4C3F-A67D-AD2BAFBC538F}" name="2017" dataDxfId="202" dataCellStyle="Standard"/>
    <tableColumn id="7" xr3:uid="{01B9D34F-D059-4DA0-BF51-FFEB9BEF1719}" name="2018" dataDxfId="201" dataCellStyle="Standard"/>
    <tableColumn id="8" xr3:uid="{A8613833-4F07-4A05-8595-0E1FEE8C46C8}" name="2019" dataDxfId="200" dataCellStyle="Standard"/>
    <tableColumn id="9" xr3:uid="{02D81A42-A7A1-49EF-966C-3C89D4D6F27C}" name="2020" dataDxfId="199" dataCellStyle="Standard"/>
    <tableColumn id="10" xr3:uid="{23AA0F16-3A93-46DC-A663-615889DBAEF8}" name="2021" dataDxfId="198" dataCellStyle="Standard"/>
    <tableColumn id="11" xr3:uid="{37D541B8-3492-4D7B-9700-BE6043A34440}" name="2022" dataDxfId="197" dataCellStyle="Standard"/>
    <tableColumn id="12" xr3:uid="{79678AF4-7AA6-49B7-9528-A2163CB1BB05}" name="2023" dataDxfId="196" dataCellStyle="Standard"/>
    <tableColumn id="13" xr3:uid="{977861ED-4DA6-4029-A068-97AC86D347F2}" name="2024" dataDxfId="195" dataCellStyle="Standard"/>
    <tableColumn id="14" xr3:uid="{67B28CA2-AA67-4460-A159-572BC38B57D4}" name="2025" dataDxfId="194" dataCellStyle="Standard"/>
    <tableColumn id="15" xr3:uid="{803867DE-7787-4D97-BC60-C2DD307AE41C}" name="2026" dataDxfId="193" dataCellStyle="Standard"/>
    <tableColumn id="1" xr3:uid="{961A3623-60F7-4487-A000-3BE0C85F6462}" name="2027" dataDxfId="192"/>
    <tableColumn id="23" xr3:uid="{78D4F9CC-8DAE-4246-BC5E-E71A26F5B5C0}" name="2028" dataDxfId="191"/>
    <tableColumn id="24" xr3:uid="{F5C617D9-8809-4E04-BA02-38FF40A17F2E}" name="2029" dataDxfId="190"/>
    <tableColumn id="16" xr3:uid="{387127DD-E411-4D32-A8FB-C1EBC3261585}" name="2030" dataDxfId="189" dataCellStyle="Standard"/>
    <tableColumn id="17" xr3:uid="{EF8F4453-F2D2-4BB7-BAFF-6323AC540069}" name="2035" dataDxfId="188" dataCellStyle="Standard"/>
    <tableColumn id="18" xr3:uid="{9461E14A-E044-469B-87DA-ECA55AD56617}" name="2040" dataDxfId="187" dataCellStyle="Standard"/>
    <tableColumn id="19" xr3:uid="{B5DCAD50-5981-4EF2-BCAF-F9BEB0FED917}" name="2045" dataDxfId="186" dataCellStyle="Standard"/>
    <tableColumn id="20" xr3:uid="{133798D4-B3DB-4E7E-BBEF-2FBBB268ED94}" name="2050" dataDxfId="185" dataCellStyle="Standard"/>
    <tableColumn id="21" xr3:uid="{02A71F39-AF2A-4536-9B98-A4F4693A7C89}" name="Bemerkungen" dataCellStyle="Standar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7E77B9F-D45F-420F-A757-1D9669E7C372}" name="Klisz_Emissionen_BundesmixKS80" displayName="Klisz_Emissionen_BundesmixKS80" ref="B182:Z343" totalsRowShown="0" headerRowCellStyle="Standard" dataCellStyle="Standard">
  <autoFilter ref="B182:Z343" xr:uid="{779926A9-981F-403C-ABBC-BD369F0B7C55}"/>
  <tableColumns count="25">
    <tableColumn id="22" xr3:uid="{E114FC40-CCC8-488A-A00C-E8C8B449AE87}" name="ID" dataDxfId="184" dataCellStyle="Standard"/>
    <tableColumn id="25" xr3:uid="{E4134682-6E4F-43D6-A3C6-DAA12E236595}" name="Handlungsfeld" dataDxfId="183">
      <calculatedColumnFormula>'Refsz-Verbräuche'!C18</calculatedColumnFormula>
    </tableColumn>
    <tableColumn id="2" xr3:uid="{4102DF81-2D3C-4302-A632-2E2D4D1051FE}" name="Datenpunkt" dataDxfId="182" dataCellStyle="Standard">
      <calculatedColumnFormula>'Refsz-Verbräuche'!D18</calculatedColumnFormula>
    </tableColumn>
    <tableColumn id="3" xr3:uid="{1ACAC9C4-599D-4017-98C7-A2C95C41AAB8}" name="Einheit" dataCellStyle="Standard"/>
    <tableColumn id="4" xr3:uid="{FAF9DF7E-AFE9-4389-84CC-F569DF03409F}" name="2015" dataDxfId="181" dataCellStyle="Standard"/>
    <tableColumn id="5" xr3:uid="{C2A1D74D-A89D-46EB-B2D3-2F2E30262F07}" name="2016" dataDxfId="180" dataCellStyle="Standard"/>
    <tableColumn id="6" xr3:uid="{815F8575-213C-4949-9E04-35BC9482407A}" name="2017" dataDxfId="179" dataCellStyle="Standard"/>
    <tableColumn id="7" xr3:uid="{6C10BF83-E6D8-49F5-850D-619E7D01EDF7}" name="2018" dataDxfId="178" dataCellStyle="Standard"/>
    <tableColumn id="8" xr3:uid="{4CD2D77A-3B6B-4D1D-876F-6DFDFE0131A2}" name="2019" dataDxfId="177" dataCellStyle="Standard"/>
    <tableColumn id="9" xr3:uid="{55E7E9E6-5C64-43A5-9363-FBFC075E212F}" name="2020" dataDxfId="176" dataCellStyle="Standard"/>
    <tableColumn id="10" xr3:uid="{FFD48348-C871-4DF5-8C13-80E2C37BE378}" name="2021" dataDxfId="175" dataCellStyle="Standard"/>
    <tableColumn id="11" xr3:uid="{4647867A-1B72-4DE4-BFE8-3CCC9CE4D4DF}" name="2022" dataDxfId="174" dataCellStyle="Standard"/>
    <tableColumn id="12" xr3:uid="{DC7BA1C8-B832-4ED4-90FE-1ADA1473B093}" name="2023" dataDxfId="173" dataCellStyle="Standard"/>
    <tableColumn id="13" xr3:uid="{0C7EA40C-C0FF-4CD1-B319-D8E35BA90305}" name="2024" dataDxfId="172" dataCellStyle="Standard"/>
    <tableColumn id="14" xr3:uid="{D35B1679-0BBB-4CE6-B2FA-3A30B6DBA3B5}" name="2025" dataDxfId="171" dataCellStyle="Standard"/>
    <tableColumn id="15" xr3:uid="{392038C0-6EBD-44AA-9FE1-59880C6C4232}" name="2026" dataDxfId="170" dataCellStyle="Standard"/>
    <tableColumn id="1" xr3:uid="{DD93A04F-DC24-448F-A927-E937B23F6E8B}" name="2027" dataDxfId="169"/>
    <tableColumn id="23" xr3:uid="{FDA0DD71-F53B-433F-8D59-322564C32E6D}" name="2028" dataDxfId="168"/>
    <tableColumn id="24" xr3:uid="{F9D0BC22-EA27-49C9-8BF3-E9D37BAF285E}" name="2029" dataDxfId="167"/>
    <tableColumn id="16" xr3:uid="{FEB35088-566C-4050-97A7-1E6EE8866290}" name="2030" dataDxfId="166" dataCellStyle="Standard"/>
    <tableColumn id="17" xr3:uid="{1FAB34DA-5B60-488D-B479-135BFDE0C78C}" name="2035" dataDxfId="165" dataCellStyle="Standard"/>
    <tableColumn id="18" xr3:uid="{AC58482A-0D19-43B7-810E-FEE55BB2BD43}" name="2040" dataDxfId="164" dataCellStyle="Standard"/>
    <tableColumn id="19" xr3:uid="{610514FF-ABD6-40FB-840C-11973082A2A7}" name="2045" dataDxfId="163" dataCellStyle="Standard"/>
    <tableColumn id="20" xr3:uid="{C3559A60-EA92-489D-80E8-B25E55146C11}" name="2050" dataDxfId="162" dataCellStyle="Standard"/>
    <tableColumn id="21" xr3:uid="{915873E7-F578-45A4-ABF6-D1BDD9DB9DEB}" name="Bemerkungen" dataCellStyle="Standar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862EBB8-ADD0-4552-A0CB-F0DB4BF7376E}" name="Klisz_Emissionen_Regiomix" displayName="Klisz_Emissionen_Regiomix" ref="B347:Z508" totalsRowShown="0" headerRowCellStyle="Standard" dataCellStyle="Standard">
  <autoFilter ref="B347:Z508" xr:uid="{8E2D9B39-3C30-4331-AE80-E6A4577289DA}"/>
  <tableColumns count="25">
    <tableColumn id="22" xr3:uid="{F45C38F8-080A-4162-9B17-CCC299F9FE77}" name="ID" dataDxfId="161" dataCellStyle="Standard"/>
    <tableColumn id="25" xr3:uid="{B8EC34B8-89D6-4139-8819-540B65228142}" name="Handlungsfeld" dataDxfId="160">
      <calculatedColumnFormula>'Refsz-Verbräuche'!C18</calculatedColumnFormula>
    </tableColumn>
    <tableColumn id="2" xr3:uid="{98A3C268-D7EC-4CDC-927B-9B827D8145FF}" name="Datenpunkt" dataDxfId="159" dataCellStyle="Standard">
      <calculatedColumnFormula>'Refsz-Verbräuche'!D18</calculatedColumnFormula>
    </tableColumn>
    <tableColumn id="3" xr3:uid="{B6EE2AEC-B78F-4650-8AB3-8725FE9E015E}" name="Einheit" dataCellStyle="Standard"/>
    <tableColumn id="4" xr3:uid="{5BAB459F-A532-442F-9830-47092EF1F7C9}" name="2015" dataDxfId="158" dataCellStyle="Standard">
      <calculatedColumnFormula>IF(ISNUMBER('Klisz-Verbräuche'!G18), 'Klisz-Verbräuche'!G18*Emissionsfaktoren!E18/1000, 0)</calculatedColumnFormula>
    </tableColumn>
    <tableColumn id="5" xr3:uid="{759E00B8-FB4A-4FB6-ACF1-36D6ABF9C51C}" name="2016" dataDxfId="157" dataCellStyle="Standard">
      <calculatedColumnFormula>IF(ISNUMBER('Klisz-Verbräuche'!H18), 'Klisz-Verbräuche'!H18*Emissionsfaktoren!F18/1000, 0)</calculatedColumnFormula>
    </tableColumn>
    <tableColumn id="6" xr3:uid="{6AC64AC9-C79A-439B-8DAD-D353FE3AEB13}" name="2017" dataDxfId="156" dataCellStyle="Standard">
      <calculatedColumnFormula>IF(ISNUMBER('Klisz-Verbräuche'!I18), 'Klisz-Verbräuche'!I18*Emissionsfaktoren!G18/1000, 0)</calculatedColumnFormula>
    </tableColumn>
    <tableColumn id="7" xr3:uid="{4C74CF95-6C48-4DF1-A4FF-92CCD06BCD12}" name="2018" dataDxfId="155" dataCellStyle="Standard">
      <calculatedColumnFormula>IF(ISNUMBER('Klisz-Verbräuche'!J18), 'Klisz-Verbräuche'!J18*Emissionsfaktoren!H18/1000, 0)</calculatedColumnFormula>
    </tableColumn>
    <tableColumn id="8" xr3:uid="{73009F90-2953-42B9-8034-B5866DC9BFF2}" name="2019" dataDxfId="154" dataCellStyle="Standard">
      <calculatedColumnFormula>IF(ISNUMBER('Klisz-Verbräuche'!K18), 'Klisz-Verbräuche'!K18*Emissionsfaktoren!I18/1000, 0)</calculatedColumnFormula>
    </tableColumn>
    <tableColumn id="9" xr3:uid="{3CFCAD37-4BDF-4A49-BF23-ED0B46540C0E}" name="2020" dataDxfId="153" dataCellStyle="Standard">
      <calculatedColumnFormula>IF(ISNUMBER('Klisz-Verbräuche'!L18), 'Klisz-Verbräuche'!L18*Emissionsfaktoren!J18/1000, 0)</calculatedColumnFormula>
    </tableColumn>
    <tableColumn id="10" xr3:uid="{A86BBFEF-E4BD-4E8C-88F8-662442F3824E}" name="2021" dataDxfId="152" dataCellStyle="Standard">
      <calculatedColumnFormula>IF(ISNUMBER('Klisz-Verbräuche'!M18), 'Klisz-Verbräuche'!M18*Emissionsfaktoren!K18/1000, 0)</calculatedColumnFormula>
    </tableColumn>
    <tableColumn id="11" xr3:uid="{88A72B1E-B0F4-45A6-9D36-CCBDA0BB61D2}" name="2022" dataDxfId="151" dataCellStyle="Standard">
      <calculatedColumnFormula>IF(ISNUMBER('Klisz-Verbräuche'!N18), 'Klisz-Verbräuche'!N18*Emissionsfaktoren!L18/1000, 0)</calculatedColumnFormula>
    </tableColumn>
    <tableColumn id="12" xr3:uid="{D20B031A-0BC0-4517-B420-F3833F550E35}" name="2023" dataDxfId="150" dataCellStyle="Standard">
      <calculatedColumnFormula>IF(ISNUMBER('Klisz-Verbräuche'!O18), 'Klisz-Verbräuche'!O18*Emissionsfaktoren!M18/1000, 0)</calculatedColumnFormula>
    </tableColumn>
    <tableColumn id="13" xr3:uid="{E7257557-BC79-44FC-B325-213FB6B7001B}" name="2024" dataDxfId="149" dataCellStyle="Standard">
      <calculatedColumnFormula>IF(ISNUMBER('Klisz-Verbräuche'!P18), 'Klisz-Verbräuche'!P18*Emissionsfaktoren!N18/1000, 0)</calculatedColumnFormula>
    </tableColumn>
    <tableColumn id="14" xr3:uid="{67119CE0-38F0-4571-A63F-1D535D6E3D69}" name="2025" dataDxfId="148" dataCellStyle="Standard">
      <calculatedColumnFormula>IF(ISNUMBER('Klisz-Verbräuche'!Q18), 'Klisz-Verbräuche'!Q18*Emissionsfaktoren!O18/1000, 0)</calculatedColumnFormula>
    </tableColumn>
    <tableColumn id="15" xr3:uid="{128C9A6E-B1A6-41A7-9E82-4DF0292E7F92}" name="2026" dataDxfId="147" dataCellStyle="Standard">
      <calculatedColumnFormula>IF(ISNUMBER('Klisz-Verbräuche'!R18), 'Klisz-Verbräuche'!R18*Emissionsfaktoren!P18/1000, 0)</calculatedColumnFormula>
    </tableColumn>
    <tableColumn id="1" xr3:uid="{7ECD3C6B-8E7C-46BC-A019-CB522D6C9582}" name="2027" dataDxfId="146">
      <calculatedColumnFormula>IF(ISNUMBER('Klisz-Verbräuche'!S18), 'Klisz-Verbräuche'!S18*Emissionsfaktoren!Q18/1000, 0)</calculatedColumnFormula>
    </tableColumn>
    <tableColumn id="23" xr3:uid="{8E68AE68-FD62-419E-8AA6-39FD4E9DDB82}" name="2028" dataDxfId="145">
      <calculatedColumnFormula>IF(ISNUMBER('Klisz-Verbräuche'!T18), 'Klisz-Verbräuche'!T18*Emissionsfaktoren!R18/1000, 0)</calculatedColumnFormula>
    </tableColumn>
    <tableColumn id="24" xr3:uid="{A4E35A02-9F16-46AC-93B1-B2AF475295A8}" name="2029" dataDxfId="144">
      <calculatedColumnFormula>IF(ISNUMBER('Klisz-Verbräuche'!U18), 'Klisz-Verbräuche'!U18*Emissionsfaktoren!S18/1000, 0)</calculatedColumnFormula>
    </tableColumn>
    <tableColumn id="16" xr3:uid="{5C2F633A-35D6-4473-8950-E8D7B583C579}" name="2030" dataDxfId="143" dataCellStyle="Standard">
      <calculatedColumnFormula>IF(ISNUMBER('Klisz-Verbräuche'!V18), 'Klisz-Verbräuche'!V18*Emissionsfaktoren!T18/1000, 0)</calculatedColumnFormula>
    </tableColumn>
    <tableColumn id="17" xr3:uid="{B7BE9E30-410B-4DC0-BD1D-F326E1E516CA}" name="2035" dataDxfId="142" dataCellStyle="Standard">
      <calculatedColumnFormula>IF(ISNUMBER('Klisz-Verbräuche'!W18), 'Klisz-Verbräuche'!W18*Emissionsfaktoren!U18/1000, 0)</calculatedColumnFormula>
    </tableColumn>
    <tableColumn id="18" xr3:uid="{4FE75F32-F201-41B0-A235-3B55A19DEBA0}" name="2040" dataDxfId="141" dataCellStyle="Standard">
      <calculatedColumnFormula>IF(ISNUMBER('Klisz-Verbräuche'!X18), 'Klisz-Verbräuche'!X18*Emissionsfaktoren!V18/1000, 0)</calculatedColumnFormula>
    </tableColumn>
    <tableColumn id="19" xr3:uid="{641E217A-36FA-4259-AEAA-053B5FC4FD20}" name="2045" dataDxfId="140" dataCellStyle="Standard">
      <calculatedColumnFormula>IF(ISNUMBER('Klisz-Verbräuche'!Y18), 'Klisz-Verbräuche'!Y18*Emissionsfaktoren!W18/1000, 0)</calculatedColumnFormula>
    </tableColumn>
    <tableColumn id="20" xr3:uid="{EB1EBE55-F9A1-4294-8DD1-000412A0C17C}" name="2050" dataDxfId="139" dataCellStyle="Standard">
      <calculatedColumnFormula>IF(ISNUMBER('Klisz-Verbräuche'!Z18), 'Klisz-Verbräuche'!Z18*Emissionsfaktoren!X18/1000, 0)</calculatedColumnFormula>
    </tableColumn>
    <tableColumn id="21" xr3:uid="{38059889-DF73-4D72-93C2-606891CD8B3E}" name="Bemerkungen" dataCellStyle="Standar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961567D-83DB-4BBE-A123-F88B873FF4A7}" name="Wertung_der_Datengüte" displayName="Wertung_der_Datengüte" ref="B9:C13" totalsRowShown="0">
  <autoFilter ref="B9:C13" xr:uid="{4961567D-83DB-4BBE-A123-F88B873FF4A7}"/>
  <tableColumns count="2">
    <tableColumn id="1" xr3:uid="{97D35D7F-A6D8-47B7-8B00-B965582EAAB6}" name="Datengüte"/>
    <tableColumn id="3" xr3:uid="{69C55464-0A09-4D3A-ADB6-E0A318FA9169}" name="Faktor"/>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6FB7570-4347-4C45-B1BD-DB76212833A6}" name="Klisz_Emissionen_Eigenes_Klimaschutzszenario" displayName="Klisz_Emissionen_Eigenes_Klimaschutzszenario" ref="B527:Z688" totalsRowShown="0" headerRowCellStyle="Standard" dataCellStyle="Standard">
  <autoFilter ref="B527:Z688" xr:uid="{E131100D-3CF0-4C8E-B5E0-F0F415C61010}"/>
  <tableColumns count="25">
    <tableColumn id="22" xr3:uid="{5D6BB039-8D35-4DAB-A696-648ADFCF489D}" name="ID" dataDxfId="138" dataCellStyle="Standard"/>
    <tableColumn id="25" xr3:uid="{A5D733B4-2EEF-4B02-87C2-1F67D733433F}" name="Handlungsfeld" dataDxfId="137">
      <calculatedColumnFormula>'Refsz-Verbräuche'!C18</calculatedColumnFormula>
    </tableColumn>
    <tableColumn id="2" xr3:uid="{4E0FA77E-7005-4B57-AC36-DABB2F4E8EF7}" name="Datenpunkt" dataDxfId="136" dataCellStyle="Standard">
      <calculatedColumnFormula>'Refsz-Verbräuche'!D18</calculatedColumnFormula>
    </tableColumn>
    <tableColumn id="3" xr3:uid="{B8993BDC-EB0B-4318-BED5-498643A2B058}" name="Einheit" dataCellStyle="Standard"/>
    <tableColumn id="4" xr3:uid="{5FE40FF2-890C-4C0B-B889-26076174FE80}" name="2015" dataDxfId="135" dataCellStyle="Standard">
      <calculatedColumnFormula>IF('Klisz-Verbräuche'!G18, 'Klisz-Verbräuche'!G18*Emissionsfaktoren!E18/1000,0)</calculatedColumnFormula>
    </tableColumn>
    <tableColumn id="5" xr3:uid="{ADE1B008-2FDA-48C1-A868-B6963D985B9A}" name="2016" dataDxfId="134" dataCellStyle="Standard">
      <calculatedColumnFormula>IF('Klisz-Verbräuche'!H18, 'Klisz-Verbräuche'!H18*Emissionsfaktoren!F18/1000,0)</calculatedColumnFormula>
    </tableColumn>
    <tableColumn id="6" xr3:uid="{95156824-EC22-483E-BC59-2FE044D9E9C3}" name="2017" dataDxfId="133" dataCellStyle="Standard">
      <calculatedColumnFormula>IF('Klisz-Verbräuche'!I18, 'Klisz-Verbräuche'!I18*Emissionsfaktoren!G18/1000,0)</calculatedColumnFormula>
    </tableColumn>
    <tableColumn id="7" xr3:uid="{E179C1ED-94B0-4EF1-9F0D-D74632530230}" name="2018" dataDxfId="132" dataCellStyle="Standard">
      <calculatedColumnFormula>IF('Klisz-Verbräuche'!J18, 'Klisz-Verbräuche'!J18*Emissionsfaktoren!H18/1000,0)</calculatedColumnFormula>
    </tableColumn>
    <tableColumn id="8" xr3:uid="{A44D8B94-331E-4F73-B60D-045293DF85CF}" name="2019" dataDxfId="131" dataCellStyle="Standard">
      <calculatedColumnFormula>IF('Klisz-Verbräuche'!K18, 'Klisz-Verbräuche'!K18*Emissionsfaktoren!I18/1000,0)</calculatedColumnFormula>
    </tableColumn>
    <tableColumn id="9" xr3:uid="{B5D9A328-E553-41EA-B4D4-83BD4271A535}" name="2020" dataDxfId="130" dataCellStyle="Standard">
      <calculatedColumnFormula>IF('Klisz-Verbräuche'!L18, 'Klisz-Verbräuche'!L18*Emissionsfaktoren!J18/1000,0)</calculatedColumnFormula>
    </tableColumn>
    <tableColumn id="10" xr3:uid="{426A0BA4-B67B-49FB-8B17-19EBE13CD213}" name="2021" dataDxfId="129" dataCellStyle="Standard">
      <calculatedColumnFormula>IF('Klisz-Verbräuche'!M18, 'Klisz-Verbräuche'!M18*Emissionsfaktoren!K18/1000,0)</calculatedColumnFormula>
    </tableColumn>
    <tableColumn id="11" xr3:uid="{EDE0C284-9932-4A95-A3B3-0DA496D09AAD}" name="2022" dataDxfId="128" dataCellStyle="Standard">
      <calculatedColumnFormula>IF('Klisz-Verbräuche'!N18, 'Klisz-Verbräuche'!N18*Emissionsfaktoren!L18/1000,0)</calculatedColumnFormula>
    </tableColumn>
    <tableColumn id="12" xr3:uid="{85A9D944-941F-4E33-82E0-3B41089AC3B4}" name="2023" dataDxfId="127" dataCellStyle="Standard">
      <calculatedColumnFormula>IF('Klisz-Verbräuche'!O18, 'Klisz-Verbräuche'!O18*Emissionsfaktoren!M18/1000,0)</calculatedColumnFormula>
    </tableColumn>
    <tableColumn id="13" xr3:uid="{8BA7D886-B7EE-4DA0-A88D-48441C9EF27F}" name="2024" dataDxfId="126" dataCellStyle="Standard">
      <calculatedColumnFormula>IF('Klisz-Verbräuche'!P18, 'Klisz-Verbräuche'!P18*Emissionsfaktoren!N18/1000,0)</calculatedColumnFormula>
    </tableColumn>
    <tableColumn id="14" xr3:uid="{C3F0C31E-BFB5-4B23-8F31-63ACAD6E0984}" name="2025" dataDxfId="125" dataCellStyle="Standard">
      <calculatedColumnFormula>IF('Klisz-Verbräuche'!Q18, 'Klisz-Verbräuche'!Q18*Emissionsfaktoren!O18/1000,0)</calculatedColumnFormula>
    </tableColumn>
    <tableColumn id="15" xr3:uid="{B38DAC2C-2120-45CF-AA7C-7A95F499B555}" name="2026" dataDxfId="124" dataCellStyle="Standard">
      <calculatedColumnFormula>IF('Klisz-Verbräuche'!R18, 'Klisz-Verbräuche'!R18*Emissionsfaktoren!P18/1000,0)</calculatedColumnFormula>
    </tableColumn>
    <tableColumn id="1" xr3:uid="{8EF89FBB-90D2-42C7-9334-858D04F6DA74}" name="2027" dataDxfId="123">
      <calculatedColumnFormula>IF('Klisz-Verbräuche'!S18, 'Klisz-Verbräuche'!S18*Emissionsfaktoren!Q18/1000,0)</calculatedColumnFormula>
    </tableColumn>
    <tableColumn id="23" xr3:uid="{5CDFC7CC-280A-411B-8CC5-85BE983A5FB8}" name="2028" dataDxfId="122">
      <calculatedColumnFormula>IF('Klisz-Verbräuche'!T18, 'Klisz-Verbräuche'!T18*Emissionsfaktoren!R18/1000,0)</calculatedColumnFormula>
    </tableColumn>
    <tableColumn id="24" xr3:uid="{05C62B16-A64F-4EA5-8088-D473C4DB5BED}" name="2029" dataDxfId="121">
      <calculatedColumnFormula>IF('Klisz-Verbräuche'!U18, 'Klisz-Verbräuche'!U18*Emissionsfaktoren!S18/1000,0)</calculatedColumnFormula>
    </tableColumn>
    <tableColumn id="16" xr3:uid="{597C5658-34CB-46A7-9855-E3066DD6CE65}" name="2030" dataDxfId="120" dataCellStyle="Standard">
      <calculatedColumnFormula>IF('Klisz-Verbräuche'!V18, 'Klisz-Verbräuche'!V18*Emissionsfaktoren!T18/1000,0)</calculatedColumnFormula>
    </tableColumn>
    <tableColumn id="17" xr3:uid="{433E374B-1BBB-4986-9C5C-EEE818D83276}" name="2035" dataDxfId="119" dataCellStyle="Standard">
      <calculatedColumnFormula>IF('Klisz-Verbräuche'!W18, 'Klisz-Verbräuche'!W18*Emissionsfaktoren!U18/1000,0)</calculatedColumnFormula>
    </tableColumn>
    <tableColumn id="18" xr3:uid="{1BC5B1AB-0705-4825-BB3A-F7CB5D7D0863}" name="2040" dataDxfId="118" dataCellStyle="Standard">
      <calculatedColumnFormula>IF('Klisz-Verbräuche'!X18, 'Klisz-Verbräuche'!X18*Emissionsfaktoren!V18/1000,0)</calculatedColumnFormula>
    </tableColumn>
    <tableColumn id="19" xr3:uid="{565C4DE8-75A2-4923-90CD-A79A57170CD6}" name="2045" dataDxfId="117" dataCellStyle="Standard">
      <calculatedColumnFormula>IF('Klisz-Verbräuche'!Y18, 'Klisz-Verbräuche'!Y18*Emissionsfaktoren!W18/1000,0)</calculatedColumnFormula>
    </tableColumn>
    <tableColumn id="20" xr3:uid="{A8376D7B-D1C7-4CD2-B1E0-174132FE0A55}" name="2050" dataDxfId="116" dataCellStyle="Standard">
      <calculatedColumnFormula>IF('Klisz-Verbräuche'!Z18, 'Klisz-Verbräuche'!Z18*Emissionsfaktoren!X18/1000,0)</calculatedColumnFormula>
    </tableColumn>
    <tableColumn id="21" xr3:uid="{CC27F550-E673-453F-989C-1D19B53CC956}" name="Bemerkungen" dataCellStyle="Standar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59FD7419-3CE3-4E2E-A484-55532B0E1819}" name="Klisz_Eigenes_Klimaschutzszenario_SonderEmissionsfaktoren" displayName="Klisz_Eigenes_Klimaschutzszenario_SonderEmissionsfaktoren" ref="B521:Z524" totalsRowShown="0" headerRowDxfId="115" headerRowBorderDxfId="114" tableBorderDxfId="113" totalsRowBorderDxfId="112">
  <autoFilter ref="B521:Z524" xr:uid="{3D0F8BCF-A37C-48DC-9821-DFC300D35625}"/>
  <tableColumns count="25">
    <tableColumn id="1" xr3:uid="{3F6E1782-E3CC-4068-BA49-73F7A17737ED}" name="ID" dataDxfId="111"/>
    <tableColumn id="2" xr3:uid="{EC1B7769-B5CC-41AB-B97C-2B79196E2299}" name="Handlungsfeld"/>
    <tableColumn id="3" xr3:uid="{A4899563-2416-4633-84B6-5853BAB2924C}" name="Einheit" dataDxfId="110"/>
    <tableColumn id="4" xr3:uid="{25492CA8-FB80-4DB0-A557-A80BC8F41E1C}" name="2015" dataDxfId="109"/>
    <tableColumn id="5" xr3:uid="{6E35DA1C-3EC9-4FC7-B6A5-97D3EDADAB4D}" name="2016" dataDxfId="108"/>
    <tableColumn id="6" xr3:uid="{46EE2C0C-E0AE-4026-A21F-F1D079D14F5B}" name="2017" dataDxfId="107"/>
    <tableColumn id="7" xr3:uid="{8BC8445E-F977-40CE-A28A-70F245876200}" name="2018" dataDxfId="106"/>
    <tableColumn id="8" xr3:uid="{3D64414A-1925-4E2B-8F24-CC5C74B07202}" name="2019" dataDxfId="105"/>
    <tableColumn id="9" xr3:uid="{501EC22E-9846-463B-BA9D-EAEFC5494CB3}" name="2020" dataDxfId="104"/>
    <tableColumn id="10" xr3:uid="{5F7346BD-0319-4745-A7C9-D2C221AEBC8D}" name="2021" dataDxfId="103"/>
    <tableColumn id="11" xr3:uid="{EA4DE42E-8788-42E7-BB9D-BF8B93B04EA1}" name="2022" dataDxfId="102"/>
    <tableColumn id="12" xr3:uid="{9799CFB9-D397-4EF2-8AAA-FC108AE6EBC2}" name="2023" dataDxfId="101"/>
    <tableColumn id="13" xr3:uid="{90530A36-A26F-4B22-8785-E2A7A32EB4D8}" name="2024" dataDxfId="100"/>
    <tableColumn id="14" xr3:uid="{705D421B-C9E9-464B-9A4E-9893B4CAD8E8}" name="2025" dataDxfId="99"/>
    <tableColumn id="15" xr3:uid="{2483E92D-15B1-4537-B63A-624C514DA563}" name="2026" dataDxfId="98"/>
    <tableColumn id="16" xr3:uid="{97D19154-66D9-4FF8-B45E-8AF587A3F492}" name="2027" dataDxfId="97"/>
    <tableColumn id="17" xr3:uid="{46DDE16C-32C0-484F-8D40-1219E69BA841}" name="2028" dataDxfId="96"/>
    <tableColumn id="18" xr3:uid="{A3E480BD-5123-4ADD-A378-5EDEFA5B7FA0}" name="2029" dataDxfId="95"/>
    <tableColumn id="19" xr3:uid="{B926BEE5-0E2E-4850-9390-B41196AFF8CD}" name="2030" dataDxfId="94"/>
    <tableColumn id="20" xr3:uid="{91DCD532-72F8-4734-AD79-84617C30E5BB}" name="2035" dataDxfId="93"/>
    <tableColumn id="21" xr3:uid="{9DFCD4FB-0332-46D5-AF94-576F86B190EE}" name="2040" dataDxfId="92"/>
    <tableColumn id="22" xr3:uid="{C2296E0C-E723-4B0B-BD72-248F9C2DE542}" name="2045" dataDxfId="91"/>
    <tableColumn id="23" xr3:uid="{089D7111-01B8-4A0F-948A-41738425C5CD}" name="2050" dataDxfId="90"/>
    <tableColumn id="24" xr3:uid="{034C2839-5B17-4977-B1E4-22081C334330}" name="Quelle" dataDxfId="89"/>
    <tableColumn id="25" xr3:uid="{2D3FEBC3-F73D-4DC7-8ED1-5675E22AE526}" name="Datensatz, Hinweise" dataDxfId="88"/>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2AAA1C7-81FF-4B67-8AA3-57BE09C08FDC}" name="Klisz_Bundesmix_Handlungsfelder" displayName="Klisz_Bundesmix_Handlungsfelder" ref="C694:X706" totalsRowCount="1">
  <autoFilter ref="C694:X705" xr:uid="{3359A006-31A6-4F08-B6C5-A8CDA16B7EB4}"/>
  <tableColumns count="22">
    <tableColumn id="1" xr3:uid="{1D557532-FAB4-4F3D-A5EC-9C80DB05BD73}" name="Handlungsfeld" totalsRowLabel="Ergebnis" totalsRowDxfId="87">
      <calculatedColumnFormula>'Refsz-Emissionen'!C350</calculatedColumnFormula>
    </tableColumn>
    <tableColumn id="2" xr3:uid="{0A3C0990-A025-4E23-B8F1-DED6F7C43C5C}" name="Einheit" totalsRowLabel="t CO2-Äq." totalsRowDxfId="86"/>
    <tableColumn id="3" xr3:uid="{30476B61-9E24-4F27-B163-B3C3D97681A5}" name="2015" totalsRowFunction="sum" totalsRowDxfId="85">
      <calculatedColumnFormula>SUMIFS(Klisz_Emissionen_Bundesmix[2015], $C$18:$C$178,$C695)</calculatedColumnFormula>
    </tableColumn>
    <tableColumn id="4" xr3:uid="{FEEAB970-0890-40B8-9B3D-3DBAE3A80E80}" name="2016" totalsRowFunction="sum" totalsRowDxfId="84">
      <calculatedColumnFormula>SUMIFS(Klisz_Emissionen_Bundesmix[2016], $C$18:$C$178,$C695)</calculatedColumnFormula>
    </tableColumn>
    <tableColumn id="5" xr3:uid="{606D8F6E-1EA0-4E56-8C43-CA7B1DB7F202}" name="2017" totalsRowFunction="sum" totalsRowDxfId="83">
      <calculatedColumnFormula>SUMIFS(Klisz_Emissionen_Bundesmix[2017], $C$18:$C$178,$C695)</calculatedColumnFormula>
    </tableColumn>
    <tableColumn id="6" xr3:uid="{27F5038B-BA12-4D51-BEE4-3C86572A70D8}" name="2018" totalsRowFunction="sum" totalsRowDxfId="82">
      <calculatedColumnFormula>SUMIFS(Klisz_Emissionen_Bundesmix[2018], $C$18:$C$178,$C695)</calculatedColumnFormula>
    </tableColumn>
    <tableColumn id="7" xr3:uid="{BF26E0A8-84B0-4A2E-AE64-4C22DFCD88BF}" name="2019" totalsRowFunction="sum" totalsRowDxfId="81">
      <calculatedColumnFormula>SUMIFS(Klisz_Emissionen_Bundesmix[2019], $C$18:$C$178,$C695)</calculatedColumnFormula>
    </tableColumn>
    <tableColumn id="8" xr3:uid="{7C9AFED8-5638-4C0D-AB28-DA3BAD0BB600}" name="2020" totalsRowFunction="sum" totalsRowDxfId="80">
      <calculatedColumnFormula>SUMIFS(Klisz_Emissionen_Bundesmix[2020], $C$18:$C$178,$C695)</calculatedColumnFormula>
    </tableColumn>
    <tableColumn id="9" xr3:uid="{3DF88E90-A0DB-4BC1-9935-0BF454F4809C}" name="2021" totalsRowFunction="sum" totalsRowDxfId="79">
      <calculatedColumnFormula>SUMIFS(Klisz_Emissionen_Bundesmix[2021], $C$18:$C$178,$C695)</calculatedColumnFormula>
    </tableColumn>
    <tableColumn id="10" xr3:uid="{9336BC28-3585-4020-A246-9C2DF80F0E33}" name="2022" totalsRowFunction="sum" totalsRowDxfId="78">
      <calculatedColumnFormula>SUMIFS(Klisz_Emissionen_Bundesmix[2022], $C$18:$C$178,$C695)</calculatedColumnFormula>
    </tableColumn>
    <tableColumn id="11" xr3:uid="{32C743B1-2F44-4DF6-8B7C-32EB0B0441C1}" name="2023" totalsRowFunction="sum" totalsRowDxfId="77">
      <calculatedColumnFormula>SUMIFS(Klisz_Emissionen_Bundesmix[2023], $C$18:$C$178,$C695)</calculatedColumnFormula>
    </tableColumn>
    <tableColumn id="12" xr3:uid="{0F22C594-AF69-469A-898C-D59D2E320199}" name="2024" totalsRowFunction="sum" totalsRowDxfId="76">
      <calculatedColumnFormula>SUMIFS(Klisz_Emissionen_Bundesmix[2024], $C$18:$C$178,$C695)</calculatedColumnFormula>
    </tableColumn>
    <tableColumn id="13" xr3:uid="{F49CEB65-750A-447B-AC58-50035E67B2D7}" name="2025" totalsRowFunction="sum" totalsRowDxfId="75">
      <calculatedColumnFormula>SUMIFS(Klisz_Emissionen_Bundesmix[2025], $C$18:$C$178,$C695)</calculatedColumnFormula>
    </tableColumn>
    <tableColumn id="14" xr3:uid="{9F1C103E-5C11-4B64-9723-CED8B2053D93}" name="2026" totalsRowFunction="sum" totalsRowDxfId="74">
      <calculatedColumnFormula>SUMIFS(Klisz_Emissionen_Bundesmix[2026], $C$18:$C$178,$C695)</calculatedColumnFormula>
    </tableColumn>
    <tableColumn id="20" xr3:uid="{46C2753E-5734-436B-9458-6E383D79D738}" name="2027" totalsRowFunction="sum" totalsRowDxfId="73">
      <calculatedColumnFormula>SUMIFS(Klisz_Emissionen_Bundesmix[2027], $C$18:$C$178,$C695)</calculatedColumnFormula>
    </tableColumn>
    <tableColumn id="21" xr3:uid="{FDB83ACE-04AF-45E8-8A3E-7FBC7AEF3468}" name="2028" totalsRowFunction="sum" totalsRowDxfId="72">
      <calculatedColumnFormula>SUMIFS(Klisz_Emissionen_Bundesmix[2028], $C$18:$C$178,$C695)</calculatedColumnFormula>
    </tableColumn>
    <tableColumn id="22" xr3:uid="{DF1E4CD6-E6CA-4452-B1F3-A9BABEF18CA1}" name="2029" totalsRowFunction="sum" totalsRowDxfId="71">
      <calculatedColumnFormula>SUMIFS(Klisz_Emissionen_Bundesmix[2029], $C$18:$C$178,$C695)</calculatedColumnFormula>
    </tableColumn>
    <tableColumn id="15" xr3:uid="{DE1C00DF-C290-43BA-A516-AF93CBD4FCD9}" name="2030" totalsRowFunction="sum" totalsRowDxfId="70">
      <calculatedColumnFormula>SUMIFS(Klisz_Emissionen_Bundesmix[2030], $C$18:$C$178,$C695)</calculatedColumnFormula>
    </tableColumn>
    <tableColumn id="16" xr3:uid="{47B555EA-6961-49B1-813F-39FF0C8CF92E}" name="2035" totalsRowFunction="sum" totalsRowDxfId="69">
      <calculatedColumnFormula>SUMIFS(Klisz_Emissionen_Bundesmix[2035], $C$18:$C$178,$C695)</calculatedColumnFormula>
    </tableColumn>
    <tableColumn id="17" xr3:uid="{72B6C48A-4533-4C9A-B2C2-911F0BC49F96}" name="2040" totalsRowFunction="sum" totalsRowDxfId="68">
      <calculatedColumnFormula>SUMIFS(Klisz_Emissionen_Bundesmix[2040], $C$18:$C$178,$C695)</calculatedColumnFormula>
    </tableColumn>
    <tableColumn id="18" xr3:uid="{19F7BFCF-6E8C-4282-9185-64FAE5ACFB41}" name="2045" totalsRowFunction="sum" totalsRowDxfId="67">
      <calculatedColumnFormula>SUMIFS(Klisz_Emissionen_Bundesmix[2045], $C$18:$C$178,$C695)</calculatedColumnFormula>
    </tableColumn>
    <tableColumn id="19" xr3:uid="{C20BC98E-94BF-4586-A06B-7C77CC6B909A}" name="2050" totalsRowFunction="sum" totalsRowDxfId="66">
      <calculatedColumnFormula>SUMIFS(Klisz_Emissionen_Bundesmix[2050], $C$18:$C$178,$C695)</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BD3EF88-1D01-492A-A09F-C3B82E661E6C}" name="Klisz_Bundesmix_Kennwerte" displayName="Klisz_Bundesmix_Kennwerte" ref="C708:X710" totalsRowShown="0">
  <autoFilter ref="C708:X710" xr:uid="{B8B4AC4C-63A2-47D2-998A-509AB9F31554}"/>
  <tableColumns count="22">
    <tableColumn id="1" xr3:uid="{23A7054A-1F66-4C9B-AD44-DC9DDAF0729A}" name="Kennwerte"/>
    <tableColumn id="2" xr3:uid="{9093D62B-9F91-4117-8431-83E0C1974000}" name="Einheit"/>
    <tableColumn id="3" xr3:uid="{1BF9ACD9-1A9C-409A-9227-CEA1EF553A57}" name="2015"/>
    <tableColumn id="4" xr3:uid="{6D2105EE-E216-4554-A7C3-88D43D54E2B1}" name="2016"/>
    <tableColumn id="5" xr3:uid="{11DFD70A-332E-4881-93CB-4C8BD070F1EC}" name="2017"/>
    <tableColumn id="6" xr3:uid="{A790ECF7-120D-4EC5-AD9A-1881B229A3A6}" name="2018"/>
    <tableColumn id="7" xr3:uid="{F04EE1DD-3F8E-4BF4-8022-68C48D6FC5F5}" name="2019"/>
    <tableColumn id="8" xr3:uid="{B83760F3-3066-4829-9262-7AD3336A14F4}" name="2020"/>
    <tableColumn id="9" xr3:uid="{6101DECA-B04A-4A67-89E7-4D07A1A61298}" name="2021"/>
    <tableColumn id="10" xr3:uid="{91EC410F-7853-4ACF-9645-73384F2F5DA9}" name="2022"/>
    <tableColumn id="11" xr3:uid="{830174BA-F451-4910-A027-175852072B01}" name="2023"/>
    <tableColumn id="12" xr3:uid="{EAE2B341-499D-4BDF-8D19-CDED26EF7F8E}" name="2024"/>
    <tableColumn id="13" xr3:uid="{CEF701CA-45AF-45EF-8212-15A30AA7D65D}" name="2025"/>
    <tableColumn id="14" xr3:uid="{CB717D17-BA8F-435E-AAB9-9F9E06F0E945}" name="2026"/>
    <tableColumn id="24" xr3:uid="{86E0541D-0D6A-471D-92F2-6FC574DBCB80}" name="2027"/>
    <tableColumn id="25" xr3:uid="{71B80831-26AC-4A94-BEF9-7226D1CDCD4B}" name="2028"/>
    <tableColumn id="26" xr3:uid="{48748E4D-F4E4-4A02-8208-ADD88752865F}" name="2029"/>
    <tableColumn id="15" xr3:uid="{B92996CC-5E5B-4B2A-AE19-A4D64164A745}" name="2030"/>
    <tableColumn id="16" xr3:uid="{6E67F587-EF8B-4943-965B-580BA6946D54}" name="2035"/>
    <tableColumn id="17" xr3:uid="{E9A30573-9910-4690-B2EF-F7968512CA54}" name="2040"/>
    <tableColumn id="18" xr3:uid="{05178B4B-35BA-4BC7-9F74-75A58F6DF2A5}" name="2045"/>
    <tableColumn id="19" xr3:uid="{FF44F2C9-BC72-4315-AE23-A0439EF8A328}" name="2050"/>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A062963-9999-4C27-BC98-A74EA0CF200F}" name="Klisz_Bundesmix_KS80_Handlungsfelder" displayName="Klisz_Bundesmix_KS80_Handlungsfelder" ref="C715:X727" totalsRowCount="1">
  <autoFilter ref="C715:X726" xr:uid="{370BF731-EAE9-4A03-81A5-3F5058416E15}"/>
  <tableColumns count="22">
    <tableColumn id="1" xr3:uid="{7A34C515-4B28-4314-A596-E62FC795E2F7}" name="Handlungsfeld" totalsRowLabel="Ergebnis" totalsRowDxfId="65">
      <calculatedColumnFormula>'Refsz-Emissionen'!C350</calculatedColumnFormula>
    </tableColumn>
    <tableColumn id="2" xr3:uid="{2ADC02FA-F9AA-4E9D-BAB9-4591688390CE}" name="Einheit" totalsRowLabel="t CO2-Äq." totalsRowDxfId="64"/>
    <tableColumn id="3" xr3:uid="{7241DAA4-C865-4A68-A890-A4636987194C}" name="2015" totalsRowFunction="sum" totalsRowDxfId="63">
      <calculatedColumnFormula>SUMIFS(Klisz_Emissionen_BundesmixKS80[2015], $C$183:$C$343,$C716)</calculatedColumnFormula>
    </tableColumn>
    <tableColumn id="4" xr3:uid="{43C91F9A-D2FF-489F-9728-388E1CADE600}" name="2016" totalsRowFunction="sum" totalsRowDxfId="62">
      <calculatedColumnFormula>SUMIFS(Klisz_Emissionen_BundesmixKS80[2016], $C$183:$C$343,$C716)</calculatedColumnFormula>
    </tableColumn>
    <tableColumn id="5" xr3:uid="{9B806FF5-7640-423D-90B3-ADE3C752B445}" name="2017" totalsRowFunction="sum" totalsRowDxfId="61">
      <calculatedColumnFormula>SUMIFS(Klisz_Emissionen_BundesmixKS80[2017], $C$183:$C$343,$C716)</calculatedColumnFormula>
    </tableColumn>
    <tableColumn id="6" xr3:uid="{08558BE8-665B-4961-A58E-260CFF068563}" name="2018" totalsRowFunction="sum" totalsRowDxfId="60">
      <calculatedColumnFormula>SUMIFS(Klisz_Emissionen_BundesmixKS80[2018], $C$183:$C$343,$C716)</calculatedColumnFormula>
    </tableColumn>
    <tableColumn id="7" xr3:uid="{38DE3B09-FBFB-4FAA-A23D-47C9AAAE02A2}" name="2019" totalsRowFunction="sum" totalsRowDxfId="59">
      <calculatedColumnFormula>SUMIFS(Klisz_Emissionen_BundesmixKS80[2019], $C$183:$C$343,$C716)</calculatedColumnFormula>
    </tableColumn>
    <tableColumn id="8" xr3:uid="{9FA522F7-3CD2-4C22-A69B-0D56DA734F20}" name="2020" totalsRowFunction="sum" totalsRowDxfId="58">
      <calculatedColumnFormula>SUMIFS(Klisz_Emissionen_BundesmixKS80[2020], $C$183:$C$343,$C716)</calculatedColumnFormula>
    </tableColumn>
    <tableColumn id="9" xr3:uid="{C0AD349E-2503-4199-AA51-97A84D0AF0BC}" name="2021" totalsRowFunction="sum" totalsRowDxfId="57">
      <calculatedColumnFormula>SUMIFS(Klisz_Emissionen_BundesmixKS80[2021], $C$183:$C$343,$C716)</calculatedColumnFormula>
    </tableColumn>
    <tableColumn id="10" xr3:uid="{9D49C747-CA7B-41C4-8F90-B14BD629ECD3}" name="2022" totalsRowFunction="sum" totalsRowDxfId="56">
      <calculatedColumnFormula>SUMIFS(Klisz_Emissionen_BundesmixKS80[2022], $C$183:$C$343,$C716)</calculatedColumnFormula>
    </tableColumn>
    <tableColumn id="11" xr3:uid="{3C97092B-7427-4A8B-997C-2AFD79C35928}" name="2023" totalsRowFunction="sum" totalsRowDxfId="55">
      <calculatedColumnFormula>SUMIFS(Klisz_Emissionen_BundesmixKS80[2023], $C$183:$C$343,$C716)</calculatedColumnFormula>
    </tableColumn>
    <tableColumn id="12" xr3:uid="{228D5996-7EF0-44CB-B13F-F3D4797145A3}" name="2024" totalsRowFunction="sum" totalsRowDxfId="54">
      <calculatedColumnFormula>SUMIFS(Klisz_Emissionen_BundesmixKS80[2024], $C$183:$C$343,$C716)</calculatedColumnFormula>
    </tableColumn>
    <tableColumn id="13" xr3:uid="{B332FF61-4F90-47D9-833D-1C8624CD5E2F}" name="2025" totalsRowFunction="sum" totalsRowDxfId="53">
      <calculatedColumnFormula>SUMIFS(Klisz_Emissionen_BundesmixKS80[2025], $C$183:$C$343,$C716)</calculatedColumnFormula>
    </tableColumn>
    <tableColumn id="14" xr3:uid="{D5E2AA48-223A-4FE5-BFCD-6FEB930FB24A}" name="2026" totalsRowFunction="sum" totalsRowDxfId="52">
      <calculatedColumnFormula>SUMIFS(Klisz_Emissionen_BundesmixKS80[2026], $C$183:$C$343,$C716)</calculatedColumnFormula>
    </tableColumn>
    <tableColumn id="20" xr3:uid="{1C7A911C-E704-413F-97E9-343CCC9B4EA9}" name="2027" totalsRowFunction="sum" totalsRowDxfId="51">
      <calculatedColumnFormula>SUMIFS(Klisz_Emissionen_BundesmixKS80[2027], $C$183:$C$343,$C716)</calculatedColumnFormula>
    </tableColumn>
    <tableColumn id="21" xr3:uid="{66A16C66-D1B5-40BA-B09B-C71EFB76697F}" name="2028" totalsRowFunction="sum" totalsRowDxfId="50">
      <calculatedColumnFormula>SUMIFS(Klisz_Emissionen_BundesmixKS80[2028], $C$183:$C$343,$C716)</calculatedColumnFormula>
    </tableColumn>
    <tableColumn id="22" xr3:uid="{0A503F2D-3A80-4288-BA19-5AEA9C8BD5CA}" name="2029" totalsRowFunction="sum" totalsRowDxfId="49">
      <calculatedColumnFormula>SUMIFS(Klisz_Emissionen_BundesmixKS80[2029], $C$183:$C$343,$C716)</calculatedColumnFormula>
    </tableColumn>
    <tableColumn id="15" xr3:uid="{EFAD3B08-BC31-476C-91CE-34FA042F44D3}" name="2030" totalsRowFunction="sum" totalsRowDxfId="48">
      <calculatedColumnFormula>SUMIFS(Klisz_Emissionen_BundesmixKS80[2030], $C$183:$C$343,$C716)</calculatedColumnFormula>
    </tableColumn>
    <tableColumn id="16" xr3:uid="{EF939C5D-510E-4E1B-8744-806D5FE6F009}" name="2035" totalsRowFunction="sum" totalsRowDxfId="47">
      <calculatedColumnFormula>SUMIFS(Klisz_Emissionen_BundesmixKS80[2035], $C$183:$C$343,$C716)</calculatedColumnFormula>
    </tableColumn>
    <tableColumn id="17" xr3:uid="{0992E49E-4DB0-4D08-BFCA-8D90D325A73B}" name="2040" totalsRowFunction="sum" totalsRowDxfId="46">
      <calculatedColumnFormula>SUMIFS(Klisz_Emissionen_BundesmixKS80[2040], $C$183:$C$343,$C716)</calculatedColumnFormula>
    </tableColumn>
    <tableColumn id="18" xr3:uid="{5C1387A8-C200-4651-AE47-B8F05F7DBDF6}" name="2045" totalsRowFunction="sum" totalsRowDxfId="45">
      <calculatedColumnFormula>SUMIFS(Klisz_Emissionen_BundesmixKS80[2045], $C$183:$C$343,$C716)</calculatedColumnFormula>
    </tableColumn>
    <tableColumn id="19" xr3:uid="{77D60896-DA89-4E9C-8243-4D2349A73718}" name="2050" totalsRowFunction="sum" totalsRowDxfId="44">
      <calculatedColumnFormula>SUMIFS(Klisz_Emissionen_BundesmixKS80[2050], $C$183:$C$343,$C716)</calculatedColumnFormula>
    </tableColumn>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F750312A-9012-4EB5-ADA2-1CD48B071E43}" name="Klisz_Bundesmix_KS80_Kennwerte" displayName="Klisz_Bundesmix_KS80_Kennwerte" ref="C729:X731" totalsRowShown="0">
  <autoFilter ref="C729:X731" xr:uid="{1BD15850-9F9B-4886-9A7B-DF915D2772A1}"/>
  <tableColumns count="22">
    <tableColumn id="1" xr3:uid="{9C47F4BA-851D-434F-ADBF-72C0FF264413}" name="Kennwerte"/>
    <tableColumn id="2" xr3:uid="{E113AB75-8EE9-42FF-BA6F-94C2A6733561}" name="Einheit"/>
    <tableColumn id="3" xr3:uid="{37B12E91-E90F-44C2-A8FC-EF7C6F4CEC4A}" name="2015"/>
    <tableColumn id="4" xr3:uid="{2A87C51E-7EAD-4D1E-B6AA-6A999C02E3C6}" name="2016"/>
    <tableColumn id="5" xr3:uid="{AC0FB87A-DBD6-49BD-899A-D23A1867505F}" name="2017"/>
    <tableColumn id="6" xr3:uid="{012CEBE8-F468-49C0-9C3E-EB2BFCA93B8D}" name="2018"/>
    <tableColumn id="7" xr3:uid="{9CC0C84D-8846-4DAB-A0E5-E1468C1CC944}" name="2019"/>
    <tableColumn id="8" xr3:uid="{65FBABF1-1EF4-487A-ADB4-189FA2F53ABE}" name="2020"/>
    <tableColumn id="9" xr3:uid="{F8DB2BAB-63E8-4C6A-8F9E-8FA6A7BD511E}" name="2021"/>
    <tableColumn id="10" xr3:uid="{6873B03B-48F7-42B3-B029-E65748E11361}" name="2022"/>
    <tableColumn id="11" xr3:uid="{B99987D0-3742-4151-88B4-08BDEEEA1946}" name="2023"/>
    <tableColumn id="12" xr3:uid="{51D8A0CF-24D5-4D15-920B-2555E1F889B3}" name="2024"/>
    <tableColumn id="13" xr3:uid="{718257A7-C1EE-4A1C-BEE3-52C20CE7FA07}" name="2025"/>
    <tableColumn id="14" xr3:uid="{7850E8C7-BA75-448C-ADDE-3C68C81E8469}" name="2026"/>
    <tableColumn id="24" xr3:uid="{D9E6B475-63CC-4342-B321-584C6F989B1C}" name="2027"/>
    <tableColumn id="25" xr3:uid="{3897C9A6-2C5C-42A1-8FE1-2DCAD8AECCD3}" name="2028"/>
    <tableColumn id="26" xr3:uid="{D445F074-34B0-42DE-A7E8-D91B78BAFFD2}" name="2029"/>
    <tableColumn id="15" xr3:uid="{C417A22B-E697-4C6C-A315-A507ACE8DB44}" name="2030"/>
    <tableColumn id="16" xr3:uid="{CD1CC9DD-0A69-4B41-8F6D-BD49A3E3BD5A}" name="2035"/>
    <tableColumn id="17" xr3:uid="{6BBE2E5B-D099-4F6E-9593-AD72C0B44A06}" name="2040"/>
    <tableColumn id="18" xr3:uid="{D080867B-D67D-47DA-A1F6-21F8615C0AF9}" name="2045"/>
    <tableColumn id="19" xr3:uid="{89FA2C73-3F77-41CF-9836-DA61E80870C1}" name="2050"/>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C259430C-E2CF-4908-8101-50C8A4399CDC}" name="Klisz_Regiomix_Handlungsfelder" displayName="Klisz_Regiomix_Handlungsfelder" ref="C736:X748" totalsRowCount="1">
  <autoFilter ref="C736:X747" xr:uid="{BF2C239A-F53D-46CF-9CB6-FFE65F9C5826}"/>
  <tableColumns count="22">
    <tableColumn id="1" xr3:uid="{25FCB726-548A-4785-8D70-59456F0BEC90}" name="Handlungsfeld" totalsRowLabel="Ergebnis" totalsRowDxfId="43">
      <calculatedColumnFormula>'Refsz-Emissionen'!C350</calculatedColumnFormula>
    </tableColumn>
    <tableColumn id="2" xr3:uid="{69546C30-D7B7-47F9-861B-1A869527A6AB}" name="Einheit" totalsRowLabel="t CO2-Äq." totalsRowDxfId="42"/>
    <tableColumn id="3" xr3:uid="{89CC7CC7-4C04-4404-B90D-9DE6E7A72E70}" name="2015" totalsRowFunction="sum" totalsRowDxfId="41">
      <calculatedColumnFormula>SUMIFS(Klisz_Emissionen_Regiomix[2015], $C$348:$C$508,$C737)</calculatedColumnFormula>
    </tableColumn>
    <tableColumn id="4" xr3:uid="{B61C2870-15C5-45F9-B6D5-FE9D56B9AB0C}" name="2016" totalsRowFunction="sum" totalsRowDxfId="40">
      <calculatedColumnFormula>SUMIFS(Klisz_Emissionen_Regiomix[2016], $C$348:$C$508,$C737)</calculatedColumnFormula>
    </tableColumn>
    <tableColumn id="5" xr3:uid="{71C446D3-3723-451B-A6D5-F666302A71C5}" name="2017" totalsRowFunction="sum" totalsRowDxfId="39">
      <calculatedColumnFormula>SUMIFS(Klisz_Emissionen_Regiomix[2017], $C$348:$C$508,$C737)</calculatedColumnFormula>
    </tableColumn>
    <tableColumn id="6" xr3:uid="{19C2955B-015D-45D8-AFFD-B7F7C887B875}" name="2018" totalsRowFunction="sum" totalsRowDxfId="38">
      <calculatedColumnFormula>SUMIFS(Klisz_Emissionen_Regiomix[2018], $C$348:$C$508,$C737)</calculatedColumnFormula>
    </tableColumn>
    <tableColumn id="7" xr3:uid="{B134690C-1E11-4023-BE27-CA616F24CB59}" name="2019" totalsRowFunction="sum" totalsRowDxfId="37">
      <calculatedColumnFormula>SUMIFS(Klisz_Emissionen_Regiomix[2019], $C$348:$C$508,$C737)</calculatedColumnFormula>
    </tableColumn>
    <tableColumn id="8" xr3:uid="{EC7682BA-04BB-476E-A338-B74DA6B5A085}" name="2020" totalsRowFunction="sum" totalsRowDxfId="36">
      <calculatedColumnFormula>SUMIFS(Klisz_Emissionen_Regiomix[2020], $C$348:$C$508,$C737)</calculatedColumnFormula>
    </tableColumn>
    <tableColumn id="9" xr3:uid="{77AD3FE9-6F28-4E40-8478-9C0724522CCE}" name="2021" totalsRowFunction="sum" totalsRowDxfId="35">
      <calculatedColumnFormula>SUMIFS(Klisz_Emissionen_Regiomix[2021], $C$348:$C$508,$C737)</calculatedColumnFormula>
    </tableColumn>
    <tableColumn id="10" xr3:uid="{021DA7ED-1AF8-47C8-9B2C-6D55B52C7BFA}" name="2022" totalsRowFunction="sum" totalsRowDxfId="34">
      <calculatedColumnFormula>SUMIFS(Klisz_Emissionen_Regiomix[2022], $C$348:$C$508,$C737)</calculatedColumnFormula>
    </tableColumn>
    <tableColumn id="11" xr3:uid="{12FEF220-BF5E-4DC8-99B4-4EF5EEE5C38D}" name="2023" totalsRowFunction="sum" totalsRowDxfId="33">
      <calculatedColumnFormula>SUMIFS(Klisz_Emissionen_Regiomix[2023], $C$348:$C$508,$C737)</calculatedColumnFormula>
    </tableColumn>
    <tableColumn id="12" xr3:uid="{CFE0C3C9-ED1C-4F2E-89BD-2A849B2C1E42}" name="2024" totalsRowFunction="sum" totalsRowDxfId="32">
      <calculatedColumnFormula>SUMIFS(Klisz_Emissionen_Regiomix[2024], $C$348:$C$508,$C737)</calculatedColumnFormula>
    </tableColumn>
    <tableColumn id="13" xr3:uid="{21E93553-D537-4C74-854A-B0783DA81634}" name="2025" totalsRowFunction="sum" totalsRowDxfId="31">
      <calculatedColumnFormula>SUMIFS(Klisz_Emissionen_Regiomix[2025], $C$348:$C$508,$C737)</calculatedColumnFormula>
    </tableColumn>
    <tableColumn id="14" xr3:uid="{1CAAB36C-B3A4-457D-AA10-B387F902374B}" name="2026" totalsRowFunction="sum" totalsRowDxfId="30">
      <calculatedColumnFormula>SUMIFS(Klisz_Emissionen_Regiomix[2026], $C$348:$C$508,$C737)</calculatedColumnFormula>
    </tableColumn>
    <tableColumn id="20" xr3:uid="{B4F538AE-4E4D-4E5E-81CA-A7387E420DB4}" name="2027" totalsRowFunction="sum" totalsRowDxfId="29">
      <calculatedColumnFormula>SUMIFS(Klisz_Emissionen_Regiomix[2027], $C$348:$C$508,$C737)</calculatedColumnFormula>
    </tableColumn>
    <tableColumn id="21" xr3:uid="{852B27D7-08F4-4418-A486-B15D5E293F58}" name="2028" totalsRowFunction="sum" totalsRowDxfId="28">
      <calculatedColumnFormula>SUMIFS(Klisz_Emissionen_Regiomix[2028], $C$348:$C$508,$C737)</calculatedColumnFormula>
    </tableColumn>
    <tableColumn id="22" xr3:uid="{419F5CFC-648B-46CD-B203-4734F7F70DED}" name="2029" totalsRowFunction="sum" totalsRowDxfId="27">
      <calculatedColumnFormula>SUMIFS(Klisz_Emissionen_Regiomix[2029], $C$348:$C$508,$C737)</calculatedColumnFormula>
    </tableColumn>
    <tableColumn id="15" xr3:uid="{364E9407-1434-4641-94CA-C3157411556F}" name="2030" totalsRowFunction="sum" totalsRowDxfId="26">
      <calculatedColumnFormula>SUMIFS(Klisz_Emissionen_Regiomix[2030], $C$348:$C$508,$C737)</calculatedColumnFormula>
    </tableColumn>
    <tableColumn id="16" xr3:uid="{C0772B80-B8DF-4991-B13A-E85EBE5FFE93}" name="2035" totalsRowFunction="sum" totalsRowDxfId="25">
      <calculatedColumnFormula>SUMIFS(Klisz_Emissionen_Regiomix[2035], $C$348:$C$508,$C737)</calculatedColumnFormula>
    </tableColumn>
    <tableColumn id="17" xr3:uid="{89239A8F-38D0-4CB1-904C-DEEF2153E51F}" name="2040" totalsRowFunction="sum" totalsRowDxfId="24">
      <calculatedColumnFormula>SUMIFS(Klisz_Emissionen_Regiomix[2040], $C$348:$C$508,$C737)</calculatedColumnFormula>
    </tableColumn>
    <tableColumn id="18" xr3:uid="{4CD2FC91-0EBE-4931-9D50-028D05599FE7}" name="2045" totalsRowFunction="sum" totalsRowDxfId="23">
      <calculatedColumnFormula>SUMIFS(Klisz_Emissionen_Regiomix[2045], $C$348:$C$508,$C737)</calculatedColumnFormula>
    </tableColumn>
    <tableColumn id="19" xr3:uid="{DECB196C-13C9-4432-9770-BE9B2EA347A6}" name="2050" totalsRowFunction="sum" totalsRowDxfId="22">
      <calculatedColumnFormula>SUMIFS(Klisz_Emissionen_Regiomix[2050], $C$348:$C$508,$C737)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B005337-C488-4BDF-A967-E75F08EFF2D7}" name="Klisz_Regiomix_Kennwerte" displayName="Klisz_Regiomix_Kennwerte" ref="C750:X752" totalsRowShown="0">
  <autoFilter ref="C750:X752" xr:uid="{BE8A9F82-1F15-49B5-B218-5C38A7220C2A}"/>
  <tableColumns count="22">
    <tableColumn id="1" xr3:uid="{88C1D6F5-51FB-41CC-AB3D-93EB8AAFF4E1}" name="Kennwerte"/>
    <tableColumn id="2" xr3:uid="{48B8917B-EDBA-4E6F-8060-AF35D1F4056B}" name="Einheit"/>
    <tableColumn id="3" xr3:uid="{CC4F5A0D-361E-4AF5-9A95-2850A72D1EDD}" name="2015"/>
    <tableColumn id="4" xr3:uid="{F9428A5D-C56D-4F2A-82BD-5948D2D3FA3C}" name="2016"/>
    <tableColumn id="5" xr3:uid="{79B4CACA-3CA9-4E54-AE22-6AC4CD1E2155}" name="2017"/>
    <tableColumn id="6" xr3:uid="{90586E78-233C-4194-AEC1-30B1643D29B5}" name="2018"/>
    <tableColumn id="7" xr3:uid="{5594AE5E-AED7-4E85-86C0-A763E3955742}" name="2019"/>
    <tableColumn id="8" xr3:uid="{FA774143-9034-4BE8-91CF-CC373F87BDD0}" name="2020"/>
    <tableColumn id="9" xr3:uid="{F601ECE6-D1AE-40F5-B46B-811F5BE9FB45}" name="2021"/>
    <tableColumn id="10" xr3:uid="{533E0A05-B178-480F-A594-3A14C8CC0F60}" name="2022"/>
    <tableColumn id="11" xr3:uid="{17568994-C828-4F65-9911-C8E5CED5E27A}" name="2023"/>
    <tableColumn id="12" xr3:uid="{2836CD1B-14DB-4BF5-B0D7-845DC41B1E3A}" name="2024"/>
    <tableColumn id="13" xr3:uid="{43C88249-8B08-4012-A229-34EA6E2F3AD9}" name="2025"/>
    <tableColumn id="14" xr3:uid="{8C1E84B0-622B-4AC0-B8E5-D67E4C8FF5FB}" name="2026"/>
    <tableColumn id="24" xr3:uid="{5A1E06BF-E447-4B45-BA99-6FD4F24CBF01}" name="2027"/>
    <tableColumn id="25" xr3:uid="{29890B6C-53C6-4897-BDED-9A38F051DFB5}" name="2028"/>
    <tableColumn id="26" xr3:uid="{1D191A9C-C631-467B-B016-C418A7613717}" name="2029"/>
    <tableColumn id="15" xr3:uid="{654C4249-77CC-4D02-ABFA-2B9FAAE24B7E}" name="2030"/>
    <tableColumn id="16" xr3:uid="{C49C3548-DB16-4BA0-A06E-0FB077E63150}" name="2035"/>
    <tableColumn id="17" xr3:uid="{0A87A1CE-B53E-4A88-9909-403487B5935C}" name="2040"/>
    <tableColumn id="18" xr3:uid="{2515736D-C089-4ABE-8B4C-BC918FAB494B}" name="2045"/>
    <tableColumn id="19" xr3:uid="{20AF532C-7CA1-4798-BB0F-D4B751969397}" name="2050"/>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C2350CC-0D80-4C43-9B93-00B384EA7F82}" name="Klisz_Eigenes_Klimaschutzszenario_Handlungsfelder" displayName="Klisz_Eigenes_Klimaschutzszenario_Handlungsfelder" ref="C757:X769" totalsRowCount="1">
  <autoFilter ref="C757:X768" xr:uid="{CEAE4E6F-27CD-4EF6-87AC-4E3F93BD9E62}"/>
  <tableColumns count="22">
    <tableColumn id="1" xr3:uid="{78746A30-32E4-4DF5-BB60-670E024A473F}" name="Handlungsfeld" totalsRowLabel="Ergebnis" totalsRowDxfId="21">
      <calculatedColumnFormula>'Refsz-Emissionen'!C350</calculatedColumnFormula>
    </tableColumn>
    <tableColumn id="2" xr3:uid="{7F52DFA7-E8D1-48E9-A3DA-7A37D805FBE8}" name="Einheit" totalsRowLabel="t CO2-Äq." totalsRowDxfId="20"/>
    <tableColumn id="3" xr3:uid="{1C81618F-2B45-4687-A7CC-FA5C9F7A2CD4}" name="2015" totalsRowFunction="sum" totalsRowDxfId="19">
      <calculatedColumnFormula>SUMIFS(Klisz_Emissionen_Eigenes_Klimaschutzszenario[2015], $C$528:$C$688,$C758)</calculatedColumnFormula>
    </tableColumn>
    <tableColumn id="4" xr3:uid="{D9AD3691-639C-48AE-B015-9B51574CBE20}" name="2016" totalsRowFunction="sum" totalsRowDxfId="18">
      <calculatedColumnFormula>SUMIFS(Klisz_Emissionen_Eigenes_Klimaschutzszenario[2016], $C$528:$C$688,$C758)</calculatedColumnFormula>
    </tableColumn>
    <tableColumn id="5" xr3:uid="{E65AD492-CD47-496F-ACD4-988CAC4E8325}" name="2017" totalsRowFunction="sum" totalsRowDxfId="17">
      <calculatedColumnFormula>SUMIFS(Klisz_Emissionen_Eigenes_Klimaschutzszenario[2017], $C$528:$C$688,$C758)</calculatedColumnFormula>
    </tableColumn>
    <tableColumn id="6" xr3:uid="{3C749A2E-37F8-4813-9DEF-E74F487C2743}" name="2018" totalsRowFunction="sum" totalsRowDxfId="16">
      <calculatedColumnFormula>SUMIFS(Klisz_Emissionen_Eigenes_Klimaschutzszenario[2018], $C$528:$C$688,$C758)</calculatedColumnFormula>
    </tableColumn>
    <tableColumn id="7" xr3:uid="{FE5E34E5-8D1E-4CEC-910D-5C84418B86F6}" name="2019" totalsRowFunction="sum" totalsRowDxfId="15">
      <calculatedColumnFormula>SUMIFS(Klisz_Emissionen_Eigenes_Klimaschutzszenario[2019], $C$528:$C$688,$C758)</calculatedColumnFormula>
    </tableColumn>
    <tableColumn id="8" xr3:uid="{AA8F84F6-096D-473A-8DA8-C3122D8D2165}" name="2020" totalsRowFunction="sum" totalsRowDxfId="14">
      <calculatedColumnFormula>SUMIFS(Klisz_Emissionen_Eigenes_Klimaschutzszenario[2020], $C$528:$C$688,$C758)</calculatedColumnFormula>
    </tableColumn>
    <tableColumn id="9" xr3:uid="{D620A71F-3193-4631-A270-BF113FAD8FA4}" name="2021" totalsRowFunction="sum" totalsRowDxfId="13">
      <calculatedColumnFormula>SUMIFS(Klisz_Emissionen_Eigenes_Klimaschutzszenario[2021], $C$528:$C$688,$C758)</calculatedColumnFormula>
    </tableColumn>
    <tableColumn id="10" xr3:uid="{FB0EA0AE-637F-46A9-91E9-4385080579BC}" name="2022" totalsRowFunction="sum" totalsRowDxfId="12">
      <calculatedColumnFormula>SUMIFS(Klisz_Emissionen_Eigenes_Klimaschutzszenario[2022], $C$528:$C$688,$C758)</calculatedColumnFormula>
    </tableColumn>
    <tableColumn id="11" xr3:uid="{E8967641-1337-4AE1-BCF6-215302CE9F0D}" name="2023" totalsRowFunction="sum" totalsRowDxfId="11">
      <calculatedColumnFormula>SUMIFS(Klisz_Emissionen_Eigenes_Klimaschutzszenario[2023], $C$528:$C$688,$C758)</calculatedColumnFormula>
    </tableColumn>
    <tableColumn id="12" xr3:uid="{3E4371E7-4DA5-4322-8558-03DDFFC42932}" name="2024" totalsRowFunction="sum" totalsRowDxfId="10">
      <calculatedColumnFormula>SUMIFS(Klisz_Emissionen_Eigenes_Klimaschutzszenario[2024], $C$528:$C$688,$C758)</calculatedColumnFormula>
    </tableColumn>
    <tableColumn id="13" xr3:uid="{0439BC4B-9036-4691-ACB3-64CDDD03A263}" name="2025" totalsRowFunction="sum" totalsRowDxfId="9">
      <calculatedColumnFormula>SUMIFS(Klisz_Emissionen_Eigenes_Klimaschutzszenario[2025], $C$528:$C$688,$C758)</calculatedColumnFormula>
    </tableColumn>
    <tableColumn id="14" xr3:uid="{F020E0C4-D3B1-46D0-8BA8-D9ABAFFD8E7B}" name="2026" totalsRowFunction="sum" totalsRowDxfId="8">
      <calculatedColumnFormula>SUMIFS(Klisz_Emissionen_Eigenes_Klimaschutzszenario[2026], $C$528:$C$688,$C758)</calculatedColumnFormula>
    </tableColumn>
    <tableColumn id="20" xr3:uid="{876000F9-658A-43DA-9D81-810163E98D36}" name="2027" totalsRowFunction="sum" totalsRowDxfId="7">
      <calculatedColumnFormula>SUMIFS(Klisz_Emissionen_Eigenes_Klimaschutzszenario[2027], $C$528:$C$688,$C758)</calculatedColumnFormula>
    </tableColumn>
    <tableColumn id="21" xr3:uid="{A1830896-8F42-483C-B894-DCF2FD01F468}" name="2028" totalsRowFunction="sum" totalsRowDxfId="6">
      <calculatedColumnFormula>SUMIFS(Klisz_Emissionen_Eigenes_Klimaschutzszenario[2028], $C$528:$C$688,$C758)</calculatedColumnFormula>
    </tableColumn>
    <tableColumn id="22" xr3:uid="{C4118993-0215-482B-B7EF-D20CB6488DA7}" name="2029" totalsRowFunction="sum" totalsRowDxfId="5">
      <calculatedColumnFormula>SUMIFS(Klisz_Emissionen_Eigenes_Klimaschutzszenario[2029], $C$528:$C$688,$C758)</calculatedColumnFormula>
    </tableColumn>
    <tableColumn id="15" xr3:uid="{046D448C-79CC-4AC0-93EE-CDA082777693}" name="2030" totalsRowFunction="sum" totalsRowDxfId="4">
      <calculatedColumnFormula>SUMIFS(Klisz_Emissionen_Eigenes_Klimaschutzszenario[2030], $C$528:$C$688,$C758)</calculatedColumnFormula>
    </tableColumn>
    <tableColumn id="16" xr3:uid="{A820C6FF-CB57-4A92-A568-2492A6ECCDD3}" name="2035" totalsRowFunction="sum" totalsRowDxfId="3">
      <calculatedColumnFormula>SUMIFS(Klisz_Emissionen_Eigenes_Klimaschutzszenario[2035], $C$528:$C$688,$C758)</calculatedColumnFormula>
    </tableColumn>
    <tableColumn id="17" xr3:uid="{C453FE10-CDBC-4FBE-A97A-8C3EFD57B38D}" name="2040" totalsRowFunction="sum" totalsRowDxfId="2">
      <calculatedColumnFormula>SUMIFS(Klisz_Emissionen_Eigenes_Klimaschutzszenario[2040], $C$528:$C$688,$C758)</calculatedColumnFormula>
    </tableColumn>
    <tableColumn id="18" xr3:uid="{D43B03D2-1572-48AA-8AB4-76E4B1F03A1F}" name="2045" totalsRowFunction="sum" totalsRowDxfId="1">
      <calculatedColumnFormula>SUMIFS(Klisz_Emissionen_Eigenes_Klimaschutzszenario[2045], $C$528:$C$688,$C758)</calculatedColumnFormula>
    </tableColumn>
    <tableColumn id="19" xr3:uid="{8D0F2F1F-9B96-43DE-BAE2-B00BFA1CBA70}" name="2050" totalsRowFunction="sum" totalsRowDxfId="0">
      <calculatedColumnFormula>SUMIFS(Klisz_Emissionen_Eigenes_Klimaschutzszenario[2050], $C$528:$C$688,$C758)</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FEE619C-B368-4841-A68A-3CB91B6735E1}" name="Klimasz_Eigenes_Klimaschutzstenario_Kennwerte" displayName="Klimasz_Eigenes_Klimaschutzstenario_Kennwerte" ref="C771:X773" totalsRowShown="0">
  <autoFilter ref="C771:X773" xr:uid="{AF6BC931-6D6F-4A86-ABB5-8FED1BE82995}"/>
  <tableColumns count="22">
    <tableColumn id="1" xr3:uid="{1C8234E0-1C99-44B2-8435-DD32BF25ED13}" name="Kennwerte"/>
    <tableColumn id="2" xr3:uid="{EC778C5F-B9D6-42FA-BD3B-1419054FA382}" name="Einheit"/>
    <tableColumn id="3" xr3:uid="{33CEA355-D9FC-420F-88BB-58E3DCE14C90}" name="2015"/>
    <tableColumn id="4" xr3:uid="{72034388-596B-47EE-8152-1630D232654C}" name="2016"/>
    <tableColumn id="5" xr3:uid="{F811F233-759F-43E5-96BA-D30D698101FF}" name="2017"/>
    <tableColumn id="6" xr3:uid="{6061352B-CA4F-4C79-9B82-5F5ED6043111}" name="2018"/>
    <tableColumn id="7" xr3:uid="{3AEA0595-7519-45F6-AC89-162194019B0D}" name="2019"/>
    <tableColumn id="8" xr3:uid="{0E5D2759-C2AC-4C94-8633-9241E712545E}" name="2020"/>
    <tableColumn id="9" xr3:uid="{36623EA8-747A-4FC2-8632-50ED5BAA39C2}" name="2021"/>
    <tableColumn id="10" xr3:uid="{53EC878C-7F02-42F7-B0FC-840690EF8E41}" name="2022"/>
    <tableColumn id="11" xr3:uid="{2F12E48B-FE54-4EF7-953C-2AF98F2DA1F8}" name="2023"/>
    <tableColumn id="12" xr3:uid="{8789869D-E080-4846-82BA-BBAE3A41EB5E}" name="2024"/>
    <tableColumn id="13" xr3:uid="{C177C2E2-73FE-4B0A-8464-E07162350F2D}" name="2025"/>
    <tableColumn id="14" xr3:uid="{1A4F4AB3-8B5B-4E78-B3D0-813D6B78CC70}" name="2026"/>
    <tableColumn id="24" xr3:uid="{9A761355-62E6-40FB-9ED2-E032281E166F}" name="2027"/>
    <tableColumn id="25" xr3:uid="{EB706E7D-24B7-47F1-8D28-65BB3E9389D9}" name="2028"/>
    <tableColumn id="26" xr3:uid="{DDFA19B8-8168-468F-AA21-1DC74F3DA1B5}" name="2029"/>
    <tableColumn id="15" xr3:uid="{3346B270-8962-4398-B744-2D21E962D709}" name="2030"/>
    <tableColumn id="16" xr3:uid="{E7FE6055-0185-4298-9EFF-E05EA68216EC}" name="2035"/>
    <tableColumn id="17" xr3:uid="{7A95EAA3-A03D-42D2-9538-8F3DA4054986}" name="2040"/>
    <tableColumn id="18" xr3:uid="{A204E389-DD8A-4FA8-AD9B-354D4050CC63}" name="2045"/>
    <tableColumn id="19" xr3:uid="{2433FAF9-1A37-4D3A-B0D2-F1F8CE7E6B97}" name="205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F32D0B6-C397-436B-B652-CF8A070DE401}" name="Datengüte_des_Endergebnisses" displayName="Datengüte_des_Endergebnisses" ref="B44:B48" totalsRowShown="0">
  <autoFilter ref="B44:B48" xr:uid="{4F32D0B6-C397-436B-B652-CF8A070DE401}"/>
  <tableColumns count="1">
    <tableColumn id="3" xr3:uid="{369BD3C5-8B6C-43F8-9E26-551D99225F59}" name="Datengüte des Endergebnisses" dataDxfId="1183"/>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5A963E7-5129-4B4E-9FD2-41103EBC9C5B}" name="Datengüte_Eingabe" displayName="Datengüte_Eingabe" ref="B15:V41" totalsRowShown="0">
  <autoFilter ref="B15:V41" xr:uid="{3B678979-D8C8-4065-A1E3-B94288BA251B}"/>
  <tableColumns count="21">
    <tableColumn id="1" xr3:uid="{5CC771C1-8CAD-4C24-85DF-A166F296512A}" name="Datenpunkt der Endenergie" dataDxfId="1182" totalsRowDxfId="1181">
      <calculatedColumnFormula>'Refsz-Verbräuche'!D18</calculatedColumnFormula>
    </tableColumn>
    <tableColumn id="2" xr3:uid="{51262A9E-8987-46DC-BE8B-D40BBC132482}" name="2015" totalsRowDxfId="1180"/>
    <tableColumn id="3" xr3:uid="{90ED3C96-C9E3-461E-9C32-DD9BAD262507}" name="2016" totalsRowDxfId="1179"/>
    <tableColumn id="4" xr3:uid="{1E682F6C-2503-4367-86DC-AC64C4725B48}" name="2017" totalsRowDxfId="1178"/>
    <tableColumn id="5" xr3:uid="{C37D5659-A2FB-42CF-9150-CA169653F252}" name="2018" totalsRowDxfId="1177"/>
    <tableColumn id="6" xr3:uid="{9D22D7CA-B5CD-49D4-8F14-22E1563DC1D1}" name="2019" totalsRowDxfId="1176"/>
    <tableColumn id="7" xr3:uid="{A88F1EAA-CCFA-48DC-89FC-1D075057B641}" name="2020" totalsRowDxfId="1175"/>
    <tableColumn id="8" xr3:uid="{78FAEC0B-FE1A-4B0B-A758-AD985EAD808A}" name="2021" totalsRowDxfId="1174"/>
    <tableColumn id="9" xr3:uid="{7F02FC07-5B4B-4E62-A086-2219B13557F7}" name="2022" totalsRowDxfId="1173"/>
    <tableColumn id="10" xr3:uid="{0F12A0E0-7A42-4CE5-9656-FF6C7114062D}" name="2023" totalsRowDxfId="1172"/>
    <tableColumn id="11" xr3:uid="{0F122D8F-DA58-4F0C-94C1-DA754C58B07E}" name="2024" totalsRowDxfId="1171"/>
    <tableColumn id="12" xr3:uid="{8D0904B2-AB55-4166-9FEE-E17230EEB608}" name="2025" totalsRowDxfId="1170"/>
    <tableColumn id="13" xr3:uid="{BFF2A007-A5E2-4E21-9B89-158E69D546C2}" name="2026" totalsRowDxfId="1169"/>
    <tableColumn id="14" xr3:uid="{6F98A199-1F7E-46CB-AFF2-7737C3308596}" name="2027" totalsRowDxfId="1168"/>
    <tableColumn id="15" xr3:uid="{ED69CF2A-AA44-4FA5-82BC-8675E5E778D8}" name="2028" totalsRowDxfId="1167"/>
    <tableColumn id="16" xr3:uid="{747861D5-7DEF-4ED9-A6FA-36FA97CB668A}" name="2029" totalsRowDxfId="1166"/>
    <tableColumn id="17" xr3:uid="{F2A07F80-7CD1-4286-AD82-AD6FC9DA7A41}" name="2030" totalsRowDxfId="1165"/>
    <tableColumn id="18" xr3:uid="{E0725C3F-BBD8-48A2-BC38-1C78B9DA86DE}" name="2035" totalsRowDxfId="1164"/>
    <tableColumn id="19" xr3:uid="{74D55F11-05E9-4964-AAFC-03521783CD46}" name="2040" totalsRowDxfId="1163"/>
    <tableColumn id="20" xr3:uid="{441B5385-CCF7-48E4-8423-F976E61B2287}" name="2045" totalsRowDxfId="1162"/>
    <tableColumn id="21" xr3:uid="{7E72ED45-831B-4961-9F1B-09ED9D3832FF}" name="2050" totalsRowDxfId="116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983F13A-3DD5-4062-AD25-C958FB75895A}" name="Modal_Split_Verkehrsmittel" displayName="Modal_Split_Verkehrsmittel" ref="B166:W209" totalsRowCount="1" headerRowDxfId="1160" dataDxfId="1159" totalsRowDxfId="1158">
  <autoFilter ref="B166:W208" xr:uid="{F7FC16BE-B12C-4F3E-9A00-DA47D5197262}"/>
  <tableColumns count="22">
    <tableColumn id="1" xr3:uid="{937577A5-1D80-4C86-AC38-70A7D0B86F88}" name="Verkehrsmittel der Gruppen" totalsRowLabel="Ergebnis" dataDxfId="1157" totalsRowDxfId="1156"/>
    <tableColumn id="2" xr3:uid="{172782BD-E885-403D-A39F-BBCAB7B0FCE6}" name="Einheit" totalsRowLabel="Pkm" dataDxfId="1155" totalsRowDxfId="1154"/>
    <tableColumn id="3" xr3:uid="{0B86A7AD-DF89-473E-9289-FB546FC5B336}" name="2015" totalsRowFunction="sum" dataDxfId="1153" totalsRowDxfId="1152"/>
    <tableColumn id="4" xr3:uid="{D1289A5F-AF0D-410E-BC8E-336B51F35894}" name="2016" totalsRowFunction="sum" dataDxfId="1151" totalsRowDxfId="1150"/>
    <tableColumn id="5" xr3:uid="{F39C2546-4429-407B-93E4-8C538D08C2B2}" name="2017" totalsRowFunction="sum" dataDxfId="1149" totalsRowDxfId="1148"/>
    <tableColumn id="6" xr3:uid="{C25054EC-0311-4753-B235-E6944B90B864}" name="2018" totalsRowFunction="sum" dataDxfId="1147" totalsRowDxfId="1146"/>
    <tableColumn id="7" xr3:uid="{F19D1983-6DF5-498F-B339-F028E5FB6C27}" name="2019" totalsRowFunction="sum" dataDxfId="1145" totalsRowDxfId="1144"/>
    <tableColumn id="8" xr3:uid="{28669FE3-35AF-48CF-B313-AA04FC368314}" name="2020" totalsRowFunction="sum" dataDxfId="1143" totalsRowDxfId="1142"/>
    <tableColumn id="9" xr3:uid="{67FF32BB-239F-4C8D-BCFD-C35AE8C8E8DB}" name="2021" totalsRowFunction="sum" dataDxfId="1141" totalsRowDxfId="1140"/>
    <tableColumn id="10" xr3:uid="{5DE5CDFC-1951-4677-8ADC-D5B908A3C0EF}" name="2022" totalsRowFunction="sum" dataDxfId="1139" totalsRowDxfId="1138"/>
    <tableColumn id="11" xr3:uid="{94B85357-E9E6-43FA-8C83-E04037C2ED66}" name="2023" totalsRowFunction="sum" dataDxfId="1137" totalsRowDxfId="1136"/>
    <tableColumn id="12" xr3:uid="{31425835-FFD7-4ADA-8D68-A4F2474C0A8F}" name="2024" totalsRowFunction="sum" dataDxfId="1135" totalsRowDxfId="1134"/>
    <tableColumn id="13" xr3:uid="{0C91A864-4D10-43BF-9BAF-42008AB72359}" name="2025" totalsRowFunction="sum" dataDxfId="1133" totalsRowDxfId="1132"/>
    <tableColumn id="14" xr3:uid="{5880CA94-B4FF-4FFA-B6AA-5550B10E6296}" name="2026" totalsRowFunction="sum" dataDxfId="1131" totalsRowDxfId="1130"/>
    <tableColumn id="15" xr3:uid="{F918DBB0-EDEF-45F6-A40E-407DF146A2B8}" name="2027" totalsRowFunction="sum" dataDxfId="1129" totalsRowDxfId="1128"/>
    <tableColumn id="16" xr3:uid="{AB0A5B43-200B-47A7-AA1A-475F2442C2F0}" name="2028" totalsRowFunction="sum" dataDxfId="1127" totalsRowDxfId="1126"/>
    <tableColumn id="17" xr3:uid="{933E580A-C40D-41F4-A88C-FB0DF9C8C492}" name="2029" totalsRowFunction="sum" dataDxfId="1125" totalsRowDxfId="1124"/>
    <tableColumn id="18" xr3:uid="{FD0EFBE0-56ED-4369-9A9D-0AA07C89CDDE}" name="2030" totalsRowFunction="sum" dataDxfId="1123" totalsRowDxfId="1122"/>
    <tableColumn id="19" xr3:uid="{9AE43068-F259-493B-A439-2FE5CBDAFD18}" name="2035" totalsRowFunction="sum" dataDxfId="1121" totalsRowDxfId="1120"/>
    <tableColumn id="20" xr3:uid="{7DC2CD4B-57D2-49FA-AEAC-C89056C81773}" name="2040" totalsRowFunction="sum" dataDxfId="1119" totalsRowDxfId="1118"/>
    <tableColumn id="21" xr3:uid="{6B6237AE-9669-4162-986C-889602FF1067}" name="2045" totalsRowFunction="sum" dataDxfId="1117" totalsRowDxfId="1116"/>
    <tableColumn id="22" xr3:uid="{7B87931F-FE3A-42E5-A353-0388AE0E101B}" name="2050" totalsRowFunction="sum" dataDxfId="1115" totalsRowDxfId="111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91F6586-57FD-4D1C-B25C-F16472B4E0F5}" name="Modal_Split_Gruppen" displayName="Modal_Split_Gruppen" ref="B212:W220" totalsRowCount="1" headerRowDxfId="1113" dataDxfId="1112" totalsRowDxfId="1111">
  <autoFilter ref="B212:W219" xr:uid="{30511A78-982A-47D2-A507-56BC0DC1F498}"/>
  <tableColumns count="22">
    <tableColumn id="1" xr3:uid="{E788FAD0-8752-4D70-9082-275270921CEA}" name="Zusammenfassung der Gruppen" totalsRowLabel="Ergebnis" dataDxfId="1110" totalsRowDxfId="1109">
      <calculatedColumnFormula>Startseite!E80</calculatedColumnFormula>
    </tableColumn>
    <tableColumn id="2" xr3:uid="{E9DECBA6-D9D3-4359-857E-C90E0DDAA500}" name="Einheit" totalsRowLabel="Pkm" dataDxfId="1108" totalsRowDxfId="1107"/>
    <tableColumn id="3" xr3:uid="{5EDBD002-DA45-41EB-8BED-35D62B46C2B8}" name="2015" totalsRowFunction="sum" dataDxfId="1106" totalsRowDxfId="1105"/>
    <tableColumn id="4" xr3:uid="{5DF87052-F553-4D74-BB10-E6FAEE0E7BB7}" name="2016" totalsRowFunction="sum" dataDxfId="1104" totalsRowDxfId="1103"/>
    <tableColumn id="5" xr3:uid="{8918BC99-02DD-49FB-AE83-64E7DD1571D5}" name="2017" totalsRowFunction="sum" dataDxfId="1102" totalsRowDxfId="1101"/>
    <tableColumn id="6" xr3:uid="{87D35BC7-6A1B-4869-B86F-901A6E3BE297}" name="2018" totalsRowFunction="sum" dataDxfId="1100" totalsRowDxfId="1099"/>
    <tableColumn id="7" xr3:uid="{A3C72EE7-5804-414D-A191-B2E6FB27A0E2}" name="2019" totalsRowFunction="sum" dataDxfId="1098" totalsRowDxfId="1097"/>
    <tableColumn id="8" xr3:uid="{B108220D-222F-4D63-9EFE-8F0A63EAE366}" name="2020" totalsRowFunction="sum" dataDxfId="1096" totalsRowDxfId="1095"/>
    <tableColumn id="9" xr3:uid="{29450144-19EB-4520-8C5A-AAE364F22252}" name="2021" totalsRowFunction="sum" dataDxfId="1094" totalsRowDxfId="1093"/>
    <tableColumn id="10" xr3:uid="{B3BAAF2F-9706-4BEC-A16E-DC723CE26685}" name="2022" totalsRowFunction="sum" dataDxfId="1092" totalsRowDxfId="1091"/>
    <tableColumn id="11" xr3:uid="{08C3B0D7-F485-4916-8200-4BFBB8D459F4}" name="2023" totalsRowFunction="sum" dataDxfId="1090" totalsRowDxfId="1089"/>
    <tableColumn id="12" xr3:uid="{F89C3580-9766-4B03-99ED-2F5ECB1A1654}" name="2024" totalsRowFunction="sum" dataDxfId="1088" totalsRowDxfId="1087"/>
    <tableColumn id="13" xr3:uid="{938D793C-04D9-453B-B6EC-AE5DA648E1EA}" name="2025" totalsRowFunction="sum" dataDxfId="1086" totalsRowDxfId="1085"/>
    <tableColumn id="14" xr3:uid="{E62EC387-E3C1-492C-8AA8-82E2198B398A}" name="2026" totalsRowFunction="sum" dataDxfId="1084" totalsRowDxfId="1083"/>
    <tableColumn id="15" xr3:uid="{AEB43D79-CDD6-45C8-8FD9-01608FDF73F4}" name="2027" totalsRowFunction="sum" dataDxfId="1082" totalsRowDxfId="1081"/>
    <tableColumn id="16" xr3:uid="{2B7ADE97-22FD-4297-8BA2-B643E1B7382B}" name="2028" totalsRowFunction="sum" dataDxfId="1080" totalsRowDxfId="1079"/>
    <tableColumn id="17" xr3:uid="{62E212BF-82B5-4ECD-9914-2270C6233AC2}" name="2029" totalsRowFunction="sum" dataDxfId="1078" totalsRowDxfId="1077"/>
    <tableColumn id="18" xr3:uid="{DE462678-DFDB-44AA-9D1A-ED8B0FE0E5A2}" name="2030" totalsRowFunction="sum" dataDxfId="1076" totalsRowDxfId="1075"/>
    <tableColumn id="19" xr3:uid="{998A42D6-81DE-488F-A8F8-451F79049608}" name="2035" totalsRowFunction="sum" dataDxfId="1074" totalsRowDxfId="1073"/>
    <tableColumn id="20" xr3:uid="{827B2E26-88F1-47E8-BE4E-4F27FC9C6400}" name="2040" totalsRowFunction="sum" dataDxfId="1072" totalsRowDxfId="1071"/>
    <tableColumn id="21" xr3:uid="{76BCA0E1-F875-4B98-B126-B7ECCDD89C54}" name="2045" totalsRowFunction="sum" dataDxfId="1070" totalsRowDxfId="1069"/>
    <tableColumn id="22" xr3:uid="{C819A3B0-2316-47EB-AEA4-7B4E294E1BEB}" name="2050" totalsRowFunction="sum" dataDxfId="1068" totalsRowDxfId="1067"/>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74" dT="2024-08-21T17:20:47.76" personId="{2DC0A044-32E1-4C4D-BE3C-01906F24B5EF}" id="{C9520175-C01A-4E19-9EB2-C61410B7465B}">
    <text>In diese Spalte können eigene Mobilitätssektoren eingetragen werden. Die Bezeichnungen werden in der Dateneingabe und -auswertung übernommen.</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hyperlink" Target="http://www.h2.de/klimax" TargetMode="Externa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table" Target="../tables/table44.xml"/><Relationship Id="rId3" Type="http://schemas.openxmlformats.org/officeDocument/2006/relationships/vmlDrawing" Target="../drawings/vmlDrawing7.vml"/><Relationship Id="rId7" Type="http://schemas.openxmlformats.org/officeDocument/2006/relationships/table" Target="../tables/table43.xml"/><Relationship Id="rId2" Type="http://schemas.openxmlformats.org/officeDocument/2006/relationships/drawing" Target="../drawings/drawing10.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42.xml"/><Relationship Id="rId11" Type="http://schemas.openxmlformats.org/officeDocument/2006/relationships/comments" Target="../comments6.xml"/><Relationship Id="rId5" Type="http://schemas.openxmlformats.org/officeDocument/2006/relationships/table" Target="../tables/table41.xml"/><Relationship Id="rId10" Type="http://schemas.openxmlformats.org/officeDocument/2006/relationships/table" Target="../tables/table46.xml"/><Relationship Id="rId4" Type="http://schemas.openxmlformats.org/officeDocument/2006/relationships/table" Target="../tables/table40.xml"/><Relationship Id="rId9" Type="http://schemas.openxmlformats.org/officeDocument/2006/relationships/table" Target="../tables/table4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51.xml"/><Relationship Id="rId13" Type="http://schemas.openxmlformats.org/officeDocument/2006/relationships/table" Target="../tables/table56.xml"/><Relationship Id="rId3" Type="http://schemas.openxmlformats.org/officeDocument/2006/relationships/drawing" Target="../drawings/drawing11.xml"/><Relationship Id="rId7" Type="http://schemas.openxmlformats.org/officeDocument/2006/relationships/table" Target="../tables/table50.xml"/><Relationship Id="rId12" Type="http://schemas.openxmlformats.org/officeDocument/2006/relationships/table" Target="../tables/table55.xml"/><Relationship Id="rId2" Type="http://schemas.openxmlformats.org/officeDocument/2006/relationships/printerSettings" Target="../printerSettings/printerSettings9.bin"/><Relationship Id="rId16" Type="http://schemas.openxmlformats.org/officeDocument/2006/relationships/table" Target="../tables/table59.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49.xml"/><Relationship Id="rId11" Type="http://schemas.openxmlformats.org/officeDocument/2006/relationships/table" Target="../tables/table54.xml"/><Relationship Id="rId5" Type="http://schemas.openxmlformats.org/officeDocument/2006/relationships/table" Target="../tables/table48.xml"/><Relationship Id="rId15" Type="http://schemas.openxmlformats.org/officeDocument/2006/relationships/table" Target="../tables/table58.xml"/><Relationship Id="rId10" Type="http://schemas.openxmlformats.org/officeDocument/2006/relationships/table" Target="../tables/table53.xml"/><Relationship Id="rId4" Type="http://schemas.openxmlformats.org/officeDocument/2006/relationships/table" Target="../tables/table47.xml"/><Relationship Id="rId9" Type="http://schemas.openxmlformats.org/officeDocument/2006/relationships/table" Target="../tables/table52.xml"/><Relationship Id="rId14" Type="http://schemas.openxmlformats.org/officeDocument/2006/relationships/table" Target="../tables/table5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julia-marie.zigann@h2.de?subject=Anfrage%20zum%20Kli%20Max-%20Berechnungstool" TargetMode="External"/><Relationship Id="rId6" Type="http://schemas.openxmlformats.org/officeDocument/2006/relationships/comments" Target="../comments2.xml"/><Relationship Id="rId5" Type="http://schemas.openxmlformats.org/officeDocument/2006/relationships/table" Target="../tables/table3.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julia-marie.zigann@h2.de?subject=Anfrage%20zum%20Kli%20Max-%20Berechnungstool" TargetMode="External"/><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drawing" Target="../drawings/drawing5.xml"/><Relationship Id="rId7" Type="http://schemas.openxmlformats.org/officeDocument/2006/relationships/table" Target="../tables/table10.xml"/><Relationship Id="rId2" Type="http://schemas.openxmlformats.org/officeDocument/2006/relationships/printerSettings" Target="../printerSettings/printerSettings4.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9.xml"/><Relationship Id="rId5" Type="http://schemas.openxmlformats.org/officeDocument/2006/relationships/table" Target="../tables/table8.xml"/><Relationship Id="rId10" Type="http://schemas.openxmlformats.org/officeDocument/2006/relationships/comments" Target="../comments3.xml"/><Relationship Id="rId4" Type="http://schemas.openxmlformats.org/officeDocument/2006/relationships/vmlDrawing" Target="../drawings/vmlDrawing3.vml"/><Relationship Id="rId9"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drawing" Target="../drawings/drawing6.xml"/><Relationship Id="rId7" Type="http://schemas.openxmlformats.org/officeDocument/2006/relationships/table" Target="../tables/table16.xml"/><Relationship Id="rId2" Type="http://schemas.openxmlformats.org/officeDocument/2006/relationships/printerSettings" Target="../printerSettings/printerSettings5.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15.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18" Type="http://schemas.openxmlformats.org/officeDocument/2006/relationships/table" Target="../tables/table33.xml"/><Relationship Id="rId3" Type="http://schemas.openxmlformats.org/officeDocument/2006/relationships/drawing" Target="../drawings/drawing7.xml"/><Relationship Id="rId21" Type="http://schemas.openxmlformats.org/officeDocument/2006/relationships/table" Target="../tables/table36.xml"/><Relationship Id="rId7" Type="http://schemas.openxmlformats.org/officeDocument/2006/relationships/table" Target="../tables/table22.xml"/><Relationship Id="rId12" Type="http://schemas.openxmlformats.org/officeDocument/2006/relationships/table" Target="../tables/table27.xml"/><Relationship Id="rId17" Type="http://schemas.openxmlformats.org/officeDocument/2006/relationships/table" Target="../tables/table32.xml"/><Relationship Id="rId2" Type="http://schemas.openxmlformats.org/officeDocument/2006/relationships/printerSettings" Target="../printerSettings/printerSettings6.bin"/><Relationship Id="rId16" Type="http://schemas.openxmlformats.org/officeDocument/2006/relationships/table" Target="../tables/table31.xml"/><Relationship Id="rId20" Type="http://schemas.openxmlformats.org/officeDocument/2006/relationships/table" Target="../tables/table35.xml"/><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5" Type="http://schemas.openxmlformats.org/officeDocument/2006/relationships/table" Target="../tables/table30.xml"/><Relationship Id="rId10" Type="http://schemas.openxmlformats.org/officeDocument/2006/relationships/table" Target="../tables/table25.xml"/><Relationship Id="rId19" Type="http://schemas.openxmlformats.org/officeDocument/2006/relationships/table" Target="../tables/table34.xml"/><Relationship Id="rId4" Type="http://schemas.openxmlformats.org/officeDocument/2006/relationships/vmlDrawing" Target="../drawings/vmlDrawing4.vml"/><Relationship Id="rId9" Type="http://schemas.openxmlformats.org/officeDocument/2006/relationships/table" Target="../tables/table24.xml"/><Relationship Id="rId14" Type="http://schemas.openxmlformats.org/officeDocument/2006/relationships/table" Target="../tables/table29.xml"/><Relationship Id="rId22"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8.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7.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julia-marie.zigann@h2.de?subject=Anfrage%20zum%20Kli%20Max-%20Berechnungstool"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drawing" Target="../drawings/drawing9.xml"/><Relationship Id="rId7" Type="http://schemas.openxmlformats.org/officeDocument/2006/relationships/table" Target="../tables/table39.xml"/><Relationship Id="rId2" Type="http://schemas.openxmlformats.org/officeDocument/2006/relationships/printerSettings" Target="../printerSettings/printerSettings8.bin"/><Relationship Id="rId1" Type="http://schemas.openxmlformats.org/officeDocument/2006/relationships/hyperlink" Target="mailto:julia-marie.zigann@h2.de?subject=Anfrage%20zum%20Kli%20Max-%20Berechnungstool" TargetMode="External"/><Relationship Id="rId6" Type="http://schemas.openxmlformats.org/officeDocument/2006/relationships/table" Target="../tables/table38.xml"/><Relationship Id="rId5" Type="http://schemas.openxmlformats.org/officeDocument/2006/relationships/table" Target="../tables/table37.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DCB3A-94E6-4027-9665-3107E1043607}">
  <dimension ref="B1:Z91"/>
  <sheetViews>
    <sheetView showGridLines="0" tabSelected="1" zoomScaleNormal="100" workbookViewId="0"/>
  </sheetViews>
  <sheetFormatPr baseColWidth="10" defaultRowHeight="14.5"/>
  <cols>
    <col min="1" max="1" width="2.54296875" customWidth="1"/>
    <col min="2" max="2" width="9.453125" customWidth="1"/>
    <col min="3" max="3" width="22.7265625" customWidth="1"/>
    <col min="4" max="4" width="14.1796875" customWidth="1"/>
    <col min="5" max="5" width="29.1796875" customWidth="1"/>
    <col min="6" max="6" width="9.81640625" customWidth="1"/>
    <col min="7" max="7" width="15.81640625" customWidth="1"/>
    <col min="8" max="9" width="9.1796875" customWidth="1"/>
    <col min="10" max="10" width="8.7265625" customWidth="1"/>
    <col min="11" max="12" width="10.81640625" customWidth="1"/>
  </cols>
  <sheetData>
    <row r="1" spans="8:8">
      <c r="H1" s="179" t="s">
        <v>489</v>
      </c>
    </row>
    <row r="44" spans="2:13" ht="18.5">
      <c r="B44" s="24" t="s">
        <v>553</v>
      </c>
    </row>
    <row r="46" spans="2:13" ht="16" thickBot="1">
      <c r="C46" s="6" t="s">
        <v>573</v>
      </c>
      <c r="G46" s="6" t="s">
        <v>431</v>
      </c>
      <c r="J46" s="189"/>
    </row>
    <row r="47" spans="2:13" ht="15.5" thickTop="1" thickBot="1">
      <c r="C47" s="144" t="s">
        <v>506</v>
      </c>
      <c r="D47" s="273" t="s">
        <v>513</v>
      </c>
      <c r="E47" s="274"/>
      <c r="G47" s="34" t="s">
        <v>40</v>
      </c>
      <c r="H47" s="264" t="s">
        <v>215</v>
      </c>
      <c r="I47" s="265"/>
      <c r="J47" s="265"/>
      <c r="K47" s="265"/>
      <c r="L47" s="265"/>
    </row>
    <row r="48" spans="2:13" ht="22" customHeight="1" thickTop="1" thickBot="1">
      <c r="C48" s="144" t="s">
        <v>498</v>
      </c>
      <c r="D48" s="273" t="s">
        <v>434</v>
      </c>
      <c r="E48" s="274"/>
      <c r="G48" s="34" t="s">
        <v>40</v>
      </c>
      <c r="H48" s="264" t="s">
        <v>429</v>
      </c>
      <c r="I48" s="265"/>
      <c r="J48" s="265"/>
      <c r="K48" s="265"/>
      <c r="L48" s="266"/>
      <c r="M48" s="187"/>
    </row>
    <row r="49" spans="2:13" ht="15.5" thickTop="1" thickBot="1">
      <c r="C49" s="34"/>
      <c r="D49" s="143"/>
      <c r="E49" s="142"/>
      <c r="G49" s="34" t="s">
        <v>40</v>
      </c>
      <c r="H49" s="264" t="s">
        <v>600</v>
      </c>
      <c r="I49" s="265"/>
      <c r="J49" s="265"/>
      <c r="K49" s="265"/>
      <c r="L49" s="265"/>
    </row>
    <row r="50" spans="2:13" ht="16.5" thickTop="1" thickBot="1">
      <c r="C50" s="6" t="s">
        <v>433</v>
      </c>
      <c r="D50" s="142"/>
      <c r="E50" s="142"/>
      <c r="G50" s="34" t="s">
        <v>432</v>
      </c>
      <c r="H50" s="264" t="s">
        <v>35</v>
      </c>
      <c r="I50" s="265"/>
      <c r="J50" s="265"/>
      <c r="K50" s="265"/>
      <c r="L50" s="265"/>
      <c r="M50" s="187"/>
    </row>
    <row r="51" spans="2:13" ht="21" customHeight="1" thickTop="1" thickBot="1">
      <c r="C51" s="34" t="s">
        <v>40</v>
      </c>
      <c r="D51" s="273" t="s">
        <v>161</v>
      </c>
      <c r="E51" s="274"/>
      <c r="H51" s="25" t="s">
        <v>630</v>
      </c>
      <c r="I51" s="5"/>
      <c r="M51" s="187"/>
    </row>
    <row r="52" spans="2:13" ht="15.65" customHeight="1" thickTop="1" thickBot="1">
      <c r="C52" s="144" t="s">
        <v>40</v>
      </c>
      <c r="D52" s="273" t="s">
        <v>434</v>
      </c>
      <c r="E52" s="274"/>
      <c r="F52" s="189"/>
      <c r="G52" s="142"/>
      <c r="K52" s="189"/>
      <c r="L52" s="142"/>
    </row>
    <row r="53" spans="2:13" ht="15.5" thickTop="1" thickBot="1">
      <c r="C53" s="144" t="s">
        <v>432</v>
      </c>
      <c r="D53" s="273" t="s">
        <v>457</v>
      </c>
      <c r="E53" s="281"/>
      <c r="F53" s="187"/>
      <c r="G53" s="142"/>
    </row>
    <row r="54" spans="2:13" ht="15" thickTop="1">
      <c r="D54" s="142"/>
      <c r="E54" s="142"/>
      <c r="G54" s="142"/>
    </row>
    <row r="55" spans="2:13" ht="16" thickBot="1">
      <c r="C55" s="6" t="s">
        <v>430</v>
      </c>
      <c r="D55" s="142"/>
      <c r="E55" s="142"/>
      <c r="G55" s="142"/>
    </row>
    <row r="56" spans="2:13" ht="21" customHeight="1" thickTop="1" thickBot="1">
      <c r="C56" s="34" t="s">
        <v>247</v>
      </c>
      <c r="D56" s="279" t="s">
        <v>239</v>
      </c>
      <c r="E56" s="280"/>
      <c r="G56" s="145"/>
    </row>
    <row r="57" spans="2:13" ht="15.65" customHeight="1" thickTop="1" thickBot="1">
      <c r="C57" s="144" t="s">
        <v>419</v>
      </c>
      <c r="D57" s="277" t="s">
        <v>456</v>
      </c>
      <c r="E57" s="278"/>
      <c r="G57" s="142"/>
    </row>
    <row r="58" spans="2:13" ht="15.5" thickTop="1" thickBot="1">
      <c r="C58" s="144" t="s">
        <v>419</v>
      </c>
      <c r="D58" s="275" t="s">
        <v>455</v>
      </c>
      <c r="E58" s="276"/>
      <c r="F58" s="188"/>
      <c r="G58" s="145"/>
    </row>
    <row r="59" spans="2:13" s="261" customFormat="1" ht="15" thickTop="1"/>
    <row r="60" spans="2:13" ht="18.5">
      <c r="B60" s="24" t="s">
        <v>506</v>
      </c>
    </row>
    <row r="61" spans="2:13">
      <c r="B61" s="1" t="s">
        <v>555</v>
      </c>
    </row>
    <row r="62" spans="2:13">
      <c r="C62" s="176" t="s">
        <v>1</v>
      </c>
      <c r="D62" s="269"/>
      <c r="E62" s="270"/>
      <c r="F62" s="177" t="s">
        <v>552</v>
      </c>
      <c r="G62" s="175" t="s">
        <v>551</v>
      </c>
      <c r="H62" s="175"/>
      <c r="I62" s="175"/>
    </row>
    <row r="63" spans="2:13">
      <c r="C63" s="176" t="s">
        <v>371</v>
      </c>
      <c r="D63" s="269"/>
      <c r="E63" s="270"/>
    </row>
    <row r="64" spans="2:13">
      <c r="C64" s="176" t="s">
        <v>463</v>
      </c>
      <c r="D64" s="271"/>
      <c r="E64" s="272"/>
    </row>
    <row r="65" spans="2:26">
      <c r="C65" s="176" t="s">
        <v>372</v>
      </c>
      <c r="D65" s="267"/>
      <c r="E65" s="268"/>
    </row>
    <row r="67" spans="2:26">
      <c r="C67" s="176" t="s">
        <v>461</v>
      </c>
      <c r="D67" s="175" t="s">
        <v>9</v>
      </c>
      <c r="F67" s="2"/>
    </row>
    <row r="68" spans="2:26">
      <c r="C68" s="178" t="s">
        <v>554</v>
      </c>
      <c r="D68" s="175" t="s">
        <v>10</v>
      </c>
      <c r="E68" s="34"/>
      <c r="F68" s="2"/>
    </row>
    <row r="70" spans="2:26">
      <c r="B70" s="1" t="s">
        <v>375</v>
      </c>
    </row>
    <row r="71" spans="2:26">
      <c r="E71" t="s">
        <v>375</v>
      </c>
      <c r="F71" t="s">
        <v>2</v>
      </c>
      <c r="G71" t="s">
        <v>3</v>
      </c>
      <c r="H71" t="s">
        <v>4</v>
      </c>
      <c r="I71" t="s">
        <v>5</v>
      </c>
      <c r="J71" t="s">
        <v>6</v>
      </c>
      <c r="K71" t="s">
        <v>7</v>
      </c>
      <c r="L71" t="s">
        <v>8</v>
      </c>
      <c r="M71" t="s">
        <v>9</v>
      </c>
      <c r="N71" t="s">
        <v>10</v>
      </c>
      <c r="O71" t="s">
        <v>11</v>
      </c>
      <c r="P71" t="s">
        <v>12</v>
      </c>
      <c r="Q71" t="s">
        <v>13</v>
      </c>
      <c r="R71" t="s">
        <v>14</v>
      </c>
      <c r="S71" t="s">
        <v>216</v>
      </c>
      <c r="T71" t="s">
        <v>217</v>
      </c>
      <c r="U71" t="s">
        <v>218</v>
      </c>
      <c r="V71" t="s">
        <v>15</v>
      </c>
      <c r="W71" t="s">
        <v>16</v>
      </c>
      <c r="X71" t="s">
        <v>17</v>
      </c>
      <c r="Y71" t="s">
        <v>18</v>
      </c>
      <c r="Z71" t="s">
        <v>19</v>
      </c>
    </row>
    <row r="72" spans="2:26">
      <c r="E72" t="s">
        <v>572</v>
      </c>
      <c r="F72" t="s">
        <v>182</v>
      </c>
      <c r="G72" s="110"/>
      <c r="H72" s="110"/>
      <c r="I72" s="110"/>
      <c r="J72" s="110"/>
      <c r="K72" s="110"/>
      <c r="L72" s="110"/>
      <c r="M72" s="110"/>
      <c r="N72" s="110" t="str">
        <f>IF(Refsz_Verbräuche[[#Headers],[2022]]=Startseite!$D$68,IF(OR(SUMIF($G72:Kennwerte[[#This Row],[2021]],"&gt;0")&gt;0,), AVERAGEIF($G72:Kennwerte[[#This Row],[2021]],"&lt;&gt;"""), ""),IF(Startseite!$D$68=(Refsz_Verbräuche[[#Headers],[2022]]-1),Kennwerte[[#This Row],[2021]],IF(Startseite!$D$68&lt;Refsz_Verbräuche[[#Headers],[2022]],Kennwerte[[#This Row],[2021]],"")))</f>
        <v/>
      </c>
      <c r="O72" s="110" t="str">
        <f>IF(Refsz_Verbräuche[[#Headers],[2023]]=Startseite!$D$68,IF(OR(SUMIF($G72:Kennwerte[[#This Row],[2022]],"&gt;0")&gt;0,), AVERAGEIF($G72:Kennwerte[[#This Row],[2022]],"&lt;&gt;"""), ""),IF(Startseite!$D$68=(Refsz_Verbräuche[[#Headers],[2023]]-1),Kennwerte[[#This Row],[2022]],IF(Startseite!$D$68&lt;Refsz_Verbräuche[[#Headers],[2023]],Kennwerte[[#This Row],[2022]],"")))</f>
        <v/>
      </c>
      <c r="P72" s="110" t="str">
        <f>IF(Refsz_Verbräuche[[#Headers],[2024]]=Startseite!$D$68,IF(OR(SUMIF($G72:Kennwerte[[#This Row],[2023]],"&gt;0")&gt;0,), AVERAGEIF($G72:Kennwerte[[#This Row],[2023]],"&lt;&gt;"""), ""),IF(Startseite!$D$68=(Refsz_Verbräuche[[#Headers],[2024]]-1),Kennwerte[[#This Row],[2023]],IF(Startseite!$D$68&lt;Refsz_Verbräuche[[#Headers],[2024]],Kennwerte[[#This Row],[2023]],"")))</f>
        <v/>
      </c>
      <c r="Q72" s="110" t="str">
        <f>IF(Refsz_Verbräuche[[#Headers],[2025]]=Startseite!$D$68,IF(OR(SUMIF($G72:Kennwerte[[#This Row],[2024]],"&gt;0")&gt;0,), AVERAGEIF($G72:Kennwerte[[#This Row],[2024]],"&lt;&gt;"""), ""),IF(Startseite!$D$68=(Refsz_Verbräuche[[#Headers],[2025]]-1),Kennwerte[[#This Row],[2024]],IF(Startseite!$D$68&lt;Refsz_Verbräuche[[#Headers],[2025]],Kennwerte[[#This Row],[2024]],"")))</f>
        <v/>
      </c>
      <c r="R72" s="110" t="str">
        <f>IF(Refsz_Verbräuche[[#Headers],[2026]]=Startseite!$D$68,IF(OR(SUMIF($G72:Kennwerte[[#This Row],[2025]],"&gt;0")&gt;0,), AVERAGEIF($G72:Kennwerte[[#This Row],[2025]],"&lt;&gt;"""), ""),IF(Startseite!$D$68=(Refsz_Verbräuche[[#Headers],[2026]]-1),Kennwerte[[#This Row],[2025]],IF(Startseite!$D$68&lt;Refsz_Verbräuche[[#Headers],[2026]],Kennwerte[[#This Row],[2025]],"")))</f>
        <v/>
      </c>
      <c r="S72" s="110" t="str">
        <f>IF(Refsz_Verbräuche[[#Headers],[2027]]=Startseite!$D$68,IF(OR(SUMIF($G72:Kennwerte[[#This Row],[2026]],"&gt;0")&gt;0,), AVERAGEIF($G72:Kennwerte[[#This Row],[2026]],"&lt;&gt;"""), ""),IF(Startseite!$D$68=(Refsz_Verbräuche[[#Headers],[2027]]-1),Kennwerte[[#This Row],[2026]],IF(Startseite!$D$68&lt;Refsz_Verbräuche[[#Headers],[2027]],Kennwerte[[#This Row],[2026]],"")))</f>
        <v/>
      </c>
      <c r="T72" s="110" t="str">
        <f>IF(Refsz_Verbräuche[[#Headers],[2028]]=Startseite!$D$68,IF(OR(SUMIF($G72:Kennwerte[[#This Row],[2027]],"&gt;0")&gt;0,), AVERAGEIF($G72:Kennwerte[[#This Row],[2027]],"&lt;&gt;"""), ""),IF(Startseite!$D$68=(Refsz_Verbräuche[[#Headers],[2028]]-1),Kennwerte[[#This Row],[2027]],IF(Startseite!$D$68&lt;Refsz_Verbräuche[[#Headers],[2028]],Kennwerte[[#This Row],[2027]],"")))</f>
        <v/>
      </c>
      <c r="U72" s="110" t="str">
        <f>IF(Refsz_Verbräuche[[#Headers],[2029]]=Startseite!$D$68,IF(OR(SUMIF($G72:Kennwerte[[#This Row],[2028]],"&gt;0")&gt;0,), AVERAGEIF($G72:Kennwerte[[#This Row],[2028]],"&lt;&gt;"""), ""),IF(Startseite!$D$68=(Refsz_Verbräuche[[#Headers],[2029]]-1),Kennwerte[[#This Row],[2028]],IF(Startseite!$D$68&lt;Refsz_Verbräuche[[#Headers],[2029]],Kennwerte[[#This Row],[2028]],"")))</f>
        <v/>
      </c>
      <c r="V72" s="110" t="str">
        <f>IF(Refsz_Verbräuche[[#Headers],[2030]]=Startseite!$D$68,IF(OR(SUMIF($G72:Kennwerte[[#This Row],[2029]],"&gt;0")&gt;0,), AVERAGEIF($G72:Kennwerte[[#This Row],[2029]],"&lt;&gt;"""), ""),IF(Startseite!$D$68=(Refsz_Verbräuche[[#Headers],[2030]]-1),Kennwerte[[#This Row],[2029]],IF(Startseite!$D$68&lt;Refsz_Verbräuche[[#Headers],[2030]],Kennwerte[[#This Row],[2029]],"")))</f>
        <v/>
      </c>
      <c r="W72" s="110" t="str">
        <f>IF(Refsz_Verbräuche[[#Headers],[2035]]=Startseite!$D$68,IF(OR(SUMIF($G72:Kennwerte[[#This Row],[2030]],"&gt;0")&gt;0,), AVERAGEIF($G72:Kennwerte[[#This Row],[2030]],"&lt;&gt;"""), ""),IF(Startseite!$D$68=(Refsz_Verbräuche[[#Headers],[2035]]-1),Kennwerte[[#This Row],[2030]],IF(Startseite!$D$68&lt;Refsz_Verbräuche[[#Headers],[2035]],Kennwerte[[#This Row],[2030]],"")))</f>
        <v/>
      </c>
      <c r="X72" s="110" t="str">
        <f>IF(Refsz_Verbräuche[[#Headers],[2040]]=Startseite!$D$68,IF(OR(SUMIF($G72:Kennwerte[[#This Row],[2035]],"&gt;0")&gt;0,), AVERAGEIF($G72:Kennwerte[[#This Row],[2035]],"&lt;&gt;"""), ""),IF(Startseite!$D$68=(Refsz_Verbräuche[[#Headers],[2040]]-1),Kennwerte[[#This Row],[2035]],IF(Startseite!$D$68&lt;Refsz_Verbräuche[[#Headers],[2040]],Kennwerte[[#This Row],[2035]],"")))</f>
        <v/>
      </c>
      <c r="Y72" s="110" t="str">
        <f>IF(Refsz_Verbräuche[[#Headers],[2045]]=Startseite!$D$68,IF(OR(SUMIF($G72:Kennwerte[[#This Row],[2040]],"&gt;0")&gt;0,), AVERAGEIF($G72:Kennwerte[[#This Row],[2040]],"&lt;&gt;"""), ""),IF(Startseite!$D$68=(Refsz_Verbräuche[[#Headers],[2045]]-1),Kennwerte[[#This Row],[2040]],IF(Startseite!$D$68&lt;Refsz_Verbräuche[[#Headers],[2045]],Kennwerte[[#This Row],[2040]],"")))</f>
        <v/>
      </c>
      <c r="Z72" s="110" t="str">
        <f>IF(Refsz_Verbräuche[[#Headers],[2050]]=Startseite!$D$68,IF(OR(SUMIF($G72:Kennwerte[[#This Row],[2045]],"&gt;0")&gt;0,), AVERAGEIF($G72:Kennwerte[[#This Row],[2045]],"&lt;&gt;"""), ""),IF(Startseite!$D$68=(Refsz_Verbräuche[[#Headers],[2050]]-1),Kennwerte[[#This Row],[2045]],IF(Startseite!$D$68&lt;Refsz_Verbräuche[[#Headers],[2050]],Kennwerte[[#This Row],[2045]],"")))</f>
        <v/>
      </c>
    </row>
    <row r="73" spans="2:26">
      <c r="E73" s="1" t="s">
        <v>408</v>
      </c>
      <c r="F73" t="s">
        <v>210</v>
      </c>
      <c r="G73" s="14">
        <f t="shared" ref="G73:L73" si="0">IF(ISERROR(G74+G75),"",G74+G75)</f>
        <v>0</v>
      </c>
      <c r="H73" s="14">
        <f t="shared" si="0"/>
        <v>0</v>
      </c>
      <c r="I73" s="14">
        <f t="shared" si="0"/>
        <v>0</v>
      </c>
      <c r="J73" s="14">
        <f t="shared" si="0"/>
        <v>0</v>
      </c>
      <c r="K73" s="14">
        <f t="shared" si="0"/>
        <v>0</v>
      </c>
      <c r="L73" s="14">
        <f t="shared" si="0"/>
        <v>0</v>
      </c>
      <c r="M73" s="14">
        <f t="shared" ref="M73:Z73" si="1">IF(ISERROR(M74+M75),0,M74+M75)</f>
        <v>0</v>
      </c>
      <c r="N73" s="14">
        <f t="shared" si="1"/>
        <v>0</v>
      </c>
      <c r="O73" s="14">
        <f t="shared" si="1"/>
        <v>0</v>
      </c>
      <c r="P73" s="14">
        <f t="shared" si="1"/>
        <v>0</v>
      </c>
      <c r="Q73" s="14">
        <f t="shared" si="1"/>
        <v>0</v>
      </c>
      <c r="R73" s="14">
        <f t="shared" si="1"/>
        <v>0</v>
      </c>
      <c r="S73" s="14">
        <f t="shared" si="1"/>
        <v>0</v>
      </c>
      <c r="T73" s="14">
        <f t="shared" si="1"/>
        <v>0</v>
      </c>
      <c r="U73" s="14">
        <f t="shared" si="1"/>
        <v>0</v>
      </c>
      <c r="V73" s="14">
        <f t="shared" si="1"/>
        <v>0</v>
      </c>
      <c r="W73" s="14">
        <f t="shared" si="1"/>
        <v>0</v>
      </c>
      <c r="X73" s="14">
        <f t="shared" si="1"/>
        <v>0</v>
      </c>
      <c r="Y73" s="14">
        <f t="shared" si="1"/>
        <v>0</v>
      </c>
      <c r="Z73" s="14">
        <f t="shared" si="1"/>
        <v>0</v>
      </c>
    </row>
    <row r="74" spans="2:26">
      <c r="E74" s="110" t="s">
        <v>570</v>
      </c>
      <c r="F74" t="s">
        <v>210</v>
      </c>
      <c r="G74" s="110"/>
      <c r="H74" s="110"/>
      <c r="I74" s="110"/>
      <c r="J74" s="110"/>
      <c r="K74" s="110"/>
      <c r="L74" s="110"/>
      <c r="M74" s="110"/>
      <c r="N74" s="110" t="str">
        <f>IF(Refsz_Verbräuche[[#Headers],[2022]]=Startseite!$D$68,IF(OR(SUMIF($G74:Kennwerte[[#This Row],[2021]],"&gt;0")&gt;0,), AVERAGEIF($G74:Kennwerte[[#This Row],[2021]],"&lt;&gt;"""), ""),IF(Startseite!$G$68=(Refsz_Verbräuche[[#Headers],[2022]]-1),Kennwerte[[#This Row],[2021]],IF(Startseite!$D$68&lt;Refsz_Verbräuche[[#Headers],[2022]],Kennwerte[[#This Row],[2021]],"")))</f>
        <v/>
      </c>
      <c r="O74" s="110" t="str">
        <f>IF(Refsz_Verbräuche[[#Headers],[2023]]=Startseite!$D$68,IF(OR(SUMIF($G74:Kennwerte[[#This Row],[2022]],"&gt;0")&gt;0,), AVERAGEIF($G74:Kennwerte[[#This Row],[2022]],"&lt;&gt;"""), ""),IF(Startseite!$G$68=(Refsz_Verbräuche[[#Headers],[2023]]-1),Kennwerte[[#This Row],[2022]],IF(Startseite!$D$68&lt;Refsz_Verbräuche[[#Headers],[2023]],Kennwerte[[#This Row],[2022]],"")))</f>
        <v/>
      </c>
      <c r="P74" s="110" t="str">
        <f>IF(Refsz_Verbräuche[[#Headers],[2024]]=Startseite!$D$68,IF(OR(SUMIF($G74:Kennwerte[[#This Row],[2023]],"&gt;0")&gt;0,), AVERAGEIF($G74:Kennwerte[[#This Row],[2023]],"&lt;&gt;"""), ""),IF(Startseite!$G$68=(Refsz_Verbräuche[[#Headers],[2024]]-1),Kennwerte[[#This Row],[2023]],IF(Startseite!$D$68&lt;Refsz_Verbräuche[[#Headers],[2024]],Kennwerte[[#This Row],[2023]],"")))</f>
        <v/>
      </c>
      <c r="Q74" s="110" t="str">
        <f>IF(Refsz_Verbräuche[[#Headers],[2025]]=Startseite!$D$68,IF(OR(SUMIF($G74:Kennwerte[[#This Row],[2024]],"&gt;0")&gt;0,), AVERAGEIF($G74:Kennwerte[[#This Row],[2024]],"&lt;&gt;"""), ""),IF(Startseite!$G$68=(Refsz_Verbräuche[[#Headers],[2025]]-1),Kennwerte[[#This Row],[2024]],IF(Startseite!$D$68&lt;Refsz_Verbräuche[[#Headers],[2025]],Kennwerte[[#This Row],[2024]],"")))</f>
        <v/>
      </c>
      <c r="R74" s="110" t="str">
        <f>IF(Refsz_Verbräuche[[#Headers],[2026]]=Startseite!$D$68,IF(OR(SUMIF($G74:Kennwerte[[#This Row],[2025]],"&gt;0")&gt;0,), AVERAGEIF($G74:Kennwerte[[#This Row],[2025]],"&lt;&gt;"""), ""),IF(Startseite!$G$68=(Refsz_Verbräuche[[#Headers],[2026]]-1),Kennwerte[[#This Row],[2025]],IF(Startseite!$D$68&lt;Refsz_Verbräuche[[#Headers],[2026]],Kennwerte[[#This Row],[2025]],"")))</f>
        <v/>
      </c>
      <c r="S74" s="110" t="str">
        <f>IF(Refsz_Verbräuche[[#Headers],[2027]]=Startseite!$D$68,IF(OR(SUMIF($G74:Kennwerte[[#This Row],[2026]],"&gt;0")&gt;0,), AVERAGEIF($G74:Kennwerte[[#This Row],[2026]],"&lt;&gt;"""), ""),IF(Startseite!$G$68=(Refsz_Verbräuche[[#Headers],[2027]]-1),Kennwerte[[#This Row],[2026]],IF(Startseite!$D$68&lt;Refsz_Verbräuche[[#Headers],[2027]],Kennwerte[[#This Row],[2026]],"")))</f>
        <v/>
      </c>
      <c r="T74" s="110" t="str">
        <f>IF(Refsz_Verbräuche[[#Headers],[2028]]=Startseite!$D$68,IF(OR(SUMIF($G74:Kennwerte[[#This Row],[2027]],"&gt;0")&gt;0,), AVERAGEIF($G74:Kennwerte[[#This Row],[2027]],"&lt;&gt;"""), ""),IF(Startseite!$G$68=(Refsz_Verbräuche[[#Headers],[2028]]-1),Kennwerte[[#This Row],[2027]],IF(Startseite!$D$68&lt;Refsz_Verbräuche[[#Headers],[2028]],Kennwerte[[#This Row],[2027]],"")))</f>
        <v/>
      </c>
      <c r="U74" s="110" t="str">
        <f>IF(Refsz_Verbräuche[[#Headers],[2029]]=Startseite!$D$68,IF(OR(SUMIF($G74:Kennwerte[[#This Row],[2028]],"&gt;0")&gt;0,), AVERAGEIF($G74:Kennwerte[[#This Row],[2028]],"&lt;&gt;"""), ""),IF(Startseite!$G$68=(Refsz_Verbräuche[[#Headers],[2029]]-1),Kennwerte[[#This Row],[2028]],IF(Startseite!$D$68&lt;Refsz_Verbräuche[[#Headers],[2029]],Kennwerte[[#This Row],[2028]],"")))</f>
        <v/>
      </c>
      <c r="V74" s="110" t="str">
        <f>IF(Refsz_Verbräuche[[#Headers],[2030]]=Startseite!$D$68,IF(OR(SUMIF($G74:Kennwerte[[#This Row],[2029]],"&gt;0")&gt;0,), AVERAGEIF($G74:Kennwerte[[#This Row],[2029]],"&lt;&gt;"""), ""),IF(Startseite!$G$68=(Refsz_Verbräuche[[#Headers],[2030]]-1),Kennwerte[[#This Row],[2029]],IF(Startseite!$D$68&lt;Refsz_Verbräuche[[#Headers],[2030]],Kennwerte[[#This Row],[2029]],"")))</f>
        <v/>
      </c>
      <c r="W74" s="110" t="str">
        <f>IF(Refsz_Verbräuche[[#Headers],[2035]]=Startseite!$D$68,IF(OR(SUMIF($G74:Kennwerte[[#This Row],[2030]],"&gt;0")&gt;0,), AVERAGEIF($G74:Kennwerte[[#This Row],[2030]],"&lt;&gt;"""), ""),IF(Startseite!$G$68=(Refsz_Verbräuche[[#Headers],[2035]]-1),Kennwerte[[#This Row],[2030]],IF(Startseite!$D$68&lt;Refsz_Verbräuche[[#Headers],[2035]],Kennwerte[[#This Row],[2030]],"")))</f>
        <v/>
      </c>
      <c r="X74" s="110" t="str">
        <f>IF(Refsz_Verbräuche[[#Headers],[2040]]=Startseite!$D$68,IF(OR(SUMIF($G74:Kennwerte[[#This Row],[2035]],"&gt;0")&gt;0,), AVERAGEIF($G74:Kennwerte[[#This Row],[2035]],"&lt;&gt;"""), ""),IF(Startseite!$G$68=(Refsz_Verbräuche[[#Headers],[2040]]-1),Kennwerte[[#This Row],[2035]],IF(Startseite!$D$68&lt;Refsz_Verbräuche[[#Headers],[2040]],Kennwerte[[#This Row],[2035]],"")))</f>
        <v/>
      </c>
      <c r="Y74" s="110" t="str">
        <f>IF(Refsz_Verbräuche[[#Headers],[2045]]=Startseite!$D$68,IF(OR(SUMIF($G74:Kennwerte[[#This Row],[2040]],"&gt;0")&gt;0,), AVERAGEIF($G74:Kennwerte[[#This Row],[2040]],"&lt;&gt;"""), ""),IF(Startseite!$G$68=(Refsz_Verbräuche[[#Headers],[2045]]-1),Kennwerte[[#This Row],[2040]],IF(Startseite!$D$68&lt;Refsz_Verbräuche[[#Headers],[2045]],Kennwerte[[#This Row],[2040]],"")))</f>
        <v/>
      </c>
      <c r="Z74" s="110" t="str">
        <f>IF(Refsz_Verbräuche[[#Headers],[2050]]=Startseite!$D$68,IF(OR(SUMIF($G74:Kennwerte[[#This Row],[2045]],"&gt;0")&gt;0,), AVERAGEIF($G74:Kennwerte[[#This Row],[2045]],"&lt;&gt;"""), ""),IF(Startseite!$G$68=(Refsz_Verbräuche[[#Headers],[2050]]-1),Kennwerte[[#This Row],[2045]],IF(Startseite!$D$68&lt;Refsz_Verbräuche[[#Headers],[2050]],Kennwerte[[#This Row],[2045]],"")))</f>
        <v/>
      </c>
    </row>
    <row r="75" spans="2:26">
      <c r="E75" s="110" t="s">
        <v>571</v>
      </c>
      <c r="F75" t="s">
        <v>210</v>
      </c>
      <c r="G75" s="110"/>
      <c r="H75" s="110"/>
      <c r="I75" s="110"/>
      <c r="J75" s="110"/>
      <c r="K75" s="110"/>
      <c r="L75" s="110"/>
      <c r="M75" s="110"/>
      <c r="N75" s="110" t="str">
        <f>IF(Refsz_Verbräuche[[#Headers],[2022]]=Startseite!$D$68,IF(OR(SUMIF($G75:Kennwerte[[#This Row],[2021]],"&gt;0")&gt;0,), AVERAGEIF($G75:Kennwerte[[#This Row],[2021]],"&lt;&gt;"""), ""),IF(Startseite!$G$68=(Refsz_Verbräuche[[#Headers],[2022]]-1),Kennwerte[[#This Row],[2021]],IF(Startseite!$D$68&lt;Refsz_Verbräuche[[#Headers],[2022]],Kennwerte[[#This Row],[2021]],"")))</f>
        <v/>
      </c>
      <c r="O75" s="110" t="str">
        <f>IF(Refsz_Verbräuche[[#Headers],[2023]]=Startseite!$D$68,IF(OR(SUMIF($G75:Kennwerte[[#This Row],[2022]],"&gt;0")&gt;0,), AVERAGEIF($G75:Kennwerte[[#This Row],[2022]],"&lt;&gt;"""), ""),IF(Startseite!$G$68=(Refsz_Verbräuche[[#Headers],[2023]]-1),Kennwerte[[#This Row],[2022]],IF(Startseite!$D$68&lt;Refsz_Verbräuche[[#Headers],[2023]],Kennwerte[[#This Row],[2022]],"")))</f>
        <v/>
      </c>
      <c r="P75" s="110" t="str">
        <f>IF(Refsz_Verbräuche[[#Headers],[2024]]=Startseite!$D$68,IF(OR(SUMIF($G75:Kennwerte[[#This Row],[2023]],"&gt;0")&gt;0,), AVERAGEIF($G75:Kennwerte[[#This Row],[2023]],"&lt;&gt;"""), ""),IF(Startseite!$G$68=(Refsz_Verbräuche[[#Headers],[2024]]-1),Kennwerte[[#This Row],[2023]],IF(Startseite!$D$68&lt;Refsz_Verbräuche[[#Headers],[2024]],Kennwerte[[#This Row],[2023]],"")))</f>
        <v/>
      </c>
      <c r="Q75" s="110" t="str">
        <f>IF(Refsz_Verbräuche[[#Headers],[2025]]=Startseite!$D$68,IF(OR(SUMIF($G75:Kennwerte[[#This Row],[2024]],"&gt;0")&gt;0,), AVERAGEIF($G75:Kennwerte[[#This Row],[2024]],"&lt;&gt;"""), ""),IF(Startseite!$G$68=(Refsz_Verbräuche[[#Headers],[2025]]-1),Kennwerte[[#This Row],[2024]],IF(Startseite!$D$68&lt;Refsz_Verbräuche[[#Headers],[2025]],Kennwerte[[#This Row],[2024]],"")))</f>
        <v/>
      </c>
      <c r="R75" s="110" t="str">
        <f>IF(Refsz_Verbräuche[[#Headers],[2026]]=Startseite!$D$68,IF(OR(SUMIF($G75:Kennwerte[[#This Row],[2025]],"&gt;0")&gt;0,), AVERAGEIF($G75:Kennwerte[[#This Row],[2025]],"&lt;&gt;"""), ""),IF(Startseite!$G$68=(Refsz_Verbräuche[[#Headers],[2026]]-1),Kennwerte[[#This Row],[2025]],IF(Startseite!$D$68&lt;Refsz_Verbräuche[[#Headers],[2026]],Kennwerte[[#This Row],[2025]],"")))</f>
        <v/>
      </c>
      <c r="S75" s="110" t="str">
        <f>IF(Refsz_Verbräuche[[#Headers],[2027]]=Startseite!$D$68,IF(OR(SUMIF($G75:Kennwerte[[#This Row],[2026]],"&gt;0")&gt;0,), AVERAGEIF($G75:Kennwerte[[#This Row],[2026]],"&lt;&gt;"""), ""),IF(Startseite!$G$68=(Refsz_Verbräuche[[#Headers],[2027]]-1),Kennwerte[[#This Row],[2026]],IF(Startseite!$D$68&lt;Refsz_Verbräuche[[#Headers],[2027]],Kennwerte[[#This Row],[2026]],"")))</f>
        <v/>
      </c>
      <c r="T75" s="110" t="str">
        <f>IF(Refsz_Verbräuche[[#Headers],[2028]]=Startseite!$D$68,IF(OR(SUMIF($G75:Kennwerte[[#This Row],[2027]],"&gt;0")&gt;0,), AVERAGEIF($G75:Kennwerte[[#This Row],[2027]],"&lt;&gt;"""), ""),IF(Startseite!$G$68=(Refsz_Verbräuche[[#Headers],[2028]]-1),Kennwerte[[#This Row],[2027]],IF(Startseite!$D$68&lt;Refsz_Verbräuche[[#Headers],[2028]],Kennwerte[[#This Row],[2027]],"")))</f>
        <v/>
      </c>
      <c r="U75" s="110" t="str">
        <f>IF(Refsz_Verbräuche[[#Headers],[2029]]=Startseite!$D$68,IF(OR(SUMIF($G75:Kennwerte[[#This Row],[2028]],"&gt;0")&gt;0,), AVERAGEIF($G75:Kennwerte[[#This Row],[2028]],"&lt;&gt;"""), ""),IF(Startseite!$G$68=(Refsz_Verbräuche[[#Headers],[2029]]-1),Kennwerte[[#This Row],[2028]],IF(Startseite!$D$68&lt;Refsz_Verbräuche[[#Headers],[2029]],Kennwerte[[#This Row],[2028]],"")))</f>
        <v/>
      </c>
      <c r="V75" s="110" t="str">
        <f>IF(Refsz_Verbräuche[[#Headers],[2030]]=Startseite!$D$68,IF(OR(SUMIF($G75:Kennwerte[[#This Row],[2029]],"&gt;0")&gt;0,), AVERAGEIF($G75:Kennwerte[[#This Row],[2029]],"&lt;&gt;"""), ""),IF(Startseite!$G$68=(Refsz_Verbräuche[[#Headers],[2030]]-1),Kennwerte[[#This Row],[2029]],IF(Startseite!$D$68&lt;Refsz_Verbräuche[[#Headers],[2030]],Kennwerte[[#This Row],[2029]],"")))</f>
        <v/>
      </c>
      <c r="W75" s="110" t="str">
        <f>IF(Refsz_Verbräuche[[#Headers],[2035]]=Startseite!$D$68,IF(OR(SUMIF($G75:Kennwerte[[#This Row],[2030]],"&gt;0")&gt;0,), AVERAGEIF($G75:Kennwerte[[#This Row],[2030]],"&lt;&gt;"""), ""),IF(Startseite!$G$68=(Refsz_Verbräuche[[#Headers],[2035]]-1),Kennwerte[[#This Row],[2030]],IF(Startseite!$D$68&lt;Refsz_Verbräuche[[#Headers],[2035]],Kennwerte[[#This Row],[2030]],"")))</f>
        <v/>
      </c>
      <c r="X75" s="110" t="str">
        <f>IF(Refsz_Verbräuche[[#Headers],[2040]]=Startseite!$D$68,IF(OR(SUMIF($G75:Kennwerte[[#This Row],[2035]],"&gt;0")&gt;0,), AVERAGEIF($G75:Kennwerte[[#This Row],[2035]],"&lt;&gt;"""), ""),IF(Startseite!$G$68=(Refsz_Verbräuche[[#Headers],[2040]]-1),Kennwerte[[#This Row],[2035]],IF(Startseite!$D$68&lt;Refsz_Verbräuche[[#Headers],[2040]],Kennwerte[[#This Row],[2035]],"")))</f>
        <v/>
      </c>
      <c r="Y75" s="110" t="str">
        <f>IF(Refsz_Verbräuche[[#Headers],[2045]]=Startseite!$D$68,IF(OR(SUMIF($G75:Kennwerte[[#This Row],[2040]],"&gt;0")&gt;0,), AVERAGEIF($G75:Kennwerte[[#This Row],[2040]],"&lt;&gt;"""), ""),IF(Startseite!$G$68=(Refsz_Verbräuche[[#Headers],[2045]]-1),Kennwerte[[#This Row],[2040]],IF(Startseite!$D$68&lt;Refsz_Verbräuche[[#Headers],[2045]],Kennwerte[[#This Row],[2040]],"")))</f>
        <v/>
      </c>
      <c r="Z75" s="110" t="str">
        <f>IF(Refsz_Verbräuche[[#Headers],[2050]]=Startseite!$D$68,IF(OR(SUMIF($G75:Kennwerte[[#This Row],[2045]],"&gt;0")&gt;0,), AVERAGEIF($G75:Kennwerte[[#This Row],[2045]],"&lt;&gt;"""), ""),IF(Startseite!$G$68=(Refsz_Verbräuche[[#Headers],[2050]]-1),Kennwerte[[#This Row],[2045]],IF(Startseite!$D$68&lt;Refsz_Verbräuche[[#Headers],[2050]],Kennwerte[[#This Row],[2045]],"")))</f>
        <v/>
      </c>
    </row>
    <row r="76" spans="2:26">
      <c r="E76" s="200" t="s">
        <v>599</v>
      </c>
      <c r="F76" s="201"/>
      <c r="G76" s="257"/>
      <c r="H76" s="110"/>
      <c r="I76" s="14"/>
      <c r="J76" s="14"/>
      <c r="K76" s="14"/>
      <c r="L76" s="14"/>
      <c r="M76" s="14"/>
      <c r="N76" s="14"/>
      <c r="O76" s="14"/>
      <c r="P76" s="14"/>
      <c r="Q76" s="14"/>
      <c r="R76" s="14"/>
      <c r="S76" s="14"/>
      <c r="T76" s="14"/>
      <c r="U76" s="14"/>
      <c r="V76" s="14"/>
      <c r="W76" s="14"/>
      <c r="X76" s="14"/>
      <c r="Y76" s="14"/>
      <c r="Z76" s="14"/>
    </row>
    <row r="78" spans="2:26">
      <c r="B78" s="1" t="s">
        <v>566</v>
      </c>
    </row>
    <row r="79" spans="2:26">
      <c r="C79" t="s">
        <v>507</v>
      </c>
      <c r="D79" t="s">
        <v>509</v>
      </c>
      <c r="E79" t="s">
        <v>512</v>
      </c>
      <c r="F79" s="263" t="s">
        <v>549</v>
      </c>
      <c r="G79" s="263"/>
      <c r="H79" s="263"/>
      <c r="I79" s="263"/>
      <c r="J79" s="263"/>
      <c r="K79" s="263"/>
      <c r="L79" s="263"/>
    </row>
    <row r="80" spans="2:26">
      <c r="C80" t="s">
        <v>508</v>
      </c>
      <c r="D80" t="s">
        <v>510</v>
      </c>
      <c r="E80" s="128" t="s">
        <v>197</v>
      </c>
      <c r="F80" s="262"/>
      <c r="G80" s="262"/>
      <c r="H80" s="262"/>
      <c r="I80" s="262"/>
      <c r="J80" s="262"/>
      <c r="K80" s="262"/>
      <c r="L80" s="262"/>
    </row>
    <row r="81" spans="2:12">
      <c r="C81" t="s">
        <v>508</v>
      </c>
      <c r="D81" t="s">
        <v>510</v>
      </c>
      <c r="E81" s="104" t="s">
        <v>61</v>
      </c>
      <c r="F81" s="262" t="s">
        <v>249</v>
      </c>
      <c r="G81" s="262"/>
      <c r="H81" s="262"/>
      <c r="I81" s="262"/>
      <c r="J81" s="262"/>
      <c r="K81" s="262"/>
      <c r="L81" s="262"/>
    </row>
    <row r="82" spans="2:12">
      <c r="C82" t="s">
        <v>508</v>
      </c>
      <c r="D82" t="s">
        <v>510</v>
      </c>
      <c r="E82" s="104" t="s">
        <v>204</v>
      </c>
      <c r="F82" s="262" t="s">
        <v>550</v>
      </c>
      <c r="G82" s="262"/>
      <c r="H82" s="262"/>
      <c r="I82" s="262"/>
      <c r="J82" s="262"/>
      <c r="K82" s="262"/>
      <c r="L82" s="262"/>
    </row>
    <row r="83" spans="2:12">
      <c r="C83" t="s">
        <v>508</v>
      </c>
      <c r="D83" t="s">
        <v>510</v>
      </c>
      <c r="E83" s="104" t="s">
        <v>202</v>
      </c>
      <c r="F83" s="262"/>
      <c r="G83" s="262"/>
      <c r="H83" s="262"/>
      <c r="I83" s="262"/>
      <c r="J83" s="262"/>
      <c r="K83" s="262"/>
      <c r="L83" s="262"/>
    </row>
    <row r="84" spans="2:12">
      <c r="C84" t="s">
        <v>514</v>
      </c>
      <c r="D84" t="s">
        <v>511</v>
      </c>
      <c r="E84" s="104" t="s">
        <v>60</v>
      </c>
      <c r="F84" s="262"/>
      <c r="G84" s="262"/>
      <c r="H84" s="262"/>
      <c r="I84" s="262"/>
      <c r="J84" s="262"/>
      <c r="K84" s="262"/>
      <c r="L84" s="262"/>
    </row>
    <row r="85" spans="2:12">
      <c r="C85" t="s">
        <v>514</v>
      </c>
      <c r="D85" t="s">
        <v>511</v>
      </c>
      <c r="E85" s="104" t="s">
        <v>205</v>
      </c>
      <c r="F85" s="262"/>
      <c r="G85" s="262"/>
      <c r="H85" s="262"/>
      <c r="I85" s="262"/>
      <c r="J85" s="262"/>
      <c r="K85" s="262"/>
      <c r="L85" s="262"/>
    </row>
    <row r="86" spans="2:12">
      <c r="C86" t="s">
        <v>514</v>
      </c>
      <c r="D86" t="s">
        <v>511</v>
      </c>
      <c r="E86" s="104" t="s">
        <v>203</v>
      </c>
      <c r="F86" s="262"/>
      <c r="G86" s="262"/>
      <c r="H86" s="262"/>
      <c r="I86" s="262"/>
      <c r="J86" s="262"/>
      <c r="K86" s="262"/>
      <c r="L86" s="262"/>
    </row>
    <row r="88" spans="2:12">
      <c r="E88" s="25" t="s">
        <v>565</v>
      </c>
      <c r="F88" s="5"/>
    </row>
    <row r="91" spans="2:12" ht="21">
      <c r="B91" s="192"/>
      <c r="C91" s="260"/>
      <c r="H91" s="3"/>
    </row>
  </sheetData>
  <mergeCells count="24">
    <mergeCell ref="D65:E65"/>
    <mergeCell ref="D62:E62"/>
    <mergeCell ref="D63:E63"/>
    <mergeCell ref="D64:E64"/>
    <mergeCell ref="D47:E47"/>
    <mergeCell ref="D58:E58"/>
    <mergeCell ref="D57:E57"/>
    <mergeCell ref="D56:E56"/>
    <mergeCell ref="D53:E53"/>
    <mergeCell ref="D52:E52"/>
    <mergeCell ref="D51:E51"/>
    <mergeCell ref="D48:E48"/>
    <mergeCell ref="H47:L47"/>
    <mergeCell ref="H50:L50"/>
    <mergeCell ref="F82:L82"/>
    <mergeCell ref="F83:L83"/>
    <mergeCell ref="H48:L48"/>
    <mergeCell ref="H49:L49"/>
    <mergeCell ref="F85:L85"/>
    <mergeCell ref="F86:L86"/>
    <mergeCell ref="F80:L80"/>
    <mergeCell ref="F81:L81"/>
    <mergeCell ref="F79:L79"/>
    <mergeCell ref="F84:L84"/>
  </mergeCells>
  <conditionalFormatting sqref="N72:Z76">
    <cfRule type="expression" dxfId="1261" priority="1">
      <formula>N$71&gt;=$D$68</formula>
    </cfRule>
  </conditionalFormatting>
  <hyperlinks>
    <hyperlink ref="D48" location="'Refsz-Verbräuche'!B1" tooltip="1. Dateneingabe" display="Referenzszenario - Verbräuche" xr:uid="{5BC4F6A2-BE8A-49A3-9829-52B1332C1D31}"/>
    <hyperlink ref="H50" location="Emissionsfaktoren!B1" tooltip="2. Dateneingabe (Profi)" display="Emissionsfaktoren" xr:uid="{A5885823-F3DB-4C3E-81AC-144407C02EC3}"/>
    <hyperlink ref="D53" location="'Klisz-Verbräuche'!B1" tooltip="3. Dateneingabe" display="Klimaschutzszenarien - Verbräuche" xr:uid="{F1BE69F3-96B4-4D8A-BFBC-0ACD8F4F3F65}"/>
    <hyperlink ref="D58" location="'Klisz-Emissionen'!B1" tooltip="Ergebnisse Klimaschutzszenario" display="Klimaschutzszenarien - Emissionen" xr:uid="{3B82210C-E360-4346-A114-F7C14280D0A7}"/>
    <hyperlink ref="D56" location="'KliMax-Auswertung'!A1" tooltip="Auswertung" display="KliMax - Auswertung" xr:uid="{F4F192B6-21C8-4BED-BF5C-8C60012136AD}"/>
    <hyperlink ref="H47" location="Umrechnen!B1" tooltip="Einheiten umrechnen" display="Einheiten umrechnen" xr:uid="{F489ECAC-6400-479F-90D7-50726DF5BBB1}"/>
    <hyperlink ref="H48" location="'Strommix &amp; BHKW'!B1" display="Individueller Strommix und institutseigenes BHKW" xr:uid="{948D2780-4841-4186-B91D-A442A38BFAB2}"/>
    <hyperlink ref="D57" location="'Refsz-Emissionen'!B1" tooltip="Ergebnisse Referenzszenario" display="Referenzszenarien - Emissionen" xr:uid="{444E9A75-FB6D-46F9-A049-AED64B7D539D}"/>
    <hyperlink ref="D52" location="'Refsz-Verbräuche'!B1" tooltip="1. Dateneingabe" display="Referenzszenario - Verbräuche" xr:uid="{B51C394A-FE1A-4FB9-B26C-EE42EB43D369}"/>
    <hyperlink ref="D51" location="Datengüte!B1" display="Datengüte" xr:uid="{A6B40811-276E-4F8C-B265-EC088BF18CE7}"/>
    <hyperlink ref="H49" location="'Verbundene Einheiten'!A1" display="Verflechtungsmaß für verbundenen Einheiten" xr:uid="{7C629EBE-BF8C-49F1-A781-517C1BEC1A71}"/>
    <hyperlink ref="H1" r:id="rId1" tooltip="Kontakt zur Autorin" display="Kontakt zur Autorin" xr:uid="{1E037E7A-4D5C-480D-AA99-641C7BC145E3}"/>
    <hyperlink ref="E88" location="'Refsz-Verbräuche'!B1" display="       Weiter" xr:uid="{0939B1B5-8E5F-43B0-AFF6-237D20D1FAFD}"/>
    <hyperlink ref="D47:E47" location="Startseite!A62" display="Startseite" xr:uid="{45C00DD1-3F70-4459-BD88-0E58092ED131}"/>
    <hyperlink ref="H51" r:id="rId2" xr:uid="{72F3ACF9-15E0-46BE-9C87-411A36B31FC8}"/>
  </hyperlinks>
  <pageMargins left="0.7" right="0.7" top="0.78740157499999996" bottom="0.78740157499999996" header="0.3" footer="0.3"/>
  <drawing r:id="rId3"/>
  <legacyDrawing r:id="rId4"/>
  <tableParts count="2">
    <tablePart r:id="rId5"/>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355AFFBC-A5C5-44F3-B45C-B33C577584B2}">
          <x14:formula1>
            <xm:f>'Refsz-Verbräuche'!$M$17:$Y$17</xm:f>
          </x14:formula1>
          <xm:sqref>D68</xm:sqref>
        </x14:dataValidation>
        <x14:dataValidation type="list" allowBlank="1" showInputMessage="1" showErrorMessage="1" xr:uid="{14249F8C-3A9E-40BD-8650-E39E5B8C83B2}">
          <x14:formula1>
            <xm:f>'Refsz-Verbräuche'!$F$17:$Y$17</xm:f>
          </x14:formula1>
          <xm:sqref>D67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802BB-082B-4D87-A092-FD55E6A756DD}">
  <sheetPr>
    <tabColor rgb="FFFFC000"/>
  </sheetPr>
  <dimension ref="B1:AA552"/>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baseColWidth="10" defaultRowHeight="14.5"/>
  <cols>
    <col min="1" max="1" width="2.54296875" customWidth="1"/>
    <col min="2" max="2" width="5" customWidth="1"/>
    <col min="3" max="3" width="28.26953125" customWidth="1"/>
    <col min="4" max="4" width="34.26953125" customWidth="1"/>
    <col min="5" max="5" width="9.81640625" customWidth="1"/>
    <col min="6" max="25" width="8.453125" customWidth="1"/>
    <col min="26" max="26" width="33" customWidth="1"/>
  </cols>
  <sheetData>
    <row r="1" spans="2:11">
      <c r="B1" s="4" t="s">
        <v>556</v>
      </c>
      <c r="F1" s="5"/>
      <c r="G1" s="5"/>
      <c r="H1" s="5"/>
      <c r="J1" s="5"/>
      <c r="K1" s="3" t="s">
        <v>489</v>
      </c>
    </row>
    <row r="3" spans="2:11" ht="18.5">
      <c r="B3" s="24" t="s">
        <v>578</v>
      </c>
    </row>
    <row r="4" spans="2:11">
      <c r="B4" t="s">
        <v>575</v>
      </c>
    </row>
    <row r="5" spans="2:11">
      <c r="B5" s="25" t="s">
        <v>439</v>
      </c>
    </row>
    <row r="6" spans="2:11">
      <c r="B6" s="25" t="s">
        <v>440</v>
      </c>
    </row>
    <row r="7" spans="2:11">
      <c r="B7" t="s">
        <v>576</v>
      </c>
    </row>
    <row r="8" spans="2:11">
      <c r="B8" s="25" t="s">
        <v>437</v>
      </c>
    </row>
    <row r="9" spans="2:11">
      <c r="B9" s="25" t="s">
        <v>438</v>
      </c>
    </row>
    <row r="10" spans="2:11">
      <c r="B10" s="25" t="s">
        <v>606</v>
      </c>
    </row>
    <row r="12" spans="2:11">
      <c r="B12" s="1" t="s">
        <v>27</v>
      </c>
    </row>
    <row r="13" spans="2:11">
      <c r="B13" s="38" t="s">
        <v>243</v>
      </c>
      <c r="C13" s="38"/>
    </row>
    <row r="15" spans="2:11" ht="15.5">
      <c r="B15" s="6" t="s">
        <v>581</v>
      </c>
    </row>
    <row r="16" spans="2:11" ht="15.5">
      <c r="B16" s="6" t="s">
        <v>415</v>
      </c>
    </row>
    <row r="17" spans="2:27">
      <c r="B17" t="s">
        <v>38</v>
      </c>
      <c r="C17" t="s">
        <v>28</v>
      </c>
      <c r="D17" s="14" t="s">
        <v>435</v>
      </c>
      <c r="E17" t="s">
        <v>2</v>
      </c>
      <c r="F17" t="s">
        <v>3</v>
      </c>
      <c r="G17" t="s">
        <v>4</v>
      </c>
      <c r="H17" t="s">
        <v>5</v>
      </c>
      <c r="I17" t="s">
        <v>6</v>
      </c>
      <c r="J17" t="s">
        <v>7</v>
      </c>
      <c r="K17" t="s">
        <v>8</v>
      </c>
      <c r="L17" t="s">
        <v>9</v>
      </c>
      <c r="M17" t="s">
        <v>10</v>
      </c>
      <c r="N17" t="s">
        <v>11</v>
      </c>
      <c r="O17" t="s">
        <v>12</v>
      </c>
      <c r="P17" t="s">
        <v>13</v>
      </c>
      <c r="Q17" t="s">
        <v>14</v>
      </c>
      <c r="R17" t="s">
        <v>216</v>
      </c>
      <c r="S17" t="s">
        <v>217</v>
      </c>
      <c r="T17" t="s">
        <v>218</v>
      </c>
      <c r="U17" t="s">
        <v>15</v>
      </c>
      <c r="V17" t="s">
        <v>16</v>
      </c>
      <c r="W17" t="s">
        <v>17</v>
      </c>
      <c r="X17" t="s">
        <v>18</v>
      </c>
      <c r="Y17" t="s">
        <v>19</v>
      </c>
      <c r="Z17" t="s">
        <v>45</v>
      </c>
      <c r="AA17" s="10"/>
    </row>
    <row r="18" spans="2:27" ht="16.5">
      <c r="B18" s="14">
        <v>1</v>
      </c>
      <c r="C18" s="14" t="str">
        <f>Refsz_Verbräuche[[#This Row],[Handlungsfeld]]</f>
        <v>Elektrischer Strom</v>
      </c>
      <c r="D18" s="19" t="str">
        <f>Refsz_Verbräuche[[#This Row],[Datenpunkt]]</f>
        <v>Bundesmix</v>
      </c>
      <c r="E18" t="s">
        <v>195</v>
      </c>
      <c r="F18" s="14">
        <f>IF((OR(ISNUMBER(Refsz_Verbräuche[[#This Row],[2015]]),ISNUMBER('Refsz-Verbräuche'!F19),ISNUMBER('Refsz-Verbräuche'!F20),ISNUMBER('Refsz-Verbräuche'!F21),ISNUMBER('Refsz-Verbräuche'!F22), ISNUMBER('Refsz-Verbräuche'!F23), ISNUMBER('Refsz-Verbräuche'!F24), ISNUMBER('Refsz-Verbräuche'!F25), ISNUMBER('Refsz-Verbräuche'!F26), ISNUMBER('Refsz-Verbräuche'!F27))), (SUM('Refsz-Verbräuche'!F18:F27)*Emissionsfaktoren[[#This Row],[2015]]/1000)+'Strommix &amp; BHKW'!D187+'Strommix &amp; BHKW'!D203+'Strommix &amp; BHKW'!D209+'Strommix &amp; BHKW'!D215, 0)</f>
        <v>0</v>
      </c>
      <c r="G18" s="14">
        <f>IF((OR(ISNUMBER(Refsz_Verbräuche[[#This Row],[2016]]),ISNUMBER('Refsz-Verbräuche'!G19),ISNUMBER('Refsz-Verbräuche'!G20),ISNUMBER('Refsz-Verbräuche'!G21),ISNUMBER('Refsz-Verbräuche'!G22), ISNUMBER('Refsz-Verbräuche'!G23), ISNUMBER('Refsz-Verbräuche'!G24), ISNUMBER('Refsz-Verbräuche'!G25), ISNUMBER('Refsz-Verbräuche'!G26), ISNUMBER('Refsz-Verbräuche'!G27))), (SUM('Refsz-Verbräuche'!G18:G27)*Emissionsfaktoren[[#This Row],[2016]]/1000)+'Strommix &amp; BHKW'!E187+'Strommix &amp; BHKW'!E203+'Strommix &amp; BHKW'!E209+'Strommix &amp; BHKW'!E215, 0)</f>
        <v>0</v>
      </c>
      <c r="H18" s="14">
        <f>IF((OR(ISNUMBER(Refsz_Verbräuche[[#This Row],[2017]]),ISNUMBER('Refsz-Verbräuche'!H19),ISNUMBER('Refsz-Verbräuche'!H20),ISNUMBER('Refsz-Verbräuche'!H21),ISNUMBER('Refsz-Verbräuche'!H22), ISNUMBER('Refsz-Verbräuche'!H23), ISNUMBER('Refsz-Verbräuche'!H24), ISNUMBER('Refsz-Verbräuche'!H25), ISNUMBER('Refsz-Verbräuche'!H26), ISNUMBER('Refsz-Verbräuche'!H27))), (SUM('Refsz-Verbräuche'!H18:H27)*Emissionsfaktoren[[#This Row],[2017]]/1000)+'Strommix &amp; BHKW'!F187+'Strommix &amp; BHKW'!F203+'Strommix &amp; BHKW'!F209+'Strommix &amp; BHKW'!F215, 0)</f>
        <v>0</v>
      </c>
      <c r="I18" s="14">
        <f>IF((OR(ISNUMBER(Refsz_Verbräuche[[#This Row],[2018]]),ISNUMBER('Refsz-Verbräuche'!I19),ISNUMBER('Refsz-Verbräuche'!I20),ISNUMBER('Refsz-Verbräuche'!I21),ISNUMBER('Refsz-Verbräuche'!I22), ISNUMBER('Refsz-Verbräuche'!I23), ISNUMBER('Refsz-Verbräuche'!I24), ISNUMBER('Refsz-Verbräuche'!I25), ISNUMBER('Refsz-Verbräuche'!I26), ISNUMBER('Refsz-Verbräuche'!I27))), (SUM('Refsz-Verbräuche'!I18:I27)*Emissionsfaktoren[[#This Row],[2018]]/1000)+'Strommix &amp; BHKW'!G187+'Strommix &amp; BHKW'!G203+'Strommix &amp; BHKW'!G209+'Strommix &amp; BHKW'!G215, 0)</f>
        <v>0</v>
      </c>
      <c r="J18" s="14">
        <f>IF((OR(ISNUMBER(Refsz_Verbräuche[[#This Row],[2019]]),ISNUMBER('Refsz-Verbräuche'!J19),ISNUMBER('Refsz-Verbräuche'!J20),ISNUMBER('Refsz-Verbräuche'!J21),ISNUMBER('Refsz-Verbräuche'!J22), ISNUMBER('Refsz-Verbräuche'!J23), ISNUMBER('Refsz-Verbräuche'!J24), ISNUMBER('Refsz-Verbräuche'!J25), ISNUMBER('Refsz-Verbräuche'!J26), ISNUMBER('Refsz-Verbräuche'!J27))), (SUM('Refsz-Verbräuche'!J18:J27)*Emissionsfaktoren[[#This Row],[2019]]/1000)+'Strommix &amp; BHKW'!H187+'Strommix &amp; BHKW'!H203+'Strommix &amp; BHKW'!H209+'Strommix &amp; BHKW'!H215, 0)</f>
        <v>0</v>
      </c>
      <c r="K18" s="14">
        <f>IF((OR(ISNUMBER(Refsz_Verbräuche[[#This Row],[2020]]),ISNUMBER('Refsz-Verbräuche'!K19),ISNUMBER('Refsz-Verbräuche'!K20),ISNUMBER('Refsz-Verbräuche'!K21),ISNUMBER('Refsz-Verbräuche'!K22), ISNUMBER('Refsz-Verbräuche'!K23), ISNUMBER('Refsz-Verbräuche'!K24), ISNUMBER('Refsz-Verbräuche'!K25), ISNUMBER('Refsz-Verbräuche'!K26), ISNUMBER('Refsz-Verbräuche'!K27))), (SUM('Refsz-Verbräuche'!K18:K27)*Emissionsfaktoren[[#This Row],[2020]]/1000)+'Strommix &amp; BHKW'!I187+'Strommix &amp; BHKW'!I203+'Strommix &amp; BHKW'!I209+'Strommix &amp; BHKW'!I215, 0)</f>
        <v>0</v>
      </c>
      <c r="L18" s="14">
        <f>IF((OR(ISNUMBER(Refsz_Verbräuche[[#This Row],[2021]]),ISNUMBER('Refsz-Verbräuche'!L19),ISNUMBER('Refsz-Verbräuche'!L20),ISNUMBER('Refsz-Verbräuche'!L21),ISNUMBER('Refsz-Verbräuche'!L22), ISNUMBER('Refsz-Verbräuche'!L23), ISNUMBER('Refsz-Verbräuche'!L24), ISNUMBER('Refsz-Verbräuche'!L25), ISNUMBER('Refsz-Verbräuche'!L26), ISNUMBER('Refsz-Verbräuche'!L27))), (SUM('Refsz-Verbräuche'!L18:L27)*Emissionsfaktoren[[#This Row],[2021]]/1000)+'Strommix &amp; BHKW'!J187+'Strommix &amp; BHKW'!J203+'Strommix &amp; BHKW'!J209+'Strommix &amp; BHKW'!J215, 0)</f>
        <v>0</v>
      </c>
      <c r="M18" s="14">
        <f>IF((OR(ISNUMBER(Refsz_Verbräuche[[#This Row],[2022]]),ISNUMBER('Refsz-Verbräuche'!M19),ISNUMBER('Refsz-Verbräuche'!M20),ISNUMBER('Refsz-Verbräuche'!M21),ISNUMBER('Refsz-Verbräuche'!M22), ISNUMBER('Refsz-Verbräuche'!M23), ISNUMBER('Refsz-Verbräuche'!M24), ISNUMBER('Refsz-Verbräuche'!M25), ISNUMBER('Refsz-Verbräuche'!M26), ISNUMBER('Refsz-Verbräuche'!M27))), (SUM('Refsz-Verbräuche'!M18:M27)*Emissionsfaktoren[[#This Row],[2022]]/1000)+'Strommix &amp; BHKW'!K187+'Strommix &amp; BHKW'!K203+'Strommix &amp; BHKW'!K209+'Strommix &amp; BHKW'!K215, 0)</f>
        <v>0</v>
      </c>
      <c r="N18" s="14">
        <f>IF((OR(ISNUMBER(Refsz_Verbräuche[[#This Row],[2023]]),ISNUMBER('Refsz-Verbräuche'!N19),ISNUMBER('Refsz-Verbräuche'!N20),ISNUMBER('Refsz-Verbräuche'!N21),ISNUMBER('Refsz-Verbräuche'!N22), ISNUMBER('Refsz-Verbräuche'!N23), ISNUMBER('Refsz-Verbräuche'!N24), ISNUMBER('Refsz-Verbräuche'!N25), ISNUMBER('Refsz-Verbräuche'!N26), ISNUMBER('Refsz-Verbräuche'!N27))), (SUM('Refsz-Verbräuche'!N18:N27)*Emissionsfaktoren[[#This Row],[2023]]/1000)+'Strommix &amp; BHKW'!L187+'Strommix &amp; BHKW'!L203+'Strommix &amp; BHKW'!L209+'Strommix &amp; BHKW'!L215, 0)</f>
        <v>0</v>
      </c>
      <c r="O18" s="14">
        <f>IF((OR(ISNUMBER(Refsz_Verbräuche[[#This Row],[2024]]),ISNUMBER('Refsz-Verbräuche'!O19),ISNUMBER('Refsz-Verbräuche'!O20),ISNUMBER('Refsz-Verbräuche'!O21),ISNUMBER('Refsz-Verbräuche'!O22), ISNUMBER('Refsz-Verbräuche'!O23), ISNUMBER('Refsz-Verbräuche'!O24), ISNUMBER('Refsz-Verbräuche'!O25), ISNUMBER('Refsz-Verbräuche'!O26), ISNUMBER('Refsz-Verbräuche'!O27))), (SUM('Refsz-Verbräuche'!O18:O27)*Emissionsfaktoren[[#This Row],[2024]]/1000)+'Strommix &amp; BHKW'!M187+'Strommix &amp; BHKW'!M203+'Strommix &amp; BHKW'!M209+'Strommix &amp; BHKW'!M215, 0)</f>
        <v>0</v>
      </c>
      <c r="P18" s="14">
        <f>IF((OR(ISNUMBER(Refsz_Verbräuche[[#This Row],[2025]]),ISNUMBER('Refsz-Verbräuche'!P19),ISNUMBER('Refsz-Verbräuche'!P20),ISNUMBER('Refsz-Verbräuche'!P21),ISNUMBER('Refsz-Verbräuche'!P22), ISNUMBER('Refsz-Verbräuche'!P23), ISNUMBER('Refsz-Verbräuche'!P24), ISNUMBER('Refsz-Verbräuche'!P25), ISNUMBER('Refsz-Verbräuche'!P26), ISNUMBER('Refsz-Verbräuche'!P27))), (SUM('Refsz-Verbräuche'!P18:P27)*Emissionsfaktoren[[#This Row],[2025]]/1000)+'Strommix &amp; BHKW'!N187+'Strommix &amp; BHKW'!N203+'Strommix &amp; BHKW'!N209+'Strommix &amp; BHKW'!N215, 0)</f>
        <v>0</v>
      </c>
      <c r="Q18" s="14">
        <f>IF((OR(ISNUMBER(Refsz_Verbräuche[[#This Row],[2026]]),ISNUMBER('Refsz-Verbräuche'!Q19),ISNUMBER('Refsz-Verbräuche'!Q20),ISNUMBER('Refsz-Verbräuche'!Q21),ISNUMBER('Refsz-Verbräuche'!Q22), ISNUMBER('Refsz-Verbräuche'!Q23), ISNUMBER('Refsz-Verbräuche'!Q24), ISNUMBER('Refsz-Verbräuche'!Q25), ISNUMBER('Refsz-Verbräuche'!Q26), ISNUMBER('Refsz-Verbräuche'!Q27))), (SUM('Refsz-Verbräuche'!Q18:Q27)*Emissionsfaktoren[[#This Row],[2026]]/1000)+'Strommix &amp; BHKW'!O187+'Strommix &amp; BHKW'!O203+'Strommix &amp; BHKW'!O209+'Strommix &amp; BHKW'!O215, 0)</f>
        <v>0</v>
      </c>
      <c r="R18" s="14">
        <f>IF((OR(ISNUMBER(Refsz_Verbräuche[[#This Row],[2027]]),ISNUMBER('Refsz-Verbräuche'!R19),ISNUMBER('Refsz-Verbräuche'!R20),ISNUMBER('Refsz-Verbräuche'!R21),ISNUMBER('Refsz-Verbräuche'!R22), ISNUMBER('Refsz-Verbräuche'!R23), ISNUMBER('Refsz-Verbräuche'!R24), ISNUMBER('Refsz-Verbräuche'!R25), ISNUMBER('Refsz-Verbräuche'!R26), ISNUMBER('Refsz-Verbräuche'!R27))), (SUM('Refsz-Verbräuche'!R18:R27)*Emissionsfaktoren[[#This Row],[2027]]/1000)+'Strommix &amp; BHKW'!P187+'Strommix &amp; BHKW'!P203+'Strommix &amp; BHKW'!P209+'Strommix &amp; BHKW'!P215, 0)</f>
        <v>0</v>
      </c>
      <c r="S18" s="14">
        <f>IF((OR(ISNUMBER(Refsz_Verbräuche[[#This Row],[2028]]),ISNUMBER('Refsz-Verbräuche'!S19),ISNUMBER('Refsz-Verbräuche'!S20),ISNUMBER('Refsz-Verbräuche'!S21),ISNUMBER('Refsz-Verbräuche'!S22), ISNUMBER('Refsz-Verbräuche'!S23), ISNUMBER('Refsz-Verbräuche'!S24), ISNUMBER('Refsz-Verbräuche'!S25), ISNUMBER('Refsz-Verbräuche'!S26), ISNUMBER('Refsz-Verbräuche'!S27))), (SUM('Refsz-Verbräuche'!S18:S27)*Emissionsfaktoren[[#This Row],[2028]]/1000)+'Strommix &amp; BHKW'!Q187+'Strommix &amp; BHKW'!Q203+'Strommix &amp; BHKW'!Q209+'Strommix &amp; BHKW'!Q215, 0)</f>
        <v>0</v>
      </c>
      <c r="T18" s="14">
        <f>IF((OR(ISNUMBER(Refsz_Verbräuche[[#This Row],[2029]]),ISNUMBER('Refsz-Verbräuche'!T19),ISNUMBER('Refsz-Verbräuche'!T20),ISNUMBER('Refsz-Verbräuche'!T21),ISNUMBER('Refsz-Verbräuche'!T22), ISNUMBER('Refsz-Verbräuche'!T23), ISNUMBER('Refsz-Verbräuche'!T24), ISNUMBER('Refsz-Verbräuche'!T25), ISNUMBER('Refsz-Verbräuche'!T26), ISNUMBER('Refsz-Verbräuche'!T27))), (SUM('Refsz-Verbräuche'!T18:T27)*Emissionsfaktoren[[#This Row],[2029]]/1000)+'Strommix &amp; BHKW'!R187+'Strommix &amp; BHKW'!R203+'Strommix &amp; BHKW'!R209+'Strommix &amp; BHKW'!R215, 0)</f>
        <v>0</v>
      </c>
      <c r="U18" s="14">
        <f>IF((OR(ISNUMBER(Refsz_Verbräuche[[#This Row],[2030]]),ISNUMBER('Refsz-Verbräuche'!U19),ISNUMBER('Refsz-Verbräuche'!U20),ISNUMBER('Refsz-Verbräuche'!U21),ISNUMBER('Refsz-Verbräuche'!U22), ISNUMBER('Refsz-Verbräuche'!U23), ISNUMBER('Refsz-Verbräuche'!U24), ISNUMBER('Refsz-Verbräuche'!U25), ISNUMBER('Refsz-Verbräuche'!U26), ISNUMBER('Refsz-Verbräuche'!U27))), (SUM('Refsz-Verbräuche'!U18:U27)*Emissionsfaktoren[[#This Row],[2030]]/1000)+'Strommix &amp; BHKW'!S187+'Strommix &amp; BHKW'!S203+'Strommix &amp; BHKW'!S209+'Strommix &amp; BHKW'!S215, 0)</f>
        <v>0</v>
      </c>
      <c r="V18" s="14">
        <f>IF((OR(ISNUMBER(Refsz_Verbräuche[[#This Row],[2035]]),ISNUMBER('Refsz-Verbräuche'!V19),ISNUMBER('Refsz-Verbräuche'!V20),ISNUMBER('Refsz-Verbräuche'!V21),ISNUMBER('Refsz-Verbräuche'!V22), ISNUMBER('Refsz-Verbräuche'!V23), ISNUMBER('Refsz-Verbräuche'!V24), ISNUMBER('Refsz-Verbräuche'!V25), ISNUMBER('Refsz-Verbräuche'!V26), ISNUMBER('Refsz-Verbräuche'!V27))), (SUM('Refsz-Verbräuche'!V18:V27)*Emissionsfaktoren[[#This Row],[2035]]/1000)+'Strommix &amp; BHKW'!T187+'Strommix &amp; BHKW'!T203+'Strommix &amp; BHKW'!T209+'Strommix &amp; BHKW'!T215, 0)</f>
        <v>0</v>
      </c>
      <c r="W18" s="14">
        <f>IF((OR(ISNUMBER(Refsz_Verbräuche[[#This Row],[2040]]),ISNUMBER('Refsz-Verbräuche'!W19),ISNUMBER('Refsz-Verbräuche'!W20),ISNUMBER('Refsz-Verbräuche'!W21),ISNUMBER('Refsz-Verbräuche'!W22), ISNUMBER('Refsz-Verbräuche'!W23), ISNUMBER('Refsz-Verbräuche'!W24), ISNUMBER('Refsz-Verbräuche'!W25), ISNUMBER('Refsz-Verbräuche'!W26), ISNUMBER('Refsz-Verbräuche'!W27))), (SUM('Refsz-Verbräuche'!W18:W27)*Emissionsfaktoren[[#This Row],[2040]]/1000)+'Strommix &amp; BHKW'!U187+'Strommix &amp; BHKW'!U203+'Strommix &amp; BHKW'!U209+'Strommix &amp; BHKW'!U215, 0)</f>
        <v>0</v>
      </c>
      <c r="X18" s="14">
        <f>IF((OR(ISNUMBER(Refsz_Verbräuche[[#This Row],[2045]]),ISNUMBER('Refsz-Verbräuche'!X19),ISNUMBER('Refsz-Verbräuche'!X20),ISNUMBER('Refsz-Verbräuche'!X21),ISNUMBER('Refsz-Verbräuche'!X22), ISNUMBER('Refsz-Verbräuche'!X23), ISNUMBER('Refsz-Verbräuche'!X24), ISNUMBER('Refsz-Verbräuche'!X25), ISNUMBER('Refsz-Verbräuche'!X26), ISNUMBER('Refsz-Verbräuche'!X27))), (SUM('Refsz-Verbräuche'!X18:X27)*Emissionsfaktoren[[#This Row],[2045]]/1000)+'Strommix &amp; BHKW'!V187+'Strommix &amp; BHKW'!V203+'Strommix &amp; BHKW'!V209+'Strommix &amp; BHKW'!V215, 0)</f>
        <v>0</v>
      </c>
      <c r="Y18" s="14">
        <f>IF((OR(ISNUMBER(Refsz_Verbräuche[[#This Row],[2050]]),ISNUMBER('Refsz-Verbräuche'!Y19),ISNUMBER('Refsz-Verbräuche'!Y20),ISNUMBER('Refsz-Verbräuche'!Y21),ISNUMBER('Refsz-Verbräuche'!Y22), ISNUMBER('Refsz-Verbräuche'!Y23), ISNUMBER('Refsz-Verbräuche'!Y24), ISNUMBER('Refsz-Verbräuche'!Y25), ISNUMBER('Refsz-Verbräuche'!Y26), ISNUMBER('Refsz-Verbräuche'!Y27))), (SUM('Refsz-Verbräuche'!Y18:Y27)*Emissionsfaktoren[[#This Row],[2050]]/1000)+'Strommix &amp; BHKW'!W187+'Strommix &amp; BHKW'!W203+'Strommix &amp; BHKW'!W209+'Strommix &amp; BHKW'!W215, 0)</f>
        <v>0</v>
      </c>
      <c r="AA18" s="10"/>
    </row>
    <row r="19" spans="2:27" ht="16.5">
      <c r="B19" s="14">
        <v>2</v>
      </c>
      <c r="C19" s="14" t="str">
        <f>Refsz_Verbräuche[[#This Row],[Handlungsfeld]]</f>
        <v>Elektrischer Strom</v>
      </c>
      <c r="D19" s="19" t="str">
        <f>Refsz_Verbräuche[[#This Row],[Datenpunkt]]</f>
        <v>Bundesmix KS80</v>
      </c>
      <c r="E19" t="s">
        <v>195</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AA19" s="10"/>
    </row>
    <row r="20" spans="2:27" ht="16.5">
      <c r="B20" s="14">
        <v>3</v>
      </c>
      <c r="C20" s="14" t="str">
        <f>Refsz_Verbräuche[[#This Row],[Handlungsfeld]]</f>
        <v>Elektrischer Strom</v>
      </c>
      <c r="D20" s="19" t="str">
        <f>Refsz_Verbräuche[[#This Row],[Datenpunkt]]</f>
        <v>Individueller Strommix Einrichtung 1</v>
      </c>
      <c r="E20" t="s">
        <v>195</v>
      </c>
      <c r="F20" s="14">
        <v>0</v>
      </c>
      <c r="G20" s="14">
        <v>0</v>
      </c>
      <c r="H20" s="14">
        <v>0</v>
      </c>
      <c r="I20" s="14">
        <v>0</v>
      </c>
      <c r="J20" s="14">
        <v>0</v>
      </c>
      <c r="K20" s="14">
        <v>0</v>
      </c>
      <c r="L20" s="14">
        <v>0</v>
      </c>
      <c r="M20" s="14">
        <v>0</v>
      </c>
      <c r="N20" s="14">
        <v>0</v>
      </c>
      <c r="O20" s="14">
        <v>0</v>
      </c>
      <c r="P20" s="14">
        <v>0</v>
      </c>
      <c r="Q20" s="14">
        <v>0</v>
      </c>
      <c r="R20" s="14">
        <v>0</v>
      </c>
      <c r="S20" s="14">
        <v>0</v>
      </c>
      <c r="T20" s="14">
        <v>0</v>
      </c>
      <c r="U20" s="14">
        <v>0</v>
      </c>
      <c r="V20" s="14">
        <v>0</v>
      </c>
      <c r="W20" s="14">
        <v>0</v>
      </c>
      <c r="X20" s="14">
        <v>0</v>
      </c>
      <c r="Y20" s="14">
        <v>0</v>
      </c>
      <c r="AA20" s="16"/>
    </row>
    <row r="21" spans="2:27" ht="16.5">
      <c r="B21" s="14">
        <v>4</v>
      </c>
      <c r="C21" s="14" t="str">
        <f>Refsz_Verbräuche[[#This Row],[Handlungsfeld]]</f>
        <v>Elektrischer Strom</v>
      </c>
      <c r="D21" s="19" t="str">
        <f>Refsz_Verbräuche[[#This Row],[Datenpunkt]]</f>
        <v>Individueller Strommix Einrichtung 2</v>
      </c>
      <c r="E21" t="s">
        <v>195</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AA21" s="15"/>
    </row>
    <row r="22" spans="2:27" ht="16.5">
      <c r="B22" s="14">
        <v>5</v>
      </c>
      <c r="C22" s="14" t="str">
        <f>Refsz_Verbräuche[[#This Row],[Handlungsfeld]]</f>
        <v>Elektrischer Strom</v>
      </c>
      <c r="D22" s="19" t="str">
        <f>Refsz_Verbräuche[[#This Row],[Datenpunkt]]</f>
        <v>Individueller Strommix Einrichtung 3</v>
      </c>
      <c r="E22" t="s">
        <v>195</v>
      </c>
      <c r="F22" s="14">
        <v>0</v>
      </c>
      <c r="G22" s="14">
        <v>0</v>
      </c>
      <c r="H22" s="14">
        <v>0</v>
      </c>
      <c r="I22" s="14">
        <v>0</v>
      </c>
      <c r="J22" s="14">
        <v>0</v>
      </c>
      <c r="K22" s="14">
        <v>0</v>
      </c>
      <c r="L22" s="14">
        <v>0</v>
      </c>
      <c r="M22" s="14">
        <v>0</v>
      </c>
      <c r="N22" s="14">
        <v>0</v>
      </c>
      <c r="O22" s="14">
        <v>0</v>
      </c>
      <c r="P22" s="14">
        <v>0</v>
      </c>
      <c r="Q22" s="14">
        <v>0</v>
      </c>
      <c r="R22" s="14">
        <v>0</v>
      </c>
      <c r="S22" s="14">
        <v>0</v>
      </c>
      <c r="T22" s="14">
        <v>0</v>
      </c>
      <c r="U22" s="14">
        <v>0</v>
      </c>
      <c r="V22" s="14">
        <v>0</v>
      </c>
      <c r="W22" s="14">
        <v>0</v>
      </c>
      <c r="X22" s="14">
        <v>0</v>
      </c>
      <c r="Y22" s="14">
        <v>0</v>
      </c>
      <c r="AA22" s="17"/>
    </row>
    <row r="23" spans="2:27" ht="16.5">
      <c r="B23" s="14">
        <v>6</v>
      </c>
      <c r="C23" s="14" t="str">
        <f>Refsz_Verbräuche[[#This Row],[Handlungsfeld]]</f>
        <v>Elektrischer Strom</v>
      </c>
      <c r="D23" s="19" t="str">
        <f>Refsz_Verbräuche[[#This Row],[Datenpunkt]]</f>
        <v>Individueller Strommix Einrichtung 4</v>
      </c>
      <c r="E23" t="s">
        <v>195</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AA23" s="17"/>
    </row>
    <row r="24" spans="2:27" ht="16.5">
      <c r="B24" s="14">
        <v>7</v>
      </c>
      <c r="C24" s="14" t="str">
        <f>Refsz_Verbräuche[[#This Row],[Handlungsfeld]]</f>
        <v>Elektrischer Strom</v>
      </c>
      <c r="D24" s="19" t="str">
        <f>Refsz_Verbräuche[[#This Row],[Datenpunkt]]</f>
        <v>Individueller Strommix Einrichtung 5</v>
      </c>
      <c r="E24" t="s">
        <v>195</v>
      </c>
      <c r="F24" s="14">
        <v>0</v>
      </c>
      <c r="G24" s="14">
        <v>0</v>
      </c>
      <c r="H24" s="14">
        <v>0</v>
      </c>
      <c r="I24" s="14">
        <v>0</v>
      </c>
      <c r="J24" s="14">
        <v>0</v>
      </c>
      <c r="K24" s="14">
        <v>0</v>
      </c>
      <c r="L24" s="14">
        <v>0</v>
      </c>
      <c r="M24" s="14">
        <v>0</v>
      </c>
      <c r="N24" s="14">
        <v>0</v>
      </c>
      <c r="O24" s="14">
        <v>0</v>
      </c>
      <c r="P24" s="14">
        <v>0</v>
      </c>
      <c r="Q24" s="14">
        <v>0</v>
      </c>
      <c r="R24" s="14">
        <v>0</v>
      </c>
      <c r="S24" s="14">
        <v>0</v>
      </c>
      <c r="T24" s="14">
        <v>0</v>
      </c>
      <c r="U24" s="14">
        <v>0</v>
      </c>
      <c r="V24" s="14">
        <v>0</v>
      </c>
      <c r="W24" s="14">
        <v>0</v>
      </c>
      <c r="X24" s="14">
        <v>0</v>
      </c>
      <c r="Y24" s="14">
        <v>0</v>
      </c>
      <c r="AA24" s="15"/>
    </row>
    <row r="25" spans="2:27" ht="16.5">
      <c r="B25" s="14">
        <v>8</v>
      </c>
      <c r="C25" s="14" t="str">
        <f>Refsz_Verbräuche[[#This Row],[Handlungsfeld]]</f>
        <v>Elektrischer Strom</v>
      </c>
      <c r="D25" s="19" t="str">
        <f>Refsz_Verbräuche[[#This Row],[Datenpunkt]]</f>
        <v>Individueller Strommix Einrichtung 6</v>
      </c>
      <c r="E25" t="s">
        <v>195</v>
      </c>
      <c r="F25" s="14">
        <v>0</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AA25" s="18"/>
    </row>
    <row r="26" spans="2:27" ht="16.5">
      <c r="B26" s="14">
        <v>9</v>
      </c>
      <c r="C26" s="14" t="str">
        <f>Refsz_Verbräuche[[#This Row],[Handlungsfeld]]</f>
        <v>Elektrischer Strom</v>
      </c>
      <c r="D26" s="19" t="str">
        <f>Refsz_Verbräuche[[#This Row],[Datenpunkt]]</f>
        <v>BHKW</v>
      </c>
      <c r="E26" t="s">
        <v>195</v>
      </c>
      <c r="F26" s="14">
        <v>0</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c r="AA26" s="18"/>
    </row>
    <row r="27" spans="2:27" ht="16.5">
      <c r="B27" s="14">
        <v>10</v>
      </c>
      <c r="C27" s="14" t="str">
        <f>Refsz_Verbräuche[[#This Row],[Handlungsfeld]]</f>
        <v>Elektrischer Strom</v>
      </c>
      <c r="D27" s="19" t="str">
        <f>Refsz_Verbräuche[[#This Row],[Datenpunkt]]</f>
        <v>Ökostrom</v>
      </c>
      <c r="E27" t="s">
        <v>195</v>
      </c>
      <c r="F27" s="14">
        <v>0</v>
      </c>
      <c r="G27" s="14">
        <v>0</v>
      </c>
      <c r="H27" s="14">
        <v>0</v>
      </c>
      <c r="I27" s="14">
        <v>0</v>
      </c>
      <c r="J27" s="14">
        <v>0</v>
      </c>
      <c r="K27" s="14">
        <v>0</v>
      </c>
      <c r="L27" s="14">
        <v>0</v>
      </c>
      <c r="M27" s="14">
        <v>0</v>
      </c>
      <c r="N27" s="14">
        <v>0</v>
      </c>
      <c r="O27" s="14">
        <v>0</v>
      </c>
      <c r="P27" s="14">
        <v>0</v>
      </c>
      <c r="Q27" s="14">
        <v>0</v>
      </c>
      <c r="R27" s="14">
        <v>0</v>
      </c>
      <c r="S27" s="14">
        <v>0</v>
      </c>
      <c r="T27" s="14">
        <v>0</v>
      </c>
      <c r="U27" s="14">
        <v>0</v>
      </c>
      <c r="V27" s="14">
        <v>0</v>
      </c>
      <c r="W27" s="14">
        <v>0</v>
      </c>
      <c r="X27" s="14">
        <v>0</v>
      </c>
      <c r="Y27" s="14">
        <v>0</v>
      </c>
      <c r="AA27" s="10"/>
    </row>
    <row r="28" spans="2:27" ht="16.5">
      <c r="B28" s="14">
        <v>11</v>
      </c>
      <c r="C28" s="14" t="str">
        <f>Refsz_Verbräuche[[#This Row],[Handlungsfeld]]</f>
        <v>Elektrischer Strom</v>
      </c>
      <c r="D28" s="19" t="str">
        <f>Refsz_Verbräuche[[#This Row],[Datenpunkt]]</f>
        <v>PV-Eigennutzung</v>
      </c>
      <c r="E28" t="s">
        <v>195</v>
      </c>
      <c r="F28" s="14">
        <f>IF(ISNUMBER(Refsz_Verbräuche[[#This Row],[2015]]), Refsz_Verbräuche[[#This Row],[2015]]*Emissionsfaktoren[[#This Row],[2015]]/1000, 0)</f>
        <v>0</v>
      </c>
      <c r="G28" s="14">
        <f>IF(ISNUMBER(Refsz_Verbräuche[[#This Row],[2016]]), Refsz_Verbräuche[[#This Row],[2016]]*Emissionsfaktoren[[#This Row],[2016]]/1000, 0)</f>
        <v>0</v>
      </c>
      <c r="H28" s="14">
        <f>IF(ISNUMBER(Refsz_Verbräuche[[#This Row],[2017]]), Refsz_Verbräuche[[#This Row],[2017]]*Emissionsfaktoren[[#This Row],[2017]]/1000, 0)</f>
        <v>0</v>
      </c>
      <c r="I28" s="14">
        <f>IF(ISNUMBER(Refsz_Verbräuche[[#This Row],[2018]]), Refsz_Verbräuche[[#This Row],[2018]]*Emissionsfaktoren[[#This Row],[2018]]/1000, 0)</f>
        <v>0</v>
      </c>
      <c r="J28" s="14">
        <f>IF(ISNUMBER(Refsz_Verbräuche[[#This Row],[2019]]), Refsz_Verbräuche[[#This Row],[2019]]*Emissionsfaktoren[[#This Row],[2019]]/1000, 0)</f>
        <v>0</v>
      </c>
      <c r="K28" s="14">
        <f>IF(ISNUMBER(Refsz_Verbräuche[[#This Row],[2020]]), Refsz_Verbräuche[[#This Row],[2020]]*Emissionsfaktoren[[#This Row],[2020]]/1000, 0)</f>
        <v>0</v>
      </c>
      <c r="L28" s="14">
        <f>IF(ISNUMBER(Refsz_Verbräuche[[#This Row],[2021]]), Refsz_Verbräuche[[#This Row],[2021]]*Emissionsfaktoren[[#This Row],[2021]]/1000, 0)</f>
        <v>0</v>
      </c>
      <c r="M28" s="14">
        <f>IF(ISNUMBER(Refsz_Verbräuche[[#This Row],[2022]]), Refsz_Verbräuche[[#This Row],[2022]]*Emissionsfaktoren[[#This Row],[2022]]/1000, 0)</f>
        <v>0</v>
      </c>
      <c r="N28" s="14">
        <f>IF(ISNUMBER(Refsz_Verbräuche[[#This Row],[2023]]), Refsz_Verbräuche[[#This Row],[2023]]*Emissionsfaktoren[[#This Row],[2023]]/1000, 0)</f>
        <v>0</v>
      </c>
      <c r="O28" s="14">
        <f>IF(ISNUMBER(Refsz_Verbräuche[[#This Row],[2024]]), Refsz_Verbräuche[[#This Row],[2024]]*Emissionsfaktoren[[#This Row],[2024]]/1000, 0)</f>
        <v>0</v>
      </c>
      <c r="P28" s="14">
        <f>IF(ISNUMBER(Refsz_Verbräuche[[#This Row],[2025]]), Refsz_Verbräuche[[#This Row],[2025]]*Emissionsfaktoren[[#This Row],[2025]]/1000, 0)</f>
        <v>0</v>
      </c>
      <c r="Q28" s="14">
        <f>IF(ISNUMBER(Refsz_Verbräuche[[#This Row],[2026]]), Refsz_Verbräuche[[#This Row],[2026]]*Emissionsfaktoren[[#This Row],[2026]]/1000, 0)</f>
        <v>0</v>
      </c>
      <c r="R28" s="14">
        <f>IF(ISNUMBER(Refsz_Verbräuche[[#This Row],[2027]]), Refsz_Verbräuche[[#This Row],[2027]]*Emissionsfaktoren[[#This Row],[2027]]/1000, 0)</f>
        <v>0</v>
      </c>
      <c r="S28" s="14">
        <f>IF(ISNUMBER(Refsz_Verbräuche[[#This Row],[2028]]), Refsz_Verbräuche[[#This Row],[2028]]*Emissionsfaktoren[[#This Row],[2028]]/1000, 0)</f>
        <v>0</v>
      </c>
      <c r="T28" s="14">
        <f>IF(ISNUMBER(Refsz_Verbräuche[[#This Row],[2029]]), Refsz_Verbräuche[[#This Row],[2029]]*Emissionsfaktoren[[#This Row],[2029]]/1000, 0)</f>
        <v>0</v>
      </c>
      <c r="U28" s="14">
        <f>IF(ISNUMBER(Refsz_Verbräuche[[#This Row],[2030]]), Refsz_Verbräuche[[#This Row],[2030]]*Emissionsfaktoren[[#This Row],[2030]]/1000, 0)</f>
        <v>0</v>
      </c>
      <c r="V28" s="14">
        <f>IF(ISNUMBER(Refsz_Verbräuche[[#This Row],[2035]]), Refsz_Verbräuche[[#This Row],[2035]]*Emissionsfaktoren[[#This Row],[2035]]/1000, 0)</f>
        <v>0</v>
      </c>
      <c r="W28" s="14">
        <f>IF(ISNUMBER(Refsz_Verbräuche[[#This Row],[2040]]), Refsz_Verbräuche[[#This Row],[2040]]*Emissionsfaktoren[[#This Row],[2040]]/1000, 0)</f>
        <v>0</v>
      </c>
      <c r="X28" s="14">
        <f>IF(ISNUMBER(Refsz_Verbräuche[[#This Row],[2045]]), Refsz_Verbräuche[[#This Row],[2045]]*Emissionsfaktoren[[#This Row],[2045]]/1000, 0)</f>
        <v>0</v>
      </c>
      <c r="Y28" s="14">
        <f>IF(ISNUMBER(Refsz_Verbräuche[[#This Row],[2050]]), Refsz_Verbräuche[[#This Row],[2050]]*Emissionsfaktoren[[#This Row],[2050]]/1000, 0)</f>
        <v>0</v>
      </c>
      <c r="AA28" s="10"/>
    </row>
    <row r="29" spans="2:27" ht="16.5">
      <c r="B29" s="14">
        <v>12</v>
      </c>
      <c r="C29" s="14" t="str">
        <f>Refsz_Verbräuche[[#This Row],[Handlungsfeld]]</f>
        <v>Wärme</v>
      </c>
      <c r="D29" s="19" t="str">
        <f>Refsz_Verbräuche[[#This Row],[Datenpunkt]]</f>
        <v>Erdgas</v>
      </c>
      <c r="E29" t="s">
        <v>195</v>
      </c>
      <c r="F29" s="14">
        <f>IF(ISNUMBER(Refsz_Verbräuche[[#This Row],[2015]]), Refsz_Verbräuche[[#This Row],[2015]]*Emissionsfaktoren[[#This Row],[2015]]/1000, 0)</f>
        <v>0</v>
      </c>
      <c r="G29" s="14">
        <f>IF(ISNUMBER(Refsz_Verbräuche[[#This Row],[2016]]), Refsz_Verbräuche[[#This Row],[2016]]*Emissionsfaktoren[[#This Row],[2016]]/1000, 0)</f>
        <v>0</v>
      </c>
      <c r="H29" s="14">
        <f>IF(ISNUMBER(Refsz_Verbräuche[[#This Row],[2017]]), Refsz_Verbräuche[[#This Row],[2017]]*Emissionsfaktoren[[#This Row],[2017]]/1000, 0)</f>
        <v>0</v>
      </c>
      <c r="I29" s="14">
        <f>IF(ISNUMBER(Refsz_Verbräuche[[#This Row],[2018]]), Refsz_Verbräuche[[#This Row],[2018]]*Emissionsfaktoren[[#This Row],[2018]]/1000, 0)</f>
        <v>0</v>
      </c>
      <c r="J29" s="14">
        <f>IF(ISNUMBER(Refsz_Verbräuche[[#This Row],[2019]]), Refsz_Verbräuche[[#This Row],[2019]]*Emissionsfaktoren[[#This Row],[2019]]/1000, 0)</f>
        <v>0</v>
      </c>
      <c r="K29" s="14">
        <f>IF(ISNUMBER(Refsz_Verbräuche[[#This Row],[2020]]), Refsz_Verbräuche[[#This Row],[2020]]*Emissionsfaktoren[[#This Row],[2020]]/1000, 0)</f>
        <v>0</v>
      </c>
      <c r="L29" s="14">
        <f>IF(ISNUMBER(Refsz_Verbräuche[[#This Row],[2021]]), Refsz_Verbräuche[[#This Row],[2021]]*Emissionsfaktoren[[#This Row],[2021]]/1000, 0)</f>
        <v>0</v>
      </c>
      <c r="M29" s="14">
        <f>IF(ISNUMBER(Refsz_Verbräuche[[#This Row],[2022]]), Refsz_Verbräuche[[#This Row],[2022]]*Emissionsfaktoren[[#This Row],[2022]]/1000, 0)</f>
        <v>0</v>
      </c>
      <c r="N29" s="14">
        <f>IF(ISNUMBER(Refsz_Verbräuche[[#This Row],[2023]]), Refsz_Verbräuche[[#This Row],[2023]]*Emissionsfaktoren[[#This Row],[2023]]/1000, 0)</f>
        <v>0</v>
      </c>
      <c r="O29" s="14">
        <f>IF(ISNUMBER(Refsz_Verbräuche[[#This Row],[2024]]), Refsz_Verbräuche[[#This Row],[2024]]*Emissionsfaktoren[[#This Row],[2024]]/1000, 0)</f>
        <v>0</v>
      </c>
      <c r="P29" s="14">
        <f>IF(ISNUMBER(Refsz_Verbräuche[[#This Row],[2025]]), Refsz_Verbräuche[[#This Row],[2025]]*Emissionsfaktoren[[#This Row],[2025]]/1000, 0)</f>
        <v>0</v>
      </c>
      <c r="Q29" s="14">
        <f>IF(ISNUMBER(Refsz_Verbräuche[[#This Row],[2026]]), Refsz_Verbräuche[[#This Row],[2026]]*Emissionsfaktoren[[#This Row],[2026]]/1000, 0)</f>
        <v>0</v>
      </c>
      <c r="R29" s="14">
        <f>IF(ISNUMBER(Refsz_Verbräuche[[#This Row],[2027]]), Refsz_Verbräuche[[#This Row],[2027]]*Emissionsfaktoren[[#This Row],[2027]]/1000, 0)</f>
        <v>0</v>
      </c>
      <c r="S29" s="14">
        <f>IF(ISNUMBER(Refsz_Verbräuche[[#This Row],[2028]]), Refsz_Verbräuche[[#This Row],[2028]]*Emissionsfaktoren[[#This Row],[2028]]/1000, 0)</f>
        <v>0</v>
      </c>
      <c r="T29" s="14">
        <f>IF(ISNUMBER(Refsz_Verbräuche[[#This Row],[2029]]), Refsz_Verbräuche[[#This Row],[2029]]*Emissionsfaktoren[[#This Row],[2029]]/1000, 0)</f>
        <v>0</v>
      </c>
      <c r="U29" s="14">
        <f>IF(ISNUMBER(Refsz_Verbräuche[[#This Row],[2030]]), Refsz_Verbräuche[[#This Row],[2030]]*Emissionsfaktoren[[#This Row],[2030]]/1000, 0)</f>
        <v>0</v>
      </c>
      <c r="V29" s="14">
        <f>IF(ISNUMBER(Refsz_Verbräuche[[#This Row],[2035]]), Refsz_Verbräuche[[#This Row],[2035]]*Emissionsfaktoren[[#This Row],[2035]]/1000, 0)</f>
        <v>0</v>
      </c>
      <c r="W29" s="14">
        <f>IF(ISNUMBER(Refsz_Verbräuche[[#This Row],[2040]]), Refsz_Verbräuche[[#This Row],[2040]]*Emissionsfaktoren[[#This Row],[2040]]/1000, 0)</f>
        <v>0</v>
      </c>
      <c r="X29" s="14">
        <f>IF(ISNUMBER(Refsz_Verbräuche[[#This Row],[2045]]), Refsz_Verbräuche[[#This Row],[2045]]*Emissionsfaktoren[[#This Row],[2045]]/1000, 0)</f>
        <v>0</v>
      </c>
      <c r="Y29" s="14">
        <f>IF(ISNUMBER(Refsz_Verbräuche[[#This Row],[2050]]), Refsz_Verbräuche[[#This Row],[2050]]*Emissionsfaktoren[[#This Row],[2050]]/1000, 0)</f>
        <v>0</v>
      </c>
      <c r="AA29" s="10"/>
    </row>
    <row r="30" spans="2:27" ht="16.5">
      <c r="B30" s="14">
        <v>13</v>
      </c>
      <c r="C30" s="14" t="str">
        <f>Refsz_Verbräuche[[#This Row],[Handlungsfeld]]</f>
        <v>Wärme</v>
      </c>
      <c r="D30" s="19" t="str">
        <f>Refsz_Verbräuche[[#This Row],[Datenpunkt]]</f>
        <v>BHKW</v>
      </c>
      <c r="E30" t="s">
        <v>195</v>
      </c>
      <c r="F30" s="14">
        <f>'Strommix &amp; BHKW'!D186+'Strommix &amp; BHKW'!D204+'Strommix &amp; BHKW'!D210+'Strommix &amp; BHKW'!D216</f>
        <v>0</v>
      </c>
      <c r="G30" s="14">
        <f>'Strommix &amp; BHKW'!E186+'Strommix &amp; BHKW'!E204+'Strommix &amp; BHKW'!E210+'Strommix &amp; BHKW'!E216</f>
        <v>0</v>
      </c>
      <c r="H30" s="14">
        <f>'Strommix &amp; BHKW'!F186+'Strommix &amp; BHKW'!F204+'Strommix &amp; BHKW'!F210+'Strommix &amp; BHKW'!F216</f>
        <v>0</v>
      </c>
      <c r="I30" s="14">
        <f>'Strommix &amp; BHKW'!G186+'Strommix &amp; BHKW'!G204+'Strommix &amp; BHKW'!G210+'Strommix &amp; BHKW'!G216</f>
        <v>0</v>
      </c>
      <c r="J30" s="14">
        <f>'Strommix &amp; BHKW'!H186+'Strommix &amp; BHKW'!H204+'Strommix &amp; BHKW'!H210+'Strommix &amp; BHKW'!H216</f>
        <v>0</v>
      </c>
      <c r="K30" s="14">
        <f>'Strommix &amp; BHKW'!I186+'Strommix &amp; BHKW'!I204+'Strommix &amp; BHKW'!I210+'Strommix &amp; BHKW'!I216</f>
        <v>0</v>
      </c>
      <c r="L30" s="14">
        <f>'Strommix &amp; BHKW'!J186+'Strommix &amp; BHKW'!J204+'Strommix &amp; BHKW'!J210+'Strommix &amp; BHKW'!J216</f>
        <v>0</v>
      </c>
      <c r="M30" s="14">
        <f>'Strommix &amp; BHKW'!K186+'Strommix &amp; BHKW'!K204+'Strommix &amp; BHKW'!K210+'Strommix &amp; BHKW'!K216</f>
        <v>0</v>
      </c>
      <c r="N30" s="14">
        <f>'Strommix &amp; BHKW'!L186+'Strommix &amp; BHKW'!L204+'Strommix &amp; BHKW'!L210+'Strommix &amp; BHKW'!L216</f>
        <v>0</v>
      </c>
      <c r="O30" s="14">
        <f>'Strommix &amp; BHKW'!M186+'Strommix &amp; BHKW'!M204+'Strommix &amp; BHKW'!M210+'Strommix &amp; BHKW'!M216</f>
        <v>0</v>
      </c>
      <c r="P30" s="14">
        <f>'Strommix &amp; BHKW'!N186+'Strommix &amp; BHKW'!N204+'Strommix &amp; BHKW'!N210+'Strommix &amp; BHKW'!N216</f>
        <v>0</v>
      </c>
      <c r="Q30" s="14">
        <f>'Strommix &amp; BHKW'!O186+'Strommix &amp; BHKW'!O204+'Strommix &amp; BHKW'!O210+'Strommix &amp; BHKW'!O216</f>
        <v>0</v>
      </c>
      <c r="R30" s="14">
        <f>'Strommix &amp; BHKW'!P186+'Strommix &amp; BHKW'!P204+'Strommix &amp; BHKW'!P210+'Strommix &amp; BHKW'!P216</f>
        <v>0</v>
      </c>
      <c r="S30" s="14">
        <f>'Strommix &amp; BHKW'!Q186+'Strommix &amp; BHKW'!Q204+'Strommix &amp; BHKW'!Q210+'Strommix &amp; BHKW'!Q216</f>
        <v>0</v>
      </c>
      <c r="T30" s="14">
        <f>'Strommix &amp; BHKW'!R186+'Strommix &amp; BHKW'!R204+'Strommix &amp; BHKW'!R210+'Strommix &amp; BHKW'!R216</f>
        <v>0</v>
      </c>
      <c r="U30" s="14">
        <f>'Strommix &amp; BHKW'!S186+'Strommix &amp; BHKW'!S204+'Strommix &amp; BHKW'!S210+'Strommix &amp; BHKW'!S216</f>
        <v>0</v>
      </c>
      <c r="V30" s="14">
        <f>'Strommix &amp; BHKW'!T186+'Strommix &amp; BHKW'!T204+'Strommix &amp; BHKW'!T210+'Strommix &amp; BHKW'!T216</f>
        <v>0</v>
      </c>
      <c r="W30" s="14">
        <f>'Strommix &amp; BHKW'!U186+'Strommix &amp; BHKW'!U204+'Strommix &amp; BHKW'!U210+'Strommix &amp; BHKW'!U216</f>
        <v>0</v>
      </c>
      <c r="X30" s="14">
        <f>'Strommix &amp; BHKW'!V186+'Strommix &amp; BHKW'!V204+'Strommix &amp; BHKW'!V210+'Strommix &amp; BHKW'!V216</f>
        <v>0</v>
      </c>
      <c r="Y30" s="14">
        <f>'Strommix &amp; BHKW'!W186+'Strommix &amp; BHKW'!W204+'Strommix &amp; BHKW'!W210+'Strommix &amp; BHKW'!W216</f>
        <v>0</v>
      </c>
      <c r="AA30" s="10"/>
    </row>
    <row r="31" spans="2:27" ht="16.5">
      <c r="B31" s="14">
        <v>14</v>
      </c>
      <c r="C31" s="14" t="str">
        <f>Refsz_Verbräuche[[#This Row],[Handlungsfeld]]</f>
        <v>Wärme</v>
      </c>
      <c r="D31" s="19" t="str">
        <f>Refsz_Verbräuche[[#This Row],[Datenpunkt]]</f>
        <v>Biogas</v>
      </c>
      <c r="E31" t="s">
        <v>195</v>
      </c>
      <c r="F31" s="14">
        <f>IF(ISNUMBER(Refsz_Verbräuche[[#This Row],[2015]]), Refsz_Verbräuche[[#This Row],[2015]]*Emissionsfaktoren[[#This Row],[2015]]/1000, 0)</f>
        <v>0</v>
      </c>
      <c r="G31" s="14">
        <f>IF(ISNUMBER(Refsz_Verbräuche[[#This Row],[2016]]), Refsz_Verbräuche[[#This Row],[2016]]*Emissionsfaktoren[[#This Row],[2016]]/1000, 0)</f>
        <v>0</v>
      </c>
      <c r="H31" s="14">
        <f>IF(ISNUMBER(Refsz_Verbräuche[[#This Row],[2017]]), Refsz_Verbräuche[[#This Row],[2017]]*Emissionsfaktoren[[#This Row],[2017]]/1000, 0)</f>
        <v>0</v>
      </c>
      <c r="I31" s="14">
        <f>IF(ISNUMBER(Refsz_Verbräuche[[#This Row],[2018]]), Refsz_Verbräuche[[#This Row],[2018]]*Emissionsfaktoren[[#This Row],[2018]]/1000, 0)</f>
        <v>0</v>
      </c>
      <c r="J31" s="14">
        <f>IF(ISNUMBER(Refsz_Verbräuche[[#This Row],[2019]]), Refsz_Verbräuche[[#This Row],[2019]]*Emissionsfaktoren[[#This Row],[2019]]/1000, 0)</f>
        <v>0</v>
      </c>
      <c r="K31" s="14">
        <f>IF(ISNUMBER(Refsz_Verbräuche[[#This Row],[2020]]), Refsz_Verbräuche[[#This Row],[2020]]*Emissionsfaktoren[[#This Row],[2020]]/1000, 0)</f>
        <v>0</v>
      </c>
      <c r="L31" s="14">
        <f>IF(ISNUMBER(Refsz_Verbräuche[[#This Row],[2021]]), Refsz_Verbräuche[[#This Row],[2021]]*Emissionsfaktoren[[#This Row],[2021]]/1000, 0)</f>
        <v>0</v>
      </c>
      <c r="M31" s="14">
        <f>IF(ISNUMBER(Refsz_Verbräuche[[#This Row],[2022]]), Refsz_Verbräuche[[#This Row],[2022]]*Emissionsfaktoren[[#This Row],[2022]]/1000, 0)</f>
        <v>0</v>
      </c>
      <c r="N31" s="14">
        <f>IF(ISNUMBER(Refsz_Verbräuche[[#This Row],[2023]]), Refsz_Verbräuche[[#This Row],[2023]]*Emissionsfaktoren[[#This Row],[2023]]/1000, 0)</f>
        <v>0</v>
      </c>
      <c r="O31" s="14">
        <f>IF(ISNUMBER(Refsz_Verbräuche[[#This Row],[2024]]), Refsz_Verbräuche[[#This Row],[2024]]*Emissionsfaktoren[[#This Row],[2024]]/1000, 0)</f>
        <v>0</v>
      </c>
      <c r="P31" s="14">
        <f>IF(ISNUMBER(Refsz_Verbräuche[[#This Row],[2025]]), Refsz_Verbräuche[[#This Row],[2025]]*Emissionsfaktoren[[#This Row],[2025]]/1000, 0)</f>
        <v>0</v>
      </c>
      <c r="Q31" s="14">
        <f>IF(ISNUMBER(Refsz_Verbräuche[[#This Row],[2026]]), Refsz_Verbräuche[[#This Row],[2026]]*Emissionsfaktoren[[#This Row],[2026]]/1000, 0)</f>
        <v>0</v>
      </c>
      <c r="R31" s="14">
        <f>IF(ISNUMBER(Refsz_Verbräuche[[#This Row],[2027]]), Refsz_Verbräuche[[#This Row],[2027]]*Emissionsfaktoren[[#This Row],[2027]]/1000, 0)</f>
        <v>0</v>
      </c>
      <c r="S31" s="14">
        <f>IF(ISNUMBER(Refsz_Verbräuche[[#This Row],[2028]]), Refsz_Verbräuche[[#This Row],[2028]]*Emissionsfaktoren[[#This Row],[2028]]/1000, 0)</f>
        <v>0</v>
      </c>
      <c r="T31" s="14">
        <f>IF(ISNUMBER(Refsz_Verbräuche[[#This Row],[2029]]), Refsz_Verbräuche[[#This Row],[2029]]*Emissionsfaktoren[[#This Row],[2029]]/1000, 0)</f>
        <v>0</v>
      </c>
      <c r="U31" s="14">
        <f>IF(ISNUMBER(Refsz_Verbräuche[[#This Row],[2030]]), Refsz_Verbräuche[[#This Row],[2030]]*Emissionsfaktoren[[#This Row],[2030]]/1000, 0)</f>
        <v>0</v>
      </c>
      <c r="V31" s="14">
        <f>IF(ISNUMBER(Refsz_Verbräuche[[#This Row],[2035]]), Refsz_Verbräuche[[#This Row],[2035]]*Emissionsfaktoren[[#This Row],[2035]]/1000, 0)</f>
        <v>0</v>
      </c>
      <c r="W31" s="14">
        <f>IF(ISNUMBER(Refsz_Verbräuche[[#This Row],[2040]]), Refsz_Verbräuche[[#This Row],[2040]]*Emissionsfaktoren[[#This Row],[2040]]/1000, 0)</f>
        <v>0</v>
      </c>
      <c r="X31" s="14">
        <f>IF(ISNUMBER(Refsz_Verbräuche[[#This Row],[2045]]), Refsz_Verbräuche[[#This Row],[2045]]*Emissionsfaktoren[[#This Row],[2045]]/1000, 0)</f>
        <v>0</v>
      </c>
      <c r="Y31" s="14">
        <f>IF(ISNUMBER(Refsz_Verbräuche[[#This Row],[2050]]), Refsz_Verbräuche[[#This Row],[2050]]*Emissionsfaktoren[[#This Row],[2050]]/1000, 0)</f>
        <v>0</v>
      </c>
      <c r="AA31" s="10"/>
    </row>
    <row r="32" spans="2:27" ht="16.5">
      <c r="B32" s="14">
        <v>15</v>
      </c>
      <c r="C32" s="14" t="str">
        <f>Refsz_Verbräuche[[#This Row],[Handlungsfeld]]</f>
        <v>Wärme</v>
      </c>
      <c r="D32" s="19" t="str">
        <f>Refsz_Verbräuche[[#This Row],[Datenpunkt]]</f>
        <v>Individueller Emissionsfaktor</v>
      </c>
      <c r="E32" t="s">
        <v>195</v>
      </c>
      <c r="F32" s="14">
        <f>IF(ISNUMBER(Refsz_Verbräuche[[#This Row],[2015]]), Refsz_Verbräuche[[#This Row],[2015]]*Emissionsfaktoren[[#This Row],[2015]]/1000, 0)</f>
        <v>0</v>
      </c>
      <c r="G32" s="14">
        <f>IF(ISNUMBER(Refsz_Verbräuche[[#This Row],[2016]]), Refsz_Verbräuche[[#This Row],[2016]]*Emissionsfaktoren[[#This Row],[2016]]/1000, 0)</f>
        <v>0</v>
      </c>
      <c r="H32" s="14">
        <f>IF(ISNUMBER(Refsz_Verbräuche[[#This Row],[2017]]), Refsz_Verbräuche[[#This Row],[2017]]*Emissionsfaktoren[[#This Row],[2017]]/1000, 0)</f>
        <v>0</v>
      </c>
      <c r="I32" s="14">
        <f>IF(ISNUMBER(Refsz_Verbräuche[[#This Row],[2018]]), Refsz_Verbräuche[[#This Row],[2018]]*Emissionsfaktoren[[#This Row],[2018]]/1000, 0)</f>
        <v>0</v>
      </c>
      <c r="J32" s="14">
        <f>IF(ISNUMBER(Refsz_Verbräuche[[#This Row],[2019]]), Refsz_Verbräuche[[#This Row],[2019]]*Emissionsfaktoren[[#This Row],[2019]]/1000, 0)</f>
        <v>0</v>
      </c>
      <c r="K32" s="14">
        <f>IF(ISNUMBER(Refsz_Verbräuche[[#This Row],[2020]]), Refsz_Verbräuche[[#This Row],[2020]]*Emissionsfaktoren[[#This Row],[2020]]/1000, 0)</f>
        <v>0</v>
      </c>
      <c r="L32" s="14">
        <f>IF(ISNUMBER(Refsz_Verbräuche[[#This Row],[2021]]), Refsz_Verbräuche[[#This Row],[2021]]*Emissionsfaktoren[[#This Row],[2021]]/1000, 0)</f>
        <v>0</v>
      </c>
      <c r="M32" s="14">
        <f>IF(ISNUMBER(Refsz_Verbräuche[[#This Row],[2022]]), Refsz_Verbräuche[[#This Row],[2022]]*Emissionsfaktoren[[#This Row],[2022]]/1000, 0)</f>
        <v>0</v>
      </c>
      <c r="N32" s="14">
        <f>IF(ISNUMBER(Refsz_Verbräuche[[#This Row],[2023]]), Refsz_Verbräuche[[#This Row],[2023]]*Emissionsfaktoren[[#This Row],[2023]]/1000, 0)</f>
        <v>0</v>
      </c>
      <c r="O32" s="14">
        <f>IF(ISNUMBER(Refsz_Verbräuche[[#This Row],[2024]]), Refsz_Verbräuche[[#This Row],[2024]]*Emissionsfaktoren[[#This Row],[2024]]/1000, 0)</f>
        <v>0</v>
      </c>
      <c r="P32" s="14">
        <f>IF(ISNUMBER(Refsz_Verbräuche[[#This Row],[2025]]), Refsz_Verbräuche[[#This Row],[2025]]*Emissionsfaktoren[[#This Row],[2025]]/1000, 0)</f>
        <v>0</v>
      </c>
      <c r="Q32" s="14">
        <f>IF(ISNUMBER(Refsz_Verbräuche[[#This Row],[2026]]), Refsz_Verbräuche[[#This Row],[2026]]*Emissionsfaktoren[[#This Row],[2026]]/1000, 0)</f>
        <v>0</v>
      </c>
      <c r="R32" s="14">
        <f>IF(ISNUMBER(Refsz_Verbräuche[[#This Row],[2027]]), Refsz_Verbräuche[[#This Row],[2027]]*Emissionsfaktoren[[#This Row],[2027]]/1000, 0)</f>
        <v>0</v>
      </c>
      <c r="S32" s="14">
        <f>IF(ISNUMBER(Refsz_Verbräuche[[#This Row],[2028]]), Refsz_Verbräuche[[#This Row],[2028]]*Emissionsfaktoren[[#This Row],[2028]]/1000, 0)</f>
        <v>0</v>
      </c>
      <c r="T32" s="14">
        <f>IF(ISNUMBER(Refsz_Verbräuche[[#This Row],[2029]]), Refsz_Verbräuche[[#This Row],[2029]]*Emissionsfaktoren[[#This Row],[2029]]/1000, 0)</f>
        <v>0</v>
      </c>
      <c r="U32" s="14">
        <f>IF(ISNUMBER(Refsz_Verbräuche[[#This Row],[2030]]), Refsz_Verbräuche[[#This Row],[2030]]*Emissionsfaktoren[[#This Row],[2030]]/1000, 0)</f>
        <v>0</v>
      </c>
      <c r="V32" s="14">
        <f>IF(ISNUMBER(Refsz_Verbräuche[[#This Row],[2035]]), Refsz_Verbräuche[[#This Row],[2035]]*Emissionsfaktoren[[#This Row],[2035]]/1000, 0)</f>
        <v>0</v>
      </c>
      <c r="W32" s="14">
        <f>IF(ISNUMBER(Refsz_Verbräuche[[#This Row],[2040]]), Refsz_Verbräuche[[#This Row],[2040]]*Emissionsfaktoren[[#This Row],[2040]]/1000, 0)</f>
        <v>0</v>
      </c>
      <c r="X32" s="14">
        <f>IF(ISNUMBER(Refsz_Verbräuche[[#This Row],[2045]]), Refsz_Verbräuche[[#This Row],[2045]]*Emissionsfaktoren[[#This Row],[2045]]/1000, 0)</f>
        <v>0</v>
      </c>
      <c r="Y32" s="14">
        <f>IF(ISNUMBER(Refsz_Verbräuche[[#This Row],[2050]]), Refsz_Verbräuche[[#This Row],[2050]]*Emissionsfaktoren[[#This Row],[2050]]/1000, 0)</f>
        <v>0</v>
      </c>
      <c r="AA32" s="10"/>
    </row>
    <row r="33" spans="2:27" ht="16.5">
      <c r="B33" s="14">
        <v>16</v>
      </c>
      <c r="C33" s="14" t="str">
        <f>Refsz_Verbräuche[[#This Row],[Handlungsfeld]]</f>
        <v>Wärme</v>
      </c>
      <c r="D33" s="19" t="str">
        <f>Refsz_Verbräuche[[#This Row],[Datenpunkt]]</f>
        <v>Holzhackschnitzel</v>
      </c>
      <c r="E33" t="s">
        <v>195</v>
      </c>
      <c r="F33" s="14">
        <f>IF(ISNUMBER(Refsz_Verbräuche[[#This Row],[2015]]), Refsz_Verbräuche[[#This Row],[2015]]*Emissionsfaktoren[[#This Row],[2015]]/1000, 0)</f>
        <v>0</v>
      </c>
      <c r="G33" s="14">
        <f>IF(ISNUMBER(Refsz_Verbräuche[[#This Row],[2016]]), Refsz_Verbräuche[[#This Row],[2016]]*Emissionsfaktoren[[#This Row],[2016]]/1000, 0)</f>
        <v>0</v>
      </c>
      <c r="H33" s="14">
        <f>IF(ISNUMBER(Refsz_Verbräuche[[#This Row],[2017]]), Refsz_Verbräuche[[#This Row],[2017]]*Emissionsfaktoren[[#This Row],[2017]]/1000, 0)</f>
        <v>0</v>
      </c>
      <c r="I33" s="14">
        <f>IF(ISNUMBER(Refsz_Verbräuche[[#This Row],[2018]]), Refsz_Verbräuche[[#This Row],[2018]]*Emissionsfaktoren[[#This Row],[2018]]/1000, 0)</f>
        <v>0</v>
      </c>
      <c r="J33" s="14">
        <f>IF(ISNUMBER(Refsz_Verbräuche[[#This Row],[2019]]), Refsz_Verbräuche[[#This Row],[2019]]*Emissionsfaktoren[[#This Row],[2019]]/1000, 0)</f>
        <v>0</v>
      </c>
      <c r="K33" s="14">
        <f>IF(ISNUMBER(Refsz_Verbräuche[[#This Row],[2020]]), Refsz_Verbräuche[[#This Row],[2020]]*Emissionsfaktoren[[#This Row],[2020]]/1000, 0)</f>
        <v>0</v>
      </c>
      <c r="L33" s="14">
        <f>IF(ISNUMBER(Refsz_Verbräuche[[#This Row],[2021]]), Refsz_Verbräuche[[#This Row],[2021]]*Emissionsfaktoren[[#This Row],[2021]]/1000, 0)</f>
        <v>0</v>
      </c>
      <c r="M33" s="14">
        <f>IF(ISNUMBER(Refsz_Verbräuche[[#This Row],[2022]]), Refsz_Verbräuche[[#This Row],[2022]]*Emissionsfaktoren[[#This Row],[2022]]/1000, 0)</f>
        <v>0</v>
      </c>
      <c r="N33" s="14">
        <f>IF(ISNUMBER(Refsz_Verbräuche[[#This Row],[2023]]), Refsz_Verbräuche[[#This Row],[2023]]*Emissionsfaktoren[[#This Row],[2023]]/1000, 0)</f>
        <v>0</v>
      </c>
      <c r="O33" s="14">
        <f>IF(ISNUMBER(Refsz_Verbräuche[[#This Row],[2024]]), Refsz_Verbräuche[[#This Row],[2024]]*Emissionsfaktoren[[#This Row],[2024]]/1000, 0)</f>
        <v>0</v>
      </c>
      <c r="P33" s="14">
        <f>IF(ISNUMBER(Refsz_Verbräuche[[#This Row],[2025]]), Refsz_Verbräuche[[#This Row],[2025]]*Emissionsfaktoren[[#This Row],[2025]]/1000, 0)</f>
        <v>0</v>
      </c>
      <c r="Q33" s="14">
        <f>IF(ISNUMBER(Refsz_Verbräuche[[#This Row],[2026]]), Refsz_Verbräuche[[#This Row],[2026]]*Emissionsfaktoren[[#This Row],[2026]]/1000, 0)</f>
        <v>0</v>
      </c>
      <c r="R33" s="14">
        <f>IF(ISNUMBER(Refsz_Verbräuche[[#This Row],[2027]]), Refsz_Verbräuche[[#This Row],[2027]]*Emissionsfaktoren[[#This Row],[2027]]/1000, 0)</f>
        <v>0</v>
      </c>
      <c r="S33" s="14">
        <f>IF(ISNUMBER(Refsz_Verbräuche[[#This Row],[2028]]), Refsz_Verbräuche[[#This Row],[2028]]*Emissionsfaktoren[[#This Row],[2028]]/1000, 0)</f>
        <v>0</v>
      </c>
      <c r="T33" s="14">
        <f>IF(ISNUMBER(Refsz_Verbräuche[[#This Row],[2029]]), Refsz_Verbräuche[[#This Row],[2029]]*Emissionsfaktoren[[#This Row],[2029]]/1000, 0)</f>
        <v>0</v>
      </c>
      <c r="U33" s="14">
        <f>IF(ISNUMBER(Refsz_Verbräuche[[#This Row],[2030]]), Refsz_Verbräuche[[#This Row],[2030]]*Emissionsfaktoren[[#This Row],[2030]]/1000, 0)</f>
        <v>0</v>
      </c>
      <c r="V33" s="14">
        <f>IF(ISNUMBER(Refsz_Verbräuche[[#This Row],[2035]]), Refsz_Verbräuche[[#This Row],[2035]]*Emissionsfaktoren[[#This Row],[2035]]/1000, 0)</f>
        <v>0</v>
      </c>
      <c r="W33" s="14">
        <f>IF(ISNUMBER(Refsz_Verbräuche[[#This Row],[2040]]), Refsz_Verbräuche[[#This Row],[2040]]*Emissionsfaktoren[[#This Row],[2040]]/1000, 0)</f>
        <v>0</v>
      </c>
      <c r="X33" s="14">
        <f>IF(ISNUMBER(Refsz_Verbräuche[[#This Row],[2045]]), Refsz_Verbräuche[[#This Row],[2045]]*Emissionsfaktoren[[#This Row],[2045]]/1000, 0)</f>
        <v>0</v>
      </c>
      <c r="Y33" s="14">
        <f>IF(ISNUMBER(Refsz_Verbräuche[[#This Row],[2050]]), Refsz_Verbräuche[[#This Row],[2050]]*Emissionsfaktoren[[#This Row],[2050]]/1000, 0)</f>
        <v>0</v>
      </c>
      <c r="AA33" s="10"/>
    </row>
    <row r="34" spans="2:27" ht="16.5">
      <c r="B34" s="14">
        <v>17</v>
      </c>
      <c r="C34" s="14" t="str">
        <f>Refsz_Verbräuche[[#This Row],[Handlungsfeld]]</f>
        <v>Wärme</v>
      </c>
      <c r="D34" s="19" t="str">
        <f>Refsz_Verbräuche[[#This Row],[Datenpunkt]]</f>
        <v>Holzpellets, 10kW/kleinere Zentralheizung</v>
      </c>
      <c r="E34" t="s">
        <v>195</v>
      </c>
      <c r="F34" s="14">
        <f>IF(ISNUMBER(Refsz_Verbräuche[[#This Row],[2015]]), Refsz_Verbräuche[[#This Row],[2015]]*Emissionsfaktoren[[#This Row],[2015]]/1000, 0)</f>
        <v>0</v>
      </c>
      <c r="G34" s="14">
        <f>IF(ISNUMBER(Refsz_Verbräuche[[#This Row],[2016]]), Refsz_Verbräuche[[#This Row],[2016]]*Emissionsfaktoren[[#This Row],[2016]]/1000, 0)</f>
        <v>0</v>
      </c>
      <c r="H34" s="14">
        <f>IF(ISNUMBER(Refsz_Verbräuche[[#This Row],[2017]]), Refsz_Verbräuche[[#This Row],[2017]]*Emissionsfaktoren[[#This Row],[2017]]/1000, 0)</f>
        <v>0</v>
      </c>
      <c r="I34" s="14">
        <f>IF(ISNUMBER(Refsz_Verbräuche[[#This Row],[2018]]), Refsz_Verbräuche[[#This Row],[2018]]*Emissionsfaktoren[[#This Row],[2018]]/1000, 0)</f>
        <v>0</v>
      </c>
      <c r="J34" s="14">
        <f>IF(ISNUMBER(Refsz_Verbräuche[[#This Row],[2019]]), Refsz_Verbräuche[[#This Row],[2019]]*Emissionsfaktoren[[#This Row],[2019]]/1000, 0)</f>
        <v>0</v>
      </c>
      <c r="K34" s="14">
        <f>IF(ISNUMBER(Refsz_Verbräuche[[#This Row],[2020]]), Refsz_Verbräuche[[#This Row],[2020]]*Emissionsfaktoren[[#This Row],[2020]]/1000, 0)</f>
        <v>0</v>
      </c>
      <c r="L34" s="14">
        <f>IF(ISNUMBER(Refsz_Verbräuche[[#This Row],[2021]]), Refsz_Verbräuche[[#This Row],[2021]]*Emissionsfaktoren[[#This Row],[2021]]/1000, 0)</f>
        <v>0</v>
      </c>
      <c r="M34" s="14">
        <f>IF(ISNUMBER(Refsz_Verbräuche[[#This Row],[2022]]), Refsz_Verbräuche[[#This Row],[2022]]*Emissionsfaktoren[[#This Row],[2022]]/1000, 0)</f>
        <v>0</v>
      </c>
      <c r="N34" s="14">
        <f>IF(ISNUMBER(Refsz_Verbräuche[[#This Row],[2023]]), Refsz_Verbräuche[[#This Row],[2023]]*Emissionsfaktoren[[#This Row],[2023]]/1000, 0)</f>
        <v>0</v>
      </c>
      <c r="O34" s="14">
        <f>IF(ISNUMBER(Refsz_Verbräuche[[#This Row],[2024]]), Refsz_Verbräuche[[#This Row],[2024]]*Emissionsfaktoren[[#This Row],[2024]]/1000, 0)</f>
        <v>0</v>
      </c>
      <c r="P34" s="14">
        <f>IF(ISNUMBER(Refsz_Verbräuche[[#This Row],[2025]]), Refsz_Verbräuche[[#This Row],[2025]]*Emissionsfaktoren[[#This Row],[2025]]/1000, 0)</f>
        <v>0</v>
      </c>
      <c r="Q34" s="14">
        <f>IF(ISNUMBER(Refsz_Verbräuche[[#This Row],[2026]]), Refsz_Verbräuche[[#This Row],[2026]]*Emissionsfaktoren[[#This Row],[2026]]/1000, 0)</f>
        <v>0</v>
      </c>
      <c r="R34" s="14">
        <f>IF(ISNUMBER(Refsz_Verbräuche[[#This Row],[2027]]), Refsz_Verbräuche[[#This Row],[2027]]*Emissionsfaktoren[[#This Row],[2027]]/1000, 0)</f>
        <v>0</v>
      </c>
      <c r="S34" s="14">
        <f>IF(ISNUMBER(Refsz_Verbräuche[[#This Row],[2028]]), Refsz_Verbräuche[[#This Row],[2028]]*Emissionsfaktoren[[#This Row],[2028]]/1000, 0)</f>
        <v>0</v>
      </c>
      <c r="T34" s="14">
        <f>IF(ISNUMBER(Refsz_Verbräuche[[#This Row],[2029]]), Refsz_Verbräuche[[#This Row],[2029]]*Emissionsfaktoren[[#This Row],[2029]]/1000, 0)</f>
        <v>0</v>
      </c>
      <c r="U34" s="14">
        <f>IF(ISNUMBER(Refsz_Verbräuche[[#This Row],[2030]]), Refsz_Verbräuche[[#This Row],[2030]]*Emissionsfaktoren[[#This Row],[2030]]/1000, 0)</f>
        <v>0</v>
      </c>
      <c r="V34" s="14">
        <f>IF(ISNUMBER(Refsz_Verbräuche[[#This Row],[2035]]), Refsz_Verbräuche[[#This Row],[2035]]*Emissionsfaktoren[[#This Row],[2035]]/1000, 0)</f>
        <v>0</v>
      </c>
      <c r="W34" s="14">
        <f>IF(ISNUMBER(Refsz_Verbräuche[[#This Row],[2040]]), Refsz_Verbräuche[[#This Row],[2040]]*Emissionsfaktoren[[#This Row],[2040]]/1000, 0)</f>
        <v>0</v>
      </c>
      <c r="X34" s="14">
        <f>IF(ISNUMBER(Refsz_Verbräuche[[#This Row],[2045]]), Refsz_Verbräuche[[#This Row],[2045]]*Emissionsfaktoren[[#This Row],[2045]]/1000, 0)</f>
        <v>0</v>
      </c>
      <c r="Y34" s="14">
        <f>IF(ISNUMBER(Refsz_Verbräuche[[#This Row],[2050]]), Refsz_Verbräuche[[#This Row],[2050]]*Emissionsfaktoren[[#This Row],[2050]]/1000, 0)</f>
        <v>0</v>
      </c>
      <c r="AA34" s="10"/>
    </row>
    <row r="35" spans="2:27" ht="16.5">
      <c r="B35" s="14">
        <v>18</v>
      </c>
      <c r="C35" s="14" t="str">
        <f>Refsz_Verbräuche[[#This Row],[Handlungsfeld]]</f>
        <v>Wärme</v>
      </c>
      <c r="D35" s="19" t="str">
        <f>Refsz_Verbräuche[[#This Row],[Datenpunkt]]</f>
        <v>Holzpellets, 50kW/größere Zentralheizung</v>
      </c>
      <c r="E35" t="s">
        <v>195</v>
      </c>
      <c r="F35" s="14">
        <f>IF(ISNUMBER(Refsz_Verbräuche[[#This Row],[2015]]), Refsz_Verbräuche[[#This Row],[2015]]*Emissionsfaktoren[[#This Row],[2015]]/1000, 0)</f>
        <v>0</v>
      </c>
      <c r="G35" s="14">
        <f>IF(ISNUMBER(Refsz_Verbräuche[[#This Row],[2016]]), Refsz_Verbräuche[[#This Row],[2016]]*Emissionsfaktoren[[#This Row],[2016]]/1000, 0)</f>
        <v>0</v>
      </c>
      <c r="H35" s="14">
        <f>IF(ISNUMBER(Refsz_Verbräuche[[#This Row],[2017]]), Refsz_Verbräuche[[#This Row],[2017]]*Emissionsfaktoren[[#This Row],[2017]]/1000, 0)</f>
        <v>0</v>
      </c>
      <c r="I35" s="14">
        <f>IF(ISNUMBER(Refsz_Verbräuche[[#This Row],[2018]]), Refsz_Verbräuche[[#This Row],[2018]]*Emissionsfaktoren[[#This Row],[2018]]/1000, 0)</f>
        <v>0</v>
      </c>
      <c r="J35" s="14">
        <f>IF(ISNUMBER(Refsz_Verbräuche[[#This Row],[2019]]), Refsz_Verbräuche[[#This Row],[2019]]*Emissionsfaktoren[[#This Row],[2019]]/1000, 0)</f>
        <v>0</v>
      </c>
      <c r="K35" s="14">
        <f>IF(ISNUMBER(Refsz_Verbräuche[[#This Row],[2020]]), Refsz_Verbräuche[[#This Row],[2020]]*Emissionsfaktoren[[#This Row],[2020]]/1000, 0)</f>
        <v>0</v>
      </c>
      <c r="L35" s="14">
        <f>IF(ISNUMBER(Refsz_Verbräuche[[#This Row],[2021]]), Refsz_Verbräuche[[#This Row],[2021]]*Emissionsfaktoren[[#This Row],[2021]]/1000, 0)</f>
        <v>0</v>
      </c>
      <c r="M35" s="14">
        <f>IF(ISNUMBER(Refsz_Verbräuche[[#This Row],[2022]]), Refsz_Verbräuche[[#This Row],[2022]]*Emissionsfaktoren[[#This Row],[2022]]/1000, 0)</f>
        <v>0</v>
      </c>
      <c r="N35" s="14">
        <f>IF(ISNUMBER(Refsz_Verbräuche[[#This Row],[2023]]), Refsz_Verbräuche[[#This Row],[2023]]*Emissionsfaktoren[[#This Row],[2023]]/1000, 0)</f>
        <v>0</v>
      </c>
      <c r="O35" s="14">
        <f>IF(ISNUMBER(Refsz_Verbräuche[[#This Row],[2024]]), Refsz_Verbräuche[[#This Row],[2024]]*Emissionsfaktoren[[#This Row],[2024]]/1000, 0)</f>
        <v>0</v>
      </c>
      <c r="P35" s="14">
        <f>IF(ISNUMBER(Refsz_Verbräuche[[#This Row],[2025]]), Refsz_Verbräuche[[#This Row],[2025]]*Emissionsfaktoren[[#This Row],[2025]]/1000, 0)</f>
        <v>0</v>
      </c>
      <c r="Q35" s="14">
        <f>IF(ISNUMBER(Refsz_Verbräuche[[#This Row],[2026]]), Refsz_Verbräuche[[#This Row],[2026]]*Emissionsfaktoren[[#This Row],[2026]]/1000, 0)</f>
        <v>0</v>
      </c>
      <c r="R35" s="14">
        <f>IF(ISNUMBER(Refsz_Verbräuche[[#This Row],[2027]]), Refsz_Verbräuche[[#This Row],[2027]]*Emissionsfaktoren[[#This Row],[2027]]/1000, 0)</f>
        <v>0</v>
      </c>
      <c r="S35" s="14">
        <f>IF(ISNUMBER(Refsz_Verbräuche[[#This Row],[2028]]), Refsz_Verbräuche[[#This Row],[2028]]*Emissionsfaktoren[[#This Row],[2028]]/1000, 0)</f>
        <v>0</v>
      </c>
      <c r="T35" s="14">
        <f>IF(ISNUMBER(Refsz_Verbräuche[[#This Row],[2029]]), Refsz_Verbräuche[[#This Row],[2029]]*Emissionsfaktoren[[#This Row],[2029]]/1000, 0)</f>
        <v>0</v>
      </c>
      <c r="U35" s="14">
        <f>IF(ISNUMBER(Refsz_Verbräuche[[#This Row],[2030]]), Refsz_Verbräuche[[#This Row],[2030]]*Emissionsfaktoren[[#This Row],[2030]]/1000, 0)</f>
        <v>0</v>
      </c>
      <c r="V35" s="14">
        <f>IF(ISNUMBER(Refsz_Verbräuche[[#This Row],[2035]]), Refsz_Verbräuche[[#This Row],[2035]]*Emissionsfaktoren[[#This Row],[2035]]/1000, 0)</f>
        <v>0</v>
      </c>
      <c r="W35" s="14">
        <f>IF(ISNUMBER(Refsz_Verbräuche[[#This Row],[2040]]), Refsz_Verbräuche[[#This Row],[2040]]*Emissionsfaktoren[[#This Row],[2040]]/1000, 0)</f>
        <v>0</v>
      </c>
      <c r="X35" s="14">
        <f>IF(ISNUMBER(Refsz_Verbräuche[[#This Row],[2045]]), Refsz_Verbräuche[[#This Row],[2045]]*Emissionsfaktoren[[#This Row],[2045]]/1000, 0)</f>
        <v>0</v>
      </c>
      <c r="Y35" s="14">
        <f>IF(ISNUMBER(Refsz_Verbräuche[[#This Row],[2050]]), Refsz_Verbräuche[[#This Row],[2050]]*Emissionsfaktoren[[#This Row],[2050]]/1000, 0)</f>
        <v>0</v>
      </c>
      <c r="AA35" s="10"/>
    </row>
    <row r="36" spans="2:27" ht="16.5">
      <c r="B36" s="14">
        <v>19</v>
      </c>
      <c r="C36" s="14" t="str">
        <f>Refsz_Verbräuche[[#This Row],[Handlungsfeld]]</f>
        <v>Wärme</v>
      </c>
      <c r="D36" s="19" t="str">
        <f>Refsz_Verbräuche[[#This Row],[Datenpunkt]]</f>
        <v>Fernwärme Mix</v>
      </c>
      <c r="E36" t="s">
        <v>195</v>
      </c>
      <c r="F36" s="14">
        <f>IF(ISNUMBER(Refsz_Verbräuche[[#This Row],[2015]]), Refsz_Verbräuche[[#This Row],[2015]]*Emissionsfaktoren[[#This Row],[2015]]/1000, 0)</f>
        <v>0</v>
      </c>
      <c r="G36" s="14">
        <f>IF(ISNUMBER(Refsz_Verbräuche[[#This Row],[2016]]), Refsz_Verbräuche[[#This Row],[2016]]*Emissionsfaktoren[[#This Row],[2016]]/1000, 0)</f>
        <v>0</v>
      </c>
      <c r="H36" s="14">
        <f>IF(ISNUMBER(Refsz_Verbräuche[[#This Row],[2017]]), Refsz_Verbräuche[[#This Row],[2017]]*Emissionsfaktoren[[#This Row],[2017]]/1000, 0)</f>
        <v>0</v>
      </c>
      <c r="I36" s="14">
        <f>IF(ISNUMBER(Refsz_Verbräuche[[#This Row],[2018]]), Refsz_Verbräuche[[#This Row],[2018]]*Emissionsfaktoren[[#This Row],[2018]]/1000, 0)</f>
        <v>0</v>
      </c>
      <c r="J36" s="14">
        <f>IF(ISNUMBER(Refsz_Verbräuche[[#This Row],[2019]]), Refsz_Verbräuche[[#This Row],[2019]]*Emissionsfaktoren[[#This Row],[2019]]/1000, 0)</f>
        <v>0</v>
      </c>
      <c r="K36" s="14">
        <f>IF(ISNUMBER(Refsz_Verbräuche[[#This Row],[2020]]), Refsz_Verbräuche[[#This Row],[2020]]*Emissionsfaktoren[[#This Row],[2020]]/1000, 0)</f>
        <v>0</v>
      </c>
      <c r="L36" s="14">
        <f>IF(ISNUMBER(Refsz_Verbräuche[[#This Row],[2021]]), Refsz_Verbräuche[[#This Row],[2021]]*Emissionsfaktoren[[#This Row],[2021]]/1000, 0)</f>
        <v>0</v>
      </c>
      <c r="M36" s="14">
        <f>IF(ISNUMBER(Refsz_Verbräuche[[#This Row],[2022]]), Refsz_Verbräuche[[#This Row],[2022]]*Emissionsfaktoren[[#This Row],[2022]]/1000, 0)</f>
        <v>0</v>
      </c>
      <c r="N36" s="14">
        <f>IF(ISNUMBER(Refsz_Verbräuche[[#This Row],[2023]]), Refsz_Verbräuche[[#This Row],[2023]]*Emissionsfaktoren[[#This Row],[2023]]/1000, 0)</f>
        <v>0</v>
      </c>
      <c r="O36" s="14">
        <f>IF(ISNUMBER(Refsz_Verbräuche[[#This Row],[2024]]), Refsz_Verbräuche[[#This Row],[2024]]*Emissionsfaktoren[[#This Row],[2024]]/1000, 0)</f>
        <v>0</v>
      </c>
      <c r="P36" s="14">
        <f>IF(ISNUMBER(Refsz_Verbräuche[[#This Row],[2025]]), Refsz_Verbräuche[[#This Row],[2025]]*Emissionsfaktoren[[#This Row],[2025]]/1000, 0)</f>
        <v>0</v>
      </c>
      <c r="Q36" s="14">
        <f>IF(ISNUMBER(Refsz_Verbräuche[[#This Row],[2026]]), Refsz_Verbräuche[[#This Row],[2026]]*Emissionsfaktoren[[#This Row],[2026]]/1000, 0)</f>
        <v>0</v>
      </c>
      <c r="R36" s="14">
        <f>IF(ISNUMBER(Refsz_Verbräuche[[#This Row],[2027]]), Refsz_Verbräuche[[#This Row],[2027]]*Emissionsfaktoren[[#This Row],[2027]]/1000, 0)</f>
        <v>0</v>
      </c>
      <c r="S36" s="14">
        <f>IF(ISNUMBER(Refsz_Verbräuche[[#This Row],[2028]]), Refsz_Verbräuche[[#This Row],[2028]]*Emissionsfaktoren[[#This Row],[2028]]/1000, 0)</f>
        <v>0</v>
      </c>
      <c r="T36" s="14">
        <f>IF(ISNUMBER(Refsz_Verbräuche[[#This Row],[2029]]), Refsz_Verbräuche[[#This Row],[2029]]*Emissionsfaktoren[[#This Row],[2029]]/1000, 0)</f>
        <v>0</v>
      </c>
      <c r="U36" s="14">
        <f>IF(ISNUMBER(Refsz_Verbräuche[[#This Row],[2030]]), Refsz_Verbräuche[[#This Row],[2030]]*Emissionsfaktoren[[#This Row],[2030]]/1000, 0)</f>
        <v>0</v>
      </c>
      <c r="V36" s="14">
        <f>IF(ISNUMBER(Refsz_Verbräuche[[#This Row],[2035]]), Refsz_Verbräuche[[#This Row],[2035]]*Emissionsfaktoren[[#This Row],[2035]]/1000, 0)</f>
        <v>0</v>
      </c>
      <c r="W36" s="14">
        <f>IF(ISNUMBER(Refsz_Verbräuche[[#This Row],[2040]]), Refsz_Verbräuche[[#This Row],[2040]]*Emissionsfaktoren[[#This Row],[2040]]/1000, 0)</f>
        <v>0</v>
      </c>
      <c r="X36" s="14">
        <f>IF(ISNUMBER(Refsz_Verbräuche[[#This Row],[2045]]), Refsz_Verbräuche[[#This Row],[2045]]*Emissionsfaktoren[[#This Row],[2045]]/1000, 0)</f>
        <v>0</v>
      </c>
      <c r="Y36" s="14">
        <f>IF(ISNUMBER(Refsz_Verbräuche[[#This Row],[2050]]), Refsz_Verbräuche[[#This Row],[2050]]*Emissionsfaktoren[[#This Row],[2050]]/1000, 0)</f>
        <v>0</v>
      </c>
      <c r="AA36" s="10"/>
    </row>
    <row r="37" spans="2:27" ht="16.5">
      <c r="B37" s="14">
        <v>20</v>
      </c>
      <c r="C37" s="14" t="str">
        <f>Refsz_Verbräuche[[#This Row],[Handlungsfeld]]</f>
        <v>Wärme</v>
      </c>
      <c r="D37" s="19" t="str">
        <f>Refsz_Verbräuche[[#This Row],[Datenpunkt]]</f>
        <v>Fernwärme Abfall</v>
      </c>
      <c r="E37" t="s">
        <v>195</v>
      </c>
      <c r="F37" s="14">
        <f>IF(ISNUMBER(Refsz_Verbräuche[[#This Row],[2015]]), Refsz_Verbräuche[[#This Row],[2015]]*Emissionsfaktoren[[#This Row],[2015]]/1000, 0)</f>
        <v>0</v>
      </c>
      <c r="G37" s="14">
        <f>IF(ISNUMBER(Refsz_Verbräuche[[#This Row],[2016]]), Refsz_Verbräuche[[#This Row],[2016]]*Emissionsfaktoren[[#This Row],[2016]]/1000, 0)</f>
        <v>0</v>
      </c>
      <c r="H37" s="14">
        <f>IF(ISNUMBER(Refsz_Verbräuche[[#This Row],[2017]]), Refsz_Verbräuche[[#This Row],[2017]]*Emissionsfaktoren[[#This Row],[2017]]/1000, 0)</f>
        <v>0</v>
      </c>
      <c r="I37" s="14">
        <f>IF(ISNUMBER(Refsz_Verbräuche[[#This Row],[2018]]), Refsz_Verbräuche[[#This Row],[2018]]*Emissionsfaktoren[[#This Row],[2018]]/1000, 0)</f>
        <v>0</v>
      </c>
      <c r="J37" s="14">
        <f>IF(ISNUMBER(Refsz_Verbräuche[[#This Row],[2019]]), Refsz_Verbräuche[[#This Row],[2019]]*Emissionsfaktoren[[#This Row],[2019]]/1000, 0)</f>
        <v>0</v>
      </c>
      <c r="K37" s="14">
        <f>IF(ISNUMBER(Refsz_Verbräuche[[#This Row],[2020]]), Refsz_Verbräuche[[#This Row],[2020]]*Emissionsfaktoren[[#This Row],[2020]]/1000, 0)</f>
        <v>0</v>
      </c>
      <c r="L37" s="14">
        <f>IF(ISNUMBER(Refsz_Verbräuche[[#This Row],[2021]]), Refsz_Verbräuche[[#This Row],[2021]]*Emissionsfaktoren[[#This Row],[2021]]/1000, 0)</f>
        <v>0</v>
      </c>
      <c r="M37" s="14">
        <f>IF(ISNUMBER(Refsz_Verbräuche[[#This Row],[2022]]), Refsz_Verbräuche[[#This Row],[2022]]*Emissionsfaktoren[[#This Row],[2022]]/1000, 0)</f>
        <v>0</v>
      </c>
      <c r="N37" s="14">
        <f>IF(ISNUMBER(Refsz_Verbräuche[[#This Row],[2023]]), Refsz_Verbräuche[[#This Row],[2023]]*Emissionsfaktoren[[#This Row],[2023]]/1000, 0)</f>
        <v>0</v>
      </c>
      <c r="O37" s="14">
        <f>IF(ISNUMBER(Refsz_Verbräuche[[#This Row],[2024]]), Refsz_Verbräuche[[#This Row],[2024]]*Emissionsfaktoren[[#This Row],[2024]]/1000, 0)</f>
        <v>0</v>
      </c>
      <c r="P37" s="14">
        <f>IF(ISNUMBER(Refsz_Verbräuche[[#This Row],[2025]]), Refsz_Verbräuche[[#This Row],[2025]]*Emissionsfaktoren[[#This Row],[2025]]/1000, 0)</f>
        <v>0</v>
      </c>
      <c r="Q37" s="14">
        <f>IF(ISNUMBER(Refsz_Verbräuche[[#This Row],[2026]]), Refsz_Verbräuche[[#This Row],[2026]]*Emissionsfaktoren[[#This Row],[2026]]/1000, 0)</f>
        <v>0</v>
      </c>
      <c r="R37" s="14">
        <f>IF(ISNUMBER(Refsz_Verbräuche[[#This Row],[2027]]), Refsz_Verbräuche[[#This Row],[2027]]*Emissionsfaktoren[[#This Row],[2027]]/1000, 0)</f>
        <v>0</v>
      </c>
      <c r="S37" s="14">
        <f>IF(ISNUMBER(Refsz_Verbräuche[[#This Row],[2028]]), Refsz_Verbräuche[[#This Row],[2028]]*Emissionsfaktoren[[#This Row],[2028]]/1000, 0)</f>
        <v>0</v>
      </c>
      <c r="T37" s="14">
        <f>IF(ISNUMBER(Refsz_Verbräuche[[#This Row],[2029]]), Refsz_Verbräuche[[#This Row],[2029]]*Emissionsfaktoren[[#This Row],[2029]]/1000, 0)</f>
        <v>0</v>
      </c>
      <c r="U37" s="14">
        <f>IF(ISNUMBER(Refsz_Verbräuche[[#This Row],[2030]]), Refsz_Verbräuche[[#This Row],[2030]]*Emissionsfaktoren[[#This Row],[2030]]/1000, 0)</f>
        <v>0</v>
      </c>
      <c r="V37" s="14">
        <f>IF(ISNUMBER(Refsz_Verbräuche[[#This Row],[2035]]), Refsz_Verbräuche[[#This Row],[2035]]*Emissionsfaktoren[[#This Row],[2035]]/1000, 0)</f>
        <v>0</v>
      </c>
      <c r="W37" s="14">
        <f>IF(ISNUMBER(Refsz_Verbräuche[[#This Row],[2040]]), Refsz_Verbräuche[[#This Row],[2040]]*Emissionsfaktoren[[#This Row],[2040]]/1000, 0)</f>
        <v>0</v>
      </c>
      <c r="X37" s="14">
        <f>IF(ISNUMBER(Refsz_Verbräuche[[#This Row],[2045]]), Refsz_Verbräuche[[#This Row],[2045]]*Emissionsfaktoren[[#This Row],[2045]]/1000, 0)</f>
        <v>0</v>
      </c>
      <c r="Y37" s="14">
        <f>IF(ISNUMBER(Refsz_Verbräuche[[#This Row],[2050]]), Refsz_Verbräuche[[#This Row],[2050]]*Emissionsfaktoren[[#This Row],[2050]]/1000, 0)</f>
        <v>0</v>
      </c>
      <c r="AA37" s="10"/>
    </row>
    <row r="38" spans="2:27" ht="16.5">
      <c r="B38" s="14">
        <v>21</v>
      </c>
      <c r="C38" s="14" t="str">
        <f>Refsz_Verbräuche[[#This Row],[Handlungsfeld]]</f>
        <v>Wärme</v>
      </c>
      <c r="D38" s="19" t="str">
        <f>Refsz_Verbräuche[[#This Row],[Datenpunkt]]</f>
        <v>Heizöl</v>
      </c>
      <c r="E38" t="s">
        <v>195</v>
      </c>
      <c r="F38" s="14">
        <f>IF(ISNUMBER(Refsz_Verbräuche[[#This Row],[2015]]), Refsz_Verbräuche[[#This Row],[2015]]*Emissionsfaktoren[[#This Row],[2015]]/1000, 0)</f>
        <v>0</v>
      </c>
      <c r="G38" s="14">
        <f>IF(ISNUMBER(Refsz_Verbräuche[[#This Row],[2016]]), Refsz_Verbräuche[[#This Row],[2016]]*Emissionsfaktoren[[#This Row],[2016]]/1000, 0)</f>
        <v>0</v>
      </c>
      <c r="H38" s="14">
        <f>IF(ISNUMBER(Refsz_Verbräuche[[#This Row],[2017]]), Refsz_Verbräuche[[#This Row],[2017]]*Emissionsfaktoren[[#This Row],[2017]]/1000, 0)</f>
        <v>0</v>
      </c>
      <c r="I38" s="14">
        <f>IF(ISNUMBER(Refsz_Verbräuche[[#This Row],[2018]]), Refsz_Verbräuche[[#This Row],[2018]]*Emissionsfaktoren[[#This Row],[2018]]/1000, 0)</f>
        <v>0</v>
      </c>
      <c r="J38" s="14">
        <f>IF(ISNUMBER(Refsz_Verbräuche[[#This Row],[2019]]), Refsz_Verbräuche[[#This Row],[2019]]*Emissionsfaktoren[[#This Row],[2019]]/1000, 0)</f>
        <v>0</v>
      </c>
      <c r="K38" s="14">
        <f>IF(ISNUMBER(Refsz_Verbräuche[[#This Row],[2020]]), Refsz_Verbräuche[[#This Row],[2020]]*Emissionsfaktoren[[#This Row],[2020]]/1000, 0)</f>
        <v>0</v>
      </c>
      <c r="L38" s="14">
        <f>IF(ISNUMBER(Refsz_Verbräuche[[#This Row],[2021]]), Refsz_Verbräuche[[#This Row],[2021]]*Emissionsfaktoren[[#This Row],[2021]]/1000, 0)</f>
        <v>0</v>
      </c>
      <c r="M38" s="14">
        <f>IF(ISNUMBER(Refsz_Verbräuche[[#This Row],[2022]]), Refsz_Verbräuche[[#This Row],[2022]]*Emissionsfaktoren[[#This Row],[2022]]/1000, 0)</f>
        <v>0</v>
      </c>
      <c r="N38" s="14">
        <f>IF(ISNUMBER(Refsz_Verbräuche[[#This Row],[2023]]), Refsz_Verbräuche[[#This Row],[2023]]*Emissionsfaktoren[[#This Row],[2023]]/1000, 0)</f>
        <v>0</v>
      </c>
      <c r="O38" s="14">
        <f>IF(ISNUMBER(Refsz_Verbräuche[[#This Row],[2024]]), Refsz_Verbräuche[[#This Row],[2024]]*Emissionsfaktoren[[#This Row],[2024]]/1000, 0)</f>
        <v>0</v>
      </c>
      <c r="P38" s="14">
        <f>IF(ISNUMBER(Refsz_Verbräuche[[#This Row],[2025]]), Refsz_Verbräuche[[#This Row],[2025]]*Emissionsfaktoren[[#This Row],[2025]]/1000, 0)</f>
        <v>0</v>
      </c>
      <c r="Q38" s="14">
        <f>IF(ISNUMBER(Refsz_Verbräuche[[#This Row],[2026]]), Refsz_Verbräuche[[#This Row],[2026]]*Emissionsfaktoren[[#This Row],[2026]]/1000, 0)</f>
        <v>0</v>
      </c>
      <c r="R38" s="14">
        <f>IF(ISNUMBER(Refsz_Verbräuche[[#This Row],[2027]]), Refsz_Verbräuche[[#This Row],[2027]]*Emissionsfaktoren[[#This Row],[2027]]/1000, 0)</f>
        <v>0</v>
      </c>
      <c r="S38" s="14">
        <f>IF(ISNUMBER(Refsz_Verbräuche[[#This Row],[2028]]), Refsz_Verbräuche[[#This Row],[2028]]*Emissionsfaktoren[[#This Row],[2028]]/1000, 0)</f>
        <v>0</v>
      </c>
      <c r="T38" s="14">
        <f>IF(ISNUMBER(Refsz_Verbräuche[[#This Row],[2029]]), Refsz_Verbräuche[[#This Row],[2029]]*Emissionsfaktoren[[#This Row],[2029]]/1000, 0)</f>
        <v>0</v>
      </c>
      <c r="U38" s="14">
        <f>IF(ISNUMBER(Refsz_Verbräuche[[#This Row],[2030]]), Refsz_Verbräuche[[#This Row],[2030]]*Emissionsfaktoren[[#This Row],[2030]]/1000, 0)</f>
        <v>0</v>
      </c>
      <c r="V38" s="14">
        <f>IF(ISNUMBER(Refsz_Verbräuche[[#This Row],[2035]]), Refsz_Verbräuche[[#This Row],[2035]]*Emissionsfaktoren[[#This Row],[2035]]/1000, 0)</f>
        <v>0</v>
      </c>
      <c r="W38" s="14">
        <f>IF(ISNUMBER(Refsz_Verbräuche[[#This Row],[2040]]), Refsz_Verbräuche[[#This Row],[2040]]*Emissionsfaktoren[[#This Row],[2040]]/1000, 0)</f>
        <v>0</v>
      </c>
      <c r="X38" s="14">
        <f>IF(ISNUMBER(Refsz_Verbräuche[[#This Row],[2045]]), Refsz_Verbräuche[[#This Row],[2045]]*Emissionsfaktoren[[#This Row],[2045]]/1000, 0)</f>
        <v>0</v>
      </c>
      <c r="Y38" s="14">
        <f>IF(ISNUMBER(Refsz_Verbräuche[[#This Row],[2050]]), Refsz_Verbräuche[[#This Row],[2050]]*Emissionsfaktoren[[#This Row],[2050]]/1000, 0)</f>
        <v>0</v>
      </c>
      <c r="AA38" s="10"/>
    </row>
    <row r="39" spans="2:27" ht="16.5">
      <c r="B39" s="14">
        <v>22</v>
      </c>
      <c r="C39" s="14" t="str">
        <f>Refsz_Verbräuche[[#This Row],[Handlungsfeld]]</f>
        <v>Wärme</v>
      </c>
      <c r="D39" s="19" t="str">
        <f>Refsz_Verbräuche[[#This Row],[Datenpunkt]]</f>
        <v>Solarthermie</v>
      </c>
      <c r="E39" t="s">
        <v>195</v>
      </c>
      <c r="F39" s="14">
        <f>IF(ISNUMBER(Refsz_Verbräuche[[#This Row],[2015]]), Refsz_Verbräuche[[#This Row],[2015]]*Emissionsfaktoren[[#This Row],[2015]]/1000, 0)</f>
        <v>0</v>
      </c>
      <c r="G39" s="14">
        <f>IF(ISNUMBER(Refsz_Verbräuche[[#This Row],[2016]]), Refsz_Verbräuche[[#This Row],[2016]]*Emissionsfaktoren[[#This Row],[2016]]/1000, 0)</f>
        <v>0</v>
      </c>
      <c r="H39" s="14">
        <f>IF(ISNUMBER(Refsz_Verbräuche[[#This Row],[2017]]), Refsz_Verbräuche[[#This Row],[2017]]*Emissionsfaktoren[[#This Row],[2017]]/1000, 0)</f>
        <v>0</v>
      </c>
      <c r="I39" s="14">
        <f>IF(ISNUMBER(Refsz_Verbräuche[[#This Row],[2018]]), Refsz_Verbräuche[[#This Row],[2018]]*Emissionsfaktoren[[#This Row],[2018]]/1000, 0)</f>
        <v>0</v>
      </c>
      <c r="J39" s="14">
        <f>IF(ISNUMBER(Refsz_Verbräuche[[#This Row],[2019]]), Refsz_Verbräuche[[#This Row],[2019]]*Emissionsfaktoren[[#This Row],[2019]]/1000, 0)</f>
        <v>0</v>
      </c>
      <c r="K39" s="14">
        <f>IF(ISNUMBER(Refsz_Verbräuche[[#This Row],[2020]]), Refsz_Verbräuche[[#This Row],[2020]]*Emissionsfaktoren[[#This Row],[2020]]/1000, 0)</f>
        <v>0</v>
      </c>
      <c r="L39" s="14">
        <f>IF(ISNUMBER(Refsz_Verbräuche[[#This Row],[2021]]), Refsz_Verbräuche[[#This Row],[2021]]*Emissionsfaktoren[[#This Row],[2021]]/1000, 0)</f>
        <v>0</v>
      </c>
      <c r="M39" s="14">
        <f>IF(ISNUMBER(Refsz_Verbräuche[[#This Row],[2022]]), Refsz_Verbräuche[[#This Row],[2022]]*Emissionsfaktoren[[#This Row],[2022]]/1000, 0)</f>
        <v>0</v>
      </c>
      <c r="N39" s="14">
        <f>IF(ISNUMBER(Refsz_Verbräuche[[#This Row],[2023]]), Refsz_Verbräuche[[#This Row],[2023]]*Emissionsfaktoren[[#This Row],[2023]]/1000, 0)</f>
        <v>0</v>
      </c>
      <c r="O39" s="14">
        <f>IF(ISNUMBER(Refsz_Verbräuche[[#This Row],[2024]]), Refsz_Verbräuche[[#This Row],[2024]]*Emissionsfaktoren[[#This Row],[2024]]/1000, 0)</f>
        <v>0</v>
      </c>
      <c r="P39" s="14">
        <f>IF(ISNUMBER(Refsz_Verbräuche[[#This Row],[2025]]), Refsz_Verbräuche[[#This Row],[2025]]*Emissionsfaktoren[[#This Row],[2025]]/1000, 0)</f>
        <v>0</v>
      </c>
      <c r="Q39" s="14">
        <f>IF(ISNUMBER(Refsz_Verbräuche[[#This Row],[2026]]), Refsz_Verbräuche[[#This Row],[2026]]*Emissionsfaktoren[[#This Row],[2026]]/1000, 0)</f>
        <v>0</v>
      </c>
      <c r="R39" s="14">
        <f>IF(ISNUMBER(Refsz_Verbräuche[[#This Row],[2027]]), Refsz_Verbräuche[[#This Row],[2027]]*Emissionsfaktoren[[#This Row],[2027]]/1000, 0)</f>
        <v>0</v>
      </c>
      <c r="S39" s="14">
        <f>IF(ISNUMBER(Refsz_Verbräuche[[#This Row],[2028]]), Refsz_Verbräuche[[#This Row],[2028]]*Emissionsfaktoren[[#This Row],[2028]]/1000, 0)</f>
        <v>0</v>
      </c>
      <c r="T39" s="14">
        <f>IF(ISNUMBER(Refsz_Verbräuche[[#This Row],[2029]]), Refsz_Verbräuche[[#This Row],[2029]]*Emissionsfaktoren[[#This Row],[2029]]/1000, 0)</f>
        <v>0</v>
      </c>
      <c r="U39" s="14">
        <f>IF(ISNUMBER(Refsz_Verbräuche[[#This Row],[2030]]), Refsz_Verbräuche[[#This Row],[2030]]*Emissionsfaktoren[[#This Row],[2030]]/1000, 0)</f>
        <v>0</v>
      </c>
      <c r="V39" s="14">
        <f>IF(ISNUMBER(Refsz_Verbräuche[[#This Row],[2035]]), Refsz_Verbräuche[[#This Row],[2035]]*Emissionsfaktoren[[#This Row],[2035]]/1000, 0)</f>
        <v>0</v>
      </c>
      <c r="W39" s="14">
        <f>IF(ISNUMBER(Refsz_Verbräuche[[#This Row],[2040]]), Refsz_Verbräuche[[#This Row],[2040]]*Emissionsfaktoren[[#This Row],[2040]]/1000, 0)</f>
        <v>0</v>
      </c>
      <c r="X39" s="14">
        <f>IF(ISNUMBER(Refsz_Verbräuche[[#This Row],[2045]]), Refsz_Verbräuche[[#This Row],[2045]]*Emissionsfaktoren[[#This Row],[2045]]/1000, 0)</f>
        <v>0</v>
      </c>
      <c r="Y39" s="14">
        <f>IF(ISNUMBER(Refsz_Verbräuche[[#This Row],[2050]]), Refsz_Verbräuche[[#This Row],[2050]]*Emissionsfaktoren[[#This Row],[2050]]/1000, 0)</f>
        <v>0</v>
      </c>
      <c r="AA39" s="10"/>
    </row>
    <row r="40" spans="2:27" ht="16.5">
      <c r="B40" s="14">
        <v>23</v>
      </c>
      <c r="C40" s="14" t="str">
        <f>Refsz_Verbräuche[[#This Row],[Handlungsfeld]]</f>
        <v>Wärme</v>
      </c>
      <c r="D40" s="19" t="str">
        <f>Refsz_Verbräuche[[#This Row],[Datenpunkt]]</f>
        <v>Sole-Wasser-Wärmepumpe; Bundesstrommix</v>
      </c>
      <c r="E40" t="s">
        <v>195</v>
      </c>
      <c r="F40" s="14">
        <f>IF(ISNUMBER(Refsz_Verbräuche[[#This Row],[2015]]), Refsz_Verbräuche[[#This Row],[2015]]*Emissionsfaktoren[[#This Row],[2015]]/1000, 0)</f>
        <v>0</v>
      </c>
      <c r="G40" s="14">
        <f>IF(ISNUMBER(Refsz_Verbräuche[[#This Row],[2016]]), Refsz_Verbräuche[[#This Row],[2016]]*Emissionsfaktoren[[#This Row],[2016]]/1000, 0)</f>
        <v>0</v>
      </c>
      <c r="H40" s="14">
        <f>IF(ISNUMBER(Refsz_Verbräuche[[#This Row],[2017]]), Refsz_Verbräuche[[#This Row],[2017]]*Emissionsfaktoren[[#This Row],[2017]]/1000, 0)</f>
        <v>0</v>
      </c>
      <c r="I40" s="14">
        <f>IF(ISNUMBER(Refsz_Verbräuche[[#This Row],[2018]]), Refsz_Verbräuche[[#This Row],[2018]]*Emissionsfaktoren[[#This Row],[2018]]/1000, 0)</f>
        <v>0</v>
      </c>
      <c r="J40" s="14">
        <f>IF(ISNUMBER(Refsz_Verbräuche[[#This Row],[2019]]), Refsz_Verbräuche[[#This Row],[2019]]*Emissionsfaktoren[[#This Row],[2019]]/1000, 0)</f>
        <v>0</v>
      </c>
      <c r="K40" s="14">
        <f>IF(ISNUMBER(Refsz_Verbräuche[[#This Row],[2020]]), Refsz_Verbräuche[[#This Row],[2020]]*Emissionsfaktoren[[#This Row],[2020]]/1000, 0)</f>
        <v>0</v>
      </c>
      <c r="L40" s="14">
        <f>IF(ISNUMBER(Refsz_Verbräuche[[#This Row],[2021]]), Refsz_Verbräuche[[#This Row],[2021]]*Emissionsfaktoren[[#This Row],[2021]]/1000, 0)</f>
        <v>0</v>
      </c>
      <c r="M40" s="14">
        <f>IF(ISNUMBER(Refsz_Verbräuche[[#This Row],[2022]]), Refsz_Verbräuche[[#This Row],[2022]]*Emissionsfaktoren[[#This Row],[2022]]/1000, 0)</f>
        <v>0</v>
      </c>
      <c r="N40" s="14">
        <f>IF(ISNUMBER(Refsz_Verbräuche[[#This Row],[2023]]), Refsz_Verbräuche[[#This Row],[2023]]*Emissionsfaktoren[[#This Row],[2023]]/1000, 0)</f>
        <v>0</v>
      </c>
      <c r="O40" s="14">
        <f>IF(ISNUMBER(Refsz_Verbräuche[[#This Row],[2024]]), Refsz_Verbräuche[[#This Row],[2024]]*Emissionsfaktoren[[#This Row],[2024]]/1000, 0)</f>
        <v>0</v>
      </c>
      <c r="P40" s="14">
        <f>IF(ISNUMBER(Refsz_Verbräuche[[#This Row],[2025]]), Refsz_Verbräuche[[#This Row],[2025]]*Emissionsfaktoren[[#This Row],[2025]]/1000, 0)</f>
        <v>0</v>
      </c>
      <c r="Q40" s="14">
        <f>IF(ISNUMBER(Refsz_Verbräuche[[#This Row],[2026]]), Refsz_Verbräuche[[#This Row],[2026]]*Emissionsfaktoren[[#This Row],[2026]]/1000, 0)</f>
        <v>0</v>
      </c>
      <c r="R40" s="14">
        <f>IF(ISNUMBER(Refsz_Verbräuche[[#This Row],[2027]]), Refsz_Verbräuche[[#This Row],[2027]]*Emissionsfaktoren[[#This Row],[2027]]/1000, 0)</f>
        <v>0</v>
      </c>
      <c r="S40" s="14">
        <f>IF(ISNUMBER(Refsz_Verbräuche[[#This Row],[2028]]), Refsz_Verbräuche[[#This Row],[2028]]*Emissionsfaktoren[[#This Row],[2028]]/1000, 0)</f>
        <v>0</v>
      </c>
      <c r="T40" s="14">
        <f>IF(ISNUMBER(Refsz_Verbräuche[[#This Row],[2029]]), Refsz_Verbräuche[[#This Row],[2029]]*Emissionsfaktoren[[#This Row],[2029]]/1000, 0)</f>
        <v>0</v>
      </c>
      <c r="U40" s="14">
        <f>IF(ISNUMBER(Refsz_Verbräuche[[#This Row],[2030]]), Refsz_Verbräuche[[#This Row],[2030]]*Emissionsfaktoren[[#This Row],[2030]]/1000, 0)</f>
        <v>0</v>
      </c>
      <c r="V40" s="14">
        <f>IF(ISNUMBER(Refsz_Verbräuche[[#This Row],[2035]]), Refsz_Verbräuche[[#This Row],[2035]]*Emissionsfaktoren[[#This Row],[2035]]/1000, 0)</f>
        <v>0</v>
      </c>
      <c r="W40" s="14">
        <f>IF(ISNUMBER(Refsz_Verbräuche[[#This Row],[2040]]), Refsz_Verbräuche[[#This Row],[2040]]*Emissionsfaktoren[[#This Row],[2040]]/1000, 0)</f>
        <v>0</v>
      </c>
      <c r="X40" s="14">
        <f>IF(ISNUMBER(Refsz_Verbräuche[[#This Row],[2045]]), Refsz_Verbräuche[[#This Row],[2045]]*Emissionsfaktoren[[#This Row],[2045]]/1000, 0)</f>
        <v>0</v>
      </c>
      <c r="Y40" s="14">
        <f>IF(ISNUMBER(Refsz_Verbräuche[[#This Row],[2050]]), Refsz_Verbräuche[[#This Row],[2050]]*Emissionsfaktoren[[#This Row],[2050]]/1000, 0)</f>
        <v>0</v>
      </c>
      <c r="AA40" s="10"/>
    </row>
    <row r="41" spans="2:27" ht="16.5">
      <c r="B41" s="14">
        <v>24</v>
      </c>
      <c r="C41" s="14" t="str">
        <f>Refsz_Verbräuche[[#This Row],[Handlungsfeld]]</f>
        <v>Wärme</v>
      </c>
      <c r="D41" s="19" t="str">
        <f>Refsz_Verbräuche[[#This Row],[Datenpunkt]]</f>
        <v>Sole-Wasser-Wärmepumpe; Ökostrom</v>
      </c>
      <c r="E41" t="s">
        <v>195</v>
      </c>
      <c r="F41" s="14">
        <f>IF(ISNUMBER(Refsz_Verbräuche[[#This Row],[2015]]), Refsz_Verbräuche[[#This Row],[2015]]*Emissionsfaktoren[[#This Row],[2015]]/1000, 0)</f>
        <v>0</v>
      </c>
      <c r="G41" s="14">
        <f>IF(ISNUMBER(Refsz_Verbräuche[[#This Row],[2016]]), Refsz_Verbräuche[[#This Row],[2016]]*Emissionsfaktoren[[#This Row],[2016]]/1000, 0)</f>
        <v>0</v>
      </c>
      <c r="H41" s="14">
        <f>IF(ISNUMBER(Refsz_Verbräuche[[#This Row],[2017]]), Refsz_Verbräuche[[#This Row],[2017]]*Emissionsfaktoren[[#This Row],[2017]]/1000, 0)</f>
        <v>0</v>
      </c>
      <c r="I41" s="14">
        <f>IF(ISNUMBER(Refsz_Verbräuche[[#This Row],[2018]]), Refsz_Verbräuche[[#This Row],[2018]]*Emissionsfaktoren[[#This Row],[2018]]/1000, 0)</f>
        <v>0</v>
      </c>
      <c r="J41" s="14">
        <f>IF(ISNUMBER(Refsz_Verbräuche[[#This Row],[2019]]), Refsz_Verbräuche[[#This Row],[2019]]*Emissionsfaktoren[[#This Row],[2019]]/1000, 0)</f>
        <v>0</v>
      </c>
      <c r="K41" s="14">
        <f>IF(ISNUMBER(Refsz_Verbräuche[[#This Row],[2020]]), Refsz_Verbräuche[[#This Row],[2020]]*Emissionsfaktoren[[#This Row],[2020]]/1000, 0)</f>
        <v>0</v>
      </c>
      <c r="L41" s="14">
        <f>IF(ISNUMBER(Refsz_Verbräuche[[#This Row],[2021]]), Refsz_Verbräuche[[#This Row],[2021]]*Emissionsfaktoren[[#This Row],[2021]]/1000, 0)</f>
        <v>0</v>
      </c>
      <c r="M41" s="14">
        <f>IF(ISNUMBER(Refsz_Verbräuche[[#This Row],[2022]]), Refsz_Verbräuche[[#This Row],[2022]]*Emissionsfaktoren[[#This Row],[2022]]/1000, 0)</f>
        <v>0</v>
      </c>
      <c r="N41" s="14">
        <f>IF(ISNUMBER(Refsz_Verbräuche[[#This Row],[2023]]), Refsz_Verbräuche[[#This Row],[2023]]*Emissionsfaktoren[[#This Row],[2023]]/1000, 0)</f>
        <v>0</v>
      </c>
      <c r="O41" s="14">
        <f>IF(ISNUMBER(Refsz_Verbräuche[[#This Row],[2024]]), Refsz_Verbräuche[[#This Row],[2024]]*Emissionsfaktoren[[#This Row],[2024]]/1000, 0)</f>
        <v>0</v>
      </c>
      <c r="P41" s="14">
        <f>IF(ISNUMBER(Refsz_Verbräuche[[#This Row],[2025]]), Refsz_Verbräuche[[#This Row],[2025]]*Emissionsfaktoren[[#This Row],[2025]]/1000, 0)</f>
        <v>0</v>
      </c>
      <c r="Q41" s="14">
        <f>IF(ISNUMBER(Refsz_Verbräuche[[#This Row],[2026]]), Refsz_Verbräuche[[#This Row],[2026]]*Emissionsfaktoren[[#This Row],[2026]]/1000, 0)</f>
        <v>0</v>
      </c>
      <c r="R41" s="14">
        <f>IF(ISNUMBER(Refsz_Verbräuche[[#This Row],[2027]]), Refsz_Verbräuche[[#This Row],[2027]]*Emissionsfaktoren[[#This Row],[2027]]/1000, 0)</f>
        <v>0</v>
      </c>
      <c r="S41" s="14">
        <f>IF(ISNUMBER(Refsz_Verbräuche[[#This Row],[2028]]), Refsz_Verbräuche[[#This Row],[2028]]*Emissionsfaktoren[[#This Row],[2028]]/1000, 0)</f>
        <v>0</v>
      </c>
      <c r="T41" s="14">
        <f>IF(ISNUMBER(Refsz_Verbräuche[[#This Row],[2029]]), Refsz_Verbräuche[[#This Row],[2029]]*Emissionsfaktoren[[#This Row],[2029]]/1000, 0)</f>
        <v>0</v>
      </c>
      <c r="U41" s="14">
        <f>IF(ISNUMBER(Refsz_Verbräuche[[#This Row],[2030]]), Refsz_Verbräuche[[#This Row],[2030]]*Emissionsfaktoren[[#This Row],[2030]]/1000, 0)</f>
        <v>0</v>
      </c>
      <c r="V41" s="14">
        <f>IF(ISNUMBER(Refsz_Verbräuche[[#This Row],[2035]]), Refsz_Verbräuche[[#This Row],[2035]]*Emissionsfaktoren[[#This Row],[2035]]/1000, 0)</f>
        <v>0</v>
      </c>
      <c r="W41" s="14">
        <f>IF(ISNUMBER(Refsz_Verbräuche[[#This Row],[2040]]), Refsz_Verbräuche[[#This Row],[2040]]*Emissionsfaktoren[[#This Row],[2040]]/1000, 0)</f>
        <v>0</v>
      </c>
      <c r="X41" s="14">
        <f>IF(ISNUMBER(Refsz_Verbräuche[[#This Row],[2045]]), Refsz_Verbräuche[[#This Row],[2045]]*Emissionsfaktoren[[#This Row],[2045]]/1000, 0)</f>
        <v>0</v>
      </c>
      <c r="Y41" s="14">
        <f>IF(ISNUMBER(Refsz_Verbräuche[[#This Row],[2050]]), Refsz_Verbräuche[[#This Row],[2050]]*Emissionsfaktoren[[#This Row],[2050]]/1000, 0)</f>
        <v>0</v>
      </c>
      <c r="AA41" s="10"/>
    </row>
    <row r="42" spans="2:27" ht="16.5">
      <c r="B42" s="14">
        <v>25</v>
      </c>
      <c r="C42" s="14" t="str">
        <f>Refsz_Verbräuche[[#This Row],[Handlungsfeld]]</f>
        <v>Wärme</v>
      </c>
      <c r="D42" s="19" t="str">
        <f>Refsz_Verbräuche[[#This Row],[Datenpunkt]]</f>
        <v>Individuelle Wärmepumpe</v>
      </c>
      <c r="E42" t="s">
        <v>195</v>
      </c>
      <c r="F42" s="14">
        <f>IF(ISNUMBER(Refsz_Verbräuche[[#This Row],[2015]]), Refsz_Verbräuche[[#This Row],[2015]]*Emissionsfaktoren[[#This Row],[2015]]/1000, 0)</f>
        <v>0</v>
      </c>
      <c r="G42" s="14">
        <f>IF(ISNUMBER(Refsz_Verbräuche[[#This Row],[2016]]), Refsz_Verbräuche[[#This Row],[2016]]*Emissionsfaktoren[[#This Row],[2016]]/1000, 0)</f>
        <v>0</v>
      </c>
      <c r="H42" s="14">
        <f>IF(ISNUMBER(Refsz_Verbräuche[[#This Row],[2017]]), Refsz_Verbräuche[[#This Row],[2017]]*Emissionsfaktoren[[#This Row],[2017]]/1000, 0)</f>
        <v>0</v>
      </c>
      <c r="I42" s="14">
        <f>IF(ISNUMBER(Refsz_Verbräuche[[#This Row],[2018]]), Refsz_Verbräuche[[#This Row],[2018]]*Emissionsfaktoren[[#This Row],[2018]]/1000, 0)</f>
        <v>0</v>
      </c>
      <c r="J42" s="14">
        <f>IF(ISNUMBER(Refsz_Verbräuche[[#This Row],[2019]]), Refsz_Verbräuche[[#This Row],[2019]]*Emissionsfaktoren[[#This Row],[2019]]/1000, 0)</f>
        <v>0</v>
      </c>
      <c r="K42" s="14">
        <f>IF(ISNUMBER(Refsz_Verbräuche[[#This Row],[2020]]), Refsz_Verbräuche[[#This Row],[2020]]*Emissionsfaktoren[[#This Row],[2020]]/1000, 0)</f>
        <v>0</v>
      </c>
      <c r="L42" s="14">
        <f>IF(ISNUMBER(Refsz_Verbräuche[[#This Row],[2021]]), Refsz_Verbräuche[[#This Row],[2021]]*Emissionsfaktoren[[#This Row],[2021]]/1000, 0)</f>
        <v>0</v>
      </c>
      <c r="M42" s="14">
        <f>IF(ISNUMBER(Refsz_Verbräuche[[#This Row],[2022]]), Refsz_Verbräuche[[#This Row],[2022]]*Emissionsfaktoren[[#This Row],[2022]]/1000, 0)</f>
        <v>0</v>
      </c>
      <c r="N42" s="14">
        <f>IF(ISNUMBER(Refsz_Verbräuche[[#This Row],[2023]]), Refsz_Verbräuche[[#This Row],[2023]]*Emissionsfaktoren[[#This Row],[2023]]/1000, 0)</f>
        <v>0</v>
      </c>
      <c r="O42" s="14">
        <f>IF(ISNUMBER(Refsz_Verbräuche[[#This Row],[2024]]), Refsz_Verbräuche[[#This Row],[2024]]*Emissionsfaktoren[[#This Row],[2024]]/1000, 0)</f>
        <v>0</v>
      </c>
      <c r="P42" s="14">
        <f>IF(ISNUMBER(Refsz_Verbräuche[[#This Row],[2025]]), Refsz_Verbräuche[[#This Row],[2025]]*Emissionsfaktoren[[#This Row],[2025]]/1000, 0)</f>
        <v>0</v>
      </c>
      <c r="Q42" s="14">
        <f>IF(ISNUMBER(Refsz_Verbräuche[[#This Row],[2026]]), Refsz_Verbräuche[[#This Row],[2026]]*Emissionsfaktoren[[#This Row],[2026]]/1000, 0)</f>
        <v>0</v>
      </c>
      <c r="R42" s="14">
        <f>IF(ISNUMBER(Refsz_Verbräuche[[#This Row],[2027]]), Refsz_Verbräuche[[#This Row],[2027]]*Emissionsfaktoren[[#This Row],[2027]]/1000, 0)</f>
        <v>0</v>
      </c>
      <c r="S42" s="14">
        <f>IF(ISNUMBER(Refsz_Verbräuche[[#This Row],[2028]]), Refsz_Verbräuche[[#This Row],[2028]]*Emissionsfaktoren[[#This Row],[2028]]/1000, 0)</f>
        <v>0</v>
      </c>
      <c r="T42" s="14">
        <f>IF(ISNUMBER(Refsz_Verbräuche[[#This Row],[2029]]), Refsz_Verbräuche[[#This Row],[2029]]*Emissionsfaktoren[[#This Row],[2029]]/1000, 0)</f>
        <v>0</v>
      </c>
      <c r="U42" s="14">
        <f>IF(ISNUMBER(Refsz_Verbräuche[[#This Row],[2030]]), Refsz_Verbräuche[[#This Row],[2030]]*Emissionsfaktoren[[#This Row],[2030]]/1000, 0)</f>
        <v>0</v>
      </c>
      <c r="V42" s="14">
        <f>IF(ISNUMBER(Refsz_Verbräuche[[#This Row],[2035]]), Refsz_Verbräuche[[#This Row],[2035]]*Emissionsfaktoren[[#This Row],[2035]]/1000, 0)</f>
        <v>0</v>
      </c>
      <c r="W42" s="14">
        <f>IF(ISNUMBER(Refsz_Verbräuche[[#This Row],[2040]]), Refsz_Verbräuche[[#This Row],[2040]]*Emissionsfaktoren[[#This Row],[2040]]/1000, 0)</f>
        <v>0</v>
      </c>
      <c r="X42" s="14">
        <f>IF(ISNUMBER(Refsz_Verbräuche[[#This Row],[2045]]), Refsz_Verbräuche[[#This Row],[2045]]*Emissionsfaktoren[[#This Row],[2045]]/1000, 0)</f>
        <v>0</v>
      </c>
      <c r="Y42" s="14">
        <f>IF(ISNUMBER(Refsz_Verbräuche[[#This Row],[2050]]), Refsz_Verbräuche[[#This Row],[2050]]*Emissionsfaktoren[[#This Row],[2050]]/1000, 0)</f>
        <v>0</v>
      </c>
      <c r="AA42" s="10"/>
    </row>
    <row r="43" spans="2:27" ht="16.5">
      <c r="B43" s="14">
        <v>26</v>
      </c>
      <c r="C43" s="14" t="str">
        <f>Refsz_Verbräuche[[#This Row],[Handlungsfeld]]</f>
        <v>Kälte</v>
      </c>
      <c r="D43" s="19" t="str">
        <f>Refsz_Verbräuche[[#This Row],[Datenpunkt]]</f>
        <v>Nachfüllmenge Kältemittel (R22)</v>
      </c>
      <c r="E43" t="s">
        <v>195</v>
      </c>
      <c r="F43" s="14">
        <f>IF(ISNUMBER(Refsz_Verbräuche[[#This Row],[2015]]), Refsz_Verbräuche[[#This Row],[2015]]*Emissionsfaktoren[[#This Row],[2015]]/1000, 0)</f>
        <v>0</v>
      </c>
      <c r="G43" s="14">
        <f>IF(ISNUMBER(Refsz_Verbräuche[[#This Row],[2016]]), Refsz_Verbräuche[[#This Row],[2016]]*Emissionsfaktoren[[#This Row],[2016]]/1000, 0)</f>
        <v>0</v>
      </c>
      <c r="H43" s="14">
        <f>IF(ISNUMBER(Refsz_Verbräuche[[#This Row],[2017]]), Refsz_Verbräuche[[#This Row],[2017]]*Emissionsfaktoren[[#This Row],[2017]]/1000, 0)</f>
        <v>0</v>
      </c>
      <c r="I43" s="14">
        <f>IF(ISNUMBER(Refsz_Verbräuche[[#This Row],[2018]]), Refsz_Verbräuche[[#This Row],[2018]]*Emissionsfaktoren[[#This Row],[2018]]/1000, 0)</f>
        <v>0</v>
      </c>
      <c r="J43" s="14">
        <f>IF(ISNUMBER(Refsz_Verbräuche[[#This Row],[2019]]), Refsz_Verbräuche[[#This Row],[2019]]*Emissionsfaktoren[[#This Row],[2019]]/1000, 0)</f>
        <v>0</v>
      </c>
      <c r="K43" s="14">
        <f>IF(ISNUMBER(Refsz_Verbräuche[[#This Row],[2020]]), Refsz_Verbräuche[[#This Row],[2020]]*Emissionsfaktoren[[#This Row],[2020]]/1000, 0)</f>
        <v>0</v>
      </c>
      <c r="L43" s="14">
        <f>IF(ISNUMBER(Refsz_Verbräuche[[#This Row],[2021]]), Refsz_Verbräuche[[#This Row],[2021]]*Emissionsfaktoren[[#This Row],[2021]]/1000, 0)</f>
        <v>0</v>
      </c>
      <c r="M43" s="14">
        <f>IF(ISNUMBER(Refsz_Verbräuche[[#This Row],[2022]]), Refsz_Verbräuche[[#This Row],[2022]]*Emissionsfaktoren[[#This Row],[2022]]/1000, 0)</f>
        <v>0</v>
      </c>
      <c r="N43" s="14">
        <f>IF(ISNUMBER(Refsz_Verbräuche[[#This Row],[2023]]), Refsz_Verbräuche[[#This Row],[2023]]*Emissionsfaktoren[[#This Row],[2023]]/1000, 0)</f>
        <v>0</v>
      </c>
      <c r="O43" s="14">
        <f>IF(ISNUMBER(Refsz_Verbräuche[[#This Row],[2024]]), Refsz_Verbräuche[[#This Row],[2024]]*Emissionsfaktoren[[#This Row],[2024]]/1000, 0)</f>
        <v>0</v>
      </c>
      <c r="P43" s="14">
        <f>IF(ISNUMBER(Refsz_Verbräuche[[#This Row],[2025]]), Refsz_Verbräuche[[#This Row],[2025]]*Emissionsfaktoren[[#This Row],[2025]]/1000, 0)</f>
        <v>0</v>
      </c>
      <c r="Q43" s="14">
        <f>IF(ISNUMBER(Refsz_Verbräuche[[#This Row],[2026]]), Refsz_Verbräuche[[#This Row],[2026]]*Emissionsfaktoren[[#This Row],[2026]]/1000, 0)</f>
        <v>0</v>
      </c>
      <c r="R43" s="14">
        <f>IF(ISNUMBER(Refsz_Verbräuche[[#This Row],[2027]]), Refsz_Verbräuche[[#This Row],[2027]]*Emissionsfaktoren[[#This Row],[2027]]/1000, 0)</f>
        <v>0</v>
      </c>
      <c r="S43" s="14">
        <f>IF(ISNUMBER(Refsz_Verbräuche[[#This Row],[2028]]), Refsz_Verbräuche[[#This Row],[2028]]*Emissionsfaktoren[[#This Row],[2028]]/1000, 0)</f>
        <v>0</v>
      </c>
      <c r="T43" s="14">
        <f>IF(ISNUMBER(Refsz_Verbräuche[[#This Row],[2029]]), Refsz_Verbräuche[[#This Row],[2029]]*Emissionsfaktoren[[#This Row],[2029]]/1000, 0)</f>
        <v>0</v>
      </c>
      <c r="U43" s="14">
        <f>IF(ISNUMBER(Refsz_Verbräuche[[#This Row],[2030]]), Refsz_Verbräuche[[#This Row],[2030]]*Emissionsfaktoren[[#This Row],[2030]]/1000, 0)</f>
        <v>0</v>
      </c>
      <c r="V43" s="14">
        <f>IF(ISNUMBER(Refsz_Verbräuche[[#This Row],[2035]]), Refsz_Verbräuche[[#This Row],[2035]]*Emissionsfaktoren[[#This Row],[2035]]/1000, 0)</f>
        <v>0</v>
      </c>
      <c r="W43" s="14">
        <f>IF(ISNUMBER(Refsz_Verbräuche[[#This Row],[2040]]), Refsz_Verbräuche[[#This Row],[2040]]*Emissionsfaktoren[[#This Row],[2040]]/1000, 0)</f>
        <v>0</v>
      </c>
      <c r="X43" s="14">
        <f>IF(ISNUMBER(Refsz_Verbräuche[[#This Row],[2045]]), Refsz_Verbräuche[[#This Row],[2045]]*Emissionsfaktoren[[#This Row],[2045]]/1000, 0)</f>
        <v>0</v>
      </c>
      <c r="Y43" s="14">
        <f>IF(ISNUMBER(Refsz_Verbräuche[[#This Row],[2050]]), Refsz_Verbräuche[[#This Row],[2050]]*Emissionsfaktoren[[#This Row],[2050]]/1000, 0)</f>
        <v>0</v>
      </c>
      <c r="AA43" s="10"/>
    </row>
    <row r="44" spans="2:27" ht="16.5">
      <c r="B44" s="14">
        <v>27</v>
      </c>
      <c r="C44" s="14" t="str">
        <f>Refsz_Verbräuche[[#This Row],[Handlungsfeld]]</f>
        <v>Kälte</v>
      </c>
      <c r="D44" s="19" t="str">
        <f>Refsz_Verbräuche[[#This Row],[Datenpunkt]]</f>
        <v>Nachfüllmenge Kältemittel (R134A)</v>
      </c>
      <c r="E44" t="s">
        <v>195</v>
      </c>
      <c r="F44" s="14">
        <f>IF(ISNUMBER(Refsz_Verbräuche[[#This Row],[2015]]), Refsz_Verbräuche[[#This Row],[2015]]*Emissionsfaktoren[[#This Row],[2015]]/1000, 0)</f>
        <v>0</v>
      </c>
      <c r="G44" s="14">
        <f>IF(ISNUMBER(Refsz_Verbräuche[[#This Row],[2016]]), Refsz_Verbräuche[[#This Row],[2016]]*Emissionsfaktoren[[#This Row],[2016]]/1000, 0)</f>
        <v>0</v>
      </c>
      <c r="H44" s="14">
        <f>IF(ISNUMBER(Refsz_Verbräuche[[#This Row],[2017]]), Refsz_Verbräuche[[#This Row],[2017]]*Emissionsfaktoren[[#This Row],[2017]]/1000, 0)</f>
        <v>0</v>
      </c>
      <c r="I44" s="14">
        <f>IF(ISNUMBER(Refsz_Verbräuche[[#This Row],[2018]]), Refsz_Verbräuche[[#This Row],[2018]]*Emissionsfaktoren[[#This Row],[2018]]/1000, 0)</f>
        <v>0</v>
      </c>
      <c r="J44" s="14">
        <f>IF(ISNUMBER(Refsz_Verbräuche[[#This Row],[2019]]), Refsz_Verbräuche[[#This Row],[2019]]*Emissionsfaktoren[[#This Row],[2019]]/1000, 0)</f>
        <v>0</v>
      </c>
      <c r="K44" s="14">
        <f>IF(ISNUMBER(Refsz_Verbräuche[[#This Row],[2020]]), Refsz_Verbräuche[[#This Row],[2020]]*Emissionsfaktoren[[#This Row],[2020]]/1000, 0)</f>
        <v>0</v>
      </c>
      <c r="L44" s="14">
        <f>IF(ISNUMBER(Refsz_Verbräuche[[#This Row],[2021]]), Refsz_Verbräuche[[#This Row],[2021]]*Emissionsfaktoren[[#This Row],[2021]]/1000, 0)</f>
        <v>0</v>
      </c>
      <c r="M44" s="14">
        <f>IF(ISNUMBER(Refsz_Verbräuche[[#This Row],[2022]]), Refsz_Verbräuche[[#This Row],[2022]]*Emissionsfaktoren[[#This Row],[2022]]/1000, 0)</f>
        <v>0</v>
      </c>
      <c r="N44" s="14">
        <f>IF(ISNUMBER(Refsz_Verbräuche[[#This Row],[2023]]), Refsz_Verbräuche[[#This Row],[2023]]*Emissionsfaktoren[[#This Row],[2023]]/1000, 0)</f>
        <v>0</v>
      </c>
      <c r="O44" s="14">
        <f>IF(ISNUMBER(Refsz_Verbräuche[[#This Row],[2024]]), Refsz_Verbräuche[[#This Row],[2024]]*Emissionsfaktoren[[#This Row],[2024]]/1000, 0)</f>
        <v>0</v>
      </c>
      <c r="P44" s="14">
        <f>IF(ISNUMBER(Refsz_Verbräuche[[#This Row],[2025]]), Refsz_Verbräuche[[#This Row],[2025]]*Emissionsfaktoren[[#This Row],[2025]]/1000, 0)</f>
        <v>0</v>
      </c>
      <c r="Q44" s="14">
        <f>IF(ISNUMBER(Refsz_Verbräuche[[#This Row],[2026]]), Refsz_Verbräuche[[#This Row],[2026]]*Emissionsfaktoren[[#This Row],[2026]]/1000, 0)</f>
        <v>0</v>
      </c>
      <c r="R44" s="14">
        <f>IF(ISNUMBER(Refsz_Verbräuche[[#This Row],[2027]]), Refsz_Verbräuche[[#This Row],[2027]]*Emissionsfaktoren[[#This Row],[2027]]/1000, 0)</f>
        <v>0</v>
      </c>
      <c r="S44" s="14">
        <f>IF(ISNUMBER(Refsz_Verbräuche[[#This Row],[2028]]), Refsz_Verbräuche[[#This Row],[2028]]*Emissionsfaktoren[[#This Row],[2028]]/1000, 0)</f>
        <v>0</v>
      </c>
      <c r="T44" s="14">
        <f>IF(ISNUMBER(Refsz_Verbräuche[[#This Row],[2029]]), Refsz_Verbräuche[[#This Row],[2029]]*Emissionsfaktoren[[#This Row],[2029]]/1000, 0)</f>
        <v>0</v>
      </c>
      <c r="U44" s="14">
        <f>IF(ISNUMBER(Refsz_Verbräuche[[#This Row],[2030]]), Refsz_Verbräuche[[#This Row],[2030]]*Emissionsfaktoren[[#This Row],[2030]]/1000, 0)</f>
        <v>0</v>
      </c>
      <c r="V44" s="14">
        <f>IF(ISNUMBER(Refsz_Verbräuche[[#This Row],[2035]]), Refsz_Verbräuche[[#This Row],[2035]]*Emissionsfaktoren[[#This Row],[2035]]/1000, 0)</f>
        <v>0</v>
      </c>
      <c r="W44" s="14">
        <f>IF(ISNUMBER(Refsz_Verbräuche[[#This Row],[2040]]), Refsz_Verbräuche[[#This Row],[2040]]*Emissionsfaktoren[[#This Row],[2040]]/1000, 0)</f>
        <v>0</v>
      </c>
      <c r="X44" s="14">
        <f>IF(ISNUMBER(Refsz_Verbräuche[[#This Row],[2045]]), Refsz_Verbräuche[[#This Row],[2045]]*Emissionsfaktoren[[#This Row],[2045]]/1000, 0)</f>
        <v>0</v>
      </c>
      <c r="Y44" s="14">
        <f>IF(ISNUMBER(Refsz_Verbräuche[[#This Row],[2050]]), Refsz_Verbräuche[[#This Row],[2050]]*Emissionsfaktoren[[#This Row],[2050]]/1000, 0)</f>
        <v>0</v>
      </c>
      <c r="AA44" s="10"/>
    </row>
    <row r="45" spans="2:27" ht="16.5">
      <c r="B45" s="14">
        <v>28</v>
      </c>
      <c r="C45" s="14" t="str">
        <f>Refsz_Verbräuche[[#This Row],[Handlungsfeld]]</f>
        <v>Kälte</v>
      </c>
      <c r="D45" s="19" t="str">
        <f>Refsz_Verbräuche[[#This Row],[Datenpunkt]]</f>
        <v>Nachfüllmenge Kältemittel (R404A)</v>
      </c>
      <c r="E45" t="s">
        <v>195</v>
      </c>
      <c r="F45" s="14">
        <f>IF(ISNUMBER(Refsz_Verbräuche[[#This Row],[2015]]), Refsz_Verbräuche[[#This Row],[2015]]*Emissionsfaktoren[[#This Row],[2015]]/1000, 0)</f>
        <v>0</v>
      </c>
      <c r="G45" s="14">
        <f>IF(ISNUMBER(Refsz_Verbräuche[[#This Row],[2016]]), Refsz_Verbräuche[[#This Row],[2016]]*Emissionsfaktoren[[#This Row],[2016]]/1000, 0)</f>
        <v>0</v>
      </c>
      <c r="H45" s="14">
        <f>IF(ISNUMBER(Refsz_Verbräuche[[#This Row],[2017]]), Refsz_Verbräuche[[#This Row],[2017]]*Emissionsfaktoren[[#This Row],[2017]]/1000, 0)</f>
        <v>0</v>
      </c>
      <c r="I45" s="14">
        <f>IF(ISNUMBER(Refsz_Verbräuche[[#This Row],[2018]]), Refsz_Verbräuche[[#This Row],[2018]]*Emissionsfaktoren[[#This Row],[2018]]/1000, 0)</f>
        <v>0</v>
      </c>
      <c r="J45" s="14">
        <f>IF(ISNUMBER(Refsz_Verbräuche[[#This Row],[2019]]), Refsz_Verbräuche[[#This Row],[2019]]*Emissionsfaktoren[[#This Row],[2019]]/1000, 0)</f>
        <v>0</v>
      </c>
      <c r="K45" s="14">
        <f>IF(ISNUMBER(Refsz_Verbräuche[[#This Row],[2020]]), Refsz_Verbräuche[[#This Row],[2020]]*Emissionsfaktoren[[#This Row],[2020]]/1000, 0)</f>
        <v>0</v>
      </c>
      <c r="L45" s="14">
        <f>IF(ISNUMBER(Refsz_Verbräuche[[#This Row],[2021]]), Refsz_Verbräuche[[#This Row],[2021]]*Emissionsfaktoren[[#This Row],[2021]]/1000, 0)</f>
        <v>0</v>
      </c>
      <c r="M45" s="14">
        <f>IF(ISNUMBER(Refsz_Verbräuche[[#This Row],[2022]]), Refsz_Verbräuche[[#This Row],[2022]]*Emissionsfaktoren[[#This Row],[2022]]/1000, 0)</f>
        <v>0</v>
      </c>
      <c r="N45" s="14">
        <f>IF(ISNUMBER(Refsz_Verbräuche[[#This Row],[2023]]), Refsz_Verbräuche[[#This Row],[2023]]*Emissionsfaktoren[[#This Row],[2023]]/1000, 0)</f>
        <v>0</v>
      </c>
      <c r="O45" s="14">
        <f>IF(ISNUMBER(Refsz_Verbräuche[[#This Row],[2024]]), Refsz_Verbräuche[[#This Row],[2024]]*Emissionsfaktoren[[#This Row],[2024]]/1000, 0)</f>
        <v>0</v>
      </c>
      <c r="P45" s="14">
        <f>IF(ISNUMBER(Refsz_Verbräuche[[#This Row],[2025]]), Refsz_Verbräuche[[#This Row],[2025]]*Emissionsfaktoren[[#This Row],[2025]]/1000, 0)</f>
        <v>0</v>
      </c>
      <c r="Q45" s="14">
        <f>IF(ISNUMBER(Refsz_Verbräuche[[#This Row],[2026]]), Refsz_Verbräuche[[#This Row],[2026]]*Emissionsfaktoren[[#This Row],[2026]]/1000, 0)</f>
        <v>0</v>
      </c>
      <c r="R45" s="14">
        <f>IF(ISNUMBER(Refsz_Verbräuche[[#This Row],[2027]]), Refsz_Verbräuche[[#This Row],[2027]]*Emissionsfaktoren[[#This Row],[2027]]/1000, 0)</f>
        <v>0</v>
      </c>
      <c r="S45" s="14">
        <f>IF(ISNUMBER(Refsz_Verbräuche[[#This Row],[2028]]), Refsz_Verbräuche[[#This Row],[2028]]*Emissionsfaktoren[[#This Row],[2028]]/1000, 0)</f>
        <v>0</v>
      </c>
      <c r="T45" s="14">
        <f>IF(ISNUMBER(Refsz_Verbräuche[[#This Row],[2029]]), Refsz_Verbräuche[[#This Row],[2029]]*Emissionsfaktoren[[#This Row],[2029]]/1000, 0)</f>
        <v>0</v>
      </c>
      <c r="U45" s="14">
        <f>IF(ISNUMBER(Refsz_Verbräuche[[#This Row],[2030]]), Refsz_Verbräuche[[#This Row],[2030]]*Emissionsfaktoren[[#This Row],[2030]]/1000, 0)</f>
        <v>0</v>
      </c>
      <c r="V45" s="14">
        <f>IF(ISNUMBER(Refsz_Verbräuche[[#This Row],[2035]]), Refsz_Verbräuche[[#This Row],[2035]]*Emissionsfaktoren[[#This Row],[2035]]/1000, 0)</f>
        <v>0</v>
      </c>
      <c r="W45" s="14">
        <f>IF(ISNUMBER(Refsz_Verbräuche[[#This Row],[2040]]), Refsz_Verbräuche[[#This Row],[2040]]*Emissionsfaktoren[[#This Row],[2040]]/1000, 0)</f>
        <v>0</v>
      </c>
      <c r="X45" s="14">
        <f>IF(ISNUMBER(Refsz_Verbräuche[[#This Row],[2045]]), Refsz_Verbräuche[[#This Row],[2045]]*Emissionsfaktoren[[#This Row],[2045]]/1000, 0)</f>
        <v>0</v>
      </c>
      <c r="Y45" s="14">
        <f>IF(ISNUMBER(Refsz_Verbräuche[[#This Row],[2050]]), Refsz_Verbräuche[[#This Row],[2050]]*Emissionsfaktoren[[#This Row],[2050]]/1000, 0)</f>
        <v>0</v>
      </c>
      <c r="AA45" s="10"/>
    </row>
    <row r="46" spans="2:27" ht="16.5">
      <c r="B46" s="14">
        <v>29</v>
      </c>
      <c r="C46" s="14" t="str">
        <f>Refsz_Verbräuche[[#This Row],[Handlungsfeld]]</f>
        <v>Kälte</v>
      </c>
      <c r="D46" s="19" t="str">
        <f>Refsz_Verbräuche[[#This Row],[Datenpunkt]]</f>
        <v>Nachfüllmenge Kältemittel (R410A)</v>
      </c>
      <c r="E46" t="s">
        <v>195</v>
      </c>
      <c r="F46" s="14">
        <f>IF(ISNUMBER(Refsz_Verbräuche[[#This Row],[2015]]), Refsz_Verbräuche[[#This Row],[2015]]*Emissionsfaktoren[[#This Row],[2015]]/1000, 0)</f>
        <v>0</v>
      </c>
      <c r="G46" s="14">
        <f>IF(ISNUMBER(Refsz_Verbräuche[[#This Row],[2016]]), Refsz_Verbräuche[[#This Row],[2016]]*Emissionsfaktoren[[#This Row],[2016]]/1000, 0)</f>
        <v>0</v>
      </c>
      <c r="H46" s="14">
        <f>IF(ISNUMBER(Refsz_Verbräuche[[#This Row],[2017]]), Refsz_Verbräuche[[#This Row],[2017]]*Emissionsfaktoren[[#This Row],[2017]]/1000, 0)</f>
        <v>0</v>
      </c>
      <c r="I46" s="14">
        <f>IF(ISNUMBER(Refsz_Verbräuche[[#This Row],[2018]]), Refsz_Verbräuche[[#This Row],[2018]]*Emissionsfaktoren[[#This Row],[2018]]/1000, 0)</f>
        <v>0</v>
      </c>
      <c r="J46" s="14">
        <f>IF(ISNUMBER(Refsz_Verbräuche[[#This Row],[2019]]), Refsz_Verbräuche[[#This Row],[2019]]*Emissionsfaktoren[[#This Row],[2019]]/1000, 0)</f>
        <v>0</v>
      </c>
      <c r="K46" s="14">
        <f>IF(ISNUMBER(Refsz_Verbräuche[[#This Row],[2020]]), Refsz_Verbräuche[[#This Row],[2020]]*Emissionsfaktoren[[#This Row],[2020]]/1000, 0)</f>
        <v>0</v>
      </c>
      <c r="L46" s="14">
        <f>IF(ISNUMBER(Refsz_Verbräuche[[#This Row],[2021]]), Refsz_Verbräuche[[#This Row],[2021]]*Emissionsfaktoren[[#This Row],[2021]]/1000, 0)</f>
        <v>0</v>
      </c>
      <c r="M46" s="14">
        <f>IF(ISNUMBER(Refsz_Verbräuche[[#This Row],[2022]]), Refsz_Verbräuche[[#This Row],[2022]]*Emissionsfaktoren[[#This Row],[2022]]/1000, 0)</f>
        <v>0</v>
      </c>
      <c r="N46" s="14">
        <f>IF(ISNUMBER(Refsz_Verbräuche[[#This Row],[2023]]), Refsz_Verbräuche[[#This Row],[2023]]*Emissionsfaktoren[[#This Row],[2023]]/1000, 0)</f>
        <v>0</v>
      </c>
      <c r="O46" s="14">
        <f>IF(ISNUMBER(Refsz_Verbräuche[[#This Row],[2024]]), Refsz_Verbräuche[[#This Row],[2024]]*Emissionsfaktoren[[#This Row],[2024]]/1000, 0)</f>
        <v>0</v>
      </c>
      <c r="P46" s="14">
        <f>IF(ISNUMBER(Refsz_Verbräuche[[#This Row],[2025]]), Refsz_Verbräuche[[#This Row],[2025]]*Emissionsfaktoren[[#This Row],[2025]]/1000, 0)</f>
        <v>0</v>
      </c>
      <c r="Q46" s="14">
        <f>IF(ISNUMBER(Refsz_Verbräuche[[#This Row],[2026]]), Refsz_Verbräuche[[#This Row],[2026]]*Emissionsfaktoren[[#This Row],[2026]]/1000, 0)</f>
        <v>0</v>
      </c>
      <c r="R46" s="14">
        <f>IF(ISNUMBER(Refsz_Verbräuche[[#This Row],[2027]]), Refsz_Verbräuche[[#This Row],[2027]]*Emissionsfaktoren[[#This Row],[2027]]/1000, 0)</f>
        <v>0</v>
      </c>
      <c r="S46" s="14">
        <f>IF(ISNUMBER(Refsz_Verbräuche[[#This Row],[2028]]), Refsz_Verbräuche[[#This Row],[2028]]*Emissionsfaktoren[[#This Row],[2028]]/1000, 0)</f>
        <v>0</v>
      </c>
      <c r="T46" s="14">
        <f>IF(ISNUMBER(Refsz_Verbräuche[[#This Row],[2029]]), Refsz_Verbräuche[[#This Row],[2029]]*Emissionsfaktoren[[#This Row],[2029]]/1000, 0)</f>
        <v>0</v>
      </c>
      <c r="U46" s="14">
        <f>IF(ISNUMBER(Refsz_Verbräuche[[#This Row],[2030]]), Refsz_Verbräuche[[#This Row],[2030]]*Emissionsfaktoren[[#This Row],[2030]]/1000, 0)</f>
        <v>0</v>
      </c>
      <c r="V46" s="14">
        <f>IF(ISNUMBER(Refsz_Verbräuche[[#This Row],[2035]]), Refsz_Verbräuche[[#This Row],[2035]]*Emissionsfaktoren[[#This Row],[2035]]/1000, 0)</f>
        <v>0</v>
      </c>
      <c r="W46" s="14">
        <f>IF(ISNUMBER(Refsz_Verbräuche[[#This Row],[2040]]), Refsz_Verbräuche[[#This Row],[2040]]*Emissionsfaktoren[[#This Row],[2040]]/1000, 0)</f>
        <v>0</v>
      </c>
      <c r="X46" s="14">
        <f>IF(ISNUMBER(Refsz_Verbräuche[[#This Row],[2045]]), Refsz_Verbräuche[[#This Row],[2045]]*Emissionsfaktoren[[#This Row],[2045]]/1000, 0)</f>
        <v>0</v>
      </c>
      <c r="Y46" s="14">
        <f>IF(ISNUMBER(Refsz_Verbräuche[[#This Row],[2050]]), Refsz_Verbräuche[[#This Row],[2050]]*Emissionsfaktoren[[#This Row],[2050]]/1000, 0)</f>
        <v>0</v>
      </c>
      <c r="AA46" s="10"/>
    </row>
    <row r="47" spans="2:27" ht="16.5">
      <c r="B47" s="14">
        <v>30</v>
      </c>
      <c r="C47" s="14">
        <f>Refsz_Verbräuche[[#This Row],[Handlungsfeld]]</f>
        <v>0</v>
      </c>
      <c r="D47" s="19">
        <f>Refsz_Verbräuche[[#This Row],[Datenpunkt]]</f>
        <v>0</v>
      </c>
      <c r="E47" t="s">
        <v>195</v>
      </c>
      <c r="F47" s="14">
        <f>IF(ISNUMBER(Refsz_Verbräuche[[#This Row],[2015]]), Refsz_Verbräuche[[#This Row],[2015]]*Emissionsfaktoren[[#This Row],[2015]]/1000, 0)</f>
        <v>0</v>
      </c>
      <c r="G47" s="14">
        <f>IF(ISNUMBER(Refsz_Verbräuche[[#This Row],[2016]]), Refsz_Verbräuche[[#This Row],[2016]]*Emissionsfaktoren[[#This Row],[2016]]/1000, 0)</f>
        <v>0</v>
      </c>
      <c r="H47" s="14">
        <f>IF(ISNUMBER(Refsz_Verbräuche[[#This Row],[2017]]), Refsz_Verbräuche[[#This Row],[2017]]*Emissionsfaktoren[[#This Row],[2017]]/1000, 0)</f>
        <v>0</v>
      </c>
      <c r="I47" s="14">
        <f>IF(ISNUMBER(Refsz_Verbräuche[[#This Row],[2018]]), Refsz_Verbräuche[[#This Row],[2018]]*Emissionsfaktoren[[#This Row],[2018]]/1000, 0)</f>
        <v>0</v>
      </c>
      <c r="J47" s="14">
        <f>IF(ISNUMBER(Refsz_Verbräuche[[#This Row],[2019]]), Refsz_Verbräuche[[#This Row],[2019]]*Emissionsfaktoren[[#This Row],[2019]]/1000, 0)</f>
        <v>0</v>
      </c>
      <c r="K47" s="14">
        <f>IF(ISNUMBER(Refsz_Verbräuche[[#This Row],[2020]]), Refsz_Verbräuche[[#This Row],[2020]]*Emissionsfaktoren[[#This Row],[2020]]/1000, 0)</f>
        <v>0</v>
      </c>
      <c r="L47" s="14">
        <f>IF(ISNUMBER(Refsz_Verbräuche[[#This Row],[2021]]), Refsz_Verbräuche[[#This Row],[2021]]*Emissionsfaktoren[[#This Row],[2021]]/1000, 0)</f>
        <v>0</v>
      </c>
      <c r="M47" s="14">
        <f>IF(ISNUMBER(Refsz_Verbräuche[[#This Row],[2022]]), Refsz_Verbräuche[[#This Row],[2022]]*Emissionsfaktoren[[#This Row],[2022]]/1000, 0)</f>
        <v>0</v>
      </c>
      <c r="N47" s="14">
        <f>IF(ISNUMBER(Refsz_Verbräuche[[#This Row],[2023]]), Refsz_Verbräuche[[#This Row],[2023]]*Emissionsfaktoren[[#This Row],[2023]]/1000, 0)</f>
        <v>0</v>
      </c>
      <c r="O47" s="14">
        <f>IF(ISNUMBER(Refsz_Verbräuche[[#This Row],[2024]]), Refsz_Verbräuche[[#This Row],[2024]]*Emissionsfaktoren[[#This Row],[2024]]/1000, 0)</f>
        <v>0</v>
      </c>
      <c r="P47" s="14">
        <f>IF(ISNUMBER(Refsz_Verbräuche[[#This Row],[2025]]), Refsz_Verbräuche[[#This Row],[2025]]*Emissionsfaktoren[[#This Row],[2025]]/1000, 0)</f>
        <v>0</v>
      </c>
      <c r="Q47" s="14">
        <f>IF(ISNUMBER(Refsz_Verbräuche[[#This Row],[2026]]), Refsz_Verbräuche[[#This Row],[2026]]*Emissionsfaktoren[[#This Row],[2026]]/1000, 0)</f>
        <v>0</v>
      </c>
      <c r="R47" s="14">
        <f>IF(ISNUMBER(Refsz_Verbräuche[[#This Row],[2027]]), Refsz_Verbräuche[[#This Row],[2027]]*Emissionsfaktoren[[#This Row],[2027]]/1000, 0)</f>
        <v>0</v>
      </c>
      <c r="S47" s="14">
        <f>IF(ISNUMBER(Refsz_Verbräuche[[#This Row],[2028]]), Refsz_Verbräuche[[#This Row],[2028]]*Emissionsfaktoren[[#This Row],[2028]]/1000, 0)</f>
        <v>0</v>
      </c>
      <c r="T47" s="14">
        <f>IF(ISNUMBER(Refsz_Verbräuche[[#This Row],[2029]]), Refsz_Verbräuche[[#This Row],[2029]]*Emissionsfaktoren[[#This Row],[2029]]/1000, 0)</f>
        <v>0</v>
      </c>
      <c r="U47" s="14">
        <f>IF(ISNUMBER(Refsz_Verbräuche[[#This Row],[2030]]), Refsz_Verbräuche[[#This Row],[2030]]*Emissionsfaktoren[[#This Row],[2030]]/1000, 0)</f>
        <v>0</v>
      </c>
      <c r="V47" s="14">
        <f>IF(ISNUMBER(Refsz_Verbräuche[[#This Row],[2035]]), Refsz_Verbräuche[[#This Row],[2035]]*Emissionsfaktoren[[#This Row],[2035]]/1000, 0)</f>
        <v>0</v>
      </c>
      <c r="W47" s="14">
        <f>IF(ISNUMBER(Refsz_Verbräuche[[#This Row],[2040]]), Refsz_Verbräuche[[#This Row],[2040]]*Emissionsfaktoren[[#This Row],[2040]]/1000, 0)</f>
        <v>0</v>
      </c>
      <c r="X47" s="14">
        <f>IF(ISNUMBER(Refsz_Verbräuche[[#This Row],[2045]]), Refsz_Verbräuche[[#This Row],[2045]]*Emissionsfaktoren[[#This Row],[2045]]/1000, 0)</f>
        <v>0</v>
      </c>
      <c r="Y47" s="14">
        <f>IF(ISNUMBER(Refsz_Verbräuche[[#This Row],[2050]]), Refsz_Verbräuche[[#This Row],[2050]]*Emissionsfaktoren[[#This Row],[2050]]/1000, 0)</f>
        <v>0</v>
      </c>
    </row>
    <row r="48" spans="2:27" ht="16.5">
      <c r="B48" s="14">
        <v>31</v>
      </c>
      <c r="C48" s="14" t="str">
        <f>Refsz_Verbräuche[[#This Row],[Handlungsfeld]]</f>
        <v>Mobilität 1</v>
      </c>
      <c r="D48" s="19" t="str">
        <f>Refsz_Verbräuche[[#This Row],[Datenpunkt]]</f>
        <v>Fuhrpark (Diesel)</v>
      </c>
      <c r="E48" t="s">
        <v>195</v>
      </c>
      <c r="F48" s="14">
        <f>IF(ISNUMBER(Refsz_Verbräuche[[#This Row],[2015]]), Refsz_Verbräuche[[#This Row],[2015]]*Emissionsfaktoren[[#This Row],[2015]]/1000, 0)</f>
        <v>0</v>
      </c>
      <c r="G48" s="14">
        <f>IF(ISNUMBER(Refsz_Verbräuche[[#This Row],[2016]]), Refsz_Verbräuche[[#This Row],[2016]]*Emissionsfaktoren[[#This Row],[2016]]/1000, 0)</f>
        <v>0</v>
      </c>
      <c r="H48" s="14">
        <f>IF(ISNUMBER(Refsz_Verbräuche[[#This Row],[2017]]), Refsz_Verbräuche[[#This Row],[2017]]*Emissionsfaktoren[[#This Row],[2017]]/1000, 0)</f>
        <v>0</v>
      </c>
      <c r="I48" s="14">
        <f>IF(ISNUMBER(Refsz_Verbräuche[[#This Row],[2018]]), Refsz_Verbräuche[[#This Row],[2018]]*Emissionsfaktoren[[#This Row],[2018]]/1000, 0)</f>
        <v>0</v>
      </c>
      <c r="J48" s="14">
        <f>IF(ISNUMBER(Refsz_Verbräuche[[#This Row],[2019]]), Refsz_Verbräuche[[#This Row],[2019]]*Emissionsfaktoren[[#This Row],[2019]]/1000, 0)</f>
        <v>0</v>
      </c>
      <c r="K48" s="14">
        <f>IF(ISNUMBER(Refsz_Verbräuche[[#This Row],[2020]]), Refsz_Verbräuche[[#This Row],[2020]]*Emissionsfaktoren[[#This Row],[2020]]/1000, 0)</f>
        <v>0</v>
      </c>
      <c r="L48" s="14">
        <f>IF(ISNUMBER(Refsz_Verbräuche[[#This Row],[2021]]), Refsz_Verbräuche[[#This Row],[2021]]*Emissionsfaktoren[[#This Row],[2021]]/1000, 0)</f>
        <v>0</v>
      </c>
      <c r="M48" s="14">
        <f>IF(ISNUMBER(Refsz_Verbräuche[[#This Row],[2022]]), Refsz_Verbräuche[[#This Row],[2022]]*Emissionsfaktoren[[#This Row],[2022]]/1000, 0)</f>
        <v>0</v>
      </c>
      <c r="N48" s="14">
        <f>IF(ISNUMBER(Refsz_Verbräuche[[#This Row],[2023]]), Refsz_Verbräuche[[#This Row],[2023]]*Emissionsfaktoren[[#This Row],[2023]]/1000, 0)</f>
        <v>0</v>
      </c>
      <c r="O48" s="14">
        <f>IF(ISNUMBER(Refsz_Verbräuche[[#This Row],[2024]]), Refsz_Verbräuche[[#This Row],[2024]]*Emissionsfaktoren[[#This Row],[2024]]/1000, 0)</f>
        <v>0</v>
      </c>
      <c r="P48" s="14">
        <f>IF(ISNUMBER(Refsz_Verbräuche[[#This Row],[2025]]), Refsz_Verbräuche[[#This Row],[2025]]*Emissionsfaktoren[[#This Row],[2025]]/1000, 0)</f>
        <v>0</v>
      </c>
      <c r="Q48" s="14">
        <f>IF(ISNUMBER(Refsz_Verbräuche[[#This Row],[2026]]), Refsz_Verbräuche[[#This Row],[2026]]*Emissionsfaktoren[[#This Row],[2026]]/1000, 0)</f>
        <v>0</v>
      </c>
      <c r="R48" s="14">
        <f>IF(ISNUMBER(Refsz_Verbräuche[[#This Row],[2027]]), Refsz_Verbräuche[[#This Row],[2027]]*Emissionsfaktoren[[#This Row],[2027]]/1000, 0)</f>
        <v>0</v>
      </c>
      <c r="S48" s="14">
        <f>IF(ISNUMBER(Refsz_Verbräuche[[#This Row],[2028]]), Refsz_Verbräuche[[#This Row],[2028]]*Emissionsfaktoren[[#This Row],[2028]]/1000, 0)</f>
        <v>0</v>
      </c>
      <c r="T48" s="14">
        <f>IF(ISNUMBER(Refsz_Verbräuche[[#This Row],[2029]]), Refsz_Verbräuche[[#This Row],[2029]]*Emissionsfaktoren[[#This Row],[2029]]/1000, 0)</f>
        <v>0</v>
      </c>
      <c r="U48" s="14">
        <f>IF(ISNUMBER(Refsz_Verbräuche[[#This Row],[2030]]), Refsz_Verbräuche[[#This Row],[2030]]*Emissionsfaktoren[[#This Row],[2030]]/1000, 0)</f>
        <v>0</v>
      </c>
      <c r="V48" s="14">
        <f>IF(ISNUMBER(Refsz_Verbräuche[[#This Row],[2035]]), Refsz_Verbräuche[[#This Row],[2035]]*Emissionsfaktoren[[#This Row],[2035]]/1000, 0)</f>
        <v>0</v>
      </c>
      <c r="W48" s="14">
        <f>IF(ISNUMBER(Refsz_Verbräuche[[#This Row],[2040]]), Refsz_Verbräuche[[#This Row],[2040]]*Emissionsfaktoren[[#This Row],[2040]]/1000, 0)</f>
        <v>0</v>
      </c>
      <c r="X48" s="14">
        <f>IF(ISNUMBER(Refsz_Verbräuche[[#This Row],[2045]]), Refsz_Verbräuche[[#This Row],[2045]]*Emissionsfaktoren[[#This Row],[2045]]/1000, 0)</f>
        <v>0</v>
      </c>
      <c r="Y48" s="14">
        <f>IF(ISNUMBER(Refsz_Verbräuche[[#This Row],[2050]]), Refsz_Verbräuche[[#This Row],[2050]]*Emissionsfaktoren[[#This Row],[2050]]/1000, 0)</f>
        <v>0</v>
      </c>
    </row>
    <row r="49" spans="2:25" ht="16.5">
      <c r="B49" s="14">
        <v>32</v>
      </c>
      <c r="C49" s="14" t="str">
        <f>Refsz_Verbräuche[[#This Row],[Handlungsfeld]]</f>
        <v>Mobilität 1</v>
      </c>
      <c r="D49" s="19" t="str">
        <f>Refsz_Verbräuche[[#This Row],[Datenpunkt]]</f>
        <v>Fuhrpark (Benzin)</v>
      </c>
      <c r="E49" t="s">
        <v>195</v>
      </c>
      <c r="F49" s="14">
        <f>IF(ISNUMBER(Refsz_Verbräuche[[#This Row],[2015]]), Refsz_Verbräuche[[#This Row],[2015]]*Emissionsfaktoren[[#This Row],[2015]]/1000, 0)</f>
        <v>0</v>
      </c>
      <c r="G49" s="14">
        <f>IF(ISNUMBER(Refsz_Verbräuche[[#This Row],[2016]]), Refsz_Verbräuche[[#This Row],[2016]]*Emissionsfaktoren[[#This Row],[2016]]/1000, 0)</f>
        <v>0</v>
      </c>
      <c r="H49" s="14">
        <f>IF(ISNUMBER(Refsz_Verbräuche[[#This Row],[2017]]), Refsz_Verbräuche[[#This Row],[2017]]*Emissionsfaktoren[[#This Row],[2017]]/1000, 0)</f>
        <v>0</v>
      </c>
      <c r="I49" s="14">
        <f>IF(ISNUMBER(Refsz_Verbräuche[[#This Row],[2018]]), Refsz_Verbräuche[[#This Row],[2018]]*Emissionsfaktoren[[#This Row],[2018]]/1000, 0)</f>
        <v>0</v>
      </c>
      <c r="J49" s="14">
        <f>IF(ISNUMBER(Refsz_Verbräuche[[#This Row],[2019]]), Refsz_Verbräuche[[#This Row],[2019]]*Emissionsfaktoren[[#This Row],[2019]]/1000, 0)</f>
        <v>0</v>
      </c>
      <c r="K49" s="14">
        <f>IF(ISNUMBER(Refsz_Verbräuche[[#This Row],[2020]]), Refsz_Verbräuche[[#This Row],[2020]]*Emissionsfaktoren[[#This Row],[2020]]/1000, 0)</f>
        <v>0</v>
      </c>
      <c r="L49" s="14">
        <f>IF(ISNUMBER(Refsz_Verbräuche[[#This Row],[2021]]), Refsz_Verbräuche[[#This Row],[2021]]*Emissionsfaktoren[[#This Row],[2021]]/1000, 0)</f>
        <v>0</v>
      </c>
      <c r="M49" s="14">
        <f>IF(ISNUMBER(Refsz_Verbräuche[[#This Row],[2022]]), Refsz_Verbräuche[[#This Row],[2022]]*Emissionsfaktoren[[#This Row],[2022]]/1000, 0)</f>
        <v>0</v>
      </c>
      <c r="N49" s="14">
        <f>IF(ISNUMBER(Refsz_Verbräuche[[#This Row],[2023]]), Refsz_Verbräuche[[#This Row],[2023]]*Emissionsfaktoren[[#This Row],[2023]]/1000, 0)</f>
        <v>0</v>
      </c>
      <c r="O49" s="14">
        <f>IF(ISNUMBER(Refsz_Verbräuche[[#This Row],[2024]]), Refsz_Verbräuche[[#This Row],[2024]]*Emissionsfaktoren[[#This Row],[2024]]/1000, 0)</f>
        <v>0</v>
      </c>
      <c r="P49" s="14">
        <f>IF(ISNUMBER(Refsz_Verbräuche[[#This Row],[2025]]), Refsz_Verbräuche[[#This Row],[2025]]*Emissionsfaktoren[[#This Row],[2025]]/1000, 0)</f>
        <v>0</v>
      </c>
      <c r="Q49" s="14">
        <f>IF(ISNUMBER(Refsz_Verbräuche[[#This Row],[2026]]), Refsz_Verbräuche[[#This Row],[2026]]*Emissionsfaktoren[[#This Row],[2026]]/1000, 0)</f>
        <v>0</v>
      </c>
      <c r="R49" s="14">
        <f>IF(ISNUMBER(Refsz_Verbräuche[[#This Row],[2027]]), Refsz_Verbräuche[[#This Row],[2027]]*Emissionsfaktoren[[#This Row],[2027]]/1000, 0)</f>
        <v>0</v>
      </c>
      <c r="S49" s="14">
        <f>IF(ISNUMBER(Refsz_Verbräuche[[#This Row],[2028]]), Refsz_Verbräuche[[#This Row],[2028]]*Emissionsfaktoren[[#This Row],[2028]]/1000, 0)</f>
        <v>0</v>
      </c>
      <c r="T49" s="14">
        <f>IF(ISNUMBER(Refsz_Verbräuche[[#This Row],[2029]]), Refsz_Verbräuche[[#This Row],[2029]]*Emissionsfaktoren[[#This Row],[2029]]/1000, 0)</f>
        <v>0</v>
      </c>
      <c r="U49" s="14">
        <f>IF(ISNUMBER(Refsz_Verbräuche[[#This Row],[2030]]), Refsz_Verbräuche[[#This Row],[2030]]*Emissionsfaktoren[[#This Row],[2030]]/1000, 0)</f>
        <v>0</v>
      </c>
      <c r="V49" s="14">
        <f>IF(ISNUMBER(Refsz_Verbräuche[[#This Row],[2035]]), Refsz_Verbräuche[[#This Row],[2035]]*Emissionsfaktoren[[#This Row],[2035]]/1000, 0)</f>
        <v>0</v>
      </c>
      <c r="W49" s="14">
        <f>IF(ISNUMBER(Refsz_Verbräuche[[#This Row],[2040]]), Refsz_Verbräuche[[#This Row],[2040]]*Emissionsfaktoren[[#This Row],[2040]]/1000, 0)</f>
        <v>0</v>
      </c>
      <c r="X49" s="14">
        <f>IF(ISNUMBER(Refsz_Verbräuche[[#This Row],[2045]]), Refsz_Verbräuche[[#This Row],[2045]]*Emissionsfaktoren[[#This Row],[2045]]/1000, 0)</f>
        <v>0</v>
      </c>
      <c r="Y49" s="14">
        <f>IF(ISNUMBER(Refsz_Verbräuche[[#This Row],[2050]]), Refsz_Verbräuche[[#This Row],[2050]]*Emissionsfaktoren[[#This Row],[2050]]/1000, 0)</f>
        <v>0</v>
      </c>
    </row>
    <row r="50" spans="2:25" ht="16.5">
      <c r="B50" s="14">
        <v>33</v>
      </c>
      <c r="C50" s="14" t="str">
        <f>Refsz_Verbräuche[[#This Row],[Handlungsfeld]]</f>
        <v>Mobilität 1</v>
      </c>
      <c r="D50" s="19" t="str">
        <f>Refsz_Verbräuche[[#This Row],[Datenpunkt]]</f>
        <v>Fuhrpark (E-Auto/ BEV)</v>
      </c>
      <c r="E50" t="s">
        <v>195</v>
      </c>
      <c r="F50" s="14">
        <f>IF(ISNUMBER(Refsz_Verbräuche[[#This Row],[2015]]), Refsz_Verbräuche[[#This Row],[2015]]*Emissionsfaktoren[[#This Row],[2015]]/1000, 0)</f>
        <v>0</v>
      </c>
      <c r="G50" s="14">
        <f>IF(ISNUMBER(Refsz_Verbräuche[[#This Row],[2016]]), Refsz_Verbräuche[[#This Row],[2016]]*Emissionsfaktoren[[#This Row],[2016]]/1000, 0)</f>
        <v>0</v>
      </c>
      <c r="H50" s="14">
        <f>IF(ISNUMBER(Refsz_Verbräuche[[#This Row],[2017]]), Refsz_Verbräuche[[#This Row],[2017]]*Emissionsfaktoren[[#This Row],[2017]]/1000, 0)</f>
        <v>0</v>
      </c>
      <c r="I50" s="14">
        <f>IF(ISNUMBER(Refsz_Verbräuche[[#This Row],[2018]]), Refsz_Verbräuche[[#This Row],[2018]]*Emissionsfaktoren[[#This Row],[2018]]/1000, 0)</f>
        <v>0</v>
      </c>
      <c r="J50" s="14">
        <f>IF(ISNUMBER(Refsz_Verbräuche[[#This Row],[2019]]), Refsz_Verbräuche[[#This Row],[2019]]*Emissionsfaktoren[[#This Row],[2019]]/1000, 0)</f>
        <v>0</v>
      </c>
      <c r="K50" s="14">
        <f>IF(ISNUMBER(Refsz_Verbräuche[[#This Row],[2020]]), Refsz_Verbräuche[[#This Row],[2020]]*Emissionsfaktoren[[#This Row],[2020]]/1000, 0)</f>
        <v>0</v>
      </c>
      <c r="L50" s="14">
        <f>IF(ISNUMBER(Refsz_Verbräuche[[#This Row],[2021]]), Refsz_Verbräuche[[#This Row],[2021]]*Emissionsfaktoren[[#This Row],[2021]]/1000, 0)</f>
        <v>0</v>
      </c>
      <c r="M50" s="14">
        <f>IF(ISNUMBER(Refsz_Verbräuche[[#This Row],[2022]]), Refsz_Verbräuche[[#This Row],[2022]]*Emissionsfaktoren[[#This Row],[2022]]/1000, 0)</f>
        <v>0</v>
      </c>
      <c r="N50" s="14">
        <f>IF(ISNUMBER(Refsz_Verbräuche[[#This Row],[2023]]), Refsz_Verbräuche[[#This Row],[2023]]*Emissionsfaktoren[[#This Row],[2023]]/1000, 0)</f>
        <v>0</v>
      </c>
      <c r="O50" s="14">
        <f>IF(ISNUMBER(Refsz_Verbräuche[[#This Row],[2024]]), Refsz_Verbräuche[[#This Row],[2024]]*Emissionsfaktoren[[#This Row],[2024]]/1000, 0)</f>
        <v>0</v>
      </c>
      <c r="P50" s="14">
        <f>IF(ISNUMBER(Refsz_Verbräuche[[#This Row],[2025]]), Refsz_Verbräuche[[#This Row],[2025]]*Emissionsfaktoren[[#This Row],[2025]]/1000, 0)</f>
        <v>0</v>
      </c>
      <c r="Q50" s="14">
        <f>IF(ISNUMBER(Refsz_Verbräuche[[#This Row],[2026]]), Refsz_Verbräuche[[#This Row],[2026]]*Emissionsfaktoren[[#This Row],[2026]]/1000, 0)</f>
        <v>0</v>
      </c>
      <c r="R50" s="14">
        <f>IF(ISNUMBER(Refsz_Verbräuche[[#This Row],[2027]]), Refsz_Verbräuche[[#This Row],[2027]]*Emissionsfaktoren[[#This Row],[2027]]/1000, 0)</f>
        <v>0</v>
      </c>
      <c r="S50" s="14">
        <f>IF(ISNUMBER(Refsz_Verbräuche[[#This Row],[2028]]), Refsz_Verbräuche[[#This Row],[2028]]*Emissionsfaktoren[[#This Row],[2028]]/1000, 0)</f>
        <v>0</v>
      </c>
      <c r="T50" s="14">
        <f>IF(ISNUMBER(Refsz_Verbräuche[[#This Row],[2029]]), Refsz_Verbräuche[[#This Row],[2029]]*Emissionsfaktoren[[#This Row],[2029]]/1000, 0)</f>
        <v>0</v>
      </c>
      <c r="U50" s="14">
        <f>IF(ISNUMBER(Refsz_Verbräuche[[#This Row],[2030]]), Refsz_Verbräuche[[#This Row],[2030]]*Emissionsfaktoren[[#This Row],[2030]]/1000, 0)</f>
        <v>0</v>
      </c>
      <c r="V50" s="14">
        <f>IF(ISNUMBER(Refsz_Verbräuche[[#This Row],[2035]]), Refsz_Verbräuche[[#This Row],[2035]]*Emissionsfaktoren[[#This Row],[2035]]/1000, 0)</f>
        <v>0</v>
      </c>
      <c r="W50" s="14">
        <f>IF(ISNUMBER(Refsz_Verbräuche[[#This Row],[2040]]), Refsz_Verbräuche[[#This Row],[2040]]*Emissionsfaktoren[[#This Row],[2040]]/1000, 0)</f>
        <v>0</v>
      </c>
      <c r="X50" s="14">
        <f>IF(ISNUMBER(Refsz_Verbräuche[[#This Row],[2045]]), Refsz_Verbräuche[[#This Row],[2045]]*Emissionsfaktoren[[#This Row],[2045]]/1000, 0)</f>
        <v>0</v>
      </c>
      <c r="Y50" s="14">
        <f>IF(ISNUMBER(Refsz_Verbräuche[[#This Row],[2050]]), Refsz_Verbräuche[[#This Row],[2050]]*Emissionsfaktoren[[#This Row],[2050]]/1000, 0)</f>
        <v>0</v>
      </c>
    </row>
    <row r="51" spans="2:25" ht="16.5">
      <c r="B51" s="14">
        <v>34</v>
      </c>
      <c r="C51" s="14" t="str">
        <f>Refsz_Verbräuche[[#This Row],[Handlungsfeld]]</f>
        <v>Mobilität 1</v>
      </c>
      <c r="D51" s="19" t="str">
        <f>Refsz_Verbräuche[[#This Row],[Datenpunkt]]</f>
        <v>Fuhrpark (Wasserstoff/ FCEV)</v>
      </c>
      <c r="E51" t="s">
        <v>195</v>
      </c>
      <c r="F51" s="14">
        <f>IF(ISNUMBER(Refsz_Verbräuche[[#This Row],[2015]]), Refsz_Verbräuche[[#This Row],[2015]]*Emissionsfaktoren[[#This Row],[2015]]/1000, 0)</f>
        <v>0</v>
      </c>
      <c r="G51" s="14">
        <f>IF(ISNUMBER(Refsz_Verbräuche[[#This Row],[2016]]), Refsz_Verbräuche[[#This Row],[2016]]*Emissionsfaktoren[[#This Row],[2016]]/1000, 0)</f>
        <v>0</v>
      </c>
      <c r="H51" s="14">
        <f>IF(ISNUMBER(Refsz_Verbräuche[[#This Row],[2017]]), Refsz_Verbräuche[[#This Row],[2017]]*Emissionsfaktoren[[#This Row],[2017]]/1000, 0)</f>
        <v>0</v>
      </c>
      <c r="I51" s="14">
        <f>IF(ISNUMBER(Refsz_Verbräuche[[#This Row],[2018]]), Refsz_Verbräuche[[#This Row],[2018]]*Emissionsfaktoren[[#This Row],[2018]]/1000, 0)</f>
        <v>0</v>
      </c>
      <c r="J51" s="14">
        <f>IF(ISNUMBER(Refsz_Verbräuche[[#This Row],[2019]]), Refsz_Verbräuche[[#This Row],[2019]]*Emissionsfaktoren[[#This Row],[2019]]/1000, 0)</f>
        <v>0</v>
      </c>
      <c r="K51" s="14">
        <f>IF(ISNUMBER(Refsz_Verbräuche[[#This Row],[2020]]), Refsz_Verbräuche[[#This Row],[2020]]*Emissionsfaktoren[[#This Row],[2020]]/1000, 0)</f>
        <v>0</v>
      </c>
      <c r="L51" s="14">
        <f>IF(ISNUMBER(Refsz_Verbräuche[[#This Row],[2021]]), Refsz_Verbräuche[[#This Row],[2021]]*Emissionsfaktoren[[#This Row],[2021]]/1000, 0)</f>
        <v>0</v>
      </c>
      <c r="M51" s="14">
        <f>IF(ISNUMBER(Refsz_Verbräuche[[#This Row],[2022]]), Refsz_Verbräuche[[#This Row],[2022]]*Emissionsfaktoren[[#This Row],[2022]]/1000, 0)</f>
        <v>0</v>
      </c>
      <c r="N51" s="14">
        <f>IF(ISNUMBER(Refsz_Verbräuche[[#This Row],[2023]]), Refsz_Verbräuche[[#This Row],[2023]]*Emissionsfaktoren[[#This Row],[2023]]/1000, 0)</f>
        <v>0</v>
      </c>
      <c r="O51" s="14">
        <f>IF(ISNUMBER(Refsz_Verbräuche[[#This Row],[2024]]), Refsz_Verbräuche[[#This Row],[2024]]*Emissionsfaktoren[[#This Row],[2024]]/1000, 0)</f>
        <v>0</v>
      </c>
      <c r="P51" s="14">
        <f>IF(ISNUMBER(Refsz_Verbräuche[[#This Row],[2025]]), Refsz_Verbräuche[[#This Row],[2025]]*Emissionsfaktoren[[#This Row],[2025]]/1000, 0)</f>
        <v>0</v>
      </c>
      <c r="Q51" s="14">
        <f>IF(ISNUMBER(Refsz_Verbräuche[[#This Row],[2026]]), Refsz_Verbräuche[[#This Row],[2026]]*Emissionsfaktoren[[#This Row],[2026]]/1000, 0)</f>
        <v>0</v>
      </c>
      <c r="R51" s="14">
        <f>IF(ISNUMBER(Refsz_Verbräuche[[#This Row],[2027]]), Refsz_Verbräuche[[#This Row],[2027]]*Emissionsfaktoren[[#This Row],[2027]]/1000, 0)</f>
        <v>0</v>
      </c>
      <c r="S51" s="14">
        <f>IF(ISNUMBER(Refsz_Verbräuche[[#This Row],[2028]]), Refsz_Verbräuche[[#This Row],[2028]]*Emissionsfaktoren[[#This Row],[2028]]/1000, 0)</f>
        <v>0</v>
      </c>
      <c r="T51" s="14">
        <f>IF(ISNUMBER(Refsz_Verbräuche[[#This Row],[2029]]), Refsz_Verbräuche[[#This Row],[2029]]*Emissionsfaktoren[[#This Row],[2029]]/1000, 0)</f>
        <v>0</v>
      </c>
      <c r="U51" s="14">
        <f>IF(ISNUMBER(Refsz_Verbräuche[[#This Row],[2030]]), Refsz_Verbräuche[[#This Row],[2030]]*Emissionsfaktoren[[#This Row],[2030]]/1000, 0)</f>
        <v>0</v>
      </c>
      <c r="V51" s="14">
        <f>IF(ISNUMBER(Refsz_Verbräuche[[#This Row],[2035]]), Refsz_Verbräuche[[#This Row],[2035]]*Emissionsfaktoren[[#This Row],[2035]]/1000, 0)</f>
        <v>0</v>
      </c>
      <c r="W51" s="14">
        <f>IF(ISNUMBER(Refsz_Verbräuche[[#This Row],[2040]]), Refsz_Verbräuche[[#This Row],[2040]]*Emissionsfaktoren[[#This Row],[2040]]/1000, 0)</f>
        <v>0</v>
      </c>
      <c r="X51" s="14">
        <f>IF(ISNUMBER(Refsz_Verbräuche[[#This Row],[2045]]), Refsz_Verbräuche[[#This Row],[2045]]*Emissionsfaktoren[[#This Row],[2045]]/1000, 0)</f>
        <v>0</v>
      </c>
      <c r="Y51" s="14">
        <f>IF(ISNUMBER(Refsz_Verbräuche[[#This Row],[2050]]), Refsz_Verbräuche[[#This Row],[2050]]*Emissionsfaktoren[[#This Row],[2050]]/1000, 0)</f>
        <v>0</v>
      </c>
    </row>
    <row r="52" spans="2:25" ht="16.5">
      <c r="B52" s="14">
        <v>35</v>
      </c>
      <c r="C52" s="14" t="str">
        <f>Refsz_Verbräuche[[#This Row],[Handlungsfeld]]</f>
        <v>Mobilität 1</v>
      </c>
      <c r="D52" s="19" t="str">
        <f>Refsz_Verbräuche[[#This Row],[Datenpunkt]]</f>
        <v>Fuhrpark (CNG)</v>
      </c>
      <c r="E52" t="s">
        <v>195</v>
      </c>
      <c r="F52" s="14">
        <f>IF(ISNUMBER(Refsz_Verbräuche[[#This Row],[2015]]), Refsz_Verbräuche[[#This Row],[2015]]*Emissionsfaktoren[[#This Row],[2015]]/1000, 0)</f>
        <v>0</v>
      </c>
      <c r="G52" s="14">
        <f>IF(ISNUMBER(Refsz_Verbräuche[[#This Row],[2016]]), Refsz_Verbräuche[[#This Row],[2016]]*Emissionsfaktoren[[#This Row],[2016]]/1000, 0)</f>
        <v>0</v>
      </c>
      <c r="H52" s="14">
        <f>IF(ISNUMBER(Refsz_Verbräuche[[#This Row],[2017]]), Refsz_Verbräuche[[#This Row],[2017]]*Emissionsfaktoren[[#This Row],[2017]]/1000, 0)</f>
        <v>0</v>
      </c>
      <c r="I52" s="14">
        <f>IF(ISNUMBER(Refsz_Verbräuche[[#This Row],[2018]]), Refsz_Verbräuche[[#This Row],[2018]]*Emissionsfaktoren[[#This Row],[2018]]/1000, 0)</f>
        <v>0</v>
      </c>
      <c r="J52" s="14">
        <f>IF(ISNUMBER(Refsz_Verbräuche[[#This Row],[2019]]), Refsz_Verbräuche[[#This Row],[2019]]*Emissionsfaktoren[[#This Row],[2019]]/1000, 0)</f>
        <v>0</v>
      </c>
      <c r="K52" s="14">
        <f>IF(ISNUMBER(Refsz_Verbräuche[[#This Row],[2020]]), Refsz_Verbräuche[[#This Row],[2020]]*Emissionsfaktoren[[#This Row],[2020]]/1000, 0)</f>
        <v>0</v>
      </c>
      <c r="L52" s="14">
        <f>IF(ISNUMBER(Refsz_Verbräuche[[#This Row],[2021]]), Refsz_Verbräuche[[#This Row],[2021]]*Emissionsfaktoren[[#This Row],[2021]]/1000, 0)</f>
        <v>0</v>
      </c>
      <c r="M52" s="14">
        <f>IF(ISNUMBER(Refsz_Verbräuche[[#This Row],[2022]]), Refsz_Verbräuche[[#This Row],[2022]]*Emissionsfaktoren[[#This Row],[2022]]/1000, 0)</f>
        <v>0</v>
      </c>
      <c r="N52" s="14">
        <f>IF(ISNUMBER(Refsz_Verbräuche[[#This Row],[2023]]), Refsz_Verbräuche[[#This Row],[2023]]*Emissionsfaktoren[[#This Row],[2023]]/1000, 0)</f>
        <v>0</v>
      </c>
      <c r="O52" s="14">
        <f>IF(ISNUMBER(Refsz_Verbräuche[[#This Row],[2024]]), Refsz_Verbräuche[[#This Row],[2024]]*Emissionsfaktoren[[#This Row],[2024]]/1000, 0)</f>
        <v>0</v>
      </c>
      <c r="P52" s="14">
        <f>IF(ISNUMBER(Refsz_Verbräuche[[#This Row],[2025]]), Refsz_Verbräuche[[#This Row],[2025]]*Emissionsfaktoren[[#This Row],[2025]]/1000, 0)</f>
        <v>0</v>
      </c>
      <c r="Q52" s="14">
        <f>IF(ISNUMBER(Refsz_Verbräuche[[#This Row],[2026]]), Refsz_Verbräuche[[#This Row],[2026]]*Emissionsfaktoren[[#This Row],[2026]]/1000, 0)</f>
        <v>0</v>
      </c>
      <c r="R52" s="14">
        <f>IF(ISNUMBER(Refsz_Verbräuche[[#This Row],[2027]]), Refsz_Verbräuche[[#This Row],[2027]]*Emissionsfaktoren[[#This Row],[2027]]/1000, 0)</f>
        <v>0</v>
      </c>
      <c r="S52" s="14">
        <f>IF(ISNUMBER(Refsz_Verbräuche[[#This Row],[2028]]), Refsz_Verbräuche[[#This Row],[2028]]*Emissionsfaktoren[[#This Row],[2028]]/1000, 0)</f>
        <v>0</v>
      </c>
      <c r="T52" s="14">
        <f>IF(ISNUMBER(Refsz_Verbräuche[[#This Row],[2029]]), Refsz_Verbräuche[[#This Row],[2029]]*Emissionsfaktoren[[#This Row],[2029]]/1000, 0)</f>
        <v>0</v>
      </c>
      <c r="U52" s="14">
        <f>IF(ISNUMBER(Refsz_Verbräuche[[#This Row],[2030]]), Refsz_Verbräuche[[#This Row],[2030]]*Emissionsfaktoren[[#This Row],[2030]]/1000, 0)</f>
        <v>0</v>
      </c>
      <c r="V52" s="14">
        <f>IF(ISNUMBER(Refsz_Verbräuche[[#This Row],[2035]]), Refsz_Verbräuche[[#This Row],[2035]]*Emissionsfaktoren[[#This Row],[2035]]/1000, 0)</f>
        <v>0</v>
      </c>
      <c r="W52" s="14">
        <f>IF(ISNUMBER(Refsz_Verbräuche[[#This Row],[2040]]), Refsz_Verbräuche[[#This Row],[2040]]*Emissionsfaktoren[[#This Row],[2040]]/1000, 0)</f>
        <v>0</v>
      </c>
      <c r="X52" s="14">
        <f>IF(ISNUMBER(Refsz_Verbräuche[[#This Row],[2045]]), Refsz_Verbräuche[[#This Row],[2045]]*Emissionsfaktoren[[#This Row],[2045]]/1000, 0)</f>
        <v>0</v>
      </c>
      <c r="Y52" s="14">
        <f>IF(ISNUMBER(Refsz_Verbräuche[[#This Row],[2050]]), Refsz_Verbräuche[[#This Row],[2050]]*Emissionsfaktoren[[#This Row],[2050]]/1000, 0)</f>
        <v>0</v>
      </c>
    </row>
    <row r="53" spans="2:25" ht="16.5">
      <c r="B53" s="14">
        <v>36</v>
      </c>
      <c r="C53" s="14" t="str">
        <f>Refsz_Verbräuche[[#This Row],[Handlungsfeld]]</f>
        <v>Mobilität 1</v>
      </c>
      <c r="D53" s="19" t="str">
        <f>Refsz_Verbräuche[[#This Row],[Datenpunkt]]</f>
        <v>Fuhrpark (Plug-In-Hybrid, PHEV)</v>
      </c>
      <c r="E53" t="s">
        <v>195</v>
      </c>
      <c r="F53" s="14">
        <f>IF(ISNUMBER(Refsz_Verbräuche[[#This Row],[2015]]), Refsz_Verbräuche[[#This Row],[2015]]*Emissionsfaktoren[[#This Row],[2015]]/1000, 0)</f>
        <v>0</v>
      </c>
      <c r="G53" s="14">
        <f>IF(ISNUMBER(Refsz_Verbräuche[[#This Row],[2016]]), Refsz_Verbräuche[[#This Row],[2016]]*Emissionsfaktoren[[#This Row],[2016]]/1000, 0)</f>
        <v>0</v>
      </c>
      <c r="H53" s="14">
        <f>IF(ISNUMBER(Refsz_Verbräuche[[#This Row],[2017]]), Refsz_Verbräuche[[#This Row],[2017]]*Emissionsfaktoren[[#This Row],[2017]]/1000, 0)</f>
        <v>0</v>
      </c>
      <c r="I53" s="14">
        <f>IF(ISNUMBER(Refsz_Verbräuche[[#This Row],[2018]]), Refsz_Verbräuche[[#This Row],[2018]]*Emissionsfaktoren[[#This Row],[2018]]/1000, 0)</f>
        <v>0</v>
      </c>
      <c r="J53" s="14">
        <f>IF(ISNUMBER(Refsz_Verbräuche[[#This Row],[2019]]), Refsz_Verbräuche[[#This Row],[2019]]*Emissionsfaktoren[[#This Row],[2019]]/1000, 0)</f>
        <v>0</v>
      </c>
      <c r="K53" s="14">
        <f>IF(ISNUMBER(Refsz_Verbräuche[[#This Row],[2020]]), Refsz_Verbräuche[[#This Row],[2020]]*Emissionsfaktoren[[#This Row],[2020]]/1000, 0)</f>
        <v>0</v>
      </c>
      <c r="L53" s="14">
        <f>IF(ISNUMBER(Refsz_Verbräuche[[#This Row],[2021]]), Refsz_Verbräuche[[#This Row],[2021]]*Emissionsfaktoren[[#This Row],[2021]]/1000, 0)</f>
        <v>0</v>
      </c>
      <c r="M53" s="14">
        <f>IF(ISNUMBER(Refsz_Verbräuche[[#This Row],[2022]]), Refsz_Verbräuche[[#This Row],[2022]]*Emissionsfaktoren[[#This Row],[2022]]/1000, 0)</f>
        <v>0</v>
      </c>
      <c r="N53" s="14">
        <f>IF(ISNUMBER(Refsz_Verbräuche[[#This Row],[2023]]), Refsz_Verbräuche[[#This Row],[2023]]*Emissionsfaktoren[[#This Row],[2023]]/1000, 0)</f>
        <v>0</v>
      </c>
      <c r="O53" s="14">
        <f>IF(ISNUMBER(Refsz_Verbräuche[[#This Row],[2024]]), Refsz_Verbräuche[[#This Row],[2024]]*Emissionsfaktoren[[#This Row],[2024]]/1000, 0)</f>
        <v>0</v>
      </c>
      <c r="P53" s="14">
        <f>IF(ISNUMBER(Refsz_Verbräuche[[#This Row],[2025]]), Refsz_Verbräuche[[#This Row],[2025]]*Emissionsfaktoren[[#This Row],[2025]]/1000, 0)</f>
        <v>0</v>
      </c>
      <c r="Q53" s="14">
        <f>IF(ISNUMBER(Refsz_Verbräuche[[#This Row],[2026]]), Refsz_Verbräuche[[#This Row],[2026]]*Emissionsfaktoren[[#This Row],[2026]]/1000, 0)</f>
        <v>0</v>
      </c>
      <c r="R53" s="14">
        <f>IF(ISNUMBER(Refsz_Verbräuche[[#This Row],[2027]]), Refsz_Verbräuche[[#This Row],[2027]]*Emissionsfaktoren[[#This Row],[2027]]/1000, 0)</f>
        <v>0</v>
      </c>
      <c r="S53" s="14">
        <f>IF(ISNUMBER(Refsz_Verbräuche[[#This Row],[2028]]), Refsz_Verbräuche[[#This Row],[2028]]*Emissionsfaktoren[[#This Row],[2028]]/1000, 0)</f>
        <v>0</v>
      </c>
      <c r="T53" s="14">
        <f>IF(ISNUMBER(Refsz_Verbräuche[[#This Row],[2029]]), Refsz_Verbräuche[[#This Row],[2029]]*Emissionsfaktoren[[#This Row],[2029]]/1000, 0)</f>
        <v>0</v>
      </c>
      <c r="U53" s="14">
        <f>IF(ISNUMBER(Refsz_Verbräuche[[#This Row],[2030]]), Refsz_Verbräuche[[#This Row],[2030]]*Emissionsfaktoren[[#This Row],[2030]]/1000, 0)</f>
        <v>0</v>
      </c>
      <c r="V53" s="14">
        <f>IF(ISNUMBER(Refsz_Verbräuche[[#This Row],[2035]]), Refsz_Verbräuche[[#This Row],[2035]]*Emissionsfaktoren[[#This Row],[2035]]/1000, 0)</f>
        <v>0</v>
      </c>
      <c r="W53" s="14">
        <f>IF(ISNUMBER(Refsz_Verbräuche[[#This Row],[2040]]), Refsz_Verbräuche[[#This Row],[2040]]*Emissionsfaktoren[[#This Row],[2040]]/1000, 0)</f>
        <v>0</v>
      </c>
      <c r="X53" s="14">
        <f>IF(ISNUMBER(Refsz_Verbräuche[[#This Row],[2045]]), Refsz_Verbräuche[[#This Row],[2045]]*Emissionsfaktoren[[#This Row],[2045]]/1000, 0)</f>
        <v>0</v>
      </c>
      <c r="Y53" s="14">
        <f>IF(ISNUMBER(Refsz_Verbräuche[[#This Row],[2050]]), Refsz_Verbräuche[[#This Row],[2050]]*Emissionsfaktoren[[#This Row],[2050]]/1000, 0)</f>
        <v>0</v>
      </c>
    </row>
    <row r="54" spans="2:25" ht="16.5">
      <c r="B54" s="14">
        <v>37</v>
      </c>
      <c r="C54" s="14">
        <f>Refsz_Verbräuche[[#This Row],[Handlungsfeld]]</f>
        <v>0</v>
      </c>
      <c r="D54" s="19">
        <f>Refsz_Verbräuche[[#This Row],[Datenpunkt]]</f>
        <v>0</v>
      </c>
      <c r="E54" t="s">
        <v>195</v>
      </c>
      <c r="F54" s="14">
        <f>IF(ISNUMBER(Refsz_Verbräuche[[#This Row],[2015]]), Refsz_Verbräuche[[#This Row],[2015]]*Emissionsfaktoren[[#This Row],[2015]]/1000, 0)</f>
        <v>0</v>
      </c>
      <c r="G54" s="14">
        <f>IF(ISNUMBER(Refsz_Verbräuche[[#This Row],[2016]]), Refsz_Verbräuche[[#This Row],[2016]]*Emissionsfaktoren[[#This Row],[2016]]/1000, 0)</f>
        <v>0</v>
      </c>
      <c r="H54" s="14">
        <f>IF(ISNUMBER(Refsz_Verbräuche[[#This Row],[2017]]), Refsz_Verbräuche[[#This Row],[2017]]*Emissionsfaktoren[[#This Row],[2017]]/1000, 0)</f>
        <v>0</v>
      </c>
      <c r="I54" s="14">
        <f>IF(ISNUMBER(Refsz_Verbräuche[[#This Row],[2018]]), Refsz_Verbräuche[[#This Row],[2018]]*Emissionsfaktoren[[#This Row],[2018]]/1000, 0)</f>
        <v>0</v>
      </c>
      <c r="J54" s="14">
        <f>IF(ISNUMBER(Refsz_Verbräuche[[#This Row],[2019]]), Refsz_Verbräuche[[#This Row],[2019]]*Emissionsfaktoren[[#This Row],[2019]]/1000, 0)</f>
        <v>0</v>
      </c>
      <c r="K54" s="14">
        <f>IF(ISNUMBER(Refsz_Verbräuche[[#This Row],[2020]]), Refsz_Verbräuche[[#This Row],[2020]]*Emissionsfaktoren[[#This Row],[2020]]/1000, 0)</f>
        <v>0</v>
      </c>
      <c r="L54" s="14">
        <f>IF(ISNUMBER(Refsz_Verbräuche[[#This Row],[2021]]), Refsz_Verbräuche[[#This Row],[2021]]*Emissionsfaktoren[[#This Row],[2021]]/1000, 0)</f>
        <v>0</v>
      </c>
      <c r="M54" s="14">
        <f>IF(ISNUMBER(Refsz_Verbräuche[[#This Row],[2022]]), Refsz_Verbräuche[[#This Row],[2022]]*Emissionsfaktoren[[#This Row],[2022]]/1000, 0)</f>
        <v>0</v>
      </c>
      <c r="N54" s="14">
        <f>IF(ISNUMBER(Refsz_Verbräuche[[#This Row],[2023]]), Refsz_Verbräuche[[#This Row],[2023]]*Emissionsfaktoren[[#This Row],[2023]]/1000, 0)</f>
        <v>0</v>
      </c>
      <c r="O54" s="14">
        <f>IF(ISNUMBER(Refsz_Verbräuche[[#This Row],[2024]]), Refsz_Verbräuche[[#This Row],[2024]]*Emissionsfaktoren[[#This Row],[2024]]/1000, 0)</f>
        <v>0</v>
      </c>
      <c r="P54" s="14">
        <f>IF(ISNUMBER(Refsz_Verbräuche[[#This Row],[2025]]), Refsz_Verbräuche[[#This Row],[2025]]*Emissionsfaktoren[[#This Row],[2025]]/1000, 0)</f>
        <v>0</v>
      </c>
      <c r="Q54" s="14">
        <f>IF(ISNUMBER(Refsz_Verbräuche[[#This Row],[2026]]), Refsz_Verbräuche[[#This Row],[2026]]*Emissionsfaktoren[[#This Row],[2026]]/1000, 0)</f>
        <v>0</v>
      </c>
      <c r="R54" s="14">
        <f>IF(ISNUMBER(Refsz_Verbräuche[[#This Row],[2027]]), Refsz_Verbräuche[[#This Row],[2027]]*Emissionsfaktoren[[#This Row],[2027]]/1000, 0)</f>
        <v>0</v>
      </c>
      <c r="S54" s="14">
        <f>IF(ISNUMBER(Refsz_Verbräuche[[#This Row],[2028]]), Refsz_Verbräuche[[#This Row],[2028]]*Emissionsfaktoren[[#This Row],[2028]]/1000, 0)</f>
        <v>0</v>
      </c>
      <c r="T54" s="14">
        <f>IF(ISNUMBER(Refsz_Verbräuche[[#This Row],[2029]]), Refsz_Verbräuche[[#This Row],[2029]]*Emissionsfaktoren[[#This Row],[2029]]/1000, 0)</f>
        <v>0</v>
      </c>
      <c r="U54" s="14">
        <f>IF(ISNUMBER(Refsz_Verbräuche[[#This Row],[2030]]), Refsz_Verbräuche[[#This Row],[2030]]*Emissionsfaktoren[[#This Row],[2030]]/1000, 0)</f>
        <v>0</v>
      </c>
      <c r="V54" s="14">
        <f>IF(ISNUMBER(Refsz_Verbräuche[[#This Row],[2035]]), Refsz_Verbräuche[[#This Row],[2035]]*Emissionsfaktoren[[#This Row],[2035]]/1000, 0)</f>
        <v>0</v>
      </c>
      <c r="W54" s="14">
        <f>IF(ISNUMBER(Refsz_Verbräuche[[#This Row],[2040]]), Refsz_Verbräuche[[#This Row],[2040]]*Emissionsfaktoren[[#This Row],[2040]]/1000, 0)</f>
        <v>0</v>
      </c>
      <c r="X54" s="14">
        <f>IF(ISNUMBER(Refsz_Verbräuche[[#This Row],[2045]]), Refsz_Verbräuche[[#This Row],[2045]]*Emissionsfaktoren[[#This Row],[2045]]/1000, 0)</f>
        <v>0</v>
      </c>
      <c r="Y54" s="14">
        <f>IF(ISNUMBER(Refsz_Verbräuche[[#This Row],[2050]]), Refsz_Verbräuche[[#This Row],[2050]]*Emissionsfaktoren[[#This Row],[2050]]/1000, 0)</f>
        <v>0</v>
      </c>
    </row>
    <row r="55" spans="2:25" ht="16.5">
      <c r="B55" s="14">
        <v>38</v>
      </c>
      <c r="C55" s="14" t="str">
        <f>Refsz_Verbräuche[[#This Row],[Handlungsfeld]]</f>
        <v>Mobilität 1</v>
      </c>
      <c r="D55" s="19" t="str">
        <f>Refsz_Verbräuche[[#This Row],[Datenpunkt]]</f>
        <v>DR - Flugreisen</v>
      </c>
      <c r="E55" t="s">
        <v>195</v>
      </c>
      <c r="F55" s="14">
        <f>IF(ISNUMBER(Refsz_Verbräuche[[#This Row],[2015]]), Refsz_Verbräuche[[#This Row],[2015]]*Emissionsfaktoren[[#This Row],[2015]]/1000, 0)</f>
        <v>0</v>
      </c>
      <c r="G55" s="14">
        <f>IF(ISNUMBER(Refsz_Verbräuche[[#This Row],[2016]]), Refsz_Verbräuche[[#This Row],[2016]]*Emissionsfaktoren[[#This Row],[2016]]/1000, 0)</f>
        <v>0</v>
      </c>
      <c r="H55" s="14">
        <f>IF(ISNUMBER(Refsz_Verbräuche[[#This Row],[2017]]), Refsz_Verbräuche[[#This Row],[2017]]*Emissionsfaktoren[[#This Row],[2017]]/1000, 0)</f>
        <v>0</v>
      </c>
      <c r="I55" s="14">
        <f>IF(ISNUMBER(Refsz_Verbräuche[[#This Row],[2018]]), Refsz_Verbräuche[[#This Row],[2018]]*Emissionsfaktoren[[#This Row],[2018]]/1000, 0)</f>
        <v>0</v>
      </c>
      <c r="J55" s="14">
        <f>IF(ISNUMBER(Refsz_Verbräuche[[#This Row],[2019]]), Refsz_Verbräuche[[#This Row],[2019]]*Emissionsfaktoren[[#This Row],[2019]]/1000, 0)</f>
        <v>0</v>
      </c>
      <c r="K55" s="14">
        <f>IF(ISNUMBER(Refsz_Verbräuche[[#This Row],[2020]]), Refsz_Verbräuche[[#This Row],[2020]]*Emissionsfaktoren[[#This Row],[2020]]/1000, 0)</f>
        <v>0</v>
      </c>
      <c r="L55" s="14">
        <f>IF(ISNUMBER(Refsz_Verbräuche[[#This Row],[2021]]), Refsz_Verbräuche[[#This Row],[2021]]*Emissionsfaktoren[[#This Row],[2021]]/1000, 0)</f>
        <v>0</v>
      </c>
      <c r="M55" s="14">
        <f>IF(ISNUMBER(Refsz_Verbräuche[[#This Row],[2022]]), Refsz_Verbräuche[[#This Row],[2022]]*Emissionsfaktoren[[#This Row],[2022]]/1000, 0)</f>
        <v>0</v>
      </c>
      <c r="N55" s="14">
        <f>IF(ISNUMBER(Refsz_Verbräuche[[#This Row],[2023]]), Refsz_Verbräuche[[#This Row],[2023]]*Emissionsfaktoren[[#This Row],[2023]]/1000, 0)</f>
        <v>0</v>
      </c>
      <c r="O55" s="14">
        <f>IF(ISNUMBER(Refsz_Verbräuche[[#This Row],[2024]]), Refsz_Verbräuche[[#This Row],[2024]]*Emissionsfaktoren[[#This Row],[2024]]/1000, 0)</f>
        <v>0</v>
      </c>
      <c r="P55" s="14">
        <f>IF(ISNUMBER(Refsz_Verbräuche[[#This Row],[2025]]), Refsz_Verbräuche[[#This Row],[2025]]*Emissionsfaktoren[[#This Row],[2025]]/1000, 0)</f>
        <v>0</v>
      </c>
      <c r="Q55" s="14">
        <f>IF(ISNUMBER(Refsz_Verbräuche[[#This Row],[2026]]), Refsz_Verbräuche[[#This Row],[2026]]*Emissionsfaktoren[[#This Row],[2026]]/1000, 0)</f>
        <v>0</v>
      </c>
      <c r="R55" s="14">
        <f>IF(ISNUMBER(Refsz_Verbräuche[[#This Row],[2027]]), Refsz_Verbräuche[[#This Row],[2027]]*Emissionsfaktoren[[#This Row],[2027]]/1000, 0)</f>
        <v>0</v>
      </c>
      <c r="S55" s="14">
        <f>IF(ISNUMBER(Refsz_Verbräuche[[#This Row],[2028]]), Refsz_Verbräuche[[#This Row],[2028]]*Emissionsfaktoren[[#This Row],[2028]]/1000, 0)</f>
        <v>0</v>
      </c>
      <c r="T55" s="14">
        <f>IF(ISNUMBER(Refsz_Verbräuche[[#This Row],[2029]]), Refsz_Verbräuche[[#This Row],[2029]]*Emissionsfaktoren[[#This Row],[2029]]/1000, 0)</f>
        <v>0</v>
      </c>
      <c r="U55" s="14">
        <f>IF(ISNUMBER(Refsz_Verbräuche[[#This Row],[2030]]), Refsz_Verbräuche[[#This Row],[2030]]*Emissionsfaktoren[[#This Row],[2030]]/1000, 0)</f>
        <v>0</v>
      </c>
      <c r="V55" s="14">
        <f>IF(ISNUMBER(Refsz_Verbräuche[[#This Row],[2035]]), Refsz_Verbräuche[[#This Row],[2035]]*Emissionsfaktoren[[#This Row],[2035]]/1000, 0)</f>
        <v>0</v>
      </c>
      <c r="W55" s="14">
        <f>IF(ISNUMBER(Refsz_Verbräuche[[#This Row],[2040]]), Refsz_Verbräuche[[#This Row],[2040]]*Emissionsfaktoren[[#This Row],[2040]]/1000, 0)</f>
        <v>0</v>
      </c>
      <c r="X55" s="14">
        <f>IF(ISNUMBER(Refsz_Verbräuche[[#This Row],[2045]]), Refsz_Verbräuche[[#This Row],[2045]]*Emissionsfaktoren[[#This Row],[2045]]/1000, 0)</f>
        <v>0</v>
      </c>
      <c r="Y55" s="14">
        <f>IF(ISNUMBER(Refsz_Verbräuche[[#This Row],[2050]]), Refsz_Verbräuche[[#This Row],[2050]]*Emissionsfaktoren[[#This Row],[2050]]/1000, 0)</f>
        <v>0</v>
      </c>
    </row>
    <row r="56" spans="2:25" ht="16.5">
      <c r="B56" s="14">
        <v>39</v>
      </c>
      <c r="C56" s="14" t="str">
        <f>Refsz_Verbräuche[[#This Row],[Handlungsfeld]]</f>
        <v>Mobilität 1</v>
      </c>
      <c r="D56" s="19" t="str">
        <f>Refsz_Verbräuche[[#This Row],[Datenpunkt]]</f>
        <v>DR - Eisenbahn (Fernverkehr)</v>
      </c>
      <c r="E56" t="s">
        <v>195</v>
      </c>
      <c r="F56" s="14">
        <f>IF(ISNUMBER(Refsz_Verbräuche[[#This Row],[2015]]), Refsz_Verbräuche[[#This Row],[2015]]*Emissionsfaktoren[[#This Row],[2015]]/1000, 0)</f>
        <v>0</v>
      </c>
      <c r="G56" s="14">
        <f>IF(ISNUMBER(Refsz_Verbräuche[[#This Row],[2016]]), Refsz_Verbräuche[[#This Row],[2016]]*Emissionsfaktoren[[#This Row],[2016]]/1000, 0)</f>
        <v>0</v>
      </c>
      <c r="H56" s="14">
        <f>IF(ISNUMBER(Refsz_Verbräuche[[#This Row],[2017]]), Refsz_Verbräuche[[#This Row],[2017]]*Emissionsfaktoren[[#This Row],[2017]]/1000, 0)</f>
        <v>0</v>
      </c>
      <c r="I56" s="14">
        <f>IF(ISNUMBER(Refsz_Verbräuche[[#This Row],[2018]]), Refsz_Verbräuche[[#This Row],[2018]]*Emissionsfaktoren[[#This Row],[2018]]/1000, 0)</f>
        <v>0</v>
      </c>
      <c r="J56" s="14">
        <f>IF(ISNUMBER(Refsz_Verbräuche[[#This Row],[2019]]), Refsz_Verbräuche[[#This Row],[2019]]*Emissionsfaktoren[[#This Row],[2019]]/1000, 0)</f>
        <v>0</v>
      </c>
      <c r="K56" s="14">
        <f>IF(ISNUMBER(Refsz_Verbräuche[[#This Row],[2020]]), Refsz_Verbräuche[[#This Row],[2020]]*Emissionsfaktoren[[#This Row],[2020]]/1000, 0)</f>
        <v>0</v>
      </c>
      <c r="L56" s="14">
        <f>IF(ISNUMBER(Refsz_Verbräuche[[#This Row],[2021]]), Refsz_Verbräuche[[#This Row],[2021]]*Emissionsfaktoren[[#This Row],[2021]]/1000, 0)</f>
        <v>0</v>
      </c>
      <c r="M56" s="14">
        <f>IF(ISNUMBER(Refsz_Verbräuche[[#This Row],[2022]]), Refsz_Verbräuche[[#This Row],[2022]]*Emissionsfaktoren[[#This Row],[2022]]/1000, 0)</f>
        <v>0</v>
      </c>
      <c r="N56" s="14">
        <f>IF(ISNUMBER(Refsz_Verbräuche[[#This Row],[2023]]), Refsz_Verbräuche[[#This Row],[2023]]*Emissionsfaktoren[[#This Row],[2023]]/1000, 0)</f>
        <v>0</v>
      </c>
      <c r="O56" s="14">
        <f>IF(ISNUMBER(Refsz_Verbräuche[[#This Row],[2024]]), Refsz_Verbräuche[[#This Row],[2024]]*Emissionsfaktoren[[#This Row],[2024]]/1000, 0)</f>
        <v>0</v>
      </c>
      <c r="P56" s="14">
        <f>IF(ISNUMBER(Refsz_Verbräuche[[#This Row],[2025]]), Refsz_Verbräuche[[#This Row],[2025]]*Emissionsfaktoren[[#This Row],[2025]]/1000, 0)</f>
        <v>0</v>
      </c>
      <c r="Q56" s="14">
        <f>IF(ISNUMBER(Refsz_Verbräuche[[#This Row],[2026]]), Refsz_Verbräuche[[#This Row],[2026]]*Emissionsfaktoren[[#This Row],[2026]]/1000, 0)</f>
        <v>0</v>
      </c>
      <c r="R56" s="14">
        <f>IF(ISNUMBER(Refsz_Verbräuche[[#This Row],[2027]]), Refsz_Verbräuche[[#This Row],[2027]]*Emissionsfaktoren[[#This Row],[2027]]/1000, 0)</f>
        <v>0</v>
      </c>
      <c r="S56" s="14">
        <f>IF(ISNUMBER(Refsz_Verbräuche[[#This Row],[2028]]), Refsz_Verbräuche[[#This Row],[2028]]*Emissionsfaktoren[[#This Row],[2028]]/1000, 0)</f>
        <v>0</v>
      </c>
      <c r="T56" s="14">
        <f>IF(ISNUMBER(Refsz_Verbräuche[[#This Row],[2029]]), Refsz_Verbräuche[[#This Row],[2029]]*Emissionsfaktoren[[#This Row],[2029]]/1000, 0)</f>
        <v>0</v>
      </c>
      <c r="U56" s="14">
        <f>IF(ISNUMBER(Refsz_Verbräuche[[#This Row],[2030]]), Refsz_Verbräuche[[#This Row],[2030]]*Emissionsfaktoren[[#This Row],[2030]]/1000, 0)</f>
        <v>0</v>
      </c>
      <c r="V56" s="14">
        <f>IF(ISNUMBER(Refsz_Verbräuche[[#This Row],[2035]]), Refsz_Verbräuche[[#This Row],[2035]]*Emissionsfaktoren[[#This Row],[2035]]/1000, 0)</f>
        <v>0</v>
      </c>
      <c r="W56" s="14">
        <f>IF(ISNUMBER(Refsz_Verbräuche[[#This Row],[2040]]), Refsz_Verbräuche[[#This Row],[2040]]*Emissionsfaktoren[[#This Row],[2040]]/1000, 0)</f>
        <v>0</v>
      </c>
      <c r="X56" s="14">
        <f>IF(ISNUMBER(Refsz_Verbräuche[[#This Row],[2045]]), Refsz_Verbräuche[[#This Row],[2045]]*Emissionsfaktoren[[#This Row],[2045]]/1000, 0)</f>
        <v>0</v>
      </c>
      <c r="Y56" s="14">
        <f>IF(ISNUMBER(Refsz_Verbräuche[[#This Row],[2050]]), Refsz_Verbräuche[[#This Row],[2050]]*Emissionsfaktoren[[#This Row],[2050]]/1000, 0)</f>
        <v>0</v>
      </c>
    </row>
    <row r="57" spans="2:25" ht="16.5">
      <c r="B57" s="14">
        <v>40</v>
      </c>
      <c r="C57" s="14" t="str">
        <f>Refsz_Verbräuche[[#This Row],[Handlungsfeld]]</f>
        <v>Mobilität 1</v>
      </c>
      <c r="D57" s="19" t="str">
        <f>Refsz_Verbräuche[[#This Row],[Datenpunkt]]</f>
        <v>DR - Eisenbahn (Nahverkehr)</v>
      </c>
      <c r="E57" t="s">
        <v>195</v>
      </c>
      <c r="F57" s="14">
        <f>IF(ISNUMBER(Refsz_Verbräuche[[#This Row],[2015]]), Refsz_Verbräuche[[#This Row],[2015]]*Emissionsfaktoren[[#This Row],[2015]]/1000, 0)</f>
        <v>0</v>
      </c>
      <c r="G57" s="14">
        <f>IF(ISNUMBER(Refsz_Verbräuche[[#This Row],[2016]]), Refsz_Verbräuche[[#This Row],[2016]]*Emissionsfaktoren[[#This Row],[2016]]/1000, 0)</f>
        <v>0</v>
      </c>
      <c r="H57" s="14">
        <f>IF(ISNUMBER(Refsz_Verbräuche[[#This Row],[2017]]), Refsz_Verbräuche[[#This Row],[2017]]*Emissionsfaktoren[[#This Row],[2017]]/1000, 0)</f>
        <v>0</v>
      </c>
      <c r="I57" s="14">
        <f>IF(ISNUMBER(Refsz_Verbräuche[[#This Row],[2018]]), Refsz_Verbräuche[[#This Row],[2018]]*Emissionsfaktoren[[#This Row],[2018]]/1000, 0)</f>
        <v>0</v>
      </c>
      <c r="J57" s="14">
        <f>IF(ISNUMBER(Refsz_Verbräuche[[#This Row],[2019]]), Refsz_Verbräuche[[#This Row],[2019]]*Emissionsfaktoren[[#This Row],[2019]]/1000, 0)</f>
        <v>0</v>
      </c>
      <c r="K57" s="14">
        <f>IF(ISNUMBER(Refsz_Verbräuche[[#This Row],[2020]]), Refsz_Verbräuche[[#This Row],[2020]]*Emissionsfaktoren[[#This Row],[2020]]/1000, 0)</f>
        <v>0</v>
      </c>
      <c r="L57" s="14">
        <f>IF(ISNUMBER(Refsz_Verbräuche[[#This Row],[2021]]), Refsz_Verbräuche[[#This Row],[2021]]*Emissionsfaktoren[[#This Row],[2021]]/1000, 0)</f>
        <v>0</v>
      </c>
      <c r="M57" s="14">
        <f>IF(ISNUMBER(Refsz_Verbräuche[[#This Row],[2022]]), Refsz_Verbräuche[[#This Row],[2022]]*Emissionsfaktoren[[#This Row],[2022]]/1000, 0)</f>
        <v>0</v>
      </c>
      <c r="N57" s="14">
        <f>IF(ISNUMBER(Refsz_Verbräuche[[#This Row],[2023]]), Refsz_Verbräuche[[#This Row],[2023]]*Emissionsfaktoren[[#This Row],[2023]]/1000, 0)</f>
        <v>0</v>
      </c>
      <c r="O57" s="14">
        <f>IF(ISNUMBER(Refsz_Verbräuche[[#This Row],[2024]]), Refsz_Verbräuche[[#This Row],[2024]]*Emissionsfaktoren[[#This Row],[2024]]/1000, 0)</f>
        <v>0</v>
      </c>
      <c r="P57" s="14">
        <f>IF(ISNUMBER(Refsz_Verbräuche[[#This Row],[2025]]), Refsz_Verbräuche[[#This Row],[2025]]*Emissionsfaktoren[[#This Row],[2025]]/1000, 0)</f>
        <v>0</v>
      </c>
      <c r="Q57" s="14">
        <f>IF(ISNUMBER(Refsz_Verbräuche[[#This Row],[2026]]), Refsz_Verbräuche[[#This Row],[2026]]*Emissionsfaktoren[[#This Row],[2026]]/1000, 0)</f>
        <v>0</v>
      </c>
      <c r="R57" s="14">
        <f>IF(ISNUMBER(Refsz_Verbräuche[[#This Row],[2027]]), Refsz_Verbräuche[[#This Row],[2027]]*Emissionsfaktoren[[#This Row],[2027]]/1000, 0)</f>
        <v>0</v>
      </c>
      <c r="S57" s="14">
        <f>IF(ISNUMBER(Refsz_Verbräuche[[#This Row],[2028]]), Refsz_Verbräuche[[#This Row],[2028]]*Emissionsfaktoren[[#This Row],[2028]]/1000, 0)</f>
        <v>0</v>
      </c>
      <c r="T57" s="14">
        <f>IF(ISNUMBER(Refsz_Verbräuche[[#This Row],[2029]]), Refsz_Verbräuche[[#This Row],[2029]]*Emissionsfaktoren[[#This Row],[2029]]/1000, 0)</f>
        <v>0</v>
      </c>
      <c r="U57" s="14">
        <f>IF(ISNUMBER(Refsz_Verbräuche[[#This Row],[2030]]), Refsz_Verbräuche[[#This Row],[2030]]*Emissionsfaktoren[[#This Row],[2030]]/1000, 0)</f>
        <v>0</v>
      </c>
      <c r="V57" s="14">
        <f>IF(ISNUMBER(Refsz_Verbräuche[[#This Row],[2035]]), Refsz_Verbräuche[[#This Row],[2035]]*Emissionsfaktoren[[#This Row],[2035]]/1000, 0)</f>
        <v>0</v>
      </c>
      <c r="W57" s="14">
        <f>IF(ISNUMBER(Refsz_Verbräuche[[#This Row],[2040]]), Refsz_Verbräuche[[#This Row],[2040]]*Emissionsfaktoren[[#This Row],[2040]]/1000, 0)</f>
        <v>0</v>
      </c>
      <c r="X57" s="14">
        <f>IF(ISNUMBER(Refsz_Verbräuche[[#This Row],[2045]]), Refsz_Verbräuche[[#This Row],[2045]]*Emissionsfaktoren[[#This Row],[2045]]/1000, 0)</f>
        <v>0</v>
      </c>
      <c r="Y57" s="14">
        <f>IF(ISNUMBER(Refsz_Verbräuche[[#This Row],[2050]]), Refsz_Verbräuche[[#This Row],[2050]]*Emissionsfaktoren[[#This Row],[2050]]/1000, 0)</f>
        <v>0</v>
      </c>
    </row>
    <row r="58" spans="2:25" ht="16.5">
      <c r="B58" s="14">
        <v>41</v>
      </c>
      <c r="C58" s="14" t="str">
        <f>Refsz_Verbräuche[[#This Row],[Handlungsfeld]]</f>
        <v>Mobilität 1</v>
      </c>
      <c r="D58" s="19" t="str">
        <f>Refsz_Verbräuche[[#This Row],[Datenpunkt]]</f>
        <v>DR - Reisebus, Linienbus (Fernverkehr)</v>
      </c>
      <c r="E58" t="s">
        <v>195</v>
      </c>
      <c r="F58" s="14">
        <f>IF(ISNUMBER(Refsz_Verbräuche[[#This Row],[2015]]), Refsz_Verbräuche[[#This Row],[2015]]*Emissionsfaktoren[[#This Row],[2015]]/1000, 0)</f>
        <v>0</v>
      </c>
      <c r="G58" s="14">
        <f>IF(ISNUMBER(Refsz_Verbräuche[[#This Row],[2016]]), Refsz_Verbräuche[[#This Row],[2016]]*Emissionsfaktoren[[#This Row],[2016]]/1000, 0)</f>
        <v>0</v>
      </c>
      <c r="H58" s="14">
        <f>IF(ISNUMBER(Refsz_Verbräuche[[#This Row],[2017]]), Refsz_Verbräuche[[#This Row],[2017]]*Emissionsfaktoren[[#This Row],[2017]]/1000, 0)</f>
        <v>0</v>
      </c>
      <c r="I58" s="14">
        <f>IF(ISNUMBER(Refsz_Verbräuche[[#This Row],[2018]]), Refsz_Verbräuche[[#This Row],[2018]]*Emissionsfaktoren[[#This Row],[2018]]/1000, 0)</f>
        <v>0</v>
      </c>
      <c r="J58" s="14">
        <f>IF(ISNUMBER(Refsz_Verbräuche[[#This Row],[2019]]), Refsz_Verbräuche[[#This Row],[2019]]*Emissionsfaktoren[[#This Row],[2019]]/1000, 0)</f>
        <v>0</v>
      </c>
      <c r="K58" s="14">
        <f>IF(ISNUMBER(Refsz_Verbräuche[[#This Row],[2020]]), Refsz_Verbräuche[[#This Row],[2020]]*Emissionsfaktoren[[#This Row],[2020]]/1000, 0)</f>
        <v>0</v>
      </c>
      <c r="L58" s="14">
        <f>IF(ISNUMBER(Refsz_Verbräuche[[#This Row],[2021]]), Refsz_Verbräuche[[#This Row],[2021]]*Emissionsfaktoren[[#This Row],[2021]]/1000, 0)</f>
        <v>0</v>
      </c>
      <c r="M58" s="14">
        <f>IF(ISNUMBER(Refsz_Verbräuche[[#This Row],[2022]]), Refsz_Verbräuche[[#This Row],[2022]]*Emissionsfaktoren[[#This Row],[2022]]/1000, 0)</f>
        <v>0</v>
      </c>
      <c r="N58" s="14">
        <f>IF(ISNUMBER(Refsz_Verbräuche[[#This Row],[2023]]), Refsz_Verbräuche[[#This Row],[2023]]*Emissionsfaktoren[[#This Row],[2023]]/1000, 0)</f>
        <v>0</v>
      </c>
      <c r="O58" s="14">
        <f>IF(ISNUMBER(Refsz_Verbräuche[[#This Row],[2024]]), Refsz_Verbräuche[[#This Row],[2024]]*Emissionsfaktoren[[#This Row],[2024]]/1000, 0)</f>
        <v>0</v>
      </c>
      <c r="P58" s="14">
        <f>IF(ISNUMBER(Refsz_Verbräuche[[#This Row],[2025]]), Refsz_Verbräuche[[#This Row],[2025]]*Emissionsfaktoren[[#This Row],[2025]]/1000, 0)</f>
        <v>0</v>
      </c>
      <c r="Q58" s="14">
        <f>IF(ISNUMBER(Refsz_Verbräuche[[#This Row],[2026]]), Refsz_Verbräuche[[#This Row],[2026]]*Emissionsfaktoren[[#This Row],[2026]]/1000, 0)</f>
        <v>0</v>
      </c>
      <c r="R58" s="14">
        <f>IF(ISNUMBER(Refsz_Verbräuche[[#This Row],[2027]]), Refsz_Verbräuche[[#This Row],[2027]]*Emissionsfaktoren[[#This Row],[2027]]/1000, 0)</f>
        <v>0</v>
      </c>
      <c r="S58" s="14">
        <f>IF(ISNUMBER(Refsz_Verbräuche[[#This Row],[2028]]), Refsz_Verbräuche[[#This Row],[2028]]*Emissionsfaktoren[[#This Row],[2028]]/1000, 0)</f>
        <v>0</v>
      </c>
      <c r="T58" s="14">
        <f>IF(ISNUMBER(Refsz_Verbräuche[[#This Row],[2029]]), Refsz_Verbräuche[[#This Row],[2029]]*Emissionsfaktoren[[#This Row],[2029]]/1000, 0)</f>
        <v>0</v>
      </c>
      <c r="U58" s="14">
        <f>IF(ISNUMBER(Refsz_Verbräuche[[#This Row],[2030]]), Refsz_Verbräuche[[#This Row],[2030]]*Emissionsfaktoren[[#This Row],[2030]]/1000, 0)</f>
        <v>0</v>
      </c>
      <c r="V58" s="14">
        <f>IF(ISNUMBER(Refsz_Verbräuche[[#This Row],[2035]]), Refsz_Verbräuche[[#This Row],[2035]]*Emissionsfaktoren[[#This Row],[2035]]/1000, 0)</f>
        <v>0</v>
      </c>
      <c r="W58" s="14">
        <f>IF(ISNUMBER(Refsz_Verbräuche[[#This Row],[2040]]), Refsz_Verbräuche[[#This Row],[2040]]*Emissionsfaktoren[[#This Row],[2040]]/1000, 0)</f>
        <v>0</v>
      </c>
      <c r="X58" s="14">
        <f>IF(ISNUMBER(Refsz_Verbräuche[[#This Row],[2045]]), Refsz_Verbräuche[[#This Row],[2045]]*Emissionsfaktoren[[#This Row],[2045]]/1000, 0)</f>
        <v>0</v>
      </c>
      <c r="Y58" s="14">
        <f>IF(ISNUMBER(Refsz_Verbräuche[[#This Row],[2050]]), Refsz_Verbräuche[[#This Row],[2050]]*Emissionsfaktoren[[#This Row],[2050]]/1000, 0)</f>
        <v>0</v>
      </c>
    </row>
    <row r="59" spans="2:25" ht="16.5">
      <c r="B59" s="14">
        <v>42</v>
      </c>
      <c r="C59" s="14" t="str">
        <f>Refsz_Verbräuche[[#This Row],[Handlungsfeld]]</f>
        <v>Mobilität 1</v>
      </c>
      <c r="D59" s="19" t="str">
        <f>Refsz_Verbräuche[[#This Row],[Datenpunkt]]</f>
        <v>DR - Linienbus (Nahverkehr)</v>
      </c>
      <c r="E59" t="s">
        <v>195</v>
      </c>
      <c r="F59" s="14">
        <f>IF(ISNUMBER(Refsz_Verbräuche[[#This Row],[2015]]), Refsz_Verbräuche[[#This Row],[2015]]*Emissionsfaktoren[[#This Row],[2015]]/1000, 0)</f>
        <v>0</v>
      </c>
      <c r="G59" s="14">
        <f>IF(ISNUMBER(Refsz_Verbräuche[[#This Row],[2016]]), Refsz_Verbräuche[[#This Row],[2016]]*Emissionsfaktoren[[#This Row],[2016]]/1000, 0)</f>
        <v>0</v>
      </c>
      <c r="H59" s="14">
        <f>IF(ISNUMBER(Refsz_Verbräuche[[#This Row],[2017]]), Refsz_Verbräuche[[#This Row],[2017]]*Emissionsfaktoren[[#This Row],[2017]]/1000, 0)</f>
        <v>0</v>
      </c>
      <c r="I59" s="14">
        <f>IF(ISNUMBER(Refsz_Verbräuche[[#This Row],[2018]]), Refsz_Verbräuche[[#This Row],[2018]]*Emissionsfaktoren[[#This Row],[2018]]/1000, 0)</f>
        <v>0</v>
      </c>
      <c r="J59" s="14">
        <f>IF(ISNUMBER(Refsz_Verbräuche[[#This Row],[2019]]), Refsz_Verbräuche[[#This Row],[2019]]*Emissionsfaktoren[[#This Row],[2019]]/1000, 0)</f>
        <v>0</v>
      </c>
      <c r="K59" s="14">
        <f>IF(ISNUMBER(Refsz_Verbräuche[[#This Row],[2020]]), Refsz_Verbräuche[[#This Row],[2020]]*Emissionsfaktoren[[#This Row],[2020]]/1000, 0)</f>
        <v>0</v>
      </c>
      <c r="L59" s="14">
        <f>IF(ISNUMBER(Refsz_Verbräuche[[#This Row],[2021]]), Refsz_Verbräuche[[#This Row],[2021]]*Emissionsfaktoren[[#This Row],[2021]]/1000, 0)</f>
        <v>0</v>
      </c>
      <c r="M59" s="14">
        <f>IF(ISNUMBER(Refsz_Verbräuche[[#This Row],[2022]]), Refsz_Verbräuche[[#This Row],[2022]]*Emissionsfaktoren[[#This Row],[2022]]/1000, 0)</f>
        <v>0</v>
      </c>
      <c r="N59" s="14">
        <f>IF(ISNUMBER(Refsz_Verbräuche[[#This Row],[2023]]), Refsz_Verbräuche[[#This Row],[2023]]*Emissionsfaktoren[[#This Row],[2023]]/1000, 0)</f>
        <v>0</v>
      </c>
      <c r="O59" s="14">
        <f>IF(ISNUMBER(Refsz_Verbräuche[[#This Row],[2024]]), Refsz_Verbräuche[[#This Row],[2024]]*Emissionsfaktoren[[#This Row],[2024]]/1000, 0)</f>
        <v>0</v>
      </c>
      <c r="P59" s="14">
        <f>IF(ISNUMBER(Refsz_Verbräuche[[#This Row],[2025]]), Refsz_Verbräuche[[#This Row],[2025]]*Emissionsfaktoren[[#This Row],[2025]]/1000, 0)</f>
        <v>0</v>
      </c>
      <c r="Q59" s="14">
        <f>IF(ISNUMBER(Refsz_Verbräuche[[#This Row],[2026]]), Refsz_Verbräuche[[#This Row],[2026]]*Emissionsfaktoren[[#This Row],[2026]]/1000, 0)</f>
        <v>0</v>
      </c>
      <c r="R59" s="14">
        <f>IF(ISNUMBER(Refsz_Verbräuche[[#This Row],[2027]]), Refsz_Verbräuche[[#This Row],[2027]]*Emissionsfaktoren[[#This Row],[2027]]/1000, 0)</f>
        <v>0</v>
      </c>
      <c r="S59" s="14">
        <f>IF(ISNUMBER(Refsz_Verbräuche[[#This Row],[2028]]), Refsz_Verbräuche[[#This Row],[2028]]*Emissionsfaktoren[[#This Row],[2028]]/1000, 0)</f>
        <v>0</v>
      </c>
      <c r="T59" s="14">
        <f>IF(ISNUMBER(Refsz_Verbräuche[[#This Row],[2029]]), Refsz_Verbräuche[[#This Row],[2029]]*Emissionsfaktoren[[#This Row],[2029]]/1000, 0)</f>
        <v>0</v>
      </c>
      <c r="U59" s="14">
        <f>IF(ISNUMBER(Refsz_Verbräuche[[#This Row],[2030]]), Refsz_Verbräuche[[#This Row],[2030]]*Emissionsfaktoren[[#This Row],[2030]]/1000, 0)</f>
        <v>0</v>
      </c>
      <c r="V59" s="14">
        <f>IF(ISNUMBER(Refsz_Verbräuche[[#This Row],[2035]]), Refsz_Verbräuche[[#This Row],[2035]]*Emissionsfaktoren[[#This Row],[2035]]/1000, 0)</f>
        <v>0</v>
      </c>
      <c r="W59" s="14">
        <f>IF(ISNUMBER(Refsz_Verbräuche[[#This Row],[2040]]), Refsz_Verbräuche[[#This Row],[2040]]*Emissionsfaktoren[[#This Row],[2040]]/1000, 0)</f>
        <v>0</v>
      </c>
      <c r="X59" s="14">
        <f>IF(ISNUMBER(Refsz_Verbräuche[[#This Row],[2045]]), Refsz_Verbräuche[[#This Row],[2045]]*Emissionsfaktoren[[#This Row],[2045]]/1000, 0)</f>
        <v>0</v>
      </c>
      <c r="Y59" s="14">
        <f>IF(ISNUMBER(Refsz_Verbräuche[[#This Row],[2050]]), Refsz_Verbräuche[[#This Row],[2050]]*Emissionsfaktoren[[#This Row],[2050]]/1000, 0)</f>
        <v>0</v>
      </c>
    </row>
    <row r="60" spans="2:25" ht="16.5">
      <c r="B60" s="14">
        <v>43</v>
      </c>
      <c r="C60" s="14" t="str">
        <f>Refsz_Verbräuche[[#This Row],[Handlungsfeld]]</f>
        <v>Mobilität 1</v>
      </c>
      <c r="D60" s="19" t="str">
        <f>Refsz_Verbräuche[[#This Row],[Datenpunkt]]</f>
        <v>DR - Privater PKW (alle Antriebsarten)</v>
      </c>
      <c r="E60" t="s">
        <v>195</v>
      </c>
      <c r="F60" s="14">
        <f>IF(ISNUMBER(Refsz_Verbräuche[[#This Row],[2015]]), Refsz_Verbräuche[[#This Row],[2015]]*Emissionsfaktoren[[#This Row],[2015]]/1000, 0)</f>
        <v>0</v>
      </c>
      <c r="G60" s="14">
        <f>IF(ISNUMBER(Refsz_Verbräuche[[#This Row],[2016]]), Refsz_Verbräuche[[#This Row],[2016]]*Emissionsfaktoren[[#This Row],[2016]]/1000, 0)</f>
        <v>0</v>
      </c>
      <c r="H60" s="14">
        <f>IF(ISNUMBER(Refsz_Verbräuche[[#This Row],[2017]]), Refsz_Verbräuche[[#This Row],[2017]]*Emissionsfaktoren[[#This Row],[2017]]/1000, 0)</f>
        <v>0</v>
      </c>
      <c r="I60" s="14">
        <f>IF(ISNUMBER(Refsz_Verbräuche[[#This Row],[2018]]), Refsz_Verbräuche[[#This Row],[2018]]*Emissionsfaktoren[[#This Row],[2018]]/1000, 0)</f>
        <v>0</v>
      </c>
      <c r="J60" s="14">
        <f>IF(ISNUMBER(Refsz_Verbräuche[[#This Row],[2019]]), Refsz_Verbräuche[[#This Row],[2019]]*Emissionsfaktoren[[#This Row],[2019]]/1000, 0)</f>
        <v>0</v>
      </c>
      <c r="K60" s="14">
        <f>IF(ISNUMBER(Refsz_Verbräuche[[#This Row],[2020]]), Refsz_Verbräuche[[#This Row],[2020]]*Emissionsfaktoren[[#This Row],[2020]]/1000, 0)</f>
        <v>0</v>
      </c>
      <c r="L60" s="14">
        <f>IF(ISNUMBER(Refsz_Verbräuche[[#This Row],[2021]]), Refsz_Verbräuche[[#This Row],[2021]]*Emissionsfaktoren[[#This Row],[2021]]/1000, 0)</f>
        <v>0</v>
      </c>
      <c r="M60" s="14">
        <f>IF(ISNUMBER(Refsz_Verbräuche[[#This Row],[2022]]), Refsz_Verbräuche[[#This Row],[2022]]*Emissionsfaktoren[[#This Row],[2022]]/1000, 0)</f>
        <v>0</v>
      </c>
      <c r="N60" s="14">
        <f>IF(ISNUMBER(Refsz_Verbräuche[[#This Row],[2023]]), Refsz_Verbräuche[[#This Row],[2023]]*Emissionsfaktoren[[#This Row],[2023]]/1000, 0)</f>
        <v>0</v>
      </c>
      <c r="O60" s="14">
        <f>IF(ISNUMBER(Refsz_Verbräuche[[#This Row],[2024]]), Refsz_Verbräuche[[#This Row],[2024]]*Emissionsfaktoren[[#This Row],[2024]]/1000, 0)</f>
        <v>0</v>
      </c>
      <c r="P60" s="14">
        <f>IF(ISNUMBER(Refsz_Verbräuche[[#This Row],[2025]]), Refsz_Verbräuche[[#This Row],[2025]]*Emissionsfaktoren[[#This Row],[2025]]/1000, 0)</f>
        <v>0</v>
      </c>
      <c r="Q60" s="14">
        <f>IF(ISNUMBER(Refsz_Verbräuche[[#This Row],[2026]]), Refsz_Verbräuche[[#This Row],[2026]]*Emissionsfaktoren[[#This Row],[2026]]/1000, 0)</f>
        <v>0</v>
      </c>
      <c r="R60" s="14">
        <f>IF(ISNUMBER(Refsz_Verbräuche[[#This Row],[2027]]), Refsz_Verbräuche[[#This Row],[2027]]*Emissionsfaktoren[[#This Row],[2027]]/1000, 0)</f>
        <v>0</v>
      </c>
      <c r="S60" s="14">
        <f>IF(ISNUMBER(Refsz_Verbräuche[[#This Row],[2028]]), Refsz_Verbräuche[[#This Row],[2028]]*Emissionsfaktoren[[#This Row],[2028]]/1000, 0)</f>
        <v>0</v>
      </c>
      <c r="T60" s="14">
        <f>IF(ISNUMBER(Refsz_Verbräuche[[#This Row],[2029]]), Refsz_Verbräuche[[#This Row],[2029]]*Emissionsfaktoren[[#This Row],[2029]]/1000, 0)</f>
        <v>0</v>
      </c>
      <c r="U60" s="14">
        <f>IF(ISNUMBER(Refsz_Verbräuche[[#This Row],[2030]]), Refsz_Verbräuche[[#This Row],[2030]]*Emissionsfaktoren[[#This Row],[2030]]/1000, 0)</f>
        <v>0</v>
      </c>
      <c r="V60" s="14">
        <f>IF(ISNUMBER(Refsz_Verbräuche[[#This Row],[2035]]), Refsz_Verbräuche[[#This Row],[2035]]*Emissionsfaktoren[[#This Row],[2035]]/1000, 0)</f>
        <v>0</v>
      </c>
      <c r="W60" s="14">
        <f>IF(ISNUMBER(Refsz_Verbräuche[[#This Row],[2040]]), Refsz_Verbräuche[[#This Row],[2040]]*Emissionsfaktoren[[#This Row],[2040]]/1000, 0)</f>
        <v>0</v>
      </c>
      <c r="X60" s="14">
        <f>IF(ISNUMBER(Refsz_Verbräuche[[#This Row],[2045]]), Refsz_Verbräuche[[#This Row],[2045]]*Emissionsfaktoren[[#This Row],[2045]]/1000, 0)</f>
        <v>0</v>
      </c>
      <c r="Y60" s="14">
        <f>IF(ISNUMBER(Refsz_Verbräuche[[#This Row],[2050]]), Refsz_Verbräuche[[#This Row],[2050]]*Emissionsfaktoren[[#This Row],[2050]]/1000, 0)</f>
        <v>0</v>
      </c>
    </row>
    <row r="61" spans="2:25" ht="16.5">
      <c r="B61" s="14">
        <v>44</v>
      </c>
      <c r="C61" s="14" t="str">
        <f>Refsz_Verbräuche[[#This Row],[Handlungsfeld]]</f>
        <v>Mobilität 1</v>
      </c>
      <c r="D61" s="19" t="str">
        <f>Refsz_Verbräuche[[#This Row],[Datenpunkt]]</f>
        <v>DR - Privater PKW (Diesel)</v>
      </c>
      <c r="E61" t="s">
        <v>195</v>
      </c>
      <c r="F61" s="14">
        <f>IF(ISNUMBER(Refsz_Verbräuche[[#This Row],[2015]]), Refsz_Verbräuche[[#This Row],[2015]]*Emissionsfaktoren[[#This Row],[2015]]/1000, 0)</f>
        <v>0</v>
      </c>
      <c r="G61" s="14">
        <f>IF(ISNUMBER(Refsz_Verbräuche[[#This Row],[2016]]), Refsz_Verbräuche[[#This Row],[2016]]*Emissionsfaktoren[[#This Row],[2016]]/1000, 0)</f>
        <v>0</v>
      </c>
      <c r="H61" s="14">
        <f>IF(ISNUMBER(Refsz_Verbräuche[[#This Row],[2017]]), Refsz_Verbräuche[[#This Row],[2017]]*Emissionsfaktoren[[#This Row],[2017]]/1000, 0)</f>
        <v>0</v>
      </c>
      <c r="I61" s="14">
        <f>IF(ISNUMBER(Refsz_Verbräuche[[#This Row],[2018]]), Refsz_Verbräuche[[#This Row],[2018]]*Emissionsfaktoren[[#This Row],[2018]]/1000, 0)</f>
        <v>0</v>
      </c>
      <c r="J61" s="14">
        <f>IF(ISNUMBER(Refsz_Verbräuche[[#This Row],[2019]]), Refsz_Verbräuche[[#This Row],[2019]]*Emissionsfaktoren[[#This Row],[2019]]/1000, 0)</f>
        <v>0</v>
      </c>
      <c r="K61" s="14">
        <f>IF(ISNUMBER(Refsz_Verbräuche[[#This Row],[2020]]), Refsz_Verbräuche[[#This Row],[2020]]*Emissionsfaktoren[[#This Row],[2020]]/1000, 0)</f>
        <v>0</v>
      </c>
      <c r="L61" s="14">
        <f>IF(ISNUMBER(Refsz_Verbräuche[[#This Row],[2021]]), Refsz_Verbräuche[[#This Row],[2021]]*Emissionsfaktoren[[#This Row],[2021]]/1000, 0)</f>
        <v>0</v>
      </c>
      <c r="M61" s="14">
        <f>IF(ISNUMBER(Refsz_Verbräuche[[#This Row],[2022]]), Refsz_Verbräuche[[#This Row],[2022]]*Emissionsfaktoren[[#This Row],[2022]]/1000, 0)</f>
        <v>0</v>
      </c>
      <c r="N61" s="14">
        <f>IF(ISNUMBER(Refsz_Verbräuche[[#This Row],[2023]]), Refsz_Verbräuche[[#This Row],[2023]]*Emissionsfaktoren[[#This Row],[2023]]/1000, 0)</f>
        <v>0</v>
      </c>
      <c r="O61" s="14">
        <f>IF(ISNUMBER(Refsz_Verbräuche[[#This Row],[2024]]), Refsz_Verbräuche[[#This Row],[2024]]*Emissionsfaktoren[[#This Row],[2024]]/1000, 0)</f>
        <v>0</v>
      </c>
      <c r="P61" s="14">
        <f>IF(ISNUMBER(Refsz_Verbräuche[[#This Row],[2025]]), Refsz_Verbräuche[[#This Row],[2025]]*Emissionsfaktoren[[#This Row],[2025]]/1000, 0)</f>
        <v>0</v>
      </c>
      <c r="Q61" s="14">
        <f>IF(ISNUMBER(Refsz_Verbräuche[[#This Row],[2026]]), Refsz_Verbräuche[[#This Row],[2026]]*Emissionsfaktoren[[#This Row],[2026]]/1000, 0)</f>
        <v>0</v>
      </c>
      <c r="R61" s="14">
        <f>IF(ISNUMBER(Refsz_Verbräuche[[#This Row],[2027]]), Refsz_Verbräuche[[#This Row],[2027]]*Emissionsfaktoren[[#This Row],[2027]]/1000, 0)</f>
        <v>0</v>
      </c>
      <c r="S61" s="14">
        <f>IF(ISNUMBER(Refsz_Verbräuche[[#This Row],[2028]]), Refsz_Verbräuche[[#This Row],[2028]]*Emissionsfaktoren[[#This Row],[2028]]/1000, 0)</f>
        <v>0</v>
      </c>
      <c r="T61" s="14">
        <f>IF(ISNUMBER(Refsz_Verbräuche[[#This Row],[2029]]), Refsz_Verbräuche[[#This Row],[2029]]*Emissionsfaktoren[[#This Row],[2029]]/1000, 0)</f>
        <v>0</v>
      </c>
      <c r="U61" s="14">
        <f>IF(ISNUMBER(Refsz_Verbräuche[[#This Row],[2030]]), Refsz_Verbräuche[[#This Row],[2030]]*Emissionsfaktoren[[#This Row],[2030]]/1000, 0)</f>
        <v>0</v>
      </c>
      <c r="V61" s="14">
        <f>IF(ISNUMBER(Refsz_Verbräuche[[#This Row],[2035]]), Refsz_Verbräuche[[#This Row],[2035]]*Emissionsfaktoren[[#This Row],[2035]]/1000, 0)</f>
        <v>0</v>
      </c>
      <c r="W61" s="14">
        <f>IF(ISNUMBER(Refsz_Verbräuche[[#This Row],[2040]]), Refsz_Verbräuche[[#This Row],[2040]]*Emissionsfaktoren[[#This Row],[2040]]/1000, 0)</f>
        <v>0</v>
      </c>
      <c r="X61" s="14">
        <f>IF(ISNUMBER(Refsz_Verbräuche[[#This Row],[2045]]), Refsz_Verbräuche[[#This Row],[2045]]*Emissionsfaktoren[[#This Row],[2045]]/1000, 0)</f>
        <v>0</v>
      </c>
      <c r="Y61" s="14">
        <f>IF(ISNUMBER(Refsz_Verbräuche[[#This Row],[2050]]), Refsz_Verbräuche[[#This Row],[2050]]*Emissionsfaktoren[[#This Row],[2050]]/1000, 0)</f>
        <v>0</v>
      </c>
    </row>
    <row r="62" spans="2:25" ht="16.5">
      <c r="B62" s="14">
        <v>45</v>
      </c>
      <c r="C62" s="14" t="str">
        <f>Refsz_Verbräuche[[#This Row],[Handlungsfeld]]</f>
        <v>Mobilität 1</v>
      </c>
      <c r="D62" s="19" t="str">
        <f>Refsz_Verbräuche[[#This Row],[Datenpunkt]]</f>
        <v>DR - Privater PKW (Benzin)</v>
      </c>
      <c r="E62" t="s">
        <v>195</v>
      </c>
      <c r="F62" s="14">
        <f>IF(ISNUMBER(Refsz_Verbräuche[[#This Row],[2015]]), Refsz_Verbräuche[[#This Row],[2015]]*Emissionsfaktoren[[#This Row],[2015]]/1000, 0)</f>
        <v>0</v>
      </c>
      <c r="G62" s="14">
        <f>IF(ISNUMBER(Refsz_Verbräuche[[#This Row],[2016]]), Refsz_Verbräuche[[#This Row],[2016]]*Emissionsfaktoren[[#This Row],[2016]]/1000, 0)</f>
        <v>0</v>
      </c>
      <c r="H62" s="14">
        <f>IF(ISNUMBER(Refsz_Verbräuche[[#This Row],[2017]]), Refsz_Verbräuche[[#This Row],[2017]]*Emissionsfaktoren[[#This Row],[2017]]/1000, 0)</f>
        <v>0</v>
      </c>
      <c r="I62" s="14">
        <f>IF(ISNUMBER(Refsz_Verbräuche[[#This Row],[2018]]), Refsz_Verbräuche[[#This Row],[2018]]*Emissionsfaktoren[[#This Row],[2018]]/1000, 0)</f>
        <v>0</v>
      </c>
      <c r="J62" s="14">
        <f>IF(ISNUMBER(Refsz_Verbräuche[[#This Row],[2019]]), Refsz_Verbräuche[[#This Row],[2019]]*Emissionsfaktoren[[#This Row],[2019]]/1000, 0)</f>
        <v>0</v>
      </c>
      <c r="K62" s="14">
        <f>IF(ISNUMBER(Refsz_Verbräuche[[#This Row],[2020]]), Refsz_Verbräuche[[#This Row],[2020]]*Emissionsfaktoren[[#This Row],[2020]]/1000, 0)</f>
        <v>0</v>
      </c>
      <c r="L62" s="14">
        <f>IF(ISNUMBER(Refsz_Verbräuche[[#This Row],[2021]]), Refsz_Verbräuche[[#This Row],[2021]]*Emissionsfaktoren[[#This Row],[2021]]/1000, 0)</f>
        <v>0</v>
      </c>
      <c r="M62" s="14">
        <f>IF(ISNUMBER(Refsz_Verbräuche[[#This Row],[2022]]), Refsz_Verbräuche[[#This Row],[2022]]*Emissionsfaktoren[[#This Row],[2022]]/1000, 0)</f>
        <v>0</v>
      </c>
      <c r="N62" s="14">
        <f>IF(ISNUMBER(Refsz_Verbräuche[[#This Row],[2023]]), Refsz_Verbräuche[[#This Row],[2023]]*Emissionsfaktoren[[#This Row],[2023]]/1000, 0)</f>
        <v>0</v>
      </c>
      <c r="O62" s="14">
        <f>IF(ISNUMBER(Refsz_Verbräuche[[#This Row],[2024]]), Refsz_Verbräuche[[#This Row],[2024]]*Emissionsfaktoren[[#This Row],[2024]]/1000, 0)</f>
        <v>0</v>
      </c>
      <c r="P62" s="14">
        <f>IF(ISNUMBER(Refsz_Verbräuche[[#This Row],[2025]]), Refsz_Verbräuche[[#This Row],[2025]]*Emissionsfaktoren[[#This Row],[2025]]/1000, 0)</f>
        <v>0</v>
      </c>
      <c r="Q62" s="14">
        <f>IF(ISNUMBER(Refsz_Verbräuche[[#This Row],[2026]]), Refsz_Verbräuche[[#This Row],[2026]]*Emissionsfaktoren[[#This Row],[2026]]/1000, 0)</f>
        <v>0</v>
      </c>
      <c r="R62" s="14">
        <f>IF(ISNUMBER(Refsz_Verbräuche[[#This Row],[2027]]), Refsz_Verbräuche[[#This Row],[2027]]*Emissionsfaktoren[[#This Row],[2027]]/1000, 0)</f>
        <v>0</v>
      </c>
      <c r="S62" s="14">
        <f>IF(ISNUMBER(Refsz_Verbräuche[[#This Row],[2028]]), Refsz_Verbräuche[[#This Row],[2028]]*Emissionsfaktoren[[#This Row],[2028]]/1000, 0)</f>
        <v>0</v>
      </c>
      <c r="T62" s="14">
        <f>IF(ISNUMBER(Refsz_Verbräuche[[#This Row],[2029]]), Refsz_Verbräuche[[#This Row],[2029]]*Emissionsfaktoren[[#This Row],[2029]]/1000, 0)</f>
        <v>0</v>
      </c>
      <c r="U62" s="14">
        <f>IF(ISNUMBER(Refsz_Verbräuche[[#This Row],[2030]]), Refsz_Verbräuche[[#This Row],[2030]]*Emissionsfaktoren[[#This Row],[2030]]/1000, 0)</f>
        <v>0</v>
      </c>
      <c r="V62" s="14">
        <f>IF(ISNUMBER(Refsz_Verbräuche[[#This Row],[2035]]), Refsz_Verbräuche[[#This Row],[2035]]*Emissionsfaktoren[[#This Row],[2035]]/1000, 0)</f>
        <v>0</v>
      </c>
      <c r="W62" s="14">
        <f>IF(ISNUMBER(Refsz_Verbräuche[[#This Row],[2040]]), Refsz_Verbräuche[[#This Row],[2040]]*Emissionsfaktoren[[#This Row],[2040]]/1000, 0)</f>
        <v>0</v>
      </c>
      <c r="X62" s="14">
        <f>IF(ISNUMBER(Refsz_Verbräuche[[#This Row],[2045]]), Refsz_Verbräuche[[#This Row],[2045]]*Emissionsfaktoren[[#This Row],[2045]]/1000, 0)</f>
        <v>0</v>
      </c>
      <c r="Y62" s="14">
        <f>IF(ISNUMBER(Refsz_Verbräuche[[#This Row],[2050]]), Refsz_Verbräuche[[#This Row],[2050]]*Emissionsfaktoren[[#This Row],[2050]]/1000, 0)</f>
        <v>0</v>
      </c>
    </row>
    <row r="63" spans="2:25" ht="16.5">
      <c r="B63" s="14">
        <v>46</v>
      </c>
      <c r="C63" s="14" t="str">
        <f>Refsz_Verbräuche[[#This Row],[Handlungsfeld]]</f>
        <v>Mobilität 1</v>
      </c>
      <c r="D63" s="19" t="str">
        <f>Refsz_Verbräuche[[#This Row],[Datenpunkt]]</f>
        <v>DR - Mietwägen (Diesel)</v>
      </c>
      <c r="E63" t="s">
        <v>195</v>
      </c>
      <c r="F63" s="14">
        <f>IF(ISNUMBER(Refsz_Verbräuche[[#This Row],[2015]]), Refsz_Verbräuche[[#This Row],[2015]]*Emissionsfaktoren[[#This Row],[2015]]/1000, 0)</f>
        <v>0</v>
      </c>
      <c r="G63" s="14">
        <f>IF(ISNUMBER(Refsz_Verbräuche[[#This Row],[2016]]), Refsz_Verbräuche[[#This Row],[2016]]*Emissionsfaktoren[[#This Row],[2016]]/1000, 0)</f>
        <v>0</v>
      </c>
      <c r="H63" s="14">
        <f>IF(ISNUMBER(Refsz_Verbräuche[[#This Row],[2017]]), Refsz_Verbräuche[[#This Row],[2017]]*Emissionsfaktoren[[#This Row],[2017]]/1000, 0)</f>
        <v>0</v>
      </c>
      <c r="I63" s="14">
        <f>IF(ISNUMBER(Refsz_Verbräuche[[#This Row],[2018]]), Refsz_Verbräuche[[#This Row],[2018]]*Emissionsfaktoren[[#This Row],[2018]]/1000, 0)</f>
        <v>0</v>
      </c>
      <c r="J63" s="14">
        <f>IF(ISNUMBER(Refsz_Verbräuche[[#This Row],[2019]]), Refsz_Verbräuche[[#This Row],[2019]]*Emissionsfaktoren[[#This Row],[2019]]/1000, 0)</f>
        <v>0</v>
      </c>
      <c r="K63" s="14">
        <f>IF(ISNUMBER(Refsz_Verbräuche[[#This Row],[2020]]), Refsz_Verbräuche[[#This Row],[2020]]*Emissionsfaktoren[[#This Row],[2020]]/1000, 0)</f>
        <v>0</v>
      </c>
      <c r="L63" s="14">
        <f>IF(ISNUMBER(Refsz_Verbräuche[[#This Row],[2021]]), Refsz_Verbräuche[[#This Row],[2021]]*Emissionsfaktoren[[#This Row],[2021]]/1000, 0)</f>
        <v>0</v>
      </c>
      <c r="M63" s="14">
        <f>IF(ISNUMBER(Refsz_Verbräuche[[#This Row],[2022]]), Refsz_Verbräuche[[#This Row],[2022]]*Emissionsfaktoren[[#This Row],[2022]]/1000, 0)</f>
        <v>0</v>
      </c>
      <c r="N63" s="14">
        <f>IF(ISNUMBER(Refsz_Verbräuche[[#This Row],[2023]]), Refsz_Verbräuche[[#This Row],[2023]]*Emissionsfaktoren[[#This Row],[2023]]/1000, 0)</f>
        <v>0</v>
      </c>
      <c r="O63" s="14">
        <f>IF(ISNUMBER(Refsz_Verbräuche[[#This Row],[2024]]), Refsz_Verbräuche[[#This Row],[2024]]*Emissionsfaktoren[[#This Row],[2024]]/1000, 0)</f>
        <v>0</v>
      </c>
      <c r="P63" s="14">
        <f>IF(ISNUMBER(Refsz_Verbräuche[[#This Row],[2025]]), Refsz_Verbräuche[[#This Row],[2025]]*Emissionsfaktoren[[#This Row],[2025]]/1000, 0)</f>
        <v>0</v>
      </c>
      <c r="Q63" s="14">
        <f>IF(ISNUMBER(Refsz_Verbräuche[[#This Row],[2026]]), Refsz_Verbräuche[[#This Row],[2026]]*Emissionsfaktoren[[#This Row],[2026]]/1000, 0)</f>
        <v>0</v>
      </c>
      <c r="R63" s="14">
        <f>IF(ISNUMBER(Refsz_Verbräuche[[#This Row],[2027]]), Refsz_Verbräuche[[#This Row],[2027]]*Emissionsfaktoren[[#This Row],[2027]]/1000, 0)</f>
        <v>0</v>
      </c>
      <c r="S63" s="14">
        <f>IF(ISNUMBER(Refsz_Verbräuche[[#This Row],[2028]]), Refsz_Verbräuche[[#This Row],[2028]]*Emissionsfaktoren[[#This Row],[2028]]/1000, 0)</f>
        <v>0</v>
      </c>
      <c r="T63" s="14">
        <f>IF(ISNUMBER(Refsz_Verbräuche[[#This Row],[2029]]), Refsz_Verbräuche[[#This Row],[2029]]*Emissionsfaktoren[[#This Row],[2029]]/1000, 0)</f>
        <v>0</v>
      </c>
      <c r="U63" s="14">
        <f>IF(ISNUMBER(Refsz_Verbräuche[[#This Row],[2030]]), Refsz_Verbräuche[[#This Row],[2030]]*Emissionsfaktoren[[#This Row],[2030]]/1000, 0)</f>
        <v>0</v>
      </c>
      <c r="V63" s="14">
        <f>IF(ISNUMBER(Refsz_Verbräuche[[#This Row],[2035]]), Refsz_Verbräuche[[#This Row],[2035]]*Emissionsfaktoren[[#This Row],[2035]]/1000, 0)</f>
        <v>0</v>
      </c>
      <c r="W63" s="14">
        <f>IF(ISNUMBER(Refsz_Verbräuche[[#This Row],[2040]]), Refsz_Verbräuche[[#This Row],[2040]]*Emissionsfaktoren[[#This Row],[2040]]/1000, 0)</f>
        <v>0</v>
      </c>
      <c r="X63" s="14">
        <f>IF(ISNUMBER(Refsz_Verbräuche[[#This Row],[2045]]), Refsz_Verbräuche[[#This Row],[2045]]*Emissionsfaktoren[[#This Row],[2045]]/1000, 0)</f>
        <v>0</v>
      </c>
      <c r="Y63" s="14">
        <f>IF(ISNUMBER(Refsz_Verbräuche[[#This Row],[2050]]), Refsz_Verbräuche[[#This Row],[2050]]*Emissionsfaktoren[[#This Row],[2050]]/1000, 0)</f>
        <v>0</v>
      </c>
    </row>
    <row r="64" spans="2:25" ht="16.5">
      <c r="B64" s="14">
        <v>47</v>
      </c>
      <c r="C64" s="14" t="str">
        <f>Refsz_Verbräuche[[#This Row],[Handlungsfeld]]</f>
        <v>Mobilität 1</v>
      </c>
      <c r="D64" s="19" t="str">
        <f>Refsz_Verbräuche[[#This Row],[Datenpunkt]]</f>
        <v>DR - Mietwägen (Benzin)</v>
      </c>
      <c r="E64" t="s">
        <v>195</v>
      </c>
      <c r="F64" s="14">
        <f>IF(ISNUMBER(Refsz_Verbräuche[[#This Row],[2015]]), Refsz_Verbräuche[[#This Row],[2015]]*Emissionsfaktoren[[#This Row],[2015]]/1000, 0)</f>
        <v>0</v>
      </c>
      <c r="G64" s="14">
        <f>IF(ISNUMBER(Refsz_Verbräuche[[#This Row],[2016]]), Refsz_Verbräuche[[#This Row],[2016]]*Emissionsfaktoren[[#This Row],[2016]]/1000, 0)</f>
        <v>0</v>
      </c>
      <c r="H64" s="14">
        <f>IF(ISNUMBER(Refsz_Verbräuche[[#This Row],[2017]]), Refsz_Verbräuche[[#This Row],[2017]]*Emissionsfaktoren[[#This Row],[2017]]/1000, 0)</f>
        <v>0</v>
      </c>
      <c r="I64" s="14">
        <f>IF(ISNUMBER(Refsz_Verbräuche[[#This Row],[2018]]), Refsz_Verbräuche[[#This Row],[2018]]*Emissionsfaktoren[[#This Row],[2018]]/1000, 0)</f>
        <v>0</v>
      </c>
      <c r="J64" s="14">
        <f>IF(ISNUMBER(Refsz_Verbräuche[[#This Row],[2019]]), Refsz_Verbräuche[[#This Row],[2019]]*Emissionsfaktoren[[#This Row],[2019]]/1000, 0)</f>
        <v>0</v>
      </c>
      <c r="K64" s="14">
        <f>IF(ISNUMBER(Refsz_Verbräuche[[#This Row],[2020]]), Refsz_Verbräuche[[#This Row],[2020]]*Emissionsfaktoren[[#This Row],[2020]]/1000, 0)</f>
        <v>0</v>
      </c>
      <c r="L64" s="14">
        <f>IF(ISNUMBER(Refsz_Verbräuche[[#This Row],[2021]]), Refsz_Verbräuche[[#This Row],[2021]]*Emissionsfaktoren[[#This Row],[2021]]/1000, 0)</f>
        <v>0</v>
      </c>
      <c r="M64" s="14">
        <f>IF(ISNUMBER(Refsz_Verbräuche[[#This Row],[2022]]), Refsz_Verbräuche[[#This Row],[2022]]*Emissionsfaktoren[[#This Row],[2022]]/1000, 0)</f>
        <v>0</v>
      </c>
      <c r="N64" s="14">
        <f>IF(ISNUMBER(Refsz_Verbräuche[[#This Row],[2023]]), Refsz_Verbräuche[[#This Row],[2023]]*Emissionsfaktoren[[#This Row],[2023]]/1000, 0)</f>
        <v>0</v>
      </c>
      <c r="O64" s="14">
        <f>IF(ISNUMBER(Refsz_Verbräuche[[#This Row],[2024]]), Refsz_Verbräuche[[#This Row],[2024]]*Emissionsfaktoren[[#This Row],[2024]]/1000, 0)</f>
        <v>0</v>
      </c>
      <c r="P64" s="14">
        <f>IF(ISNUMBER(Refsz_Verbräuche[[#This Row],[2025]]), Refsz_Verbräuche[[#This Row],[2025]]*Emissionsfaktoren[[#This Row],[2025]]/1000, 0)</f>
        <v>0</v>
      </c>
      <c r="Q64" s="14">
        <f>IF(ISNUMBER(Refsz_Verbräuche[[#This Row],[2026]]), Refsz_Verbräuche[[#This Row],[2026]]*Emissionsfaktoren[[#This Row],[2026]]/1000, 0)</f>
        <v>0</v>
      </c>
      <c r="R64" s="14">
        <f>IF(ISNUMBER(Refsz_Verbräuche[[#This Row],[2027]]), Refsz_Verbräuche[[#This Row],[2027]]*Emissionsfaktoren[[#This Row],[2027]]/1000, 0)</f>
        <v>0</v>
      </c>
      <c r="S64" s="14">
        <f>IF(ISNUMBER(Refsz_Verbräuche[[#This Row],[2028]]), Refsz_Verbräuche[[#This Row],[2028]]*Emissionsfaktoren[[#This Row],[2028]]/1000, 0)</f>
        <v>0</v>
      </c>
      <c r="T64" s="14">
        <f>IF(ISNUMBER(Refsz_Verbräuche[[#This Row],[2029]]), Refsz_Verbräuche[[#This Row],[2029]]*Emissionsfaktoren[[#This Row],[2029]]/1000, 0)</f>
        <v>0</v>
      </c>
      <c r="U64" s="14">
        <f>IF(ISNUMBER(Refsz_Verbräuche[[#This Row],[2030]]), Refsz_Verbräuche[[#This Row],[2030]]*Emissionsfaktoren[[#This Row],[2030]]/1000, 0)</f>
        <v>0</v>
      </c>
      <c r="V64" s="14">
        <f>IF(ISNUMBER(Refsz_Verbräuche[[#This Row],[2035]]), Refsz_Verbräuche[[#This Row],[2035]]*Emissionsfaktoren[[#This Row],[2035]]/1000, 0)</f>
        <v>0</v>
      </c>
      <c r="W64" s="14">
        <f>IF(ISNUMBER(Refsz_Verbräuche[[#This Row],[2040]]), Refsz_Verbräuche[[#This Row],[2040]]*Emissionsfaktoren[[#This Row],[2040]]/1000, 0)</f>
        <v>0</v>
      </c>
      <c r="X64" s="14">
        <f>IF(ISNUMBER(Refsz_Verbräuche[[#This Row],[2045]]), Refsz_Verbräuche[[#This Row],[2045]]*Emissionsfaktoren[[#This Row],[2045]]/1000, 0)</f>
        <v>0</v>
      </c>
      <c r="Y64" s="14">
        <f>IF(ISNUMBER(Refsz_Verbräuche[[#This Row],[2050]]), Refsz_Verbräuche[[#This Row],[2050]]*Emissionsfaktoren[[#This Row],[2050]]/1000, 0)</f>
        <v>0</v>
      </c>
    </row>
    <row r="65" spans="2:25" ht="16.5">
      <c r="B65" s="14">
        <v>48</v>
      </c>
      <c r="C65" s="14" t="str">
        <f>Refsz_Verbräuche[[#This Row],[Handlungsfeld]]</f>
        <v>Mobilität 1</v>
      </c>
      <c r="D65" s="19" t="str">
        <f>Refsz_Verbräuche[[#This Row],[Datenpunkt]]</f>
        <v>DR - Mietwägen (E-Auto/ BEV)</v>
      </c>
      <c r="E65" t="s">
        <v>195</v>
      </c>
      <c r="F65" s="14">
        <f>IF(ISNUMBER(Refsz_Verbräuche[[#This Row],[2015]]), Refsz_Verbräuche[[#This Row],[2015]]*Emissionsfaktoren[[#This Row],[2015]]/1000, 0)</f>
        <v>0</v>
      </c>
      <c r="G65" s="14">
        <f>IF(ISNUMBER(Refsz_Verbräuche[[#This Row],[2016]]), Refsz_Verbräuche[[#This Row],[2016]]*Emissionsfaktoren[[#This Row],[2016]]/1000, 0)</f>
        <v>0</v>
      </c>
      <c r="H65" s="14">
        <f>IF(ISNUMBER(Refsz_Verbräuche[[#This Row],[2017]]), Refsz_Verbräuche[[#This Row],[2017]]*Emissionsfaktoren[[#This Row],[2017]]/1000, 0)</f>
        <v>0</v>
      </c>
      <c r="I65" s="14">
        <f>IF(ISNUMBER(Refsz_Verbräuche[[#This Row],[2018]]), Refsz_Verbräuche[[#This Row],[2018]]*Emissionsfaktoren[[#This Row],[2018]]/1000, 0)</f>
        <v>0</v>
      </c>
      <c r="J65" s="14">
        <f>IF(ISNUMBER(Refsz_Verbräuche[[#This Row],[2019]]), Refsz_Verbräuche[[#This Row],[2019]]*Emissionsfaktoren[[#This Row],[2019]]/1000, 0)</f>
        <v>0</v>
      </c>
      <c r="K65" s="14">
        <f>IF(ISNUMBER(Refsz_Verbräuche[[#This Row],[2020]]), Refsz_Verbräuche[[#This Row],[2020]]*Emissionsfaktoren[[#This Row],[2020]]/1000, 0)</f>
        <v>0</v>
      </c>
      <c r="L65" s="14">
        <f>IF(ISNUMBER(Refsz_Verbräuche[[#This Row],[2021]]), Refsz_Verbräuche[[#This Row],[2021]]*Emissionsfaktoren[[#This Row],[2021]]/1000, 0)</f>
        <v>0</v>
      </c>
      <c r="M65" s="14">
        <f>IF(ISNUMBER(Refsz_Verbräuche[[#This Row],[2022]]), Refsz_Verbräuche[[#This Row],[2022]]*Emissionsfaktoren[[#This Row],[2022]]/1000, 0)</f>
        <v>0</v>
      </c>
      <c r="N65" s="14">
        <f>IF(ISNUMBER(Refsz_Verbräuche[[#This Row],[2023]]), Refsz_Verbräuche[[#This Row],[2023]]*Emissionsfaktoren[[#This Row],[2023]]/1000, 0)</f>
        <v>0</v>
      </c>
      <c r="O65" s="14">
        <f>IF(ISNUMBER(Refsz_Verbräuche[[#This Row],[2024]]), Refsz_Verbräuche[[#This Row],[2024]]*Emissionsfaktoren[[#This Row],[2024]]/1000, 0)</f>
        <v>0</v>
      </c>
      <c r="P65" s="14">
        <f>IF(ISNUMBER(Refsz_Verbräuche[[#This Row],[2025]]), Refsz_Verbräuche[[#This Row],[2025]]*Emissionsfaktoren[[#This Row],[2025]]/1000, 0)</f>
        <v>0</v>
      </c>
      <c r="Q65" s="14">
        <f>IF(ISNUMBER(Refsz_Verbräuche[[#This Row],[2026]]), Refsz_Verbräuche[[#This Row],[2026]]*Emissionsfaktoren[[#This Row],[2026]]/1000, 0)</f>
        <v>0</v>
      </c>
      <c r="R65" s="14">
        <f>IF(ISNUMBER(Refsz_Verbräuche[[#This Row],[2027]]), Refsz_Verbräuche[[#This Row],[2027]]*Emissionsfaktoren[[#This Row],[2027]]/1000, 0)</f>
        <v>0</v>
      </c>
      <c r="S65" s="14">
        <f>IF(ISNUMBER(Refsz_Verbräuche[[#This Row],[2028]]), Refsz_Verbräuche[[#This Row],[2028]]*Emissionsfaktoren[[#This Row],[2028]]/1000, 0)</f>
        <v>0</v>
      </c>
      <c r="T65" s="14">
        <f>IF(ISNUMBER(Refsz_Verbräuche[[#This Row],[2029]]), Refsz_Verbräuche[[#This Row],[2029]]*Emissionsfaktoren[[#This Row],[2029]]/1000, 0)</f>
        <v>0</v>
      </c>
      <c r="U65" s="14">
        <f>IF(ISNUMBER(Refsz_Verbräuche[[#This Row],[2030]]), Refsz_Verbräuche[[#This Row],[2030]]*Emissionsfaktoren[[#This Row],[2030]]/1000, 0)</f>
        <v>0</v>
      </c>
      <c r="V65" s="14">
        <f>IF(ISNUMBER(Refsz_Verbräuche[[#This Row],[2035]]), Refsz_Verbräuche[[#This Row],[2035]]*Emissionsfaktoren[[#This Row],[2035]]/1000, 0)</f>
        <v>0</v>
      </c>
      <c r="W65" s="14">
        <f>IF(ISNUMBER(Refsz_Verbräuche[[#This Row],[2040]]), Refsz_Verbräuche[[#This Row],[2040]]*Emissionsfaktoren[[#This Row],[2040]]/1000, 0)</f>
        <v>0</v>
      </c>
      <c r="X65" s="14">
        <f>IF(ISNUMBER(Refsz_Verbräuche[[#This Row],[2045]]), Refsz_Verbräuche[[#This Row],[2045]]*Emissionsfaktoren[[#This Row],[2045]]/1000, 0)</f>
        <v>0</v>
      </c>
      <c r="Y65" s="14">
        <f>IF(ISNUMBER(Refsz_Verbräuche[[#This Row],[2050]]), Refsz_Verbräuche[[#This Row],[2050]]*Emissionsfaktoren[[#This Row],[2050]]/1000, 0)</f>
        <v>0</v>
      </c>
    </row>
    <row r="66" spans="2:25" ht="16.5">
      <c r="B66" s="14">
        <v>49</v>
      </c>
      <c r="C66" s="14" t="str">
        <f>Refsz_Verbräuche[[#This Row],[Handlungsfeld]]</f>
        <v>Mobilität 1</v>
      </c>
      <c r="D66" s="19" t="str">
        <f>Refsz_Verbräuche[[#This Row],[Datenpunkt]]</f>
        <v>DR - Mietwägen (Wasserstoff/ FCEV)</v>
      </c>
      <c r="E66" t="s">
        <v>195</v>
      </c>
      <c r="F66" s="14">
        <f>IF(ISNUMBER(Refsz_Verbräuche[[#This Row],[2015]]), Refsz_Verbräuche[[#This Row],[2015]]*Emissionsfaktoren[[#This Row],[2015]]/1000, 0)</f>
        <v>0</v>
      </c>
      <c r="G66" s="14">
        <f>IF(ISNUMBER(Refsz_Verbräuche[[#This Row],[2016]]), Refsz_Verbräuche[[#This Row],[2016]]*Emissionsfaktoren[[#This Row],[2016]]/1000, 0)</f>
        <v>0</v>
      </c>
      <c r="H66" s="14">
        <f>IF(ISNUMBER(Refsz_Verbräuche[[#This Row],[2017]]), Refsz_Verbräuche[[#This Row],[2017]]*Emissionsfaktoren[[#This Row],[2017]]/1000, 0)</f>
        <v>0</v>
      </c>
      <c r="I66" s="14">
        <f>IF(ISNUMBER(Refsz_Verbräuche[[#This Row],[2018]]), Refsz_Verbräuche[[#This Row],[2018]]*Emissionsfaktoren[[#This Row],[2018]]/1000, 0)</f>
        <v>0</v>
      </c>
      <c r="J66" s="14">
        <f>IF(ISNUMBER(Refsz_Verbräuche[[#This Row],[2019]]), Refsz_Verbräuche[[#This Row],[2019]]*Emissionsfaktoren[[#This Row],[2019]]/1000, 0)</f>
        <v>0</v>
      </c>
      <c r="K66" s="14">
        <f>IF(ISNUMBER(Refsz_Verbräuche[[#This Row],[2020]]), Refsz_Verbräuche[[#This Row],[2020]]*Emissionsfaktoren[[#This Row],[2020]]/1000, 0)</f>
        <v>0</v>
      </c>
      <c r="L66" s="14">
        <f>IF(ISNUMBER(Refsz_Verbräuche[[#This Row],[2021]]), Refsz_Verbräuche[[#This Row],[2021]]*Emissionsfaktoren[[#This Row],[2021]]/1000, 0)</f>
        <v>0</v>
      </c>
      <c r="M66" s="14">
        <f>IF(ISNUMBER(Refsz_Verbräuche[[#This Row],[2022]]), Refsz_Verbräuche[[#This Row],[2022]]*Emissionsfaktoren[[#This Row],[2022]]/1000, 0)</f>
        <v>0</v>
      </c>
      <c r="N66" s="14">
        <f>IF(ISNUMBER(Refsz_Verbräuche[[#This Row],[2023]]), Refsz_Verbräuche[[#This Row],[2023]]*Emissionsfaktoren[[#This Row],[2023]]/1000, 0)</f>
        <v>0</v>
      </c>
      <c r="O66" s="14">
        <f>IF(ISNUMBER(Refsz_Verbräuche[[#This Row],[2024]]), Refsz_Verbräuche[[#This Row],[2024]]*Emissionsfaktoren[[#This Row],[2024]]/1000, 0)</f>
        <v>0</v>
      </c>
      <c r="P66" s="14">
        <f>IF(ISNUMBER(Refsz_Verbräuche[[#This Row],[2025]]), Refsz_Verbräuche[[#This Row],[2025]]*Emissionsfaktoren[[#This Row],[2025]]/1000, 0)</f>
        <v>0</v>
      </c>
      <c r="Q66" s="14">
        <f>IF(ISNUMBER(Refsz_Verbräuche[[#This Row],[2026]]), Refsz_Verbräuche[[#This Row],[2026]]*Emissionsfaktoren[[#This Row],[2026]]/1000, 0)</f>
        <v>0</v>
      </c>
      <c r="R66" s="14">
        <f>IF(ISNUMBER(Refsz_Verbräuche[[#This Row],[2027]]), Refsz_Verbräuche[[#This Row],[2027]]*Emissionsfaktoren[[#This Row],[2027]]/1000, 0)</f>
        <v>0</v>
      </c>
      <c r="S66" s="14">
        <f>IF(ISNUMBER(Refsz_Verbräuche[[#This Row],[2028]]), Refsz_Verbräuche[[#This Row],[2028]]*Emissionsfaktoren[[#This Row],[2028]]/1000, 0)</f>
        <v>0</v>
      </c>
      <c r="T66" s="14">
        <f>IF(ISNUMBER(Refsz_Verbräuche[[#This Row],[2029]]), Refsz_Verbräuche[[#This Row],[2029]]*Emissionsfaktoren[[#This Row],[2029]]/1000, 0)</f>
        <v>0</v>
      </c>
      <c r="U66" s="14">
        <f>IF(ISNUMBER(Refsz_Verbräuche[[#This Row],[2030]]), Refsz_Verbräuche[[#This Row],[2030]]*Emissionsfaktoren[[#This Row],[2030]]/1000, 0)</f>
        <v>0</v>
      </c>
      <c r="V66" s="14">
        <f>IF(ISNUMBER(Refsz_Verbräuche[[#This Row],[2035]]), Refsz_Verbräuche[[#This Row],[2035]]*Emissionsfaktoren[[#This Row],[2035]]/1000, 0)</f>
        <v>0</v>
      </c>
      <c r="W66" s="14">
        <f>IF(ISNUMBER(Refsz_Verbräuche[[#This Row],[2040]]), Refsz_Verbräuche[[#This Row],[2040]]*Emissionsfaktoren[[#This Row],[2040]]/1000, 0)</f>
        <v>0</v>
      </c>
      <c r="X66" s="14">
        <f>IF(ISNUMBER(Refsz_Verbräuche[[#This Row],[2045]]), Refsz_Verbräuche[[#This Row],[2045]]*Emissionsfaktoren[[#This Row],[2045]]/1000, 0)</f>
        <v>0</v>
      </c>
      <c r="Y66" s="14">
        <f>IF(ISNUMBER(Refsz_Verbräuche[[#This Row],[2050]]), Refsz_Verbräuche[[#This Row],[2050]]*Emissionsfaktoren[[#This Row],[2050]]/1000, 0)</f>
        <v>0</v>
      </c>
    </row>
    <row r="67" spans="2:25" ht="16.5">
      <c r="B67" s="14">
        <v>50</v>
      </c>
      <c r="C67" s="14" t="str">
        <f>Refsz_Verbräuche[[#This Row],[Handlungsfeld]]</f>
        <v>Mobilität 1</v>
      </c>
      <c r="D67" s="19" t="str">
        <f>Refsz_Verbräuche[[#This Row],[Datenpunkt]]</f>
        <v>DR - Mietwägen (CNG)</v>
      </c>
      <c r="E67" t="s">
        <v>195</v>
      </c>
      <c r="F67" s="14">
        <f>IF(ISNUMBER(Refsz_Verbräuche[[#This Row],[2015]]), Refsz_Verbräuche[[#This Row],[2015]]*Emissionsfaktoren[[#This Row],[2015]]/1000, 0)</f>
        <v>0</v>
      </c>
      <c r="G67" s="14">
        <f>IF(ISNUMBER(Refsz_Verbräuche[[#This Row],[2016]]), Refsz_Verbräuche[[#This Row],[2016]]*Emissionsfaktoren[[#This Row],[2016]]/1000, 0)</f>
        <v>0</v>
      </c>
      <c r="H67" s="14">
        <f>IF(ISNUMBER(Refsz_Verbräuche[[#This Row],[2017]]), Refsz_Verbräuche[[#This Row],[2017]]*Emissionsfaktoren[[#This Row],[2017]]/1000, 0)</f>
        <v>0</v>
      </c>
      <c r="I67" s="14">
        <f>IF(ISNUMBER(Refsz_Verbräuche[[#This Row],[2018]]), Refsz_Verbräuche[[#This Row],[2018]]*Emissionsfaktoren[[#This Row],[2018]]/1000, 0)</f>
        <v>0</v>
      </c>
      <c r="J67" s="14">
        <f>IF(ISNUMBER(Refsz_Verbräuche[[#This Row],[2019]]), Refsz_Verbräuche[[#This Row],[2019]]*Emissionsfaktoren[[#This Row],[2019]]/1000, 0)</f>
        <v>0</v>
      </c>
      <c r="K67" s="14">
        <f>IF(ISNUMBER(Refsz_Verbräuche[[#This Row],[2020]]), Refsz_Verbräuche[[#This Row],[2020]]*Emissionsfaktoren[[#This Row],[2020]]/1000, 0)</f>
        <v>0</v>
      </c>
      <c r="L67" s="14">
        <f>IF(ISNUMBER(Refsz_Verbräuche[[#This Row],[2021]]), Refsz_Verbräuche[[#This Row],[2021]]*Emissionsfaktoren[[#This Row],[2021]]/1000, 0)</f>
        <v>0</v>
      </c>
      <c r="M67" s="14">
        <f>IF(ISNUMBER(Refsz_Verbräuche[[#This Row],[2022]]), Refsz_Verbräuche[[#This Row],[2022]]*Emissionsfaktoren[[#This Row],[2022]]/1000, 0)</f>
        <v>0</v>
      </c>
      <c r="N67" s="14">
        <f>IF(ISNUMBER(Refsz_Verbräuche[[#This Row],[2023]]), Refsz_Verbräuche[[#This Row],[2023]]*Emissionsfaktoren[[#This Row],[2023]]/1000, 0)</f>
        <v>0</v>
      </c>
      <c r="O67" s="14">
        <f>IF(ISNUMBER(Refsz_Verbräuche[[#This Row],[2024]]), Refsz_Verbräuche[[#This Row],[2024]]*Emissionsfaktoren[[#This Row],[2024]]/1000, 0)</f>
        <v>0</v>
      </c>
      <c r="P67" s="14">
        <f>IF(ISNUMBER(Refsz_Verbräuche[[#This Row],[2025]]), Refsz_Verbräuche[[#This Row],[2025]]*Emissionsfaktoren[[#This Row],[2025]]/1000, 0)</f>
        <v>0</v>
      </c>
      <c r="Q67" s="14">
        <f>IF(ISNUMBER(Refsz_Verbräuche[[#This Row],[2026]]), Refsz_Verbräuche[[#This Row],[2026]]*Emissionsfaktoren[[#This Row],[2026]]/1000, 0)</f>
        <v>0</v>
      </c>
      <c r="R67" s="14">
        <f>IF(ISNUMBER(Refsz_Verbräuche[[#This Row],[2027]]), Refsz_Verbräuche[[#This Row],[2027]]*Emissionsfaktoren[[#This Row],[2027]]/1000, 0)</f>
        <v>0</v>
      </c>
      <c r="S67" s="14">
        <f>IF(ISNUMBER(Refsz_Verbräuche[[#This Row],[2028]]), Refsz_Verbräuche[[#This Row],[2028]]*Emissionsfaktoren[[#This Row],[2028]]/1000, 0)</f>
        <v>0</v>
      </c>
      <c r="T67" s="14">
        <f>IF(ISNUMBER(Refsz_Verbräuche[[#This Row],[2029]]), Refsz_Verbräuche[[#This Row],[2029]]*Emissionsfaktoren[[#This Row],[2029]]/1000, 0)</f>
        <v>0</v>
      </c>
      <c r="U67" s="14">
        <f>IF(ISNUMBER(Refsz_Verbräuche[[#This Row],[2030]]), Refsz_Verbräuche[[#This Row],[2030]]*Emissionsfaktoren[[#This Row],[2030]]/1000, 0)</f>
        <v>0</v>
      </c>
      <c r="V67" s="14">
        <f>IF(ISNUMBER(Refsz_Verbräuche[[#This Row],[2035]]), Refsz_Verbräuche[[#This Row],[2035]]*Emissionsfaktoren[[#This Row],[2035]]/1000, 0)</f>
        <v>0</v>
      </c>
      <c r="W67" s="14">
        <f>IF(ISNUMBER(Refsz_Verbräuche[[#This Row],[2040]]), Refsz_Verbräuche[[#This Row],[2040]]*Emissionsfaktoren[[#This Row],[2040]]/1000, 0)</f>
        <v>0</v>
      </c>
      <c r="X67" s="14">
        <f>IF(ISNUMBER(Refsz_Verbräuche[[#This Row],[2045]]), Refsz_Verbräuche[[#This Row],[2045]]*Emissionsfaktoren[[#This Row],[2045]]/1000, 0)</f>
        <v>0</v>
      </c>
      <c r="Y67" s="14">
        <f>IF(ISNUMBER(Refsz_Verbräuche[[#This Row],[2050]]), Refsz_Verbräuche[[#This Row],[2050]]*Emissionsfaktoren[[#This Row],[2050]]/1000, 0)</f>
        <v>0</v>
      </c>
    </row>
    <row r="68" spans="2:25" ht="16.5">
      <c r="B68" s="14">
        <v>51</v>
      </c>
      <c r="C68" s="14" t="str">
        <f>Refsz_Verbräuche[[#This Row],[Handlungsfeld]]</f>
        <v>Mobilität 1</v>
      </c>
      <c r="D68" s="19" t="str">
        <f>Refsz_Verbräuche[[#This Row],[Datenpunkt]]</f>
        <v>DR - Mietwägen (Plug-In-Hybrid/ PHEV)</v>
      </c>
      <c r="E68" t="s">
        <v>195</v>
      </c>
      <c r="F68" s="14">
        <f>IF(ISNUMBER(Refsz_Verbräuche[[#This Row],[2015]]), Refsz_Verbräuche[[#This Row],[2015]]*Emissionsfaktoren[[#This Row],[2015]]/1000, 0)</f>
        <v>0</v>
      </c>
      <c r="G68" s="14">
        <f>IF(ISNUMBER(Refsz_Verbräuche[[#This Row],[2016]]), Refsz_Verbräuche[[#This Row],[2016]]*Emissionsfaktoren[[#This Row],[2016]]/1000, 0)</f>
        <v>0</v>
      </c>
      <c r="H68" s="14">
        <f>IF(ISNUMBER(Refsz_Verbräuche[[#This Row],[2017]]), Refsz_Verbräuche[[#This Row],[2017]]*Emissionsfaktoren[[#This Row],[2017]]/1000, 0)</f>
        <v>0</v>
      </c>
      <c r="I68" s="14">
        <f>IF(ISNUMBER(Refsz_Verbräuche[[#This Row],[2018]]), Refsz_Verbräuche[[#This Row],[2018]]*Emissionsfaktoren[[#This Row],[2018]]/1000, 0)</f>
        <v>0</v>
      </c>
      <c r="J68" s="14">
        <f>IF(ISNUMBER(Refsz_Verbräuche[[#This Row],[2019]]), Refsz_Verbräuche[[#This Row],[2019]]*Emissionsfaktoren[[#This Row],[2019]]/1000, 0)</f>
        <v>0</v>
      </c>
      <c r="K68" s="14">
        <f>IF(ISNUMBER(Refsz_Verbräuche[[#This Row],[2020]]), Refsz_Verbräuche[[#This Row],[2020]]*Emissionsfaktoren[[#This Row],[2020]]/1000, 0)</f>
        <v>0</v>
      </c>
      <c r="L68" s="14">
        <f>IF(ISNUMBER(Refsz_Verbräuche[[#This Row],[2021]]), Refsz_Verbräuche[[#This Row],[2021]]*Emissionsfaktoren[[#This Row],[2021]]/1000, 0)</f>
        <v>0</v>
      </c>
      <c r="M68" s="14">
        <f>IF(ISNUMBER(Refsz_Verbräuche[[#This Row],[2022]]), Refsz_Verbräuche[[#This Row],[2022]]*Emissionsfaktoren[[#This Row],[2022]]/1000, 0)</f>
        <v>0</v>
      </c>
      <c r="N68" s="14">
        <f>IF(ISNUMBER(Refsz_Verbräuche[[#This Row],[2023]]), Refsz_Verbräuche[[#This Row],[2023]]*Emissionsfaktoren[[#This Row],[2023]]/1000, 0)</f>
        <v>0</v>
      </c>
      <c r="O68" s="14">
        <f>IF(ISNUMBER(Refsz_Verbräuche[[#This Row],[2024]]), Refsz_Verbräuche[[#This Row],[2024]]*Emissionsfaktoren[[#This Row],[2024]]/1000, 0)</f>
        <v>0</v>
      </c>
      <c r="P68" s="14">
        <f>IF(ISNUMBER(Refsz_Verbräuche[[#This Row],[2025]]), Refsz_Verbräuche[[#This Row],[2025]]*Emissionsfaktoren[[#This Row],[2025]]/1000, 0)</f>
        <v>0</v>
      </c>
      <c r="Q68" s="14">
        <f>IF(ISNUMBER(Refsz_Verbräuche[[#This Row],[2026]]), Refsz_Verbräuche[[#This Row],[2026]]*Emissionsfaktoren[[#This Row],[2026]]/1000, 0)</f>
        <v>0</v>
      </c>
      <c r="R68" s="14">
        <f>IF(ISNUMBER(Refsz_Verbräuche[[#This Row],[2027]]), Refsz_Verbräuche[[#This Row],[2027]]*Emissionsfaktoren[[#This Row],[2027]]/1000, 0)</f>
        <v>0</v>
      </c>
      <c r="S68" s="14">
        <f>IF(ISNUMBER(Refsz_Verbräuche[[#This Row],[2028]]), Refsz_Verbräuche[[#This Row],[2028]]*Emissionsfaktoren[[#This Row],[2028]]/1000, 0)</f>
        <v>0</v>
      </c>
      <c r="T68" s="14">
        <f>IF(ISNUMBER(Refsz_Verbräuche[[#This Row],[2029]]), Refsz_Verbräuche[[#This Row],[2029]]*Emissionsfaktoren[[#This Row],[2029]]/1000, 0)</f>
        <v>0</v>
      </c>
      <c r="U68" s="14">
        <f>IF(ISNUMBER(Refsz_Verbräuche[[#This Row],[2030]]), Refsz_Verbräuche[[#This Row],[2030]]*Emissionsfaktoren[[#This Row],[2030]]/1000, 0)</f>
        <v>0</v>
      </c>
      <c r="V68" s="14">
        <f>IF(ISNUMBER(Refsz_Verbräuche[[#This Row],[2035]]), Refsz_Verbräuche[[#This Row],[2035]]*Emissionsfaktoren[[#This Row],[2035]]/1000, 0)</f>
        <v>0</v>
      </c>
      <c r="W68" s="14">
        <f>IF(ISNUMBER(Refsz_Verbräuche[[#This Row],[2040]]), Refsz_Verbräuche[[#This Row],[2040]]*Emissionsfaktoren[[#This Row],[2040]]/1000, 0)</f>
        <v>0</v>
      </c>
      <c r="X68" s="14">
        <f>IF(ISNUMBER(Refsz_Verbräuche[[#This Row],[2045]]), Refsz_Verbräuche[[#This Row],[2045]]*Emissionsfaktoren[[#This Row],[2045]]/1000, 0)</f>
        <v>0</v>
      </c>
      <c r="Y68" s="14">
        <f>IF(ISNUMBER(Refsz_Verbräuche[[#This Row],[2050]]), Refsz_Verbräuche[[#This Row],[2050]]*Emissionsfaktoren[[#This Row],[2050]]/1000, 0)</f>
        <v>0</v>
      </c>
    </row>
    <row r="69" spans="2:25" ht="16.5">
      <c r="B69" s="14">
        <v>52</v>
      </c>
      <c r="C69" s="14" t="str">
        <f>Refsz_Verbräuche[[#This Row],[Handlungsfeld]]</f>
        <v>Mobilität 1</v>
      </c>
      <c r="D69" s="19" t="str">
        <f>Refsz_Verbräuche[[#This Row],[Datenpunkt]]</f>
        <v>DR - E-Bike</v>
      </c>
      <c r="E69" t="s">
        <v>195</v>
      </c>
      <c r="F69" s="14">
        <f>IF(ISNUMBER(Refsz_Verbräuche[[#This Row],[2015]]), Refsz_Verbräuche[[#This Row],[2015]]*Emissionsfaktoren[[#This Row],[2015]]/1000, 0)</f>
        <v>0</v>
      </c>
      <c r="G69" s="14">
        <f>IF(ISNUMBER(Refsz_Verbräuche[[#This Row],[2016]]), Refsz_Verbräuche[[#This Row],[2016]]*Emissionsfaktoren[[#This Row],[2016]]/1000, 0)</f>
        <v>0</v>
      </c>
      <c r="H69" s="14">
        <f>IF(ISNUMBER(Refsz_Verbräuche[[#This Row],[2017]]), Refsz_Verbräuche[[#This Row],[2017]]*Emissionsfaktoren[[#This Row],[2017]]/1000, 0)</f>
        <v>0</v>
      </c>
      <c r="I69" s="14">
        <f>IF(ISNUMBER(Refsz_Verbräuche[[#This Row],[2018]]), Refsz_Verbräuche[[#This Row],[2018]]*Emissionsfaktoren[[#This Row],[2018]]/1000, 0)</f>
        <v>0</v>
      </c>
      <c r="J69" s="14">
        <f>IF(ISNUMBER(Refsz_Verbräuche[[#This Row],[2019]]), Refsz_Verbräuche[[#This Row],[2019]]*Emissionsfaktoren[[#This Row],[2019]]/1000, 0)</f>
        <v>0</v>
      </c>
      <c r="K69" s="14">
        <f>IF(ISNUMBER(Refsz_Verbräuche[[#This Row],[2020]]), Refsz_Verbräuche[[#This Row],[2020]]*Emissionsfaktoren[[#This Row],[2020]]/1000, 0)</f>
        <v>0</v>
      </c>
      <c r="L69" s="14">
        <f>IF(ISNUMBER(Refsz_Verbräuche[[#This Row],[2021]]), Refsz_Verbräuche[[#This Row],[2021]]*Emissionsfaktoren[[#This Row],[2021]]/1000, 0)</f>
        <v>0</v>
      </c>
      <c r="M69" s="14">
        <f>IF(ISNUMBER(Refsz_Verbräuche[[#This Row],[2022]]), Refsz_Verbräuche[[#This Row],[2022]]*Emissionsfaktoren[[#This Row],[2022]]/1000, 0)</f>
        <v>0</v>
      </c>
      <c r="N69" s="14">
        <f>IF(ISNUMBER(Refsz_Verbräuche[[#This Row],[2023]]), Refsz_Verbräuche[[#This Row],[2023]]*Emissionsfaktoren[[#This Row],[2023]]/1000, 0)</f>
        <v>0</v>
      </c>
      <c r="O69" s="14">
        <f>IF(ISNUMBER(Refsz_Verbräuche[[#This Row],[2024]]), Refsz_Verbräuche[[#This Row],[2024]]*Emissionsfaktoren[[#This Row],[2024]]/1000, 0)</f>
        <v>0</v>
      </c>
      <c r="P69" s="14">
        <f>IF(ISNUMBER(Refsz_Verbräuche[[#This Row],[2025]]), Refsz_Verbräuche[[#This Row],[2025]]*Emissionsfaktoren[[#This Row],[2025]]/1000, 0)</f>
        <v>0</v>
      </c>
      <c r="Q69" s="14">
        <f>IF(ISNUMBER(Refsz_Verbräuche[[#This Row],[2026]]), Refsz_Verbräuche[[#This Row],[2026]]*Emissionsfaktoren[[#This Row],[2026]]/1000, 0)</f>
        <v>0</v>
      </c>
      <c r="R69" s="14">
        <f>IF(ISNUMBER(Refsz_Verbräuche[[#This Row],[2027]]), Refsz_Verbräuche[[#This Row],[2027]]*Emissionsfaktoren[[#This Row],[2027]]/1000, 0)</f>
        <v>0</v>
      </c>
      <c r="S69" s="14">
        <f>IF(ISNUMBER(Refsz_Verbräuche[[#This Row],[2028]]), Refsz_Verbräuche[[#This Row],[2028]]*Emissionsfaktoren[[#This Row],[2028]]/1000, 0)</f>
        <v>0</v>
      </c>
      <c r="T69" s="14">
        <f>IF(ISNUMBER(Refsz_Verbräuche[[#This Row],[2029]]), Refsz_Verbräuche[[#This Row],[2029]]*Emissionsfaktoren[[#This Row],[2029]]/1000, 0)</f>
        <v>0</v>
      </c>
      <c r="U69" s="14">
        <f>IF(ISNUMBER(Refsz_Verbräuche[[#This Row],[2030]]), Refsz_Verbräuche[[#This Row],[2030]]*Emissionsfaktoren[[#This Row],[2030]]/1000, 0)</f>
        <v>0</v>
      </c>
      <c r="V69" s="14">
        <f>IF(ISNUMBER(Refsz_Verbräuche[[#This Row],[2035]]), Refsz_Verbräuche[[#This Row],[2035]]*Emissionsfaktoren[[#This Row],[2035]]/1000, 0)</f>
        <v>0</v>
      </c>
      <c r="W69" s="14">
        <f>IF(ISNUMBER(Refsz_Verbräuche[[#This Row],[2040]]), Refsz_Verbräuche[[#This Row],[2040]]*Emissionsfaktoren[[#This Row],[2040]]/1000, 0)</f>
        <v>0</v>
      </c>
      <c r="X69" s="14">
        <f>IF(ISNUMBER(Refsz_Verbräuche[[#This Row],[2045]]), Refsz_Verbräuche[[#This Row],[2045]]*Emissionsfaktoren[[#This Row],[2045]]/1000, 0)</f>
        <v>0</v>
      </c>
      <c r="Y69" s="14">
        <f>IF(ISNUMBER(Refsz_Verbräuche[[#This Row],[2050]]), Refsz_Verbräuche[[#This Row],[2050]]*Emissionsfaktoren[[#This Row],[2050]]/1000, 0)</f>
        <v>0</v>
      </c>
    </row>
    <row r="70" spans="2:25" ht="16.5">
      <c r="B70" s="14">
        <v>53</v>
      </c>
      <c r="C70" s="14" t="str">
        <f>Refsz_Verbräuche[[#This Row],[Handlungsfeld]]</f>
        <v>Mobilität 1</v>
      </c>
      <c r="D70" s="19" t="str">
        <f>Refsz_Verbräuche[[#This Row],[Datenpunkt]]</f>
        <v>DR - Fahrrad</v>
      </c>
      <c r="E70" t="s">
        <v>195</v>
      </c>
      <c r="F70" s="14">
        <f>IF(ISNUMBER(Refsz_Verbräuche[[#This Row],[2015]]), Refsz_Verbräuche[[#This Row],[2015]]*Emissionsfaktoren[[#This Row],[2015]]/1000, 0)</f>
        <v>0</v>
      </c>
      <c r="G70" s="14">
        <f>IF(ISNUMBER(Refsz_Verbräuche[[#This Row],[2016]]), Refsz_Verbräuche[[#This Row],[2016]]*Emissionsfaktoren[[#This Row],[2016]]/1000, 0)</f>
        <v>0</v>
      </c>
      <c r="H70" s="14">
        <f>IF(ISNUMBER(Refsz_Verbräuche[[#This Row],[2017]]), Refsz_Verbräuche[[#This Row],[2017]]*Emissionsfaktoren[[#This Row],[2017]]/1000, 0)</f>
        <v>0</v>
      </c>
      <c r="I70" s="14">
        <f>IF(ISNUMBER(Refsz_Verbräuche[[#This Row],[2018]]), Refsz_Verbräuche[[#This Row],[2018]]*Emissionsfaktoren[[#This Row],[2018]]/1000, 0)</f>
        <v>0</v>
      </c>
      <c r="J70" s="14">
        <f>IF(ISNUMBER(Refsz_Verbräuche[[#This Row],[2019]]), Refsz_Verbräuche[[#This Row],[2019]]*Emissionsfaktoren[[#This Row],[2019]]/1000, 0)</f>
        <v>0</v>
      </c>
      <c r="K70" s="14">
        <f>IF(ISNUMBER(Refsz_Verbräuche[[#This Row],[2020]]), Refsz_Verbräuche[[#This Row],[2020]]*Emissionsfaktoren[[#This Row],[2020]]/1000, 0)</f>
        <v>0</v>
      </c>
      <c r="L70" s="14">
        <f>IF(ISNUMBER(Refsz_Verbräuche[[#This Row],[2021]]), Refsz_Verbräuche[[#This Row],[2021]]*Emissionsfaktoren[[#This Row],[2021]]/1000, 0)</f>
        <v>0</v>
      </c>
      <c r="M70" s="14">
        <f>IF(ISNUMBER(Refsz_Verbräuche[[#This Row],[2022]]), Refsz_Verbräuche[[#This Row],[2022]]*Emissionsfaktoren[[#This Row],[2022]]/1000, 0)</f>
        <v>0</v>
      </c>
      <c r="N70" s="14">
        <f>IF(ISNUMBER(Refsz_Verbräuche[[#This Row],[2023]]), Refsz_Verbräuche[[#This Row],[2023]]*Emissionsfaktoren[[#This Row],[2023]]/1000, 0)</f>
        <v>0</v>
      </c>
      <c r="O70" s="14">
        <f>IF(ISNUMBER(Refsz_Verbräuche[[#This Row],[2024]]), Refsz_Verbräuche[[#This Row],[2024]]*Emissionsfaktoren[[#This Row],[2024]]/1000, 0)</f>
        <v>0</v>
      </c>
      <c r="P70" s="14">
        <f>IF(ISNUMBER(Refsz_Verbräuche[[#This Row],[2025]]), Refsz_Verbräuche[[#This Row],[2025]]*Emissionsfaktoren[[#This Row],[2025]]/1000, 0)</f>
        <v>0</v>
      </c>
      <c r="Q70" s="14">
        <f>IF(ISNUMBER(Refsz_Verbräuche[[#This Row],[2026]]), Refsz_Verbräuche[[#This Row],[2026]]*Emissionsfaktoren[[#This Row],[2026]]/1000, 0)</f>
        <v>0</v>
      </c>
      <c r="R70" s="14">
        <f>IF(ISNUMBER(Refsz_Verbräuche[[#This Row],[2027]]), Refsz_Verbräuche[[#This Row],[2027]]*Emissionsfaktoren[[#This Row],[2027]]/1000, 0)</f>
        <v>0</v>
      </c>
      <c r="S70" s="14">
        <f>IF(ISNUMBER(Refsz_Verbräuche[[#This Row],[2028]]), Refsz_Verbräuche[[#This Row],[2028]]*Emissionsfaktoren[[#This Row],[2028]]/1000, 0)</f>
        <v>0</v>
      </c>
      <c r="T70" s="14">
        <f>IF(ISNUMBER(Refsz_Verbräuche[[#This Row],[2029]]), Refsz_Verbräuche[[#This Row],[2029]]*Emissionsfaktoren[[#This Row],[2029]]/1000, 0)</f>
        <v>0</v>
      </c>
      <c r="U70" s="14">
        <f>IF(ISNUMBER(Refsz_Verbräuche[[#This Row],[2030]]), Refsz_Verbräuche[[#This Row],[2030]]*Emissionsfaktoren[[#This Row],[2030]]/1000, 0)</f>
        <v>0</v>
      </c>
      <c r="V70" s="14">
        <f>IF(ISNUMBER(Refsz_Verbräuche[[#This Row],[2035]]), Refsz_Verbräuche[[#This Row],[2035]]*Emissionsfaktoren[[#This Row],[2035]]/1000, 0)</f>
        <v>0</v>
      </c>
      <c r="W70" s="14">
        <f>IF(ISNUMBER(Refsz_Verbräuche[[#This Row],[2040]]), Refsz_Verbräuche[[#This Row],[2040]]*Emissionsfaktoren[[#This Row],[2040]]/1000, 0)</f>
        <v>0</v>
      </c>
      <c r="X70" s="14">
        <f>IF(ISNUMBER(Refsz_Verbräuche[[#This Row],[2045]]), Refsz_Verbräuche[[#This Row],[2045]]*Emissionsfaktoren[[#This Row],[2045]]/1000, 0)</f>
        <v>0</v>
      </c>
      <c r="Y70" s="14">
        <f>IF(ISNUMBER(Refsz_Verbräuche[[#This Row],[2050]]), Refsz_Verbräuche[[#This Row],[2050]]*Emissionsfaktoren[[#This Row],[2050]]/1000, 0)</f>
        <v>0</v>
      </c>
    </row>
    <row r="71" spans="2:25" ht="16.5">
      <c r="B71" s="14">
        <v>54</v>
      </c>
      <c r="C71" s="14">
        <f>Refsz_Verbräuche[[#This Row],[Handlungsfeld]]</f>
        <v>0</v>
      </c>
      <c r="D71" s="19">
        <f>Refsz_Verbräuche[[#This Row],[Datenpunkt]]</f>
        <v>0</v>
      </c>
      <c r="E71" t="s">
        <v>195</v>
      </c>
      <c r="F71" s="14">
        <f>IF(ISNUMBER(Refsz_Verbräuche[[#This Row],[2015]]), Refsz_Verbräuche[[#This Row],[2015]]*Emissionsfaktoren[[#This Row],[2015]]/1000, 0)</f>
        <v>0</v>
      </c>
      <c r="G71" s="14">
        <f>IF(ISNUMBER(Refsz_Verbräuche[[#This Row],[2016]]), Refsz_Verbräuche[[#This Row],[2016]]*Emissionsfaktoren[[#This Row],[2016]]/1000, 0)</f>
        <v>0</v>
      </c>
      <c r="H71" s="14">
        <f>IF(ISNUMBER(Refsz_Verbräuche[[#This Row],[2017]]), Refsz_Verbräuche[[#This Row],[2017]]*Emissionsfaktoren[[#This Row],[2017]]/1000, 0)</f>
        <v>0</v>
      </c>
      <c r="I71" s="14">
        <f>IF(ISNUMBER(Refsz_Verbräuche[[#This Row],[2018]]), Refsz_Verbräuche[[#This Row],[2018]]*Emissionsfaktoren[[#This Row],[2018]]/1000, 0)</f>
        <v>0</v>
      </c>
      <c r="J71" s="14">
        <f>IF(ISNUMBER(Refsz_Verbräuche[[#This Row],[2019]]), Refsz_Verbräuche[[#This Row],[2019]]*Emissionsfaktoren[[#This Row],[2019]]/1000, 0)</f>
        <v>0</v>
      </c>
      <c r="K71" s="14">
        <f>IF(ISNUMBER(Refsz_Verbräuche[[#This Row],[2020]]), Refsz_Verbräuche[[#This Row],[2020]]*Emissionsfaktoren[[#This Row],[2020]]/1000, 0)</f>
        <v>0</v>
      </c>
      <c r="L71" s="14">
        <f>IF(ISNUMBER(Refsz_Verbräuche[[#This Row],[2021]]), Refsz_Verbräuche[[#This Row],[2021]]*Emissionsfaktoren[[#This Row],[2021]]/1000, 0)</f>
        <v>0</v>
      </c>
      <c r="M71" s="14">
        <f>IF(ISNUMBER(Refsz_Verbräuche[[#This Row],[2022]]), Refsz_Verbräuche[[#This Row],[2022]]*Emissionsfaktoren[[#This Row],[2022]]/1000, 0)</f>
        <v>0</v>
      </c>
      <c r="N71" s="14">
        <f>IF(ISNUMBER(Refsz_Verbräuche[[#This Row],[2023]]), Refsz_Verbräuche[[#This Row],[2023]]*Emissionsfaktoren[[#This Row],[2023]]/1000, 0)</f>
        <v>0</v>
      </c>
      <c r="O71" s="14">
        <f>IF(ISNUMBER(Refsz_Verbräuche[[#This Row],[2024]]), Refsz_Verbräuche[[#This Row],[2024]]*Emissionsfaktoren[[#This Row],[2024]]/1000, 0)</f>
        <v>0</v>
      </c>
      <c r="P71" s="14">
        <f>IF(ISNUMBER(Refsz_Verbräuche[[#This Row],[2025]]), Refsz_Verbräuche[[#This Row],[2025]]*Emissionsfaktoren[[#This Row],[2025]]/1000, 0)</f>
        <v>0</v>
      </c>
      <c r="Q71" s="14">
        <f>IF(ISNUMBER(Refsz_Verbräuche[[#This Row],[2026]]), Refsz_Verbräuche[[#This Row],[2026]]*Emissionsfaktoren[[#This Row],[2026]]/1000, 0)</f>
        <v>0</v>
      </c>
      <c r="R71" s="14">
        <f>IF(ISNUMBER(Refsz_Verbräuche[[#This Row],[2027]]), Refsz_Verbräuche[[#This Row],[2027]]*Emissionsfaktoren[[#This Row],[2027]]/1000, 0)</f>
        <v>0</v>
      </c>
      <c r="S71" s="14">
        <f>IF(ISNUMBER(Refsz_Verbräuche[[#This Row],[2028]]), Refsz_Verbräuche[[#This Row],[2028]]*Emissionsfaktoren[[#This Row],[2028]]/1000, 0)</f>
        <v>0</v>
      </c>
      <c r="T71" s="14">
        <f>IF(ISNUMBER(Refsz_Verbräuche[[#This Row],[2029]]), Refsz_Verbräuche[[#This Row],[2029]]*Emissionsfaktoren[[#This Row],[2029]]/1000, 0)</f>
        <v>0</v>
      </c>
      <c r="U71" s="14">
        <f>IF(ISNUMBER(Refsz_Verbräuche[[#This Row],[2030]]), Refsz_Verbräuche[[#This Row],[2030]]*Emissionsfaktoren[[#This Row],[2030]]/1000, 0)</f>
        <v>0</v>
      </c>
      <c r="V71" s="14">
        <f>IF(ISNUMBER(Refsz_Verbräuche[[#This Row],[2035]]), Refsz_Verbräuche[[#This Row],[2035]]*Emissionsfaktoren[[#This Row],[2035]]/1000, 0)</f>
        <v>0</v>
      </c>
      <c r="W71" s="14">
        <f>IF(ISNUMBER(Refsz_Verbräuche[[#This Row],[2040]]), Refsz_Verbräuche[[#This Row],[2040]]*Emissionsfaktoren[[#This Row],[2040]]/1000, 0)</f>
        <v>0</v>
      </c>
      <c r="X71" s="14">
        <f>IF(ISNUMBER(Refsz_Verbräuche[[#This Row],[2045]]), Refsz_Verbräuche[[#This Row],[2045]]*Emissionsfaktoren[[#This Row],[2045]]/1000, 0)</f>
        <v>0</v>
      </c>
      <c r="Y71" s="14">
        <f>IF(ISNUMBER(Refsz_Verbräuche[[#This Row],[2050]]), Refsz_Verbräuche[[#This Row],[2050]]*Emissionsfaktoren[[#This Row],[2050]]/1000, 0)</f>
        <v>0</v>
      </c>
    </row>
    <row r="72" spans="2:25" ht="16.5">
      <c r="B72" s="14">
        <v>55</v>
      </c>
      <c r="C72" s="14" t="str">
        <f>Refsz_Verbräuche[[#This Row],[Handlungsfeld]]</f>
        <v>Mobilität 1</v>
      </c>
      <c r="D72" s="19" t="str">
        <f>Refsz_Verbräuche[[#This Row],[Datenpunkt]]</f>
        <v>Studierendenreisen (Outgoing) - Flugreisen</v>
      </c>
      <c r="E72" t="s">
        <v>195</v>
      </c>
      <c r="F72" s="14">
        <f>IF(ISNUMBER(Refsz_Verbräuche[[#This Row],[2015]]), Refsz_Verbräuche[[#This Row],[2015]]*Emissionsfaktoren[[#This Row],[2015]]/1000, 0)</f>
        <v>0</v>
      </c>
      <c r="G72" s="14">
        <f>IF(ISNUMBER(Refsz_Verbräuche[[#This Row],[2016]]), Refsz_Verbräuche[[#This Row],[2016]]*Emissionsfaktoren[[#This Row],[2016]]/1000, 0)</f>
        <v>0</v>
      </c>
      <c r="H72" s="14">
        <f>IF(ISNUMBER(Refsz_Verbräuche[[#This Row],[2017]]), Refsz_Verbräuche[[#This Row],[2017]]*Emissionsfaktoren[[#This Row],[2017]]/1000, 0)</f>
        <v>0</v>
      </c>
      <c r="I72" s="14">
        <f>IF(ISNUMBER(Refsz_Verbräuche[[#This Row],[2018]]), Refsz_Verbräuche[[#This Row],[2018]]*Emissionsfaktoren[[#This Row],[2018]]/1000, 0)</f>
        <v>0</v>
      </c>
      <c r="J72" s="14">
        <f>IF(ISNUMBER(Refsz_Verbräuche[[#This Row],[2019]]), Refsz_Verbräuche[[#This Row],[2019]]*Emissionsfaktoren[[#This Row],[2019]]/1000, 0)</f>
        <v>0</v>
      </c>
      <c r="K72" s="14">
        <f>IF(ISNUMBER(Refsz_Verbräuche[[#This Row],[2020]]), Refsz_Verbräuche[[#This Row],[2020]]*Emissionsfaktoren[[#This Row],[2020]]/1000, 0)</f>
        <v>0</v>
      </c>
      <c r="L72" s="14">
        <f>IF(ISNUMBER(Refsz_Verbräuche[[#This Row],[2021]]), Refsz_Verbräuche[[#This Row],[2021]]*Emissionsfaktoren[[#This Row],[2021]]/1000, 0)</f>
        <v>0</v>
      </c>
      <c r="M72" s="14">
        <f>IF(ISNUMBER(Refsz_Verbräuche[[#This Row],[2022]]), Refsz_Verbräuche[[#This Row],[2022]]*Emissionsfaktoren[[#This Row],[2022]]/1000, 0)</f>
        <v>0</v>
      </c>
      <c r="N72" s="14">
        <f>IF(ISNUMBER(Refsz_Verbräuche[[#This Row],[2023]]), Refsz_Verbräuche[[#This Row],[2023]]*Emissionsfaktoren[[#This Row],[2023]]/1000, 0)</f>
        <v>0</v>
      </c>
      <c r="O72" s="14">
        <f>IF(ISNUMBER(Refsz_Verbräuche[[#This Row],[2024]]), Refsz_Verbräuche[[#This Row],[2024]]*Emissionsfaktoren[[#This Row],[2024]]/1000, 0)</f>
        <v>0</v>
      </c>
      <c r="P72" s="14">
        <f>IF(ISNUMBER(Refsz_Verbräuche[[#This Row],[2025]]), Refsz_Verbräuche[[#This Row],[2025]]*Emissionsfaktoren[[#This Row],[2025]]/1000, 0)</f>
        <v>0</v>
      </c>
      <c r="Q72" s="14">
        <f>IF(ISNUMBER(Refsz_Verbräuche[[#This Row],[2026]]), Refsz_Verbräuche[[#This Row],[2026]]*Emissionsfaktoren[[#This Row],[2026]]/1000, 0)</f>
        <v>0</v>
      </c>
      <c r="R72" s="14">
        <f>IF(ISNUMBER(Refsz_Verbräuche[[#This Row],[2027]]), Refsz_Verbräuche[[#This Row],[2027]]*Emissionsfaktoren[[#This Row],[2027]]/1000, 0)</f>
        <v>0</v>
      </c>
      <c r="S72" s="14">
        <f>IF(ISNUMBER(Refsz_Verbräuche[[#This Row],[2028]]), Refsz_Verbräuche[[#This Row],[2028]]*Emissionsfaktoren[[#This Row],[2028]]/1000, 0)</f>
        <v>0</v>
      </c>
      <c r="T72" s="14">
        <f>IF(ISNUMBER(Refsz_Verbräuche[[#This Row],[2029]]), Refsz_Verbräuche[[#This Row],[2029]]*Emissionsfaktoren[[#This Row],[2029]]/1000, 0)</f>
        <v>0</v>
      </c>
      <c r="U72" s="14">
        <f>IF(ISNUMBER(Refsz_Verbräuche[[#This Row],[2030]]), Refsz_Verbräuche[[#This Row],[2030]]*Emissionsfaktoren[[#This Row],[2030]]/1000, 0)</f>
        <v>0</v>
      </c>
      <c r="V72" s="14">
        <f>IF(ISNUMBER(Refsz_Verbräuche[[#This Row],[2035]]), Refsz_Verbräuche[[#This Row],[2035]]*Emissionsfaktoren[[#This Row],[2035]]/1000, 0)</f>
        <v>0</v>
      </c>
      <c r="W72" s="14">
        <f>IF(ISNUMBER(Refsz_Verbräuche[[#This Row],[2040]]), Refsz_Verbräuche[[#This Row],[2040]]*Emissionsfaktoren[[#This Row],[2040]]/1000, 0)</f>
        <v>0</v>
      </c>
      <c r="X72" s="14">
        <f>IF(ISNUMBER(Refsz_Verbräuche[[#This Row],[2045]]), Refsz_Verbräuche[[#This Row],[2045]]*Emissionsfaktoren[[#This Row],[2045]]/1000, 0)</f>
        <v>0</v>
      </c>
      <c r="Y72" s="14">
        <f>IF(ISNUMBER(Refsz_Verbräuche[[#This Row],[2050]]), Refsz_Verbräuche[[#This Row],[2050]]*Emissionsfaktoren[[#This Row],[2050]]/1000, 0)</f>
        <v>0</v>
      </c>
    </row>
    <row r="73" spans="2:25" ht="16.5">
      <c r="B73" s="14">
        <v>56</v>
      </c>
      <c r="C73" s="14" t="str">
        <f>Refsz_Verbräuche[[#This Row],[Handlungsfeld]]</f>
        <v>Mobilität 1</v>
      </c>
      <c r="D73" s="19" t="str">
        <f>Refsz_Verbräuche[[#This Row],[Datenpunkt]]</f>
        <v>Studierendenreisen (Outgoing) - Eisenbahn (Nahverkehr)</v>
      </c>
      <c r="E73" t="s">
        <v>195</v>
      </c>
      <c r="F73" s="14">
        <f>IF(ISNUMBER(Refsz_Verbräuche[[#This Row],[2015]]), Refsz_Verbräuche[[#This Row],[2015]]*Emissionsfaktoren[[#This Row],[2015]]/1000, 0)</f>
        <v>0</v>
      </c>
      <c r="G73" s="14">
        <f>IF(ISNUMBER(Refsz_Verbräuche[[#This Row],[2016]]), Refsz_Verbräuche[[#This Row],[2016]]*Emissionsfaktoren[[#This Row],[2016]]/1000, 0)</f>
        <v>0</v>
      </c>
      <c r="H73" s="14">
        <f>IF(ISNUMBER(Refsz_Verbräuche[[#This Row],[2017]]), Refsz_Verbräuche[[#This Row],[2017]]*Emissionsfaktoren[[#This Row],[2017]]/1000, 0)</f>
        <v>0</v>
      </c>
      <c r="I73" s="14">
        <f>IF(ISNUMBER(Refsz_Verbräuche[[#This Row],[2018]]), Refsz_Verbräuche[[#This Row],[2018]]*Emissionsfaktoren[[#This Row],[2018]]/1000, 0)</f>
        <v>0</v>
      </c>
      <c r="J73" s="14">
        <f>IF(ISNUMBER(Refsz_Verbräuche[[#This Row],[2019]]), Refsz_Verbräuche[[#This Row],[2019]]*Emissionsfaktoren[[#This Row],[2019]]/1000, 0)</f>
        <v>0</v>
      </c>
      <c r="K73" s="14">
        <f>IF(ISNUMBER(Refsz_Verbräuche[[#This Row],[2020]]), Refsz_Verbräuche[[#This Row],[2020]]*Emissionsfaktoren[[#This Row],[2020]]/1000, 0)</f>
        <v>0</v>
      </c>
      <c r="L73" s="14">
        <f>IF(ISNUMBER(Refsz_Verbräuche[[#This Row],[2021]]), Refsz_Verbräuche[[#This Row],[2021]]*Emissionsfaktoren[[#This Row],[2021]]/1000, 0)</f>
        <v>0</v>
      </c>
      <c r="M73" s="14">
        <f>IF(ISNUMBER(Refsz_Verbräuche[[#This Row],[2022]]), Refsz_Verbräuche[[#This Row],[2022]]*Emissionsfaktoren[[#This Row],[2022]]/1000, 0)</f>
        <v>0</v>
      </c>
      <c r="N73" s="14">
        <f>IF(ISNUMBER(Refsz_Verbräuche[[#This Row],[2023]]), Refsz_Verbräuche[[#This Row],[2023]]*Emissionsfaktoren[[#This Row],[2023]]/1000, 0)</f>
        <v>0</v>
      </c>
      <c r="O73" s="14">
        <f>IF(ISNUMBER(Refsz_Verbräuche[[#This Row],[2024]]), Refsz_Verbräuche[[#This Row],[2024]]*Emissionsfaktoren[[#This Row],[2024]]/1000, 0)</f>
        <v>0</v>
      </c>
      <c r="P73" s="14">
        <f>IF(ISNUMBER(Refsz_Verbräuche[[#This Row],[2025]]), Refsz_Verbräuche[[#This Row],[2025]]*Emissionsfaktoren[[#This Row],[2025]]/1000, 0)</f>
        <v>0</v>
      </c>
      <c r="Q73" s="14">
        <f>IF(ISNUMBER(Refsz_Verbräuche[[#This Row],[2026]]), Refsz_Verbräuche[[#This Row],[2026]]*Emissionsfaktoren[[#This Row],[2026]]/1000, 0)</f>
        <v>0</v>
      </c>
      <c r="R73" s="14">
        <f>IF(ISNUMBER(Refsz_Verbräuche[[#This Row],[2027]]), Refsz_Verbräuche[[#This Row],[2027]]*Emissionsfaktoren[[#This Row],[2027]]/1000, 0)</f>
        <v>0</v>
      </c>
      <c r="S73" s="14">
        <f>IF(ISNUMBER(Refsz_Verbräuche[[#This Row],[2028]]), Refsz_Verbräuche[[#This Row],[2028]]*Emissionsfaktoren[[#This Row],[2028]]/1000, 0)</f>
        <v>0</v>
      </c>
      <c r="T73" s="14">
        <f>IF(ISNUMBER(Refsz_Verbräuche[[#This Row],[2029]]), Refsz_Verbräuche[[#This Row],[2029]]*Emissionsfaktoren[[#This Row],[2029]]/1000, 0)</f>
        <v>0</v>
      </c>
      <c r="U73" s="14">
        <f>IF(ISNUMBER(Refsz_Verbräuche[[#This Row],[2030]]), Refsz_Verbräuche[[#This Row],[2030]]*Emissionsfaktoren[[#This Row],[2030]]/1000, 0)</f>
        <v>0</v>
      </c>
      <c r="V73" s="14">
        <f>IF(ISNUMBER(Refsz_Verbräuche[[#This Row],[2035]]), Refsz_Verbräuche[[#This Row],[2035]]*Emissionsfaktoren[[#This Row],[2035]]/1000, 0)</f>
        <v>0</v>
      </c>
      <c r="W73" s="14">
        <f>IF(ISNUMBER(Refsz_Verbräuche[[#This Row],[2040]]), Refsz_Verbräuche[[#This Row],[2040]]*Emissionsfaktoren[[#This Row],[2040]]/1000, 0)</f>
        <v>0</v>
      </c>
      <c r="X73" s="14">
        <f>IF(ISNUMBER(Refsz_Verbräuche[[#This Row],[2045]]), Refsz_Verbräuche[[#This Row],[2045]]*Emissionsfaktoren[[#This Row],[2045]]/1000, 0)</f>
        <v>0</v>
      </c>
      <c r="Y73" s="14">
        <f>IF(ISNUMBER(Refsz_Verbräuche[[#This Row],[2050]]), Refsz_Verbräuche[[#This Row],[2050]]*Emissionsfaktoren[[#This Row],[2050]]/1000, 0)</f>
        <v>0</v>
      </c>
    </row>
    <row r="74" spans="2:25" ht="16.5">
      <c r="B74" s="14">
        <v>57</v>
      </c>
      <c r="C74" s="14" t="str">
        <f>Refsz_Verbräuche[[#This Row],[Handlungsfeld]]</f>
        <v>Mobilität 1</v>
      </c>
      <c r="D74" s="19" t="str">
        <f>Refsz_Verbräuche[[#This Row],[Datenpunkt]]</f>
        <v>Studierendenreisen (Outgoing) - Privater PKW (alle Antriebsarten)</v>
      </c>
      <c r="E74" t="s">
        <v>195</v>
      </c>
      <c r="F74" s="14">
        <f>IF(ISNUMBER(Refsz_Verbräuche[[#This Row],[2015]]), Refsz_Verbräuche[[#This Row],[2015]]*Emissionsfaktoren[[#This Row],[2015]]/1000, 0)</f>
        <v>0</v>
      </c>
      <c r="G74" s="14">
        <f>IF(ISNUMBER(Refsz_Verbräuche[[#This Row],[2016]]), Refsz_Verbräuche[[#This Row],[2016]]*Emissionsfaktoren[[#This Row],[2016]]/1000, 0)</f>
        <v>0</v>
      </c>
      <c r="H74" s="14">
        <f>IF(ISNUMBER(Refsz_Verbräuche[[#This Row],[2017]]), Refsz_Verbräuche[[#This Row],[2017]]*Emissionsfaktoren[[#This Row],[2017]]/1000, 0)</f>
        <v>0</v>
      </c>
      <c r="I74" s="14">
        <f>IF(ISNUMBER(Refsz_Verbräuche[[#This Row],[2018]]), Refsz_Verbräuche[[#This Row],[2018]]*Emissionsfaktoren[[#This Row],[2018]]/1000, 0)</f>
        <v>0</v>
      </c>
      <c r="J74" s="14">
        <f>IF(ISNUMBER(Refsz_Verbräuche[[#This Row],[2019]]), Refsz_Verbräuche[[#This Row],[2019]]*Emissionsfaktoren[[#This Row],[2019]]/1000, 0)</f>
        <v>0</v>
      </c>
      <c r="K74" s="14">
        <f>IF(ISNUMBER(Refsz_Verbräuche[[#This Row],[2020]]), Refsz_Verbräuche[[#This Row],[2020]]*Emissionsfaktoren[[#This Row],[2020]]/1000, 0)</f>
        <v>0</v>
      </c>
      <c r="L74" s="14">
        <f>IF(ISNUMBER(Refsz_Verbräuche[[#This Row],[2021]]), Refsz_Verbräuche[[#This Row],[2021]]*Emissionsfaktoren[[#This Row],[2021]]/1000, 0)</f>
        <v>0</v>
      </c>
      <c r="M74" s="14">
        <f>IF(ISNUMBER(Refsz_Verbräuche[[#This Row],[2022]]), Refsz_Verbräuche[[#This Row],[2022]]*Emissionsfaktoren[[#This Row],[2022]]/1000, 0)</f>
        <v>0</v>
      </c>
      <c r="N74" s="14">
        <f>IF(ISNUMBER(Refsz_Verbräuche[[#This Row],[2023]]), Refsz_Verbräuche[[#This Row],[2023]]*Emissionsfaktoren[[#This Row],[2023]]/1000, 0)</f>
        <v>0</v>
      </c>
      <c r="O74" s="14">
        <f>IF(ISNUMBER(Refsz_Verbräuche[[#This Row],[2024]]), Refsz_Verbräuche[[#This Row],[2024]]*Emissionsfaktoren[[#This Row],[2024]]/1000, 0)</f>
        <v>0</v>
      </c>
      <c r="P74" s="14">
        <f>IF(ISNUMBER(Refsz_Verbräuche[[#This Row],[2025]]), Refsz_Verbräuche[[#This Row],[2025]]*Emissionsfaktoren[[#This Row],[2025]]/1000, 0)</f>
        <v>0</v>
      </c>
      <c r="Q74" s="14">
        <f>IF(ISNUMBER(Refsz_Verbräuche[[#This Row],[2026]]), Refsz_Verbräuche[[#This Row],[2026]]*Emissionsfaktoren[[#This Row],[2026]]/1000, 0)</f>
        <v>0</v>
      </c>
      <c r="R74" s="14">
        <f>IF(ISNUMBER(Refsz_Verbräuche[[#This Row],[2027]]), Refsz_Verbräuche[[#This Row],[2027]]*Emissionsfaktoren[[#This Row],[2027]]/1000, 0)</f>
        <v>0</v>
      </c>
      <c r="S74" s="14">
        <f>IF(ISNUMBER(Refsz_Verbräuche[[#This Row],[2028]]), Refsz_Verbräuche[[#This Row],[2028]]*Emissionsfaktoren[[#This Row],[2028]]/1000, 0)</f>
        <v>0</v>
      </c>
      <c r="T74" s="14">
        <f>IF(ISNUMBER(Refsz_Verbräuche[[#This Row],[2029]]), Refsz_Verbräuche[[#This Row],[2029]]*Emissionsfaktoren[[#This Row],[2029]]/1000, 0)</f>
        <v>0</v>
      </c>
      <c r="U74" s="14">
        <f>IF(ISNUMBER(Refsz_Verbräuche[[#This Row],[2030]]), Refsz_Verbräuche[[#This Row],[2030]]*Emissionsfaktoren[[#This Row],[2030]]/1000, 0)</f>
        <v>0</v>
      </c>
      <c r="V74" s="14">
        <f>IF(ISNUMBER(Refsz_Verbräuche[[#This Row],[2035]]), Refsz_Verbräuche[[#This Row],[2035]]*Emissionsfaktoren[[#This Row],[2035]]/1000, 0)</f>
        <v>0</v>
      </c>
      <c r="W74" s="14">
        <f>IF(ISNUMBER(Refsz_Verbräuche[[#This Row],[2040]]), Refsz_Verbräuche[[#This Row],[2040]]*Emissionsfaktoren[[#This Row],[2040]]/1000, 0)</f>
        <v>0</v>
      </c>
      <c r="X74" s="14">
        <f>IF(ISNUMBER(Refsz_Verbräuche[[#This Row],[2045]]), Refsz_Verbräuche[[#This Row],[2045]]*Emissionsfaktoren[[#This Row],[2045]]/1000, 0)</f>
        <v>0</v>
      </c>
      <c r="Y74" s="14">
        <f>IF(ISNUMBER(Refsz_Verbräuche[[#This Row],[2050]]), Refsz_Verbräuche[[#This Row],[2050]]*Emissionsfaktoren[[#This Row],[2050]]/1000, 0)</f>
        <v>0</v>
      </c>
    </row>
    <row r="75" spans="2:25" ht="16.5">
      <c r="B75" s="14">
        <v>58</v>
      </c>
      <c r="C75" s="14">
        <f>Refsz_Verbräuche[[#This Row],[Handlungsfeld]]</f>
        <v>0</v>
      </c>
      <c r="D75" s="19">
        <f>Refsz_Verbräuche[[#This Row],[Datenpunkt]]</f>
        <v>0</v>
      </c>
      <c r="E75" t="s">
        <v>195</v>
      </c>
      <c r="F75" s="14">
        <f>IF(ISNUMBER(Refsz_Verbräuche[[#This Row],[2015]]), Refsz_Verbräuche[[#This Row],[2015]]*Emissionsfaktoren[[#This Row],[2015]]/1000, 0)</f>
        <v>0</v>
      </c>
      <c r="G75" s="14">
        <f>IF(ISNUMBER(Refsz_Verbräuche[[#This Row],[2016]]), Refsz_Verbräuche[[#This Row],[2016]]*Emissionsfaktoren[[#This Row],[2016]]/1000, 0)</f>
        <v>0</v>
      </c>
      <c r="H75" s="14">
        <f>IF(ISNUMBER(Refsz_Verbräuche[[#This Row],[2017]]), Refsz_Verbräuche[[#This Row],[2017]]*Emissionsfaktoren[[#This Row],[2017]]/1000, 0)</f>
        <v>0</v>
      </c>
      <c r="I75" s="14">
        <f>IF(ISNUMBER(Refsz_Verbräuche[[#This Row],[2018]]), Refsz_Verbräuche[[#This Row],[2018]]*Emissionsfaktoren[[#This Row],[2018]]/1000, 0)</f>
        <v>0</v>
      </c>
      <c r="J75" s="14">
        <f>IF(ISNUMBER(Refsz_Verbräuche[[#This Row],[2019]]), Refsz_Verbräuche[[#This Row],[2019]]*Emissionsfaktoren[[#This Row],[2019]]/1000, 0)</f>
        <v>0</v>
      </c>
      <c r="K75" s="14">
        <f>IF(ISNUMBER(Refsz_Verbräuche[[#This Row],[2020]]), Refsz_Verbräuche[[#This Row],[2020]]*Emissionsfaktoren[[#This Row],[2020]]/1000, 0)</f>
        <v>0</v>
      </c>
      <c r="L75" s="14">
        <f>IF(ISNUMBER(Refsz_Verbräuche[[#This Row],[2021]]), Refsz_Verbräuche[[#This Row],[2021]]*Emissionsfaktoren[[#This Row],[2021]]/1000, 0)</f>
        <v>0</v>
      </c>
      <c r="M75" s="14">
        <f>IF(ISNUMBER(Refsz_Verbräuche[[#This Row],[2022]]), Refsz_Verbräuche[[#This Row],[2022]]*Emissionsfaktoren[[#This Row],[2022]]/1000, 0)</f>
        <v>0</v>
      </c>
      <c r="N75" s="14">
        <f>IF(ISNUMBER(Refsz_Verbräuche[[#This Row],[2023]]), Refsz_Verbräuche[[#This Row],[2023]]*Emissionsfaktoren[[#This Row],[2023]]/1000, 0)</f>
        <v>0</v>
      </c>
      <c r="O75" s="14">
        <f>IF(ISNUMBER(Refsz_Verbräuche[[#This Row],[2024]]), Refsz_Verbräuche[[#This Row],[2024]]*Emissionsfaktoren[[#This Row],[2024]]/1000, 0)</f>
        <v>0</v>
      </c>
      <c r="P75" s="14">
        <f>IF(ISNUMBER(Refsz_Verbräuche[[#This Row],[2025]]), Refsz_Verbräuche[[#This Row],[2025]]*Emissionsfaktoren[[#This Row],[2025]]/1000, 0)</f>
        <v>0</v>
      </c>
      <c r="Q75" s="14">
        <f>IF(ISNUMBER(Refsz_Verbräuche[[#This Row],[2026]]), Refsz_Verbräuche[[#This Row],[2026]]*Emissionsfaktoren[[#This Row],[2026]]/1000, 0)</f>
        <v>0</v>
      </c>
      <c r="R75" s="14">
        <f>IF(ISNUMBER(Refsz_Verbräuche[[#This Row],[2027]]), Refsz_Verbräuche[[#This Row],[2027]]*Emissionsfaktoren[[#This Row],[2027]]/1000, 0)</f>
        <v>0</v>
      </c>
      <c r="S75" s="14">
        <f>IF(ISNUMBER(Refsz_Verbräuche[[#This Row],[2028]]), Refsz_Verbräuche[[#This Row],[2028]]*Emissionsfaktoren[[#This Row],[2028]]/1000, 0)</f>
        <v>0</v>
      </c>
      <c r="T75" s="14">
        <f>IF(ISNUMBER(Refsz_Verbräuche[[#This Row],[2029]]), Refsz_Verbräuche[[#This Row],[2029]]*Emissionsfaktoren[[#This Row],[2029]]/1000, 0)</f>
        <v>0</v>
      </c>
      <c r="U75" s="14">
        <f>IF(ISNUMBER(Refsz_Verbräuche[[#This Row],[2030]]), Refsz_Verbräuche[[#This Row],[2030]]*Emissionsfaktoren[[#This Row],[2030]]/1000, 0)</f>
        <v>0</v>
      </c>
      <c r="V75" s="14">
        <f>IF(ISNUMBER(Refsz_Verbräuche[[#This Row],[2035]]), Refsz_Verbräuche[[#This Row],[2035]]*Emissionsfaktoren[[#This Row],[2035]]/1000, 0)</f>
        <v>0</v>
      </c>
      <c r="W75" s="14">
        <f>IF(ISNUMBER(Refsz_Verbräuche[[#This Row],[2040]]), Refsz_Verbräuche[[#This Row],[2040]]*Emissionsfaktoren[[#This Row],[2040]]/1000, 0)</f>
        <v>0</v>
      </c>
      <c r="X75" s="14">
        <f>IF(ISNUMBER(Refsz_Verbräuche[[#This Row],[2045]]), Refsz_Verbräuche[[#This Row],[2045]]*Emissionsfaktoren[[#This Row],[2045]]/1000, 0)</f>
        <v>0</v>
      </c>
      <c r="Y75" s="14">
        <f>IF(ISNUMBER(Refsz_Verbräuche[[#This Row],[2050]]), Refsz_Verbräuche[[#This Row],[2050]]*Emissionsfaktoren[[#This Row],[2050]]/1000, 0)</f>
        <v>0</v>
      </c>
    </row>
    <row r="76" spans="2:25" ht="16.5">
      <c r="B76" s="14">
        <v>59</v>
      </c>
      <c r="C76" s="14" t="str">
        <f>Refsz_Verbräuche[[#This Row],[Handlungsfeld]]</f>
        <v>Mobilität 1</v>
      </c>
      <c r="D76" s="19" t="str">
        <f>Refsz_Verbräuche[[#This Row],[Datenpunkt]]</f>
        <v>Exkursionen - Flugreisen</v>
      </c>
      <c r="E76" t="s">
        <v>195</v>
      </c>
      <c r="F76" s="14">
        <f>IF(ISNUMBER(Refsz_Verbräuche[[#This Row],[2015]]), Refsz_Verbräuche[[#This Row],[2015]]*Emissionsfaktoren[[#This Row],[2015]]/1000, 0)</f>
        <v>0</v>
      </c>
      <c r="G76" s="14">
        <f>IF(ISNUMBER(Refsz_Verbräuche[[#This Row],[2016]]), Refsz_Verbräuche[[#This Row],[2016]]*Emissionsfaktoren[[#This Row],[2016]]/1000, 0)</f>
        <v>0</v>
      </c>
      <c r="H76" s="14">
        <f>IF(ISNUMBER(Refsz_Verbräuche[[#This Row],[2017]]), Refsz_Verbräuche[[#This Row],[2017]]*Emissionsfaktoren[[#This Row],[2017]]/1000, 0)</f>
        <v>0</v>
      </c>
      <c r="I76" s="14">
        <f>IF(ISNUMBER(Refsz_Verbräuche[[#This Row],[2018]]), Refsz_Verbräuche[[#This Row],[2018]]*Emissionsfaktoren[[#This Row],[2018]]/1000, 0)</f>
        <v>0</v>
      </c>
      <c r="J76" s="14">
        <f>IF(ISNUMBER(Refsz_Verbräuche[[#This Row],[2019]]), Refsz_Verbräuche[[#This Row],[2019]]*Emissionsfaktoren[[#This Row],[2019]]/1000, 0)</f>
        <v>0</v>
      </c>
      <c r="K76" s="14">
        <f>IF(ISNUMBER(Refsz_Verbräuche[[#This Row],[2020]]), Refsz_Verbräuche[[#This Row],[2020]]*Emissionsfaktoren[[#This Row],[2020]]/1000, 0)</f>
        <v>0</v>
      </c>
      <c r="L76" s="14">
        <f>IF(ISNUMBER(Refsz_Verbräuche[[#This Row],[2021]]), Refsz_Verbräuche[[#This Row],[2021]]*Emissionsfaktoren[[#This Row],[2021]]/1000, 0)</f>
        <v>0</v>
      </c>
      <c r="M76" s="14">
        <f>IF(ISNUMBER(Refsz_Verbräuche[[#This Row],[2022]]), Refsz_Verbräuche[[#This Row],[2022]]*Emissionsfaktoren[[#This Row],[2022]]/1000, 0)</f>
        <v>0</v>
      </c>
      <c r="N76" s="14">
        <f>IF(ISNUMBER(Refsz_Verbräuche[[#This Row],[2023]]), Refsz_Verbräuche[[#This Row],[2023]]*Emissionsfaktoren[[#This Row],[2023]]/1000, 0)</f>
        <v>0</v>
      </c>
      <c r="O76" s="14">
        <f>IF(ISNUMBER(Refsz_Verbräuche[[#This Row],[2024]]), Refsz_Verbräuche[[#This Row],[2024]]*Emissionsfaktoren[[#This Row],[2024]]/1000, 0)</f>
        <v>0</v>
      </c>
      <c r="P76" s="14">
        <f>IF(ISNUMBER(Refsz_Verbräuche[[#This Row],[2025]]), Refsz_Verbräuche[[#This Row],[2025]]*Emissionsfaktoren[[#This Row],[2025]]/1000, 0)</f>
        <v>0</v>
      </c>
      <c r="Q76" s="14">
        <f>IF(ISNUMBER(Refsz_Verbräuche[[#This Row],[2026]]), Refsz_Verbräuche[[#This Row],[2026]]*Emissionsfaktoren[[#This Row],[2026]]/1000, 0)</f>
        <v>0</v>
      </c>
      <c r="R76" s="14">
        <f>IF(ISNUMBER(Refsz_Verbräuche[[#This Row],[2027]]), Refsz_Verbräuche[[#This Row],[2027]]*Emissionsfaktoren[[#This Row],[2027]]/1000, 0)</f>
        <v>0</v>
      </c>
      <c r="S76" s="14">
        <f>IF(ISNUMBER(Refsz_Verbräuche[[#This Row],[2028]]), Refsz_Verbräuche[[#This Row],[2028]]*Emissionsfaktoren[[#This Row],[2028]]/1000, 0)</f>
        <v>0</v>
      </c>
      <c r="T76" s="14">
        <f>IF(ISNUMBER(Refsz_Verbräuche[[#This Row],[2029]]), Refsz_Verbräuche[[#This Row],[2029]]*Emissionsfaktoren[[#This Row],[2029]]/1000, 0)</f>
        <v>0</v>
      </c>
      <c r="U76" s="14">
        <f>IF(ISNUMBER(Refsz_Verbräuche[[#This Row],[2030]]), Refsz_Verbräuche[[#This Row],[2030]]*Emissionsfaktoren[[#This Row],[2030]]/1000, 0)</f>
        <v>0</v>
      </c>
      <c r="V76" s="14">
        <f>IF(ISNUMBER(Refsz_Verbräuche[[#This Row],[2035]]), Refsz_Verbräuche[[#This Row],[2035]]*Emissionsfaktoren[[#This Row],[2035]]/1000, 0)</f>
        <v>0</v>
      </c>
      <c r="W76" s="14">
        <f>IF(ISNUMBER(Refsz_Verbräuche[[#This Row],[2040]]), Refsz_Verbräuche[[#This Row],[2040]]*Emissionsfaktoren[[#This Row],[2040]]/1000, 0)</f>
        <v>0</v>
      </c>
      <c r="X76" s="14">
        <f>IF(ISNUMBER(Refsz_Verbräuche[[#This Row],[2045]]), Refsz_Verbräuche[[#This Row],[2045]]*Emissionsfaktoren[[#This Row],[2045]]/1000, 0)</f>
        <v>0</v>
      </c>
      <c r="Y76" s="14">
        <f>IF(ISNUMBER(Refsz_Verbräuche[[#This Row],[2050]]), Refsz_Verbräuche[[#This Row],[2050]]*Emissionsfaktoren[[#This Row],[2050]]/1000, 0)</f>
        <v>0</v>
      </c>
    </row>
    <row r="77" spans="2:25" ht="16.5">
      <c r="B77" s="14">
        <v>60</v>
      </c>
      <c r="C77" s="14" t="str">
        <f>Refsz_Verbräuche[[#This Row],[Handlungsfeld]]</f>
        <v>Mobilität 1</v>
      </c>
      <c r="D77" s="19" t="str">
        <f>Refsz_Verbräuche[[#This Row],[Datenpunkt]]</f>
        <v>Exkursionen - Eisenbahn (Nahverkehr)</v>
      </c>
      <c r="E77" t="s">
        <v>195</v>
      </c>
      <c r="F77" s="14">
        <f>IF(ISNUMBER(Refsz_Verbräuche[[#This Row],[2015]]), Refsz_Verbräuche[[#This Row],[2015]]*Emissionsfaktoren[[#This Row],[2015]]/1000, 0)</f>
        <v>0</v>
      </c>
      <c r="G77" s="14">
        <f>IF(ISNUMBER(Refsz_Verbräuche[[#This Row],[2016]]), Refsz_Verbräuche[[#This Row],[2016]]*Emissionsfaktoren[[#This Row],[2016]]/1000, 0)</f>
        <v>0</v>
      </c>
      <c r="H77" s="14">
        <f>IF(ISNUMBER(Refsz_Verbräuche[[#This Row],[2017]]), Refsz_Verbräuche[[#This Row],[2017]]*Emissionsfaktoren[[#This Row],[2017]]/1000, 0)</f>
        <v>0</v>
      </c>
      <c r="I77" s="14">
        <f>IF(ISNUMBER(Refsz_Verbräuche[[#This Row],[2018]]), Refsz_Verbräuche[[#This Row],[2018]]*Emissionsfaktoren[[#This Row],[2018]]/1000, 0)</f>
        <v>0</v>
      </c>
      <c r="J77" s="14">
        <f>IF(ISNUMBER(Refsz_Verbräuche[[#This Row],[2019]]), Refsz_Verbräuche[[#This Row],[2019]]*Emissionsfaktoren[[#This Row],[2019]]/1000, 0)</f>
        <v>0</v>
      </c>
      <c r="K77" s="14">
        <f>IF(ISNUMBER(Refsz_Verbräuche[[#This Row],[2020]]), Refsz_Verbräuche[[#This Row],[2020]]*Emissionsfaktoren[[#This Row],[2020]]/1000, 0)</f>
        <v>0</v>
      </c>
      <c r="L77" s="14">
        <f>IF(ISNUMBER(Refsz_Verbräuche[[#This Row],[2021]]), Refsz_Verbräuche[[#This Row],[2021]]*Emissionsfaktoren[[#This Row],[2021]]/1000, 0)</f>
        <v>0</v>
      </c>
      <c r="M77" s="14">
        <f>IF(ISNUMBER(Refsz_Verbräuche[[#This Row],[2022]]), Refsz_Verbräuche[[#This Row],[2022]]*Emissionsfaktoren[[#This Row],[2022]]/1000, 0)</f>
        <v>0</v>
      </c>
      <c r="N77" s="14">
        <f>IF(ISNUMBER(Refsz_Verbräuche[[#This Row],[2023]]), Refsz_Verbräuche[[#This Row],[2023]]*Emissionsfaktoren[[#This Row],[2023]]/1000, 0)</f>
        <v>0</v>
      </c>
      <c r="O77" s="14">
        <f>IF(ISNUMBER(Refsz_Verbräuche[[#This Row],[2024]]), Refsz_Verbräuche[[#This Row],[2024]]*Emissionsfaktoren[[#This Row],[2024]]/1000, 0)</f>
        <v>0</v>
      </c>
      <c r="P77" s="14">
        <f>IF(ISNUMBER(Refsz_Verbräuche[[#This Row],[2025]]), Refsz_Verbräuche[[#This Row],[2025]]*Emissionsfaktoren[[#This Row],[2025]]/1000, 0)</f>
        <v>0</v>
      </c>
      <c r="Q77" s="14">
        <f>IF(ISNUMBER(Refsz_Verbräuche[[#This Row],[2026]]), Refsz_Verbräuche[[#This Row],[2026]]*Emissionsfaktoren[[#This Row],[2026]]/1000, 0)</f>
        <v>0</v>
      </c>
      <c r="R77" s="14">
        <f>IF(ISNUMBER(Refsz_Verbräuche[[#This Row],[2027]]), Refsz_Verbräuche[[#This Row],[2027]]*Emissionsfaktoren[[#This Row],[2027]]/1000, 0)</f>
        <v>0</v>
      </c>
      <c r="S77" s="14">
        <f>IF(ISNUMBER(Refsz_Verbräuche[[#This Row],[2028]]), Refsz_Verbräuche[[#This Row],[2028]]*Emissionsfaktoren[[#This Row],[2028]]/1000, 0)</f>
        <v>0</v>
      </c>
      <c r="T77" s="14">
        <f>IF(ISNUMBER(Refsz_Verbräuche[[#This Row],[2029]]), Refsz_Verbräuche[[#This Row],[2029]]*Emissionsfaktoren[[#This Row],[2029]]/1000, 0)</f>
        <v>0</v>
      </c>
      <c r="U77" s="14">
        <f>IF(ISNUMBER(Refsz_Verbräuche[[#This Row],[2030]]), Refsz_Verbräuche[[#This Row],[2030]]*Emissionsfaktoren[[#This Row],[2030]]/1000, 0)</f>
        <v>0</v>
      </c>
      <c r="V77" s="14">
        <f>IF(ISNUMBER(Refsz_Verbräuche[[#This Row],[2035]]), Refsz_Verbräuche[[#This Row],[2035]]*Emissionsfaktoren[[#This Row],[2035]]/1000, 0)</f>
        <v>0</v>
      </c>
      <c r="W77" s="14">
        <f>IF(ISNUMBER(Refsz_Verbräuche[[#This Row],[2040]]), Refsz_Verbräuche[[#This Row],[2040]]*Emissionsfaktoren[[#This Row],[2040]]/1000, 0)</f>
        <v>0</v>
      </c>
      <c r="X77" s="14">
        <f>IF(ISNUMBER(Refsz_Verbräuche[[#This Row],[2045]]), Refsz_Verbräuche[[#This Row],[2045]]*Emissionsfaktoren[[#This Row],[2045]]/1000, 0)</f>
        <v>0</v>
      </c>
      <c r="Y77" s="14">
        <f>IF(ISNUMBER(Refsz_Verbräuche[[#This Row],[2050]]), Refsz_Verbräuche[[#This Row],[2050]]*Emissionsfaktoren[[#This Row],[2050]]/1000, 0)</f>
        <v>0</v>
      </c>
    </row>
    <row r="78" spans="2:25" ht="16.5">
      <c r="B78" s="14">
        <v>61</v>
      </c>
      <c r="C78" s="14" t="str">
        <f>Refsz_Verbräuche[[#This Row],[Handlungsfeld]]</f>
        <v>Mobilität 1</v>
      </c>
      <c r="D78" s="19" t="str">
        <f>Refsz_Verbräuche[[#This Row],[Datenpunkt]]</f>
        <v>Exkursionen - Privater PKW (alle Antriebsarten)</v>
      </c>
      <c r="E78" t="s">
        <v>195</v>
      </c>
      <c r="F78" s="14">
        <f>IF(ISNUMBER(Refsz_Verbräuche[[#This Row],[2015]]), Refsz_Verbräuche[[#This Row],[2015]]*Emissionsfaktoren[[#This Row],[2015]]/1000, 0)</f>
        <v>0</v>
      </c>
      <c r="G78" s="14">
        <f>IF(ISNUMBER(Refsz_Verbräuche[[#This Row],[2016]]), Refsz_Verbräuche[[#This Row],[2016]]*Emissionsfaktoren[[#This Row],[2016]]/1000, 0)</f>
        <v>0</v>
      </c>
      <c r="H78" s="14">
        <f>IF(ISNUMBER(Refsz_Verbräuche[[#This Row],[2017]]), Refsz_Verbräuche[[#This Row],[2017]]*Emissionsfaktoren[[#This Row],[2017]]/1000, 0)</f>
        <v>0</v>
      </c>
      <c r="I78" s="14">
        <f>IF(ISNUMBER(Refsz_Verbräuche[[#This Row],[2018]]), Refsz_Verbräuche[[#This Row],[2018]]*Emissionsfaktoren[[#This Row],[2018]]/1000, 0)</f>
        <v>0</v>
      </c>
      <c r="J78" s="14">
        <f>IF(ISNUMBER(Refsz_Verbräuche[[#This Row],[2019]]), Refsz_Verbräuche[[#This Row],[2019]]*Emissionsfaktoren[[#This Row],[2019]]/1000, 0)</f>
        <v>0</v>
      </c>
      <c r="K78" s="14">
        <f>IF(ISNUMBER(Refsz_Verbräuche[[#This Row],[2020]]), Refsz_Verbräuche[[#This Row],[2020]]*Emissionsfaktoren[[#This Row],[2020]]/1000, 0)</f>
        <v>0</v>
      </c>
      <c r="L78" s="14">
        <f>IF(ISNUMBER(Refsz_Verbräuche[[#This Row],[2021]]), Refsz_Verbräuche[[#This Row],[2021]]*Emissionsfaktoren[[#This Row],[2021]]/1000, 0)</f>
        <v>0</v>
      </c>
      <c r="M78" s="14">
        <f>IF(ISNUMBER(Refsz_Verbräuche[[#This Row],[2022]]), Refsz_Verbräuche[[#This Row],[2022]]*Emissionsfaktoren[[#This Row],[2022]]/1000, 0)</f>
        <v>0</v>
      </c>
      <c r="N78" s="14">
        <f>IF(ISNUMBER(Refsz_Verbräuche[[#This Row],[2023]]), Refsz_Verbräuche[[#This Row],[2023]]*Emissionsfaktoren[[#This Row],[2023]]/1000, 0)</f>
        <v>0</v>
      </c>
      <c r="O78" s="14">
        <f>IF(ISNUMBER(Refsz_Verbräuche[[#This Row],[2024]]), Refsz_Verbräuche[[#This Row],[2024]]*Emissionsfaktoren[[#This Row],[2024]]/1000, 0)</f>
        <v>0</v>
      </c>
      <c r="P78" s="14">
        <f>IF(ISNUMBER(Refsz_Verbräuche[[#This Row],[2025]]), Refsz_Verbräuche[[#This Row],[2025]]*Emissionsfaktoren[[#This Row],[2025]]/1000, 0)</f>
        <v>0</v>
      </c>
      <c r="Q78" s="14">
        <f>IF(ISNUMBER(Refsz_Verbräuche[[#This Row],[2026]]), Refsz_Verbräuche[[#This Row],[2026]]*Emissionsfaktoren[[#This Row],[2026]]/1000, 0)</f>
        <v>0</v>
      </c>
      <c r="R78" s="14">
        <f>IF(ISNUMBER(Refsz_Verbräuche[[#This Row],[2027]]), Refsz_Verbräuche[[#This Row],[2027]]*Emissionsfaktoren[[#This Row],[2027]]/1000, 0)</f>
        <v>0</v>
      </c>
      <c r="S78" s="14">
        <f>IF(ISNUMBER(Refsz_Verbräuche[[#This Row],[2028]]), Refsz_Verbräuche[[#This Row],[2028]]*Emissionsfaktoren[[#This Row],[2028]]/1000, 0)</f>
        <v>0</v>
      </c>
      <c r="T78" s="14">
        <f>IF(ISNUMBER(Refsz_Verbräuche[[#This Row],[2029]]), Refsz_Verbräuche[[#This Row],[2029]]*Emissionsfaktoren[[#This Row],[2029]]/1000, 0)</f>
        <v>0</v>
      </c>
      <c r="U78" s="14">
        <f>IF(ISNUMBER(Refsz_Verbräuche[[#This Row],[2030]]), Refsz_Verbräuche[[#This Row],[2030]]*Emissionsfaktoren[[#This Row],[2030]]/1000, 0)</f>
        <v>0</v>
      </c>
      <c r="V78" s="14">
        <f>IF(ISNUMBER(Refsz_Verbräuche[[#This Row],[2035]]), Refsz_Verbräuche[[#This Row],[2035]]*Emissionsfaktoren[[#This Row],[2035]]/1000, 0)</f>
        <v>0</v>
      </c>
      <c r="W78" s="14">
        <f>IF(ISNUMBER(Refsz_Verbräuche[[#This Row],[2040]]), Refsz_Verbräuche[[#This Row],[2040]]*Emissionsfaktoren[[#This Row],[2040]]/1000, 0)</f>
        <v>0</v>
      </c>
      <c r="X78" s="14">
        <f>IF(ISNUMBER(Refsz_Verbräuche[[#This Row],[2045]]), Refsz_Verbräuche[[#This Row],[2045]]*Emissionsfaktoren[[#This Row],[2045]]/1000, 0)</f>
        <v>0</v>
      </c>
      <c r="Y78" s="14">
        <f>IF(ISNUMBER(Refsz_Verbräuche[[#This Row],[2050]]), Refsz_Verbräuche[[#This Row],[2050]]*Emissionsfaktoren[[#This Row],[2050]]/1000, 0)</f>
        <v>0</v>
      </c>
    </row>
    <row r="79" spans="2:25" ht="16.5">
      <c r="B79" s="14">
        <v>62</v>
      </c>
      <c r="C79" s="14">
        <f>Refsz_Verbräuche[[#This Row],[Handlungsfeld]]</f>
        <v>0</v>
      </c>
      <c r="D79" s="19">
        <f>Refsz_Verbräuche[[#This Row],[Datenpunkt]]</f>
        <v>0</v>
      </c>
      <c r="E79" t="s">
        <v>195</v>
      </c>
      <c r="F79" s="14">
        <f>IF(ISNUMBER(Refsz_Verbräuche[[#This Row],[2015]]), Refsz_Verbräuche[[#This Row],[2015]]*Emissionsfaktoren[[#This Row],[2015]]/1000, 0)</f>
        <v>0</v>
      </c>
      <c r="G79" s="14">
        <f>IF(ISNUMBER(Refsz_Verbräuche[[#This Row],[2016]]), Refsz_Verbräuche[[#This Row],[2016]]*Emissionsfaktoren[[#This Row],[2016]]/1000, 0)</f>
        <v>0</v>
      </c>
      <c r="H79" s="14">
        <f>IF(ISNUMBER(Refsz_Verbräuche[[#This Row],[2017]]), Refsz_Verbräuche[[#This Row],[2017]]*Emissionsfaktoren[[#This Row],[2017]]/1000, 0)</f>
        <v>0</v>
      </c>
      <c r="I79" s="14">
        <f>IF(ISNUMBER(Refsz_Verbräuche[[#This Row],[2018]]), Refsz_Verbräuche[[#This Row],[2018]]*Emissionsfaktoren[[#This Row],[2018]]/1000, 0)</f>
        <v>0</v>
      </c>
      <c r="J79" s="14">
        <f>IF(ISNUMBER(Refsz_Verbräuche[[#This Row],[2019]]), Refsz_Verbräuche[[#This Row],[2019]]*Emissionsfaktoren[[#This Row],[2019]]/1000, 0)</f>
        <v>0</v>
      </c>
      <c r="K79" s="14">
        <f>IF(ISNUMBER(Refsz_Verbräuche[[#This Row],[2020]]), Refsz_Verbräuche[[#This Row],[2020]]*Emissionsfaktoren[[#This Row],[2020]]/1000, 0)</f>
        <v>0</v>
      </c>
      <c r="L79" s="14">
        <f>IF(ISNUMBER(Refsz_Verbräuche[[#This Row],[2021]]), Refsz_Verbräuche[[#This Row],[2021]]*Emissionsfaktoren[[#This Row],[2021]]/1000, 0)</f>
        <v>0</v>
      </c>
      <c r="M79" s="14">
        <f>IF(ISNUMBER(Refsz_Verbräuche[[#This Row],[2022]]), Refsz_Verbräuche[[#This Row],[2022]]*Emissionsfaktoren[[#This Row],[2022]]/1000, 0)</f>
        <v>0</v>
      </c>
      <c r="N79" s="14">
        <f>IF(ISNUMBER(Refsz_Verbräuche[[#This Row],[2023]]), Refsz_Verbräuche[[#This Row],[2023]]*Emissionsfaktoren[[#This Row],[2023]]/1000, 0)</f>
        <v>0</v>
      </c>
      <c r="O79" s="14">
        <f>IF(ISNUMBER(Refsz_Verbräuche[[#This Row],[2024]]), Refsz_Verbräuche[[#This Row],[2024]]*Emissionsfaktoren[[#This Row],[2024]]/1000, 0)</f>
        <v>0</v>
      </c>
      <c r="P79" s="14">
        <f>IF(ISNUMBER(Refsz_Verbräuche[[#This Row],[2025]]), Refsz_Verbräuche[[#This Row],[2025]]*Emissionsfaktoren[[#This Row],[2025]]/1000, 0)</f>
        <v>0</v>
      </c>
      <c r="Q79" s="14">
        <f>IF(ISNUMBER(Refsz_Verbräuche[[#This Row],[2026]]), Refsz_Verbräuche[[#This Row],[2026]]*Emissionsfaktoren[[#This Row],[2026]]/1000, 0)</f>
        <v>0</v>
      </c>
      <c r="R79" s="14">
        <f>IF(ISNUMBER(Refsz_Verbräuche[[#This Row],[2027]]), Refsz_Verbräuche[[#This Row],[2027]]*Emissionsfaktoren[[#This Row],[2027]]/1000, 0)</f>
        <v>0</v>
      </c>
      <c r="S79" s="14">
        <f>IF(ISNUMBER(Refsz_Verbräuche[[#This Row],[2028]]), Refsz_Verbräuche[[#This Row],[2028]]*Emissionsfaktoren[[#This Row],[2028]]/1000, 0)</f>
        <v>0</v>
      </c>
      <c r="T79" s="14">
        <f>IF(ISNUMBER(Refsz_Verbräuche[[#This Row],[2029]]), Refsz_Verbräuche[[#This Row],[2029]]*Emissionsfaktoren[[#This Row],[2029]]/1000, 0)</f>
        <v>0</v>
      </c>
      <c r="U79" s="14">
        <f>IF(ISNUMBER(Refsz_Verbräuche[[#This Row],[2030]]), Refsz_Verbräuche[[#This Row],[2030]]*Emissionsfaktoren[[#This Row],[2030]]/1000, 0)</f>
        <v>0</v>
      </c>
      <c r="V79" s="14">
        <f>IF(ISNUMBER(Refsz_Verbräuche[[#This Row],[2035]]), Refsz_Verbräuche[[#This Row],[2035]]*Emissionsfaktoren[[#This Row],[2035]]/1000, 0)</f>
        <v>0</v>
      </c>
      <c r="W79" s="14">
        <f>IF(ISNUMBER(Refsz_Verbräuche[[#This Row],[2040]]), Refsz_Verbräuche[[#This Row],[2040]]*Emissionsfaktoren[[#This Row],[2040]]/1000, 0)</f>
        <v>0</v>
      </c>
      <c r="X79" s="14">
        <f>IF(ISNUMBER(Refsz_Verbräuche[[#This Row],[2045]]), Refsz_Verbräuche[[#This Row],[2045]]*Emissionsfaktoren[[#This Row],[2045]]/1000, 0)</f>
        <v>0</v>
      </c>
      <c r="Y79" s="14">
        <f>IF(ISNUMBER(Refsz_Verbräuche[[#This Row],[2050]]), Refsz_Verbräuche[[#This Row],[2050]]*Emissionsfaktoren[[#This Row],[2050]]/1000, 0)</f>
        <v>0</v>
      </c>
    </row>
    <row r="80" spans="2:25" ht="16.5">
      <c r="B80" s="14">
        <v>63</v>
      </c>
      <c r="C80" s="14" t="str">
        <f>Refsz_Verbräuche[[#This Row],[Handlungsfeld]]</f>
        <v>Mobilität 2</v>
      </c>
      <c r="D80" s="19" t="str">
        <f>Refsz_Verbräuche[[#This Row],[Datenpunkt]]</f>
        <v>Pendeln - Eisenbahn (Fernverkehr)</v>
      </c>
      <c r="E80" t="s">
        <v>195</v>
      </c>
      <c r="F80" s="14">
        <f>IF(ISNUMBER(Refsz_Verbräuche[[#This Row],[2015]]), Refsz_Verbräuche[[#This Row],[2015]]*Emissionsfaktoren[[#This Row],[2015]]/1000, 0)</f>
        <v>0</v>
      </c>
      <c r="G80" s="14">
        <f>IF(ISNUMBER(Refsz_Verbräuche[[#This Row],[2016]]), Refsz_Verbräuche[[#This Row],[2016]]*Emissionsfaktoren[[#This Row],[2016]]/1000, 0)</f>
        <v>0</v>
      </c>
      <c r="H80" s="14">
        <f>IF(ISNUMBER(Refsz_Verbräuche[[#This Row],[2017]]), Refsz_Verbräuche[[#This Row],[2017]]*Emissionsfaktoren[[#This Row],[2017]]/1000, 0)</f>
        <v>0</v>
      </c>
      <c r="I80" s="14">
        <f>IF(ISNUMBER(Refsz_Verbräuche[[#This Row],[2018]]), Refsz_Verbräuche[[#This Row],[2018]]*Emissionsfaktoren[[#This Row],[2018]]/1000, 0)</f>
        <v>0</v>
      </c>
      <c r="J80" s="14">
        <f>IF(ISNUMBER(Refsz_Verbräuche[[#This Row],[2019]]), Refsz_Verbräuche[[#This Row],[2019]]*Emissionsfaktoren[[#This Row],[2019]]/1000, 0)</f>
        <v>0</v>
      </c>
      <c r="K80" s="14">
        <f>IF(ISNUMBER(Refsz_Verbräuche[[#This Row],[2020]]), Refsz_Verbräuche[[#This Row],[2020]]*Emissionsfaktoren[[#This Row],[2020]]/1000, 0)</f>
        <v>0</v>
      </c>
      <c r="L80" s="14">
        <f>IF(ISNUMBER(Refsz_Verbräuche[[#This Row],[2021]]), Refsz_Verbräuche[[#This Row],[2021]]*Emissionsfaktoren[[#This Row],[2021]]/1000, 0)</f>
        <v>0</v>
      </c>
      <c r="M80" s="14">
        <f>IF(ISNUMBER(Refsz_Verbräuche[[#This Row],[2022]]), Refsz_Verbräuche[[#This Row],[2022]]*Emissionsfaktoren[[#This Row],[2022]]/1000, 0)</f>
        <v>0</v>
      </c>
      <c r="N80" s="14">
        <f>IF(ISNUMBER(Refsz_Verbräuche[[#This Row],[2023]]), Refsz_Verbräuche[[#This Row],[2023]]*Emissionsfaktoren[[#This Row],[2023]]/1000, 0)</f>
        <v>0</v>
      </c>
      <c r="O80" s="14">
        <f>IF(ISNUMBER(Refsz_Verbräuche[[#This Row],[2024]]), Refsz_Verbräuche[[#This Row],[2024]]*Emissionsfaktoren[[#This Row],[2024]]/1000, 0)</f>
        <v>0</v>
      </c>
      <c r="P80" s="14">
        <f>IF(ISNUMBER(Refsz_Verbräuche[[#This Row],[2025]]), Refsz_Verbräuche[[#This Row],[2025]]*Emissionsfaktoren[[#This Row],[2025]]/1000, 0)</f>
        <v>0</v>
      </c>
      <c r="Q80" s="14">
        <f>IF(ISNUMBER(Refsz_Verbräuche[[#This Row],[2026]]), Refsz_Verbräuche[[#This Row],[2026]]*Emissionsfaktoren[[#This Row],[2026]]/1000, 0)</f>
        <v>0</v>
      </c>
      <c r="R80" s="14">
        <f>IF(ISNUMBER(Refsz_Verbräuche[[#This Row],[2027]]), Refsz_Verbräuche[[#This Row],[2027]]*Emissionsfaktoren[[#This Row],[2027]]/1000, 0)</f>
        <v>0</v>
      </c>
      <c r="S80" s="14">
        <f>IF(ISNUMBER(Refsz_Verbräuche[[#This Row],[2028]]), Refsz_Verbräuche[[#This Row],[2028]]*Emissionsfaktoren[[#This Row],[2028]]/1000, 0)</f>
        <v>0</v>
      </c>
      <c r="T80" s="14">
        <f>IF(ISNUMBER(Refsz_Verbräuche[[#This Row],[2029]]), Refsz_Verbräuche[[#This Row],[2029]]*Emissionsfaktoren[[#This Row],[2029]]/1000, 0)</f>
        <v>0</v>
      </c>
      <c r="U80" s="14">
        <f>IF(ISNUMBER(Refsz_Verbräuche[[#This Row],[2030]]), Refsz_Verbräuche[[#This Row],[2030]]*Emissionsfaktoren[[#This Row],[2030]]/1000, 0)</f>
        <v>0</v>
      </c>
      <c r="V80" s="14">
        <f>IF(ISNUMBER(Refsz_Verbräuche[[#This Row],[2035]]), Refsz_Verbräuche[[#This Row],[2035]]*Emissionsfaktoren[[#This Row],[2035]]/1000, 0)</f>
        <v>0</v>
      </c>
      <c r="W80" s="14">
        <f>IF(ISNUMBER(Refsz_Verbräuche[[#This Row],[2040]]), Refsz_Verbräuche[[#This Row],[2040]]*Emissionsfaktoren[[#This Row],[2040]]/1000, 0)</f>
        <v>0</v>
      </c>
      <c r="X80" s="14">
        <f>IF(ISNUMBER(Refsz_Verbräuche[[#This Row],[2045]]), Refsz_Verbräuche[[#This Row],[2045]]*Emissionsfaktoren[[#This Row],[2045]]/1000, 0)</f>
        <v>0</v>
      </c>
      <c r="Y80" s="14">
        <f>IF(ISNUMBER(Refsz_Verbräuche[[#This Row],[2050]]), Refsz_Verbräuche[[#This Row],[2050]]*Emissionsfaktoren[[#This Row],[2050]]/1000, 0)</f>
        <v>0</v>
      </c>
    </row>
    <row r="81" spans="2:25" ht="16.5">
      <c r="B81" s="14">
        <v>64</v>
      </c>
      <c r="C81" s="14" t="str">
        <f>Refsz_Verbräuche[[#This Row],[Handlungsfeld]]</f>
        <v>Mobilität 2</v>
      </c>
      <c r="D81" s="19" t="str">
        <f>Refsz_Verbräuche[[#This Row],[Datenpunkt]]</f>
        <v>Pendeln - Eisenbahn (Nahverkehr)</v>
      </c>
      <c r="E81" t="s">
        <v>195</v>
      </c>
      <c r="F81" s="14">
        <f>IF(ISNUMBER(Refsz_Verbräuche[[#This Row],[2015]]), Refsz_Verbräuche[[#This Row],[2015]]*Emissionsfaktoren[[#This Row],[2015]]/1000, 0)</f>
        <v>0</v>
      </c>
      <c r="G81" s="14">
        <f>IF(ISNUMBER(Refsz_Verbräuche[[#This Row],[2016]]), Refsz_Verbräuche[[#This Row],[2016]]*Emissionsfaktoren[[#This Row],[2016]]/1000, 0)</f>
        <v>0</v>
      </c>
      <c r="H81" s="14">
        <f>IF(ISNUMBER(Refsz_Verbräuche[[#This Row],[2017]]), Refsz_Verbräuche[[#This Row],[2017]]*Emissionsfaktoren[[#This Row],[2017]]/1000, 0)</f>
        <v>0</v>
      </c>
      <c r="I81" s="14">
        <f>IF(ISNUMBER(Refsz_Verbräuche[[#This Row],[2018]]), Refsz_Verbräuche[[#This Row],[2018]]*Emissionsfaktoren[[#This Row],[2018]]/1000, 0)</f>
        <v>0</v>
      </c>
      <c r="J81" s="14">
        <f>IF(ISNUMBER(Refsz_Verbräuche[[#This Row],[2019]]), Refsz_Verbräuche[[#This Row],[2019]]*Emissionsfaktoren[[#This Row],[2019]]/1000, 0)</f>
        <v>0</v>
      </c>
      <c r="K81" s="14">
        <f>IF(ISNUMBER(Refsz_Verbräuche[[#This Row],[2020]]), Refsz_Verbräuche[[#This Row],[2020]]*Emissionsfaktoren[[#This Row],[2020]]/1000, 0)</f>
        <v>0</v>
      </c>
      <c r="L81" s="14">
        <f>IF(ISNUMBER(Refsz_Verbräuche[[#This Row],[2021]]), Refsz_Verbräuche[[#This Row],[2021]]*Emissionsfaktoren[[#This Row],[2021]]/1000, 0)</f>
        <v>0</v>
      </c>
      <c r="M81" s="14">
        <f>IF(ISNUMBER(Refsz_Verbräuche[[#This Row],[2022]]), Refsz_Verbräuche[[#This Row],[2022]]*Emissionsfaktoren[[#This Row],[2022]]/1000, 0)</f>
        <v>0</v>
      </c>
      <c r="N81" s="14">
        <f>IF(ISNUMBER(Refsz_Verbräuche[[#This Row],[2023]]), Refsz_Verbräuche[[#This Row],[2023]]*Emissionsfaktoren[[#This Row],[2023]]/1000, 0)</f>
        <v>0</v>
      </c>
      <c r="O81" s="14">
        <f>IF(ISNUMBER(Refsz_Verbräuche[[#This Row],[2024]]), Refsz_Verbräuche[[#This Row],[2024]]*Emissionsfaktoren[[#This Row],[2024]]/1000, 0)</f>
        <v>0</v>
      </c>
      <c r="P81" s="14">
        <f>IF(ISNUMBER(Refsz_Verbräuche[[#This Row],[2025]]), Refsz_Verbräuche[[#This Row],[2025]]*Emissionsfaktoren[[#This Row],[2025]]/1000, 0)</f>
        <v>0</v>
      </c>
      <c r="Q81" s="14">
        <f>IF(ISNUMBER(Refsz_Verbräuche[[#This Row],[2026]]), Refsz_Verbräuche[[#This Row],[2026]]*Emissionsfaktoren[[#This Row],[2026]]/1000, 0)</f>
        <v>0</v>
      </c>
      <c r="R81" s="14">
        <f>IF(ISNUMBER(Refsz_Verbräuche[[#This Row],[2027]]), Refsz_Verbräuche[[#This Row],[2027]]*Emissionsfaktoren[[#This Row],[2027]]/1000, 0)</f>
        <v>0</v>
      </c>
      <c r="S81" s="14">
        <f>IF(ISNUMBER(Refsz_Verbräuche[[#This Row],[2028]]), Refsz_Verbräuche[[#This Row],[2028]]*Emissionsfaktoren[[#This Row],[2028]]/1000, 0)</f>
        <v>0</v>
      </c>
      <c r="T81" s="14">
        <f>IF(ISNUMBER(Refsz_Verbräuche[[#This Row],[2029]]), Refsz_Verbräuche[[#This Row],[2029]]*Emissionsfaktoren[[#This Row],[2029]]/1000, 0)</f>
        <v>0</v>
      </c>
      <c r="U81" s="14">
        <f>IF(ISNUMBER(Refsz_Verbräuche[[#This Row],[2030]]), Refsz_Verbräuche[[#This Row],[2030]]*Emissionsfaktoren[[#This Row],[2030]]/1000, 0)</f>
        <v>0</v>
      </c>
      <c r="V81" s="14">
        <f>IF(ISNUMBER(Refsz_Verbräuche[[#This Row],[2035]]), Refsz_Verbräuche[[#This Row],[2035]]*Emissionsfaktoren[[#This Row],[2035]]/1000, 0)</f>
        <v>0</v>
      </c>
      <c r="W81" s="14">
        <f>IF(ISNUMBER(Refsz_Verbräuche[[#This Row],[2040]]), Refsz_Verbräuche[[#This Row],[2040]]*Emissionsfaktoren[[#This Row],[2040]]/1000, 0)</f>
        <v>0</v>
      </c>
      <c r="X81" s="14">
        <f>IF(ISNUMBER(Refsz_Verbräuche[[#This Row],[2045]]), Refsz_Verbräuche[[#This Row],[2045]]*Emissionsfaktoren[[#This Row],[2045]]/1000, 0)</f>
        <v>0</v>
      </c>
      <c r="Y81" s="14">
        <f>IF(ISNUMBER(Refsz_Verbräuche[[#This Row],[2050]]), Refsz_Verbräuche[[#This Row],[2050]]*Emissionsfaktoren[[#This Row],[2050]]/1000, 0)</f>
        <v>0</v>
      </c>
    </row>
    <row r="82" spans="2:25" ht="16.5">
      <c r="B82" s="14">
        <v>65</v>
      </c>
      <c r="C82" s="14" t="str">
        <f>Refsz_Verbräuche[[#This Row],[Handlungsfeld]]</f>
        <v>Mobilität 2</v>
      </c>
      <c r="D82" s="19" t="str">
        <f>Refsz_Verbräuche[[#This Row],[Datenpunkt]]</f>
        <v>Pendeln - Linienbus (Nahverkehr)</v>
      </c>
      <c r="E82" t="s">
        <v>195</v>
      </c>
      <c r="F82" s="14">
        <f>IF(ISNUMBER(Refsz_Verbräuche[[#This Row],[2015]]), Refsz_Verbräuche[[#This Row],[2015]]*Emissionsfaktoren[[#This Row],[2015]]/1000, 0)</f>
        <v>0</v>
      </c>
      <c r="G82" s="14">
        <f>IF(ISNUMBER(Refsz_Verbräuche[[#This Row],[2016]]), Refsz_Verbräuche[[#This Row],[2016]]*Emissionsfaktoren[[#This Row],[2016]]/1000, 0)</f>
        <v>0</v>
      </c>
      <c r="H82" s="14">
        <f>IF(ISNUMBER(Refsz_Verbräuche[[#This Row],[2017]]), Refsz_Verbräuche[[#This Row],[2017]]*Emissionsfaktoren[[#This Row],[2017]]/1000, 0)</f>
        <v>0</v>
      </c>
      <c r="I82" s="14">
        <f>IF(ISNUMBER(Refsz_Verbräuche[[#This Row],[2018]]), Refsz_Verbräuche[[#This Row],[2018]]*Emissionsfaktoren[[#This Row],[2018]]/1000, 0)</f>
        <v>0</v>
      </c>
      <c r="J82" s="14">
        <f>IF(ISNUMBER(Refsz_Verbräuche[[#This Row],[2019]]), Refsz_Verbräuche[[#This Row],[2019]]*Emissionsfaktoren[[#This Row],[2019]]/1000, 0)</f>
        <v>0</v>
      </c>
      <c r="K82" s="14">
        <f>IF(ISNUMBER(Refsz_Verbräuche[[#This Row],[2020]]), Refsz_Verbräuche[[#This Row],[2020]]*Emissionsfaktoren[[#This Row],[2020]]/1000, 0)</f>
        <v>0</v>
      </c>
      <c r="L82" s="14">
        <f>IF(ISNUMBER(Refsz_Verbräuche[[#This Row],[2021]]), Refsz_Verbräuche[[#This Row],[2021]]*Emissionsfaktoren[[#This Row],[2021]]/1000, 0)</f>
        <v>0</v>
      </c>
      <c r="M82" s="14">
        <f>IF(ISNUMBER(Refsz_Verbräuche[[#This Row],[2022]]), Refsz_Verbräuche[[#This Row],[2022]]*Emissionsfaktoren[[#This Row],[2022]]/1000, 0)</f>
        <v>0</v>
      </c>
      <c r="N82" s="14">
        <f>IF(ISNUMBER(Refsz_Verbräuche[[#This Row],[2023]]), Refsz_Verbräuche[[#This Row],[2023]]*Emissionsfaktoren[[#This Row],[2023]]/1000, 0)</f>
        <v>0</v>
      </c>
      <c r="O82" s="14">
        <f>IF(ISNUMBER(Refsz_Verbräuche[[#This Row],[2024]]), Refsz_Verbräuche[[#This Row],[2024]]*Emissionsfaktoren[[#This Row],[2024]]/1000, 0)</f>
        <v>0</v>
      </c>
      <c r="P82" s="14">
        <f>IF(ISNUMBER(Refsz_Verbräuche[[#This Row],[2025]]), Refsz_Verbräuche[[#This Row],[2025]]*Emissionsfaktoren[[#This Row],[2025]]/1000, 0)</f>
        <v>0</v>
      </c>
      <c r="Q82" s="14">
        <f>IF(ISNUMBER(Refsz_Verbräuche[[#This Row],[2026]]), Refsz_Verbräuche[[#This Row],[2026]]*Emissionsfaktoren[[#This Row],[2026]]/1000, 0)</f>
        <v>0</v>
      </c>
      <c r="R82" s="14">
        <f>IF(ISNUMBER(Refsz_Verbräuche[[#This Row],[2027]]), Refsz_Verbräuche[[#This Row],[2027]]*Emissionsfaktoren[[#This Row],[2027]]/1000, 0)</f>
        <v>0</v>
      </c>
      <c r="S82" s="14">
        <f>IF(ISNUMBER(Refsz_Verbräuche[[#This Row],[2028]]), Refsz_Verbräuche[[#This Row],[2028]]*Emissionsfaktoren[[#This Row],[2028]]/1000, 0)</f>
        <v>0</v>
      </c>
      <c r="T82" s="14">
        <f>IF(ISNUMBER(Refsz_Verbräuche[[#This Row],[2029]]), Refsz_Verbräuche[[#This Row],[2029]]*Emissionsfaktoren[[#This Row],[2029]]/1000, 0)</f>
        <v>0</v>
      </c>
      <c r="U82" s="14">
        <f>IF(ISNUMBER(Refsz_Verbräuche[[#This Row],[2030]]), Refsz_Verbräuche[[#This Row],[2030]]*Emissionsfaktoren[[#This Row],[2030]]/1000, 0)</f>
        <v>0</v>
      </c>
      <c r="V82" s="14">
        <f>IF(ISNUMBER(Refsz_Verbräuche[[#This Row],[2035]]), Refsz_Verbräuche[[#This Row],[2035]]*Emissionsfaktoren[[#This Row],[2035]]/1000, 0)</f>
        <v>0</v>
      </c>
      <c r="W82" s="14">
        <f>IF(ISNUMBER(Refsz_Verbräuche[[#This Row],[2040]]), Refsz_Verbräuche[[#This Row],[2040]]*Emissionsfaktoren[[#This Row],[2040]]/1000, 0)</f>
        <v>0</v>
      </c>
      <c r="X82" s="14">
        <f>IF(ISNUMBER(Refsz_Verbräuche[[#This Row],[2045]]), Refsz_Verbräuche[[#This Row],[2045]]*Emissionsfaktoren[[#This Row],[2045]]/1000, 0)</f>
        <v>0</v>
      </c>
      <c r="Y82" s="14">
        <f>IF(ISNUMBER(Refsz_Verbräuche[[#This Row],[2050]]), Refsz_Verbräuche[[#This Row],[2050]]*Emissionsfaktoren[[#This Row],[2050]]/1000, 0)</f>
        <v>0</v>
      </c>
    </row>
    <row r="83" spans="2:25" ht="16.5">
      <c r="B83" s="14">
        <v>66</v>
      </c>
      <c r="C83" s="14" t="str">
        <f>Refsz_Verbräuche[[#This Row],[Handlungsfeld]]</f>
        <v>Mobilität 2</v>
      </c>
      <c r="D83" s="19" t="str">
        <f>Refsz_Verbräuche[[#This Row],[Datenpunkt]]</f>
        <v>Pendeln - PKW (alle Antriebsarten)</v>
      </c>
      <c r="E83" t="s">
        <v>195</v>
      </c>
      <c r="F83" s="14">
        <f>IF(ISNUMBER(Refsz_Verbräuche[[#This Row],[2015]]), Refsz_Verbräuche[[#This Row],[2015]]*Emissionsfaktoren[[#This Row],[2015]]/1000, 0)</f>
        <v>0</v>
      </c>
      <c r="G83" s="14">
        <f>IF(ISNUMBER(Refsz_Verbräuche[[#This Row],[2016]]), Refsz_Verbräuche[[#This Row],[2016]]*Emissionsfaktoren[[#This Row],[2016]]/1000, 0)</f>
        <v>0</v>
      </c>
      <c r="H83" s="14">
        <f>IF(ISNUMBER(Refsz_Verbräuche[[#This Row],[2017]]), Refsz_Verbräuche[[#This Row],[2017]]*Emissionsfaktoren[[#This Row],[2017]]/1000, 0)</f>
        <v>0</v>
      </c>
      <c r="I83" s="14">
        <f>IF(ISNUMBER(Refsz_Verbräuche[[#This Row],[2018]]), Refsz_Verbräuche[[#This Row],[2018]]*Emissionsfaktoren[[#This Row],[2018]]/1000, 0)</f>
        <v>0</v>
      </c>
      <c r="J83" s="14">
        <f>IF(ISNUMBER(Refsz_Verbräuche[[#This Row],[2019]]), Refsz_Verbräuche[[#This Row],[2019]]*Emissionsfaktoren[[#This Row],[2019]]/1000, 0)</f>
        <v>0</v>
      </c>
      <c r="K83" s="14">
        <f>IF(ISNUMBER(Refsz_Verbräuche[[#This Row],[2020]]), Refsz_Verbräuche[[#This Row],[2020]]*Emissionsfaktoren[[#This Row],[2020]]/1000, 0)</f>
        <v>0</v>
      </c>
      <c r="L83" s="14">
        <f>IF(ISNUMBER(Refsz_Verbräuche[[#This Row],[2021]]), Refsz_Verbräuche[[#This Row],[2021]]*Emissionsfaktoren[[#This Row],[2021]]/1000, 0)</f>
        <v>0</v>
      </c>
      <c r="M83" s="14">
        <f>IF(ISNUMBER(Refsz_Verbräuche[[#This Row],[2022]]), Refsz_Verbräuche[[#This Row],[2022]]*Emissionsfaktoren[[#This Row],[2022]]/1000, 0)</f>
        <v>0</v>
      </c>
      <c r="N83" s="14">
        <f>IF(ISNUMBER(Refsz_Verbräuche[[#This Row],[2023]]), Refsz_Verbräuche[[#This Row],[2023]]*Emissionsfaktoren[[#This Row],[2023]]/1000, 0)</f>
        <v>0</v>
      </c>
      <c r="O83" s="14">
        <f>IF(ISNUMBER(Refsz_Verbräuche[[#This Row],[2024]]), Refsz_Verbräuche[[#This Row],[2024]]*Emissionsfaktoren[[#This Row],[2024]]/1000, 0)</f>
        <v>0</v>
      </c>
      <c r="P83" s="14">
        <f>IF(ISNUMBER(Refsz_Verbräuche[[#This Row],[2025]]), Refsz_Verbräuche[[#This Row],[2025]]*Emissionsfaktoren[[#This Row],[2025]]/1000, 0)</f>
        <v>0</v>
      </c>
      <c r="Q83" s="14">
        <f>IF(ISNUMBER(Refsz_Verbräuche[[#This Row],[2026]]), Refsz_Verbräuche[[#This Row],[2026]]*Emissionsfaktoren[[#This Row],[2026]]/1000, 0)</f>
        <v>0</v>
      </c>
      <c r="R83" s="14">
        <f>IF(ISNUMBER(Refsz_Verbräuche[[#This Row],[2027]]), Refsz_Verbräuche[[#This Row],[2027]]*Emissionsfaktoren[[#This Row],[2027]]/1000, 0)</f>
        <v>0</v>
      </c>
      <c r="S83" s="14">
        <f>IF(ISNUMBER(Refsz_Verbräuche[[#This Row],[2028]]), Refsz_Verbräuche[[#This Row],[2028]]*Emissionsfaktoren[[#This Row],[2028]]/1000, 0)</f>
        <v>0</v>
      </c>
      <c r="T83" s="14">
        <f>IF(ISNUMBER(Refsz_Verbräuche[[#This Row],[2029]]), Refsz_Verbräuche[[#This Row],[2029]]*Emissionsfaktoren[[#This Row],[2029]]/1000, 0)</f>
        <v>0</v>
      </c>
      <c r="U83" s="14">
        <f>IF(ISNUMBER(Refsz_Verbräuche[[#This Row],[2030]]), Refsz_Verbräuche[[#This Row],[2030]]*Emissionsfaktoren[[#This Row],[2030]]/1000, 0)</f>
        <v>0</v>
      </c>
      <c r="V83" s="14">
        <f>IF(ISNUMBER(Refsz_Verbräuche[[#This Row],[2035]]), Refsz_Verbräuche[[#This Row],[2035]]*Emissionsfaktoren[[#This Row],[2035]]/1000, 0)</f>
        <v>0</v>
      </c>
      <c r="W83" s="14">
        <f>IF(ISNUMBER(Refsz_Verbräuche[[#This Row],[2040]]), Refsz_Verbräuche[[#This Row],[2040]]*Emissionsfaktoren[[#This Row],[2040]]/1000, 0)</f>
        <v>0</v>
      </c>
      <c r="X83" s="14">
        <f>IF(ISNUMBER(Refsz_Verbräuche[[#This Row],[2045]]), Refsz_Verbräuche[[#This Row],[2045]]*Emissionsfaktoren[[#This Row],[2045]]/1000, 0)</f>
        <v>0</v>
      </c>
      <c r="Y83" s="14">
        <f>IF(ISNUMBER(Refsz_Verbräuche[[#This Row],[2050]]), Refsz_Verbräuche[[#This Row],[2050]]*Emissionsfaktoren[[#This Row],[2050]]/1000, 0)</f>
        <v>0</v>
      </c>
    </row>
    <row r="84" spans="2:25" ht="16.5">
      <c r="B84" s="14">
        <v>67</v>
      </c>
      <c r="C84" s="14" t="str">
        <f>Refsz_Verbräuche[[#This Row],[Handlungsfeld]]</f>
        <v>Mobilität 2</v>
      </c>
      <c r="D84" s="19" t="str">
        <f>Refsz_Verbräuche[[#This Row],[Datenpunkt]]</f>
        <v>Pendeln - PKW (Diesel)</v>
      </c>
      <c r="E84" t="s">
        <v>195</v>
      </c>
      <c r="F84" s="14">
        <f>IF(ISNUMBER(Refsz_Verbräuche[[#This Row],[2015]]), Refsz_Verbräuche[[#This Row],[2015]]*Emissionsfaktoren[[#This Row],[2015]]/1000, 0)</f>
        <v>0</v>
      </c>
      <c r="G84" s="14">
        <f>IF(ISNUMBER(Refsz_Verbräuche[[#This Row],[2016]]), Refsz_Verbräuche[[#This Row],[2016]]*Emissionsfaktoren[[#This Row],[2016]]/1000, 0)</f>
        <v>0</v>
      </c>
      <c r="H84" s="14">
        <f>IF(ISNUMBER(Refsz_Verbräuche[[#This Row],[2017]]), Refsz_Verbräuche[[#This Row],[2017]]*Emissionsfaktoren[[#This Row],[2017]]/1000, 0)</f>
        <v>0</v>
      </c>
      <c r="I84" s="14">
        <f>IF(ISNUMBER(Refsz_Verbräuche[[#This Row],[2018]]), Refsz_Verbräuche[[#This Row],[2018]]*Emissionsfaktoren[[#This Row],[2018]]/1000, 0)</f>
        <v>0</v>
      </c>
      <c r="J84" s="14">
        <f>IF(ISNUMBER(Refsz_Verbräuche[[#This Row],[2019]]), Refsz_Verbräuche[[#This Row],[2019]]*Emissionsfaktoren[[#This Row],[2019]]/1000, 0)</f>
        <v>0</v>
      </c>
      <c r="K84" s="14">
        <f>IF(ISNUMBER(Refsz_Verbräuche[[#This Row],[2020]]), Refsz_Verbräuche[[#This Row],[2020]]*Emissionsfaktoren[[#This Row],[2020]]/1000, 0)</f>
        <v>0</v>
      </c>
      <c r="L84" s="14">
        <f>IF(ISNUMBER(Refsz_Verbräuche[[#This Row],[2021]]), Refsz_Verbräuche[[#This Row],[2021]]*Emissionsfaktoren[[#This Row],[2021]]/1000, 0)</f>
        <v>0</v>
      </c>
      <c r="M84" s="14">
        <f>IF(ISNUMBER(Refsz_Verbräuche[[#This Row],[2022]]), Refsz_Verbräuche[[#This Row],[2022]]*Emissionsfaktoren[[#This Row],[2022]]/1000, 0)</f>
        <v>0</v>
      </c>
      <c r="N84" s="14">
        <f>IF(ISNUMBER(Refsz_Verbräuche[[#This Row],[2023]]), Refsz_Verbräuche[[#This Row],[2023]]*Emissionsfaktoren[[#This Row],[2023]]/1000, 0)</f>
        <v>0</v>
      </c>
      <c r="O84" s="14">
        <f>IF(ISNUMBER(Refsz_Verbräuche[[#This Row],[2024]]), Refsz_Verbräuche[[#This Row],[2024]]*Emissionsfaktoren[[#This Row],[2024]]/1000, 0)</f>
        <v>0</v>
      </c>
      <c r="P84" s="14">
        <f>IF(ISNUMBER(Refsz_Verbräuche[[#This Row],[2025]]), Refsz_Verbräuche[[#This Row],[2025]]*Emissionsfaktoren[[#This Row],[2025]]/1000, 0)</f>
        <v>0</v>
      </c>
      <c r="Q84" s="14">
        <f>IF(ISNUMBER(Refsz_Verbräuche[[#This Row],[2026]]), Refsz_Verbräuche[[#This Row],[2026]]*Emissionsfaktoren[[#This Row],[2026]]/1000, 0)</f>
        <v>0</v>
      </c>
      <c r="R84" s="14">
        <f>IF(ISNUMBER(Refsz_Verbräuche[[#This Row],[2027]]), Refsz_Verbräuche[[#This Row],[2027]]*Emissionsfaktoren[[#This Row],[2027]]/1000, 0)</f>
        <v>0</v>
      </c>
      <c r="S84" s="14">
        <f>IF(ISNUMBER(Refsz_Verbräuche[[#This Row],[2028]]), Refsz_Verbräuche[[#This Row],[2028]]*Emissionsfaktoren[[#This Row],[2028]]/1000, 0)</f>
        <v>0</v>
      </c>
      <c r="T84" s="14">
        <f>IF(ISNUMBER(Refsz_Verbräuche[[#This Row],[2029]]), Refsz_Verbräuche[[#This Row],[2029]]*Emissionsfaktoren[[#This Row],[2029]]/1000, 0)</f>
        <v>0</v>
      </c>
      <c r="U84" s="14">
        <f>IF(ISNUMBER(Refsz_Verbräuche[[#This Row],[2030]]), Refsz_Verbräuche[[#This Row],[2030]]*Emissionsfaktoren[[#This Row],[2030]]/1000, 0)</f>
        <v>0</v>
      </c>
      <c r="V84" s="14">
        <f>IF(ISNUMBER(Refsz_Verbräuche[[#This Row],[2035]]), Refsz_Verbräuche[[#This Row],[2035]]*Emissionsfaktoren[[#This Row],[2035]]/1000, 0)</f>
        <v>0</v>
      </c>
      <c r="W84" s="14">
        <f>IF(ISNUMBER(Refsz_Verbräuche[[#This Row],[2040]]), Refsz_Verbräuche[[#This Row],[2040]]*Emissionsfaktoren[[#This Row],[2040]]/1000, 0)</f>
        <v>0</v>
      </c>
      <c r="X84" s="14">
        <f>IF(ISNUMBER(Refsz_Verbräuche[[#This Row],[2045]]), Refsz_Verbräuche[[#This Row],[2045]]*Emissionsfaktoren[[#This Row],[2045]]/1000, 0)</f>
        <v>0</v>
      </c>
      <c r="Y84" s="14">
        <f>IF(ISNUMBER(Refsz_Verbräuche[[#This Row],[2050]]), Refsz_Verbräuche[[#This Row],[2050]]*Emissionsfaktoren[[#This Row],[2050]]/1000, 0)</f>
        <v>0</v>
      </c>
    </row>
    <row r="85" spans="2:25" ht="16.5">
      <c r="B85" s="14">
        <v>68</v>
      </c>
      <c r="C85" s="14" t="str">
        <f>Refsz_Verbräuche[[#This Row],[Handlungsfeld]]</f>
        <v>Mobilität 2</v>
      </c>
      <c r="D85" s="19" t="str">
        <f>Refsz_Verbräuche[[#This Row],[Datenpunkt]]</f>
        <v>Pendeln - PKW (Benzin)</v>
      </c>
      <c r="E85" t="s">
        <v>195</v>
      </c>
      <c r="F85" s="14">
        <f>IF(ISNUMBER(Refsz_Verbräuche[[#This Row],[2015]]), Refsz_Verbräuche[[#This Row],[2015]]*Emissionsfaktoren[[#This Row],[2015]]/1000, 0)</f>
        <v>0</v>
      </c>
      <c r="G85" s="14">
        <f>IF(ISNUMBER(Refsz_Verbräuche[[#This Row],[2016]]), Refsz_Verbräuche[[#This Row],[2016]]*Emissionsfaktoren[[#This Row],[2016]]/1000, 0)</f>
        <v>0</v>
      </c>
      <c r="H85" s="14">
        <f>IF(ISNUMBER(Refsz_Verbräuche[[#This Row],[2017]]), Refsz_Verbräuche[[#This Row],[2017]]*Emissionsfaktoren[[#This Row],[2017]]/1000, 0)</f>
        <v>0</v>
      </c>
      <c r="I85" s="14">
        <f>IF(ISNUMBER(Refsz_Verbräuche[[#This Row],[2018]]), Refsz_Verbräuche[[#This Row],[2018]]*Emissionsfaktoren[[#This Row],[2018]]/1000, 0)</f>
        <v>0</v>
      </c>
      <c r="J85" s="14">
        <f>IF(ISNUMBER(Refsz_Verbräuche[[#This Row],[2019]]), Refsz_Verbräuche[[#This Row],[2019]]*Emissionsfaktoren[[#This Row],[2019]]/1000, 0)</f>
        <v>0</v>
      </c>
      <c r="K85" s="14">
        <f>IF(ISNUMBER(Refsz_Verbräuche[[#This Row],[2020]]), Refsz_Verbräuche[[#This Row],[2020]]*Emissionsfaktoren[[#This Row],[2020]]/1000, 0)</f>
        <v>0</v>
      </c>
      <c r="L85" s="14">
        <f>IF(ISNUMBER(Refsz_Verbräuche[[#This Row],[2021]]), Refsz_Verbräuche[[#This Row],[2021]]*Emissionsfaktoren[[#This Row],[2021]]/1000, 0)</f>
        <v>0</v>
      </c>
      <c r="M85" s="14">
        <f>IF(ISNUMBER(Refsz_Verbräuche[[#This Row],[2022]]), Refsz_Verbräuche[[#This Row],[2022]]*Emissionsfaktoren[[#This Row],[2022]]/1000, 0)</f>
        <v>0</v>
      </c>
      <c r="N85" s="14">
        <f>IF(ISNUMBER(Refsz_Verbräuche[[#This Row],[2023]]), Refsz_Verbräuche[[#This Row],[2023]]*Emissionsfaktoren[[#This Row],[2023]]/1000, 0)</f>
        <v>0</v>
      </c>
      <c r="O85" s="14">
        <f>IF(ISNUMBER(Refsz_Verbräuche[[#This Row],[2024]]), Refsz_Verbräuche[[#This Row],[2024]]*Emissionsfaktoren[[#This Row],[2024]]/1000, 0)</f>
        <v>0</v>
      </c>
      <c r="P85" s="14">
        <f>IF(ISNUMBER(Refsz_Verbräuche[[#This Row],[2025]]), Refsz_Verbräuche[[#This Row],[2025]]*Emissionsfaktoren[[#This Row],[2025]]/1000, 0)</f>
        <v>0</v>
      </c>
      <c r="Q85" s="14">
        <f>IF(ISNUMBER(Refsz_Verbräuche[[#This Row],[2026]]), Refsz_Verbräuche[[#This Row],[2026]]*Emissionsfaktoren[[#This Row],[2026]]/1000, 0)</f>
        <v>0</v>
      </c>
      <c r="R85" s="14">
        <f>IF(ISNUMBER(Refsz_Verbräuche[[#This Row],[2027]]), Refsz_Verbräuche[[#This Row],[2027]]*Emissionsfaktoren[[#This Row],[2027]]/1000, 0)</f>
        <v>0</v>
      </c>
      <c r="S85" s="14">
        <f>IF(ISNUMBER(Refsz_Verbräuche[[#This Row],[2028]]), Refsz_Verbräuche[[#This Row],[2028]]*Emissionsfaktoren[[#This Row],[2028]]/1000, 0)</f>
        <v>0</v>
      </c>
      <c r="T85" s="14">
        <f>IF(ISNUMBER(Refsz_Verbräuche[[#This Row],[2029]]), Refsz_Verbräuche[[#This Row],[2029]]*Emissionsfaktoren[[#This Row],[2029]]/1000, 0)</f>
        <v>0</v>
      </c>
      <c r="U85" s="14">
        <f>IF(ISNUMBER(Refsz_Verbräuche[[#This Row],[2030]]), Refsz_Verbräuche[[#This Row],[2030]]*Emissionsfaktoren[[#This Row],[2030]]/1000, 0)</f>
        <v>0</v>
      </c>
      <c r="V85" s="14">
        <f>IF(ISNUMBER(Refsz_Verbräuche[[#This Row],[2035]]), Refsz_Verbräuche[[#This Row],[2035]]*Emissionsfaktoren[[#This Row],[2035]]/1000, 0)</f>
        <v>0</v>
      </c>
      <c r="W85" s="14">
        <f>IF(ISNUMBER(Refsz_Verbräuche[[#This Row],[2040]]), Refsz_Verbräuche[[#This Row],[2040]]*Emissionsfaktoren[[#This Row],[2040]]/1000, 0)</f>
        <v>0</v>
      </c>
      <c r="X85" s="14">
        <f>IF(ISNUMBER(Refsz_Verbräuche[[#This Row],[2045]]), Refsz_Verbräuche[[#This Row],[2045]]*Emissionsfaktoren[[#This Row],[2045]]/1000, 0)</f>
        <v>0</v>
      </c>
      <c r="Y85" s="14">
        <f>IF(ISNUMBER(Refsz_Verbräuche[[#This Row],[2050]]), Refsz_Verbräuche[[#This Row],[2050]]*Emissionsfaktoren[[#This Row],[2050]]/1000, 0)</f>
        <v>0</v>
      </c>
    </row>
    <row r="86" spans="2:25" ht="16.5">
      <c r="B86" s="14">
        <v>69</v>
      </c>
      <c r="C86" s="14" t="str">
        <f>Refsz_Verbräuche[[#This Row],[Handlungsfeld]]</f>
        <v>Mobilität 2</v>
      </c>
      <c r="D86" s="19" t="str">
        <f>Refsz_Verbräuche[[#This Row],[Datenpunkt]]</f>
        <v>Pendeln - PKW (E-Auto/ BEV)</v>
      </c>
      <c r="E86" t="s">
        <v>195</v>
      </c>
      <c r="F86" s="14">
        <f>IF(ISNUMBER(Refsz_Verbräuche[[#This Row],[2015]]), Refsz_Verbräuche[[#This Row],[2015]]*Emissionsfaktoren[[#This Row],[2015]]/1000, 0)</f>
        <v>0</v>
      </c>
      <c r="G86" s="14">
        <f>IF(ISNUMBER(Refsz_Verbräuche[[#This Row],[2016]]), Refsz_Verbräuche[[#This Row],[2016]]*Emissionsfaktoren[[#This Row],[2016]]/1000, 0)</f>
        <v>0</v>
      </c>
      <c r="H86" s="14">
        <f>IF(ISNUMBER(Refsz_Verbräuche[[#This Row],[2017]]), Refsz_Verbräuche[[#This Row],[2017]]*Emissionsfaktoren[[#This Row],[2017]]/1000, 0)</f>
        <v>0</v>
      </c>
      <c r="I86" s="14">
        <f>IF(ISNUMBER(Refsz_Verbräuche[[#This Row],[2018]]), Refsz_Verbräuche[[#This Row],[2018]]*Emissionsfaktoren[[#This Row],[2018]]/1000, 0)</f>
        <v>0</v>
      </c>
      <c r="J86" s="14">
        <f>IF(ISNUMBER(Refsz_Verbräuche[[#This Row],[2019]]), Refsz_Verbräuche[[#This Row],[2019]]*Emissionsfaktoren[[#This Row],[2019]]/1000, 0)</f>
        <v>0</v>
      </c>
      <c r="K86" s="14">
        <f>IF(ISNUMBER(Refsz_Verbräuche[[#This Row],[2020]]), Refsz_Verbräuche[[#This Row],[2020]]*Emissionsfaktoren[[#This Row],[2020]]/1000, 0)</f>
        <v>0</v>
      </c>
      <c r="L86" s="14">
        <f>IF(ISNUMBER(Refsz_Verbräuche[[#This Row],[2021]]), Refsz_Verbräuche[[#This Row],[2021]]*Emissionsfaktoren[[#This Row],[2021]]/1000, 0)</f>
        <v>0</v>
      </c>
      <c r="M86" s="14">
        <f>IF(ISNUMBER(Refsz_Verbräuche[[#This Row],[2022]]), Refsz_Verbräuche[[#This Row],[2022]]*Emissionsfaktoren[[#This Row],[2022]]/1000, 0)</f>
        <v>0</v>
      </c>
      <c r="N86" s="14">
        <f>IF(ISNUMBER(Refsz_Verbräuche[[#This Row],[2023]]), Refsz_Verbräuche[[#This Row],[2023]]*Emissionsfaktoren[[#This Row],[2023]]/1000, 0)</f>
        <v>0</v>
      </c>
      <c r="O86" s="14">
        <f>IF(ISNUMBER(Refsz_Verbräuche[[#This Row],[2024]]), Refsz_Verbräuche[[#This Row],[2024]]*Emissionsfaktoren[[#This Row],[2024]]/1000, 0)</f>
        <v>0</v>
      </c>
      <c r="P86" s="14">
        <f>IF(ISNUMBER(Refsz_Verbräuche[[#This Row],[2025]]), Refsz_Verbräuche[[#This Row],[2025]]*Emissionsfaktoren[[#This Row],[2025]]/1000, 0)</f>
        <v>0</v>
      </c>
      <c r="Q86" s="14">
        <f>IF(ISNUMBER(Refsz_Verbräuche[[#This Row],[2026]]), Refsz_Verbräuche[[#This Row],[2026]]*Emissionsfaktoren[[#This Row],[2026]]/1000, 0)</f>
        <v>0</v>
      </c>
      <c r="R86" s="14">
        <f>IF(ISNUMBER(Refsz_Verbräuche[[#This Row],[2027]]), Refsz_Verbräuche[[#This Row],[2027]]*Emissionsfaktoren[[#This Row],[2027]]/1000, 0)</f>
        <v>0</v>
      </c>
      <c r="S86" s="14">
        <f>IF(ISNUMBER(Refsz_Verbräuche[[#This Row],[2028]]), Refsz_Verbräuche[[#This Row],[2028]]*Emissionsfaktoren[[#This Row],[2028]]/1000, 0)</f>
        <v>0</v>
      </c>
      <c r="T86" s="14">
        <f>IF(ISNUMBER(Refsz_Verbräuche[[#This Row],[2029]]), Refsz_Verbräuche[[#This Row],[2029]]*Emissionsfaktoren[[#This Row],[2029]]/1000, 0)</f>
        <v>0</v>
      </c>
      <c r="U86" s="14">
        <f>IF(ISNUMBER(Refsz_Verbräuche[[#This Row],[2030]]), Refsz_Verbräuche[[#This Row],[2030]]*Emissionsfaktoren[[#This Row],[2030]]/1000, 0)</f>
        <v>0</v>
      </c>
      <c r="V86" s="14">
        <f>IF(ISNUMBER(Refsz_Verbräuche[[#This Row],[2035]]), Refsz_Verbräuche[[#This Row],[2035]]*Emissionsfaktoren[[#This Row],[2035]]/1000, 0)</f>
        <v>0</v>
      </c>
      <c r="W86" s="14">
        <f>IF(ISNUMBER(Refsz_Verbräuche[[#This Row],[2040]]), Refsz_Verbräuche[[#This Row],[2040]]*Emissionsfaktoren[[#This Row],[2040]]/1000, 0)</f>
        <v>0</v>
      </c>
      <c r="X86" s="14">
        <f>IF(ISNUMBER(Refsz_Verbräuche[[#This Row],[2045]]), Refsz_Verbräuche[[#This Row],[2045]]*Emissionsfaktoren[[#This Row],[2045]]/1000, 0)</f>
        <v>0</v>
      </c>
      <c r="Y86" s="14">
        <f>IF(ISNUMBER(Refsz_Verbräuche[[#This Row],[2050]]), Refsz_Verbräuche[[#This Row],[2050]]*Emissionsfaktoren[[#This Row],[2050]]/1000, 0)</f>
        <v>0</v>
      </c>
    </row>
    <row r="87" spans="2:25" ht="16.5">
      <c r="B87" s="14">
        <v>70</v>
      </c>
      <c r="C87" s="14" t="str">
        <f>Refsz_Verbräuche[[#This Row],[Handlungsfeld]]</f>
        <v>Mobilität 2</v>
      </c>
      <c r="D87" s="19" t="str">
        <f>Refsz_Verbräuche[[#This Row],[Datenpunkt]]</f>
        <v>Pendeln - PKW (Wasserstoff/ FCEV)</v>
      </c>
      <c r="E87" t="s">
        <v>195</v>
      </c>
      <c r="F87" s="14">
        <f>IF(ISNUMBER(Refsz_Verbräuche[[#This Row],[2015]]), Refsz_Verbräuche[[#This Row],[2015]]*Emissionsfaktoren[[#This Row],[2015]]/1000, 0)</f>
        <v>0</v>
      </c>
      <c r="G87" s="14">
        <f>IF(ISNUMBER(Refsz_Verbräuche[[#This Row],[2016]]), Refsz_Verbräuche[[#This Row],[2016]]*Emissionsfaktoren[[#This Row],[2016]]/1000, 0)</f>
        <v>0</v>
      </c>
      <c r="H87" s="14">
        <f>IF(ISNUMBER(Refsz_Verbräuche[[#This Row],[2017]]), Refsz_Verbräuche[[#This Row],[2017]]*Emissionsfaktoren[[#This Row],[2017]]/1000, 0)</f>
        <v>0</v>
      </c>
      <c r="I87" s="14">
        <f>IF(ISNUMBER(Refsz_Verbräuche[[#This Row],[2018]]), Refsz_Verbräuche[[#This Row],[2018]]*Emissionsfaktoren[[#This Row],[2018]]/1000, 0)</f>
        <v>0</v>
      </c>
      <c r="J87" s="14">
        <f>IF(ISNUMBER(Refsz_Verbräuche[[#This Row],[2019]]), Refsz_Verbräuche[[#This Row],[2019]]*Emissionsfaktoren[[#This Row],[2019]]/1000, 0)</f>
        <v>0</v>
      </c>
      <c r="K87" s="14">
        <f>IF(ISNUMBER(Refsz_Verbräuche[[#This Row],[2020]]), Refsz_Verbräuche[[#This Row],[2020]]*Emissionsfaktoren[[#This Row],[2020]]/1000, 0)</f>
        <v>0</v>
      </c>
      <c r="L87" s="14">
        <f>IF(ISNUMBER(Refsz_Verbräuche[[#This Row],[2021]]), Refsz_Verbräuche[[#This Row],[2021]]*Emissionsfaktoren[[#This Row],[2021]]/1000, 0)</f>
        <v>0</v>
      </c>
      <c r="M87" s="14">
        <f>IF(ISNUMBER(Refsz_Verbräuche[[#This Row],[2022]]), Refsz_Verbräuche[[#This Row],[2022]]*Emissionsfaktoren[[#This Row],[2022]]/1000, 0)</f>
        <v>0</v>
      </c>
      <c r="N87" s="14">
        <f>IF(ISNUMBER(Refsz_Verbräuche[[#This Row],[2023]]), Refsz_Verbräuche[[#This Row],[2023]]*Emissionsfaktoren[[#This Row],[2023]]/1000, 0)</f>
        <v>0</v>
      </c>
      <c r="O87" s="14">
        <f>IF(ISNUMBER(Refsz_Verbräuche[[#This Row],[2024]]), Refsz_Verbräuche[[#This Row],[2024]]*Emissionsfaktoren[[#This Row],[2024]]/1000, 0)</f>
        <v>0</v>
      </c>
      <c r="P87" s="14">
        <f>IF(ISNUMBER(Refsz_Verbräuche[[#This Row],[2025]]), Refsz_Verbräuche[[#This Row],[2025]]*Emissionsfaktoren[[#This Row],[2025]]/1000, 0)</f>
        <v>0</v>
      </c>
      <c r="Q87" s="14">
        <f>IF(ISNUMBER(Refsz_Verbräuche[[#This Row],[2026]]), Refsz_Verbräuche[[#This Row],[2026]]*Emissionsfaktoren[[#This Row],[2026]]/1000, 0)</f>
        <v>0</v>
      </c>
      <c r="R87" s="14">
        <f>IF(ISNUMBER(Refsz_Verbräuche[[#This Row],[2027]]), Refsz_Verbräuche[[#This Row],[2027]]*Emissionsfaktoren[[#This Row],[2027]]/1000, 0)</f>
        <v>0</v>
      </c>
      <c r="S87" s="14">
        <f>IF(ISNUMBER(Refsz_Verbräuche[[#This Row],[2028]]), Refsz_Verbräuche[[#This Row],[2028]]*Emissionsfaktoren[[#This Row],[2028]]/1000, 0)</f>
        <v>0</v>
      </c>
      <c r="T87" s="14">
        <f>IF(ISNUMBER(Refsz_Verbräuche[[#This Row],[2029]]), Refsz_Verbräuche[[#This Row],[2029]]*Emissionsfaktoren[[#This Row],[2029]]/1000, 0)</f>
        <v>0</v>
      </c>
      <c r="U87" s="14">
        <f>IF(ISNUMBER(Refsz_Verbräuche[[#This Row],[2030]]), Refsz_Verbräuche[[#This Row],[2030]]*Emissionsfaktoren[[#This Row],[2030]]/1000, 0)</f>
        <v>0</v>
      </c>
      <c r="V87" s="14">
        <f>IF(ISNUMBER(Refsz_Verbräuche[[#This Row],[2035]]), Refsz_Verbräuche[[#This Row],[2035]]*Emissionsfaktoren[[#This Row],[2035]]/1000, 0)</f>
        <v>0</v>
      </c>
      <c r="W87" s="14">
        <f>IF(ISNUMBER(Refsz_Verbräuche[[#This Row],[2040]]), Refsz_Verbräuche[[#This Row],[2040]]*Emissionsfaktoren[[#This Row],[2040]]/1000, 0)</f>
        <v>0</v>
      </c>
      <c r="X87" s="14">
        <f>IF(ISNUMBER(Refsz_Verbräuche[[#This Row],[2045]]), Refsz_Verbräuche[[#This Row],[2045]]*Emissionsfaktoren[[#This Row],[2045]]/1000, 0)</f>
        <v>0</v>
      </c>
      <c r="Y87" s="14">
        <f>IF(ISNUMBER(Refsz_Verbräuche[[#This Row],[2050]]), Refsz_Verbräuche[[#This Row],[2050]]*Emissionsfaktoren[[#This Row],[2050]]/1000, 0)</f>
        <v>0</v>
      </c>
    </row>
    <row r="88" spans="2:25" ht="16.5">
      <c r="B88" s="14">
        <v>71</v>
      </c>
      <c r="C88" s="14" t="str">
        <f>Refsz_Verbräuche[[#This Row],[Handlungsfeld]]</f>
        <v>Mobilität 2</v>
      </c>
      <c r="D88" s="19" t="str">
        <f>Refsz_Verbräuche[[#This Row],[Datenpunkt]]</f>
        <v>Pendeln - PKW (CNG)</v>
      </c>
      <c r="E88" t="s">
        <v>195</v>
      </c>
      <c r="F88" s="14">
        <f>IF(ISNUMBER(Refsz_Verbräuche[[#This Row],[2015]]), Refsz_Verbräuche[[#This Row],[2015]]*Emissionsfaktoren[[#This Row],[2015]]/1000, 0)</f>
        <v>0</v>
      </c>
      <c r="G88" s="14">
        <f>IF(ISNUMBER(Refsz_Verbräuche[[#This Row],[2016]]), Refsz_Verbräuche[[#This Row],[2016]]*Emissionsfaktoren[[#This Row],[2016]]/1000, 0)</f>
        <v>0</v>
      </c>
      <c r="H88" s="14">
        <f>IF(ISNUMBER(Refsz_Verbräuche[[#This Row],[2017]]), Refsz_Verbräuche[[#This Row],[2017]]*Emissionsfaktoren[[#This Row],[2017]]/1000, 0)</f>
        <v>0</v>
      </c>
      <c r="I88" s="14">
        <f>IF(ISNUMBER(Refsz_Verbräuche[[#This Row],[2018]]), Refsz_Verbräuche[[#This Row],[2018]]*Emissionsfaktoren[[#This Row],[2018]]/1000, 0)</f>
        <v>0</v>
      </c>
      <c r="J88" s="14">
        <f>IF(ISNUMBER(Refsz_Verbräuche[[#This Row],[2019]]), Refsz_Verbräuche[[#This Row],[2019]]*Emissionsfaktoren[[#This Row],[2019]]/1000, 0)</f>
        <v>0</v>
      </c>
      <c r="K88" s="14">
        <f>IF(ISNUMBER(Refsz_Verbräuche[[#This Row],[2020]]), Refsz_Verbräuche[[#This Row],[2020]]*Emissionsfaktoren[[#This Row],[2020]]/1000, 0)</f>
        <v>0</v>
      </c>
      <c r="L88" s="14">
        <f>IF(ISNUMBER(Refsz_Verbräuche[[#This Row],[2021]]), Refsz_Verbräuche[[#This Row],[2021]]*Emissionsfaktoren[[#This Row],[2021]]/1000, 0)</f>
        <v>0</v>
      </c>
      <c r="M88" s="14">
        <f>IF(ISNUMBER(Refsz_Verbräuche[[#This Row],[2022]]), Refsz_Verbräuche[[#This Row],[2022]]*Emissionsfaktoren[[#This Row],[2022]]/1000, 0)</f>
        <v>0</v>
      </c>
      <c r="N88" s="14">
        <f>IF(ISNUMBER(Refsz_Verbräuche[[#This Row],[2023]]), Refsz_Verbräuche[[#This Row],[2023]]*Emissionsfaktoren[[#This Row],[2023]]/1000, 0)</f>
        <v>0</v>
      </c>
      <c r="O88" s="14">
        <f>IF(ISNUMBER(Refsz_Verbräuche[[#This Row],[2024]]), Refsz_Verbräuche[[#This Row],[2024]]*Emissionsfaktoren[[#This Row],[2024]]/1000, 0)</f>
        <v>0</v>
      </c>
      <c r="P88" s="14">
        <f>IF(ISNUMBER(Refsz_Verbräuche[[#This Row],[2025]]), Refsz_Verbräuche[[#This Row],[2025]]*Emissionsfaktoren[[#This Row],[2025]]/1000, 0)</f>
        <v>0</v>
      </c>
      <c r="Q88" s="14">
        <f>IF(ISNUMBER(Refsz_Verbräuche[[#This Row],[2026]]), Refsz_Verbräuche[[#This Row],[2026]]*Emissionsfaktoren[[#This Row],[2026]]/1000, 0)</f>
        <v>0</v>
      </c>
      <c r="R88" s="14">
        <f>IF(ISNUMBER(Refsz_Verbräuche[[#This Row],[2027]]), Refsz_Verbräuche[[#This Row],[2027]]*Emissionsfaktoren[[#This Row],[2027]]/1000, 0)</f>
        <v>0</v>
      </c>
      <c r="S88" s="14">
        <f>IF(ISNUMBER(Refsz_Verbräuche[[#This Row],[2028]]), Refsz_Verbräuche[[#This Row],[2028]]*Emissionsfaktoren[[#This Row],[2028]]/1000, 0)</f>
        <v>0</v>
      </c>
      <c r="T88" s="14">
        <f>IF(ISNUMBER(Refsz_Verbräuche[[#This Row],[2029]]), Refsz_Verbräuche[[#This Row],[2029]]*Emissionsfaktoren[[#This Row],[2029]]/1000, 0)</f>
        <v>0</v>
      </c>
      <c r="U88" s="14">
        <f>IF(ISNUMBER(Refsz_Verbräuche[[#This Row],[2030]]), Refsz_Verbräuche[[#This Row],[2030]]*Emissionsfaktoren[[#This Row],[2030]]/1000, 0)</f>
        <v>0</v>
      </c>
      <c r="V88" s="14">
        <f>IF(ISNUMBER(Refsz_Verbräuche[[#This Row],[2035]]), Refsz_Verbräuche[[#This Row],[2035]]*Emissionsfaktoren[[#This Row],[2035]]/1000, 0)</f>
        <v>0</v>
      </c>
      <c r="W88" s="14">
        <f>IF(ISNUMBER(Refsz_Verbräuche[[#This Row],[2040]]), Refsz_Verbräuche[[#This Row],[2040]]*Emissionsfaktoren[[#This Row],[2040]]/1000, 0)</f>
        <v>0</v>
      </c>
      <c r="X88" s="14">
        <f>IF(ISNUMBER(Refsz_Verbräuche[[#This Row],[2045]]), Refsz_Verbräuche[[#This Row],[2045]]*Emissionsfaktoren[[#This Row],[2045]]/1000, 0)</f>
        <v>0</v>
      </c>
      <c r="Y88" s="14">
        <f>IF(ISNUMBER(Refsz_Verbräuche[[#This Row],[2050]]), Refsz_Verbräuche[[#This Row],[2050]]*Emissionsfaktoren[[#This Row],[2050]]/1000, 0)</f>
        <v>0</v>
      </c>
    </row>
    <row r="89" spans="2:25" ht="16.5">
      <c r="B89" s="14">
        <v>72</v>
      </c>
      <c r="C89" s="14" t="str">
        <f>Refsz_Verbräuche[[#This Row],[Handlungsfeld]]</f>
        <v>Mobilität 2</v>
      </c>
      <c r="D89" s="19" t="str">
        <f>Refsz_Verbräuche[[#This Row],[Datenpunkt]]</f>
        <v>Pendeln - PKW (Plug-In-Hybrid/PHEV)</v>
      </c>
      <c r="E89" t="s">
        <v>195</v>
      </c>
      <c r="F89" s="14">
        <f>IF(ISNUMBER(Refsz_Verbräuche[[#This Row],[2015]]), Refsz_Verbräuche[[#This Row],[2015]]*Emissionsfaktoren[[#This Row],[2015]]/1000, 0)</f>
        <v>0</v>
      </c>
      <c r="G89" s="14">
        <f>IF(ISNUMBER(Refsz_Verbräuche[[#This Row],[2016]]), Refsz_Verbräuche[[#This Row],[2016]]*Emissionsfaktoren[[#This Row],[2016]]/1000, 0)</f>
        <v>0</v>
      </c>
      <c r="H89" s="14">
        <f>IF(ISNUMBER(Refsz_Verbräuche[[#This Row],[2017]]), Refsz_Verbräuche[[#This Row],[2017]]*Emissionsfaktoren[[#This Row],[2017]]/1000, 0)</f>
        <v>0</v>
      </c>
      <c r="I89" s="14">
        <f>IF(ISNUMBER(Refsz_Verbräuche[[#This Row],[2018]]), Refsz_Verbräuche[[#This Row],[2018]]*Emissionsfaktoren[[#This Row],[2018]]/1000, 0)</f>
        <v>0</v>
      </c>
      <c r="J89" s="14">
        <f>IF(ISNUMBER(Refsz_Verbräuche[[#This Row],[2019]]), Refsz_Verbräuche[[#This Row],[2019]]*Emissionsfaktoren[[#This Row],[2019]]/1000, 0)</f>
        <v>0</v>
      </c>
      <c r="K89" s="14">
        <f>IF(ISNUMBER(Refsz_Verbräuche[[#This Row],[2020]]), Refsz_Verbräuche[[#This Row],[2020]]*Emissionsfaktoren[[#This Row],[2020]]/1000, 0)</f>
        <v>0</v>
      </c>
      <c r="L89" s="14">
        <f>IF(ISNUMBER(Refsz_Verbräuche[[#This Row],[2021]]), Refsz_Verbräuche[[#This Row],[2021]]*Emissionsfaktoren[[#This Row],[2021]]/1000, 0)</f>
        <v>0</v>
      </c>
      <c r="M89" s="14">
        <f>IF(ISNUMBER(Refsz_Verbräuche[[#This Row],[2022]]), Refsz_Verbräuche[[#This Row],[2022]]*Emissionsfaktoren[[#This Row],[2022]]/1000, 0)</f>
        <v>0</v>
      </c>
      <c r="N89" s="14">
        <f>IF(ISNUMBER(Refsz_Verbräuche[[#This Row],[2023]]), Refsz_Verbräuche[[#This Row],[2023]]*Emissionsfaktoren[[#This Row],[2023]]/1000, 0)</f>
        <v>0</v>
      </c>
      <c r="O89" s="14">
        <f>IF(ISNUMBER(Refsz_Verbräuche[[#This Row],[2024]]), Refsz_Verbräuche[[#This Row],[2024]]*Emissionsfaktoren[[#This Row],[2024]]/1000, 0)</f>
        <v>0</v>
      </c>
      <c r="P89" s="14">
        <f>IF(ISNUMBER(Refsz_Verbräuche[[#This Row],[2025]]), Refsz_Verbräuche[[#This Row],[2025]]*Emissionsfaktoren[[#This Row],[2025]]/1000, 0)</f>
        <v>0</v>
      </c>
      <c r="Q89" s="14">
        <f>IF(ISNUMBER(Refsz_Verbräuche[[#This Row],[2026]]), Refsz_Verbräuche[[#This Row],[2026]]*Emissionsfaktoren[[#This Row],[2026]]/1000, 0)</f>
        <v>0</v>
      </c>
      <c r="R89" s="14">
        <f>IF(ISNUMBER(Refsz_Verbräuche[[#This Row],[2027]]), Refsz_Verbräuche[[#This Row],[2027]]*Emissionsfaktoren[[#This Row],[2027]]/1000, 0)</f>
        <v>0</v>
      </c>
      <c r="S89" s="14">
        <f>IF(ISNUMBER(Refsz_Verbräuche[[#This Row],[2028]]), Refsz_Verbräuche[[#This Row],[2028]]*Emissionsfaktoren[[#This Row],[2028]]/1000, 0)</f>
        <v>0</v>
      </c>
      <c r="T89" s="14">
        <f>IF(ISNUMBER(Refsz_Verbräuche[[#This Row],[2029]]), Refsz_Verbräuche[[#This Row],[2029]]*Emissionsfaktoren[[#This Row],[2029]]/1000, 0)</f>
        <v>0</v>
      </c>
      <c r="U89" s="14">
        <f>IF(ISNUMBER(Refsz_Verbräuche[[#This Row],[2030]]), Refsz_Verbräuche[[#This Row],[2030]]*Emissionsfaktoren[[#This Row],[2030]]/1000, 0)</f>
        <v>0</v>
      </c>
      <c r="V89" s="14">
        <f>IF(ISNUMBER(Refsz_Verbräuche[[#This Row],[2035]]), Refsz_Verbräuche[[#This Row],[2035]]*Emissionsfaktoren[[#This Row],[2035]]/1000, 0)</f>
        <v>0</v>
      </c>
      <c r="W89" s="14">
        <f>IF(ISNUMBER(Refsz_Verbräuche[[#This Row],[2040]]), Refsz_Verbräuche[[#This Row],[2040]]*Emissionsfaktoren[[#This Row],[2040]]/1000, 0)</f>
        <v>0</v>
      </c>
      <c r="X89" s="14">
        <f>IF(ISNUMBER(Refsz_Verbräuche[[#This Row],[2045]]), Refsz_Verbräuche[[#This Row],[2045]]*Emissionsfaktoren[[#This Row],[2045]]/1000, 0)</f>
        <v>0</v>
      </c>
      <c r="Y89" s="14">
        <f>IF(ISNUMBER(Refsz_Verbräuche[[#This Row],[2050]]), Refsz_Verbräuche[[#This Row],[2050]]*Emissionsfaktoren[[#This Row],[2050]]/1000, 0)</f>
        <v>0</v>
      </c>
    </row>
    <row r="90" spans="2:25" ht="16.5">
      <c r="B90" s="14">
        <v>73</v>
      </c>
      <c r="C90" s="14" t="str">
        <f>Refsz_Verbräuche[[#This Row],[Handlungsfeld]]</f>
        <v>Mobilität 2</v>
      </c>
      <c r="D90" s="19" t="str">
        <f>Refsz_Verbräuche[[#This Row],[Datenpunkt]]</f>
        <v>Pendeln - Motorisierte Zweiräder</v>
      </c>
      <c r="E90" t="s">
        <v>195</v>
      </c>
      <c r="F90" s="14">
        <f>IF(ISNUMBER(Refsz_Verbräuche[[#This Row],[2015]]), Refsz_Verbräuche[[#This Row],[2015]]*Emissionsfaktoren[[#This Row],[2015]]/1000, 0)</f>
        <v>0</v>
      </c>
      <c r="G90" s="14">
        <f>IF(ISNUMBER(Refsz_Verbräuche[[#This Row],[2016]]), Refsz_Verbräuche[[#This Row],[2016]]*Emissionsfaktoren[[#This Row],[2016]]/1000, 0)</f>
        <v>0</v>
      </c>
      <c r="H90" s="14">
        <f>IF(ISNUMBER(Refsz_Verbräuche[[#This Row],[2017]]), Refsz_Verbräuche[[#This Row],[2017]]*Emissionsfaktoren[[#This Row],[2017]]/1000, 0)</f>
        <v>0</v>
      </c>
      <c r="I90" s="14">
        <f>IF(ISNUMBER(Refsz_Verbräuche[[#This Row],[2018]]), Refsz_Verbräuche[[#This Row],[2018]]*Emissionsfaktoren[[#This Row],[2018]]/1000, 0)</f>
        <v>0</v>
      </c>
      <c r="J90" s="14">
        <f>IF(ISNUMBER(Refsz_Verbräuche[[#This Row],[2019]]), Refsz_Verbräuche[[#This Row],[2019]]*Emissionsfaktoren[[#This Row],[2019]]/1000, 0)</f>
        <v>0</v>
      </c>
      <c r="K90" s="14">
        <f>IF(ISNUMBER(Refsz_Verbräuche[[#This Row],[2020]]), Refsz_Verbräuche[[#This Row],[2020]]*Emissionsfaktoren[[#This Row],[2020]]/1000, 0)</f>
        <v>0</v>
      </c>
      <c r="L90" s="14">
        <f>IF(ISNUMBER(Refsz_Verbräuche[[#This Row],[2021]]), Refsz_Verbräuche[[#This Row],[2021]]*Emissionsfaktoren[[#This Row],[2021]]/1000, 0)</f>
        <v>0</v>
      </c>
      <c r="M90" s="14">
        <f>IF(ISNUMBER(Refsz_Verbräuche[[#This Row],[2022]]), Refsz_Verbräuche[[#This Row],[2022]]*Emissionsfaktoren[[#This Row],[2022]]/1000, 0)</f>
        <v>0</v>
      </c>
      <c r="N90" s="14">
        <f>IF(ISNUMBER(Refsz_Verbräuche[[#This Row],[2023]]), Refsz_Verbräuche[[#This Row],[2023]]*Emissionsfaktoren[[#This Row],[2023]]/1000, 0)</f>
        <v>0</v>
      </c>
      <c r="O90" s="14">
        <f>IF(ISNUMBER(Refsz_Verbräuche[[#This Row],[2024]]), Refsz_Verbräuche[[#This Row],[2024]]*Emissionsfaktoren[[#This Row],[2024]]/1000, 0)</f>
        <v>0</v>
      </c>
      <c r="P90" s="14">
        <f>IF(ISNUMBER(Refsz_Verbräuche[[#This Row],[2025]]), Refsz_Verbräuche[[#This Row],[2025]]*Emissionsfaktoren[[#This Row],[2025]]/1000, 0)</f>
        <v>0</v>
      </c>
      <c r="Q90" s="14">
        <f>IF(ISNUMBER(Refsz_Verbräuche[[#This Row],[2026]]), Refsz_Verbräuche[[#This Row],[2026]]*Emissionsfaktoren[[#This Row],[2026]]/1000, 0)</f>
        <v>0</v>
      </c>
      <c r="R90" s="14">
        <f>IF(ISNUMBER(Refsz_Verbräuche[[#This Row],[2027]]), Refsz_Verbräuche[[#This Row],[2027]]*Emissionsfaktoren[[#This Row],[2027]]/1000, 0)</f>
        <v>0</v>
      </c>
      <c r="S90" s="14">
        <f>IF(ISNUMBER(Refsz_Verbräuche[[#This Row],[2028]]), Refsz_Verbräuche[[#This Row],[2028]]*Emissionsfaktoren[[#This Row],[2028]]/1000, 0)</f>
        <v>0</v>
      </c>
      <c r="T90" s="14">
        <f>IF(ISNUMBER(Refsz_Verbräuche[[#This Row],[2029]]), Refsz_Verbräuche[[#This Row],[2029]]*Emissionsfaktoren[[#This Row],[2029]]/1000, 0)</f>
        <v>0</v>
      </c>
      <c r="U90" s="14">
        <f>IF(ISNUMBER(Refsz_Verbräuche[[#This Row],[2030]]), Refsz_Verbräuche[[#This Row],[2030]]*Emissionsfaktoren[[#This Row],[2030]]/1000, 0)</f>
        <v>0</v>
      </c>
      <c r="V90" s="14">
        <f>IF(ISNUMBER(Refsz_Verbräuche[[#This Row],[2035]]), Refsz_Verbräuche[[#This Row],[2035]]*Emissionsfaktoren[[#This Row],[2035]]/1000, 0)</f>
        <v>0</v>
      </c>
      <c r="W90" s="14">
        <f>IF(ISNUMBER(Refsz_Verbräuche[[#This Row],[2040]]), Refsz_Verbräuche[[#This Row],[2040]]*Emissionsfaktoren[[#This Row],[2040]]/1000, 0)</f>
        <v>0</v>
      </c>
      <c r="X90" s="14">
        <f>IF(ISNUMBER(Refsz_Verbräuche[[#This Row],[2045]]), Refsz_Verbräuche[[#This Row],[2045]]*Emissionsfaktoren[[#This Row],[2045]]/1000, 0)</f>
        <v>0</v>
      </c>
      <c r="Y90" s="14">
        <f>IF(ISNUMBER(Refsz_Verbräuche[[#This Row],[2050]]), Refsz_Verbräuche[[#This Row],[2050]]*Emissionsfaktoren[[#This Row],[2050]]/1000, 0)</f>
        <v>0</v>
      </c>
    </row>
    <row r="91" spans="2:25" ht="16.5">
      <c r="B91" s="14">
        <v>74</v>
      </c>
      <c r="C91" s="14" t="str">
        <f>Refsz_Verbräuche[[#This Row],[Handlungsfeld]]</f>
        <v>Mobilität 2</v>
      </c>
      <c r="D91" s="19" t="str">
        <f>Refsz_Verbräuche[[#This Row],[Datenpunkt]]</f>
        <v>Pendeln - Fahrrad</v>
      </c>
      <c r="E91" t="s">
        <v>195</v>
      </c>
      <c r="F91" s="14">
        <f>IF(ISNUMBER(Refsz_Verbräuche[[#This Row],[2015]]), Refsz_Verbräuche[[#This Row],[2015]]*Emissionsfaktoren[[#This Row],[2015]]/1000, 0)</f>
        <v>0</v>
      </c>
      <c r="G91" s="14">
        <f>IF(ISNUMBER(Refsz_Verbräuche[[#This Row],[2016]]), Refsz_Verbräuche[[#This Row],[2016]]*Emissionsfaktoren[[#This Row],[2016]]/1000, 0)</f>
        <v>0</v>
      </c>
      <c r="H91" s="14">
        <f>IF(ISNUMBER(Refsz_Verbräuche[[#This Row],[2017]]), Refsz_Verbräuche[[#This Row],[2017]]*Emissionsfaktoren[[#This Row],[2017]]/1000, 0)</f>
        <v>0</v>
      </c>
      <c r="I91" s="14">
        <f>IF(ISNUMBER(Refsz_Verbräuche[[#This Row],[2018]]), Refsz_Verbräuche[[#This Row],[2018]]*Emissionsfaktoren[[#This Row],[2018]]/1000, 0)</f>
        <v>0</v>
      </c>
      <c r="J91" s="14">
        <f>IF(ISNUMBER(Refsz_Verbräuche[[#This Row],[2019]]), Refsz_Verbräuche[[#This Row],[2019]]*Emissionsfaktoren[[#This Row],[2019]]/1000, 0)</f>
        <v>0</v>
      </c>
      <c r="K91" s="14">
        <f>IF(ISNUMBER(Refsz_Verbräuche[[#This Row],[2020]]), Refsz_Verbräuche[[#This Row],[2020]]*Emissionsfaktoren[[#This Row],[2020]]/1000, 0)</f>
        <v>0</v>
      </c>
      <c r="L91" s="14">
        <f>IF(ISNUMBER(Refsz_Verbräuche[[#This Row],[2021]]), Refsz_Verbräuche[[#This Row],[2021]]*Emissionsfaktoren[[#This Row],[2021]]/1000, 0)</f>
        <v>0</v>
      </c>
      <c r="M91" s="14">
        <f>IF(ISNUMBER(Refsz_Verbräuche[[#This Row],[2022]]), Refsz_Verbräuche[[#This Row],[2022]]*Emissionsfaktoren[[#This Row],[2022]]/1000, 0)</f>
        <v>0</v>
      </c>
      <c r="N91" s="14">
        <f>IF(ISNUMBER(Refsz_Verbräuche[[#This Row],[2023]]), Refsz_Verbräuche[[#This Row],[2023]]*Emissionsfaktoren[[#This Row],[2023]]/1000, 0)</f>
        <v>0</v>
      </c>
      <c r="O91" s="14">
        <f>IF(ISNUMBER(Refsz_Verbräuche[[#This Row],[2024]]), Refsz_Verbräuche[[#This Row],[2024]]*Emissionsfaktoren[[#This Row],[2024]]/1000, 0)</f>
        <v>0</v>
      </c>
      <c r="P91" s="14">
        <f>IF(ISNUMBER(Refsz_Verbräuche[[#This Row],[2025]]), Refsz_Verbräuche[[#This Row],[2025]]*Emissionsfaktoren[[#This Row],[2025]]/1000, 0)</f>
        <v>0</v>
      </c>
      <c r="Q91" s="14">
        <f>IF(ISNUMBER(Refsz_Verbräuche[[#This Row],[2026]]), Refsz_Verbräuche[[#This Row],[2026]]*Emissionsfaktoren[[#This Row],[2026]]/1000, 0)</f>
        <v>0</v>
      </c>
      <c r="R91" s="14">
        <f>IF(ISNUMBER(Refsz_Verbräuche[[#This Row],[2027]]), Refsz_Verbräuche[[#This Row],[2027]]*Emissionsfaktoren[[#This Row],[2027]]/1000, 0)</f>
        <v>0</v>
      </c>
      <c r="S91" s="14">
        <f>IF(ISNUMBER(Refsz_Verbräuche[[#This Row],[2028]]), Refsz_Verbräuche[[#This Row],[2028]]*Emissionsfaktoren[[#This Row],[2028]]/1000, 0)</f>
        <v>0</v>
      </c>
      <c r="T91" s="14">
        <f>IF(ISNUMBER(Refsz_Verbräuche[[#This Row],[2029]]), Refsz_Verbräuche[[#This Row],[2029]]*Emissionsfaktoren[[#This Row],[2029]]/1000, 0)</f>
        <v>0</v>
      </c>
      <c r="U91" s="14">
        <f>IF(ISNUMBER(Refsz_Verbräuche[[#This Row],[2030]]), Refsz_Verbräuche[[#This Row],[2030]]*Emissionsfaktoren[[#This Row],[2030]]/1000, 0)</f>
        <v>0</v>
      </c>
      <c r="V91" s="14">
        <f>IF(ISNUMBER(Refsz_Verbräuche[[#This Row],[2035]]), Refsz_Verbräuche[[#This Row],[2035]]*Emissionsfaktoren[[#This Row],[2035]]/1000, 0)</f>
        <v>0</v>
      </c>
      <c r="W91" s="14">
        <f>IF(ISNUMBER(Refsz_Verbräuche[[#This Row],[2040]]), Refsz_Verbräuche[[#This Row],[2040]]*Emissionsfaktoren[[#This Row],[2040]]/1000, 0)</f>
        <v>0</v>
      </c>
      <c r="X91" s="14">
        <f>IF(ISNUMBER(Refsz_Verbräuche[[#This Row],[2045]]), Refsz_Verbräuche[[#This Row],[2045]]*Emissionsfaktoren[[#This Row],[2045]]/1000, 0)</f>
        <v>0</v>
      </c>
      <c r="Y91" s="14">
        <f>IF(ISNUMBER(Refsz_Verbräuche[[#This Row],[2050]]), Refsz_Verbräuche[[#This Row],[2050]]*Emissionsfaktoren[[#This Row],[2050]]/1000, 0)</f>
        <v>0</v>
      </c>
    </row>
    <row r="92" spans="2:25" ht="16.5">
      <c r="B92" s="14">
        <v>75</v>
      </c>
      <c r="C92" s="14" t="str">
        <f>Refsz_Verbräuche[[#This Row],[Handlungsfeld]]</f>
        <v>Mobilität 2</v>
      </c>
      <c r="D92" s="19" t="str">
        <f>Refsz_Verbräuche[[#This Row],[Datenpunkt]]</f>
        <v>Pendeln - E-Bike</v>
      </c>
      <c r="E92" t="s">
        <v>195</v>
      </c>
      <c r="F92" s="14">
        <f>IF(ISNUMBER(Refsz_Verbräuche[[#This Row],[2015]]), Refsz_Verbräuche[[#This Row],[2015]]*Emissionsfaktoren[[#This Row],[2015]]/1000, 0)</f>
        <v>0</v>
      </c>
      <c r="G92" s="14">
        <f>IF(ISNUMBER(Refsz_Verbräuche[[#This Row],[2016]]), Refsz_Verbräuche[[#This Row],[2016]]*Emissionsfaktoren[[#This Row],[2016]]/1000, 0)</f>
        <v>0</v>
      </c>
      <c r="H92" s="14">
        <f>IF(ISNUMBER(Refsz_Verbräuche[[#This Row],[2017]]), Refsz_Verbräuche[[#This Row],[2017]]*Emissionsfaktoren[[#This Row],[2017]]/1000, 0)</f>
        <v>0</v>
      </c>
      <c r="I92" s="14">
        <f>IF(ISNUMBER(Refsz_Verbräuche[[#This Row],[2018]]), Refsz_Verbräuche[[#This Row],[2018]]*Emissionsfaktoren[[#This Row],[2018]]/1000, 0)</f>
        <v>0</v>
      </c>
      <c r="J92" s="14">
        <f>IF(ISNUMBER(Refsz_Verbräuche[[#This Row],[2019]]), Refsz_Verbräuche[[#This Row],[2019]]*Emissionsfaktoren[[#This Row],[2019]]/1000, 0)</f>
        <v>0</v>
      </c>
      <c r="K92" s="14">
        <f>IF(ISNUMBER(Refsz_Verbräuche[[#This Row],[2020]]), Refsz_Verbräuche[[#This Row],[2020]]*Emissionsfaktoren[[#This Row],[2020]]/1000, 0)</f>
        <v>0</v>
      </c>
      <c r="L92" s="14">
        <f>IF(ISNUMBER(Refsz_Verbräuche[[#This Row],[2021]]), Refsz_Verbräuche[[#This Row],[2021]]*Emissionsfaktoren[[#This Row],[2021]]/1000, 0)</f>
        <v>0</v>
      </c>
      <c r="M92" s="14">
        <f>IF(ISNUMBER(Refsz_Verbräuche[[#This Row],[2022]]), Refsz_Verbräuche[[#This Row],[2022]]*Emissionsfaktoren[[#This Row],[2022]]/1000, 0)</f>
        <v>0</v>
      </c>
      <c r="N92" s="14">
        <f>IF(ISNUMBER(Refsz_Verbräuche[[#This Row],[2023]]), Refsz_Verbräuche[[#This Row],[2023]]*Emissionsfaktoren[[#This Row],[2023]]/1000, 0)</f>
        <v>0</v>
      </c>
      <c r="O92" s="14">
        <f>IF(ISNUMBER(Refsz_Verbräuche[[#This Row],[2024]]), Refsz_Verbräuche[[#This Row],[2024]]*Emissionsfaktoren[[#This Row],[2024]]/1000, 0)</f>
        <v>0</v>
      </c>
      <c r="P92" s="14">
        <f>IF(ISNUMBER(Refsz_Verbräuche[[#This Row],[2025]]), Refsz_Verbräuche[[#This Row],[2025]]*Emissionsfaktoren[[#This Row],[2025]]/1000, 0)</f>
        <v>0</v>
      </c>
      <c r="Q92" s="14">
        <f>IF(ISNUMBER(Refsz_Verbräuche[[#This Row],[2026]]), Refsz_Verbräuche[[#This Row],[2026]]*Emissionsfaktoren[[#This Row],[2026]]/1000, 0)</f>
        <v>0</v>
      </c>
      <c r="R92" s="14">
        <f>IF(ISNUMBER(Refsz_Verbräuche[[#This Row],[2027]]), Refsz_Verbräuche[[#This Row],[2027]]*Emissionsfaktoren[[#This Row],[2027]]/1000, 0)</f>
        <v>0</v>
      </c>
      <c r="S92" s="14">
        <f>IF(ISNUMBER(Refsz_Verbräuche[[#This Row],[2028]]), Refsz_Verbräuche[[#This Row],[2028]]*Emissionsfaktoren[[#This Row],[2028]]/1000, 0)</f>
        <v>0</v>
      </c>
      <c r="T92" s="14">
        <f>IF(ISNUMBER(Refsz_Verbräuche[[#This Row],[2029]]), Refsz_Verbräuche[[#This Row],[2029]]*Emissionsfaktoren[[#This Row],[2029]]/1000, 0)</f>
        <v>0</v>
      </c>
      <c r="U92" s="14">
        <f>IF(ISNUMBER(Refsz_Verbräuche[[#This Row],[2030]]), Refsz_Verbräuche[[#This Row],[2030]]*Emissionsfaktoren[[#This Row],[2030]]/1000, 0)</f>
        <v>0</v>
      </c>
      <c r="V92" s="14">
        <f>IF(ISNUMBER(Refsz_Verbräuche[[#This Row],[2035]]), Refsz_Verbräuche[[#This Row],[2035]]*Emissionsfaktoren[[#This Row],[2035]]/1000, 0)</f>
        <v>0</v>
      </c>
      <c r="W92" s="14">
        <f>IF(ISNUMBER(Refsz_Verbräuche[[#This Row],[2040]]), Refsz_Verbräuche[[#This Row],[2040]]*Emissionsfaktoren[[#This Row],[2040]]/1000, 0)</f>
        <v>0</v>
      </c>
      <c r="X92" s="14">
        <f>IF(ISNUMBER(Refsz_Verbräuche[[#This Row],[2045]]), Refsz_Verbräuche[[#This Row],[2045]]*Emissionsfaktoren[[#This Row],[2045]]/1000, 0)</f>
        <v>0</v>
      </c>
      <c r="Y92" s="14">
        <f>IF(ISNUMBER(Refsz_Verbräuche[[#This Row],[2050]]), Refsz_Verbräuche[[#This Row],[2050]]*Emissionsfaktoren[[#This Row],[2050]]/1000, 0)</f>
        <v>0</v>
      </c>
    </row>
    <row r="93" spans="2:25" ht="16.5">
      <c r="B93" s="14">
        <v>76</v>
      </c>
      <c r="C93" s="14" t="str">
        <f>Refsz_Verbräuche[[#This Row],[Handlungsfeld]]</f>
        <v>Mobilität 2</v>
      </c>
      <c r="D93" s="19" t="str">
        <f>Refsz_Verbräuche[[#This Row],[Datenpunkt]]</f>
        <v>Pendeln - zu Fuß</v>
      </c>
      <c r="E93" t="s">
        <v>195</v>
      </c>
      <c r="F93" s="14">
        <f>IF(ISNUMBER(Refsz_Verbräuche[[#This Row],[2015]]), Refsz_Verbräuche[[#This Row],[2015]]*Emissionsfaktoren[[#This Row],[2015]]/1000, 0)</f>
        <v>0</v>
      </c>
      <c r="G93" s="14">
        <f>IF(ISNUMBER(Refsz_Verbräuche[[#This Row],[2016]]), Refsz_Verbräuche[[#This Row],[2016]]*Emissionsfaktoren[[#This Row],[2016]]/1000, 0)</f>
        <v>0</v>
      </c>
      <c r="H93" s="14">
        <f>IF(ISNUMBER(Refsz_Verbräuche[[#This Row],[2017]]), Refsz_Verbräuche[[#This Row],[2017]]*Emissionsfaktoren[[#This Row],[2017]]/1000, 0)</f>
        <v>0</v>
      </c>
      <c r="I93" s="14">
        <f>IF(ISNUMBER(Refsz_Verbräuche[[#This Row],[2018]]), Refsz_Verbräuche[[#This Row],[2018]]*Emissionsfaktoren[[#This Row],[2018]]/1000, 0)</f>
        <v>0</v>
      </c>
      <c r="J93" s="14">
        <f>IF(ISNUMBER(Refsz_Verbräuche[[#This Row],[2019]]), Refsz_Verbräuche[[#This Row],[2019]]*Emissionsfaktoren[[#This Row],[2019]]/1000, 0)</f>
        <v>0</v>
      </c>
      <c r="K93" s="14">
        <f>IF(ISNUMBER(Refsz_Verbräuche[[#This Row],[2020]]), Refsz_Verbräuche[[#This Row],[2020]]*Emissionsfaktoren[[#This Row],[2020]]/1000, 0)</f>
        <v>0</v>
      </c>
      <c r="L93" s="14">
        <f>IF(ISNUMBER(Refsz_Verbräuche[[#This Row],[2021]]), Refsz_Verbräuche[[#This Row],[2021]]*Emissionsfaktoren[[#This Row],[2021]]/1000, 0)</f>
        <v>0</v>
      </c>
      <c r="M93" s="14">
        <f>IF(ISNUMBER(Refsz_Verbräuche[[#This Row],[2022]]), Refsz_Verbräuche[[#This Row],[2022]]*Emissionsfaktoren[[#This Row],[2022]]/1000, 0)</f>
        <v>0</v>
      </c>
      <c r="N93" s="14">
        <f>IF(ISNUMBER(Refsz_Verbräuche[[#This Row],[2023]]), Refsz_Verbräuche[[#This Row],[2023]]*Emissionsfaktoren[[#This Row],[2023]]/1000, 0)</f>
        <v>0</v>
      </c>
      <c r="O93" s="14">
        <f>IF(ISNUMBER(Refsz_Verbräuche[[#This Row],[2024]]), Refsz_Verbräuche[[#This Row],[2024]]*Emissionsfaktoren[[#This Row],[2024]]/1000, 0)</f>
        <v>0</v>
      </c>
      <c r="P93" s="14">
        <f>IF(ISNUMBER(Refsz_Verbräuche[[#This Row],[2025]]), Refsz_Verbräuche[[#This Row],[2025]]*Emissionsfaktoren[[#This Row],[2025]]/1000, 0)</f>
        <v>0</v>
      </c>
      <c r="Q93" s="14">
        <f>IF(ISNUMBER(Refsz_Verbräuche[[#This Row],[2026]]), Refsz_Verbräuche[[#This Row],[2026]]*Emissionsfaktoren[[#This Row],[2026]]/1000, 0)</f>
        <v>0</v>
      </c>
      <c r="R93" s="14">
        <f>IF(ISNUMBER(Refsz_Verbräuche[[#This Row],[2027]]), Refsz_Verbräuche[[#This Row],[2027]]*Emissionsfaktoren[[#This Row],[2027]]/1000, 0)</f>
        <v>0</v>
      </c>
      <c r="S93" s="14">
        <f>IF(ISNUMBER(Refsz_Verbräuche[[#This Row],[2028]]), Refsz_Verbräuche[[#This Row],[2028]]*Emissionsfaktoren[[#This Row],[2028]]/1000, 0)</f>
        <v>0</v>
      </c>
      <c r="T93" s="14">
        <f>IF(ISNUMBER(Refsz_Verbräuche[[#This Row],[2029]]), Refsz_Verbräuche[[#This Row],[2029]]*Emissionsfaktoren[[#This Row],[2029]]/1000, 0)</f>
        <v>0</v>
      </c>
      <c r="U93" s="14">
        <f>IF(ISNUMBER(Refsz_Verbräuche[[#This Row],[2030]]), Refsz_Verbräuche[[#This Row],[2030]]*Emissionsfaktoren[[#This Row],[2030]]/1000, 0)</f>
        <v>0</v>
      </c>
      <c r="V93" s="14">
        <f>IF(ISNUMBER(Refsz_Verbräuche[[#This Row],[2035]]), Refsz_Verbräuche[[#This Row],[2035]]*Emissionsfaktoren[[#This Row],[2035]]/1000, 0)</f>
        <v>0</v>
      </c>
      <c r="W93" s="14">
        <f>IF(ISNUMBER(Refsz_Verbräuche[[#This Row],[2040]]), Refsz_Verbräuche[[#This Row],[2040]]*Emissionsfaktoren[[#This Row],[2040]]/1000, 0)</f>
        <v>0</v>
      </c>
      <c r="X93" s="14">
        <f>IF(ISNUMBER(Refsz_Verbräuche[[#This Row],[2045]]), Refsz_Verbräuche[[#This Row],[2045]]*Emissionsfaktoren[[#This Row],[2045]]/1000, 0)</f>
        <v>0</v>
      </c>
      <c r="Y93" s="14">
        <f>IF(ISNUMBER(Refsz_Verbräuche[[#This Row],[2050]]), Refsz_Verbräuche[[#This Row],[2050]]*Emissionsfaktoren[[#This Row],[2050]]/1000, 0)</f>
        <v>0</v>
      </c>
    </row>
    <row r="94" spans="2:25" ht="16.5">
      <c r="B94" s="14">
        <v>77</v>
      </c>
      <c r="C94" s="14">
        <f>Refsz_Verbräuche[[#This Row],[Handlungsfeld]]</f>
        <v>0</v>
      </c>
      <c r="D94" s="19">
        <f>Refsz_Verbräuche[[#This Row],[Datenpunkt]]</f>
        <v>0</v>
      </c>
      <c r="E94" t="s">
        <v>195</v>
      </c>
      <c r="F94" s="14">
        <f>IF(ISNUMBER(Refsz_Verbräuche[[#This Row],[2015]]), Refsz_Verbräuche[[#This Row],[2015]]*Emissionsfaktoren[[#This Row],[2015]]/1000, 0)</f>
        <v>0</v>
      </c>
      <c r="G94" s="14">
        <f>IF(ISNUMBER(Refsz_Verbräuche[[#This Row],[2016]]), Refsz_Verbräuche[[#This Row],[2016]]*Emissionsfaktoren[[#This Row],[2016]]/1000, 0)</f>
        <v>0</v>
      </c>
      <c r="H94" s="14">
        <f>IF(ISNUMBER(Refsz_Verbräuche[[#This Row],[2017]]), Refsz_Verbräuche[[#This Row],[2017]]*Emissionsfaktoren[[#This Row],[2017]]/1000, 0)</f>
        <v>0</v>
      </c>
      <c r="I94" s="14">
        <f>IF(ISNUMBER(Refsz_Verbräuche[[#This Row],[2018]]), Refsz_Verbräuche[[#This Row],[2018]]*Emissionsfaktoren[[#This Row],[2018]]/1000, 0)</f>
        <v>0</v>
      </c>
      <c r="J94" s="14">
        <f>IF(ISNUMBER(Refsz_Verbräuche[[#This Row],[2019]]), Refsz_Verbräuche[[#This Row],[2019]]*Emissionsfaktoren[[#This Row],[2019]]/1000, 0)</f>
        <v>0</v>
      </c>
      <c r="K94" s="14">
        <f>IF(ISNUMBER(Refsz_Verbräuche[[#This Row],[2020]]), Refsz_Verbräuche[[#This Row],[2020]]*Emissionsfaktoren[[#This Row],[2020]]/1000, 0)</f>
        <v>0</v>
      </c>
      <c r="L94" s="14">
        <f>IF(ISNUMBER(Refsz_Verbräuche[[#This Row],[2021]]), Refsz_Verbräuche[[#This Row],[2021]]*Emissionsfaktoren[[#This Row],[2021]]/1000, 0)</f>
        <v>0</v>
      </c>
      <c r="M94" s="14">
        <f>IF(ISNUMBER(Refsz_Verbräuche[[#This Row],[2022]]), Refsz_Verbräuche[[#This Row],[2022]]*Emissionsfaktoren[[#This Row],[2022]]/1000, 0)</f>
        <v>0</v>
      </c>
      <c r="N94" s="14">
        <f>IF(ISNUMBER(Refsz_Verbräuche[[#This Row],[2023]]), Refsz_Verbräuche[[#This Row],[2023]]*Emissionsfaktoren[[#This Row],[2023]]/1000, 0)</f>
        <v>0</v>
      </c>
      <c r="O94" s="14">
        <f>IF(ISNUMBER(Refsz_Verbräuche[[#This Row],[2024]]), Refsz_Verbräuche[[#This Row],[2024]]*Emissionsfaktoren[[#This Row],[2024]]/1000, 0)</f>
        <v>0</v>
      </c>
      <c r="P94" s="14">
        <f>IF(ISNUMBER(Refsz_Verbräuche[[#This Row],[2025]]), Refsz_Verbräuche[[#This Row],[2025]]*Emissionsfaktoren[[#This Row],[2025]]/1000, 0)</f>
        <v>0</v>
      </c>
      <c r="Q94" s="14">
        <f>IF(ISNUMBER(Refsz_Verbräuche[[#This Row],[2026]]), Refsz_Verbräuche[[#This Row],[2026]]*Emissionsfaktoren[[#This Row],[2026]]/1000, 0)</f>
        <v>0</v>
      </c>
      <c r="R94" s="14">
        <f>IF(ISNUMBER(Refsz_Verbräuche[[#This Row],[2027]]), Refsz_Verbräuche[[#This Row],[2027]]*Emissionsfaktoren[[#This Row],[2027]]/1000, 0)</f>
        <v>0</v>
      </c>
      <c r="S94" s="14">
        <f>IF(ISNUMBER(Refsz_Verbräuche[[#This Row],[2028]]), Refsz_Verbräuche[[#This Row],[2028]]*Emissionsfaktoren[[#This Row],[2028]]/1000, 0)</f>
        <v>0</v>
      </c>
      <c r="T94" s="14">
        <f>IF(ISNUMBER(Refsz_Verbräuche[[#This Row],[2029]]), Refsz_Verbräuche[[#This Row],[2029]]*Emissionsfaktoren[[#This Row],[2029]]/1000, 0)</f>
        <v>0</v>
      </c>
      <c r="U94" s="14">
        <f>IF(ISNUMBER(Refsz_Verbräuche[[#This Row],[2030]]), Refsz_Verbräuche[[#This Row],[2030]]*Emissionsfaktoren[[#This Row],[2030]]/1000, 0)</f>
        <v>0</v>
      </c>
      <c r="V94" s="14">
        <f>IF(ISNUMBER(Refsz_Verbräuche[[#This Row],[2035]]), Refsz_Verbräuche[[#This Row],[2035]]*Emissionsfaktoren[[#This Row],[2035]]/1000, 0)</f>
        <v>0</v>
      </c>
      <c r="W94" s="14">
        <f>IF(ISNUMBER(Refsz_Verbräuche[[#This Row],[2040]]), Refsz_Verbräuche[[#This Row],[2040]]*Emissionsfaktoren[[#This Row],[2040]]/1000, 0)</f>
        <v>0</v>
      </c>
      <c r="X94" s="14">
        <f>IF(ISNUMBER(Refsz_Verbräuche[[#This Row],[2045]]), Refsz_Verbräuche[[#This Row],[2045]]*Emissionsfaktoren[[#This Row],[2045]]/1000, 0)</f>
        <v>0</v>
      </c>
      <c r="Y94" s="14">
        <f>IF(ISNUMBER(Refsz_Verbräuche[[#This Row],[2050]]), Refsz_Verbräuche[[#This Row],[2050]]*Emissionsfaktoren[[#This Row],[2050]]/1000, 0)</f>
        <v>0</v>
      </c>
    </row>
    <row r="95" spans="2:25" ht="16.5">
      <c r="B95" s="14">
        <v>78</v>
      </c>
      <c r="C95" s="14" t="str">
        <f>Refsz_Verbräuche[[#This Row],[Handlungsfeld]]</f>
        <v>Mobilität 2</v>
      </c>
      <c r="D95" s="19" t="str">
        <f>Refsz_Verbräuche[[#This Row],[Datenpunkt]]</f>
        <v>Studierendenreisen (Incoming) - Flugreisen</v>
      </c>
      <c r="E95" t="s">
        <v>195</v>
      </c>
      <c r="F95" s="14">
        <f>IF(ISNUMBER(Refsz_Verbräuche[[#This Row],[2015]]), Refsz_Verbräuche[[#This Row],[2015]]*Emissionsfaktoren[[#This Row],[2015]]/1000, 0)</f>
        <v>0</v>
      </c>
      <c r="G95" s="14">
        <f>IF(ISNUMBER(Refsz_Verbräuche[[#This Row],[2016]]), Refsz_Verbräuche[[#This Row],[2016]]*Emissionsfaktoren[[#This Row],[2016]]/1000, 0)</f>
        <v>0</v>
      </c>
      <c r="H95" s="14">
        <f>IF(ISNUMBER(Refsz_Verbräuche[[#This Row],[2017]]), Refsz_Verbräuche[[#This Row],[2017]]*Emissionsfaktoren[[#This Row],[2017]]/1000, 0)</f>
        <v>0</v>
      </c>
      <c r="I95" s="14">
        <f>IF(ISNUMBER(Refsz_Verbräuche[[#This Row],[2018]]), Refsz_Verbräuche[[#This Row],[2018]]*Emissionsfaktoren[[#This Row],[2018]]/1000, 0)</f>
        <v>0</v>
      </c>
      <c r="J95" s="14">
        <f>IF(ISNUMBER(Refsz_Verbräuche[[#This Row],[2019]]), Refsz_Verbräuche[[#This Row],[2019]]*Emissionsfaktoren[[#This Row],[2019]]/1000, 0)</f>
        <v>0</v>
      </c>
      <c r="K95" s="14">
        <f>IF(ISNUMBER(Refsz_Verbräuche[[#This Row],[2020]]), Refsz_Verbräuche[[#This Row],[2020]]*Emissionsfaktoren[[#This Row],[2020]]/1000, 0)</f>
        <v>0</v>
      </c>
      <c r="L95" s="14">
        <f>IF(ISNUMBER(Refsz_Verbräuche[[#This Row],[2021]]), Refsz_Verbräuche[[#This Row],[2021]]*Emissionsfaktoren[[#This Row],[2021]]/1000, 0)</f>
        <v>0</v>
      </c>
      <c r="M95" s="14">
        <f>IF(ISNUMBER(Refsz_Verbräuche[[#This Row],[2022]]), Refsz_Verbräuche[[#This Row],[2022]]*Emissionsfaktoren[[#This Row],[2022]]/1000, 0)</f>
        <v>0</v>
      </c>
      <c r="N95" s="14">
        <f>IF(ISNUMBER(Refsz_Verbräuche[[#This Row],[2023]]), Refsz_Verbräuche[[#This Row],[2023]]*Emissionsfaktoren[[#This Row],[2023]]/1000, 0)</f>
        <v>0</v>
      </c>
      <c r="O95" s="14">
        <f>IF(ISNUMBER(Refsz_Verbräuche[[#This Row],[2024]]), Refsz_Verbräuche[[#This Row],[2024]]*Emissionsfaktoren[[#This Row],[2024]]/1000, 0)</f>
        <v>0</v>
      </c>
      <c r="P95" s="14">
        <f>IF(ISNUMBER(Refsz_Verbräuche[[#This Row],[2025]]), Refsz_Verbräuche[[#This Row],[2025]]*Emissionsfaktoren[[#This Row],[2025]]/1000, 0)</f>
        <v>0</v>
      </c>
      <c r="Q95" s="14">
        <f>IF(ISNUMBER(Refsz_Verbräuche[[#This Row],[2026]]), Refsz_Verbräuche[[#This Row],[2026]]*Emissionsfaktoren[[#This Row],[2026]]/1000, 0)</f>
        <v>0</v>
      </c>
      <c r="R95" s="14">
        <f>IF(ISNUMBER(Refsz_Verbräuche[[#This Row],[2027]]), Refsz_Verbräuche[[#This Row],[2027]]*Emissionsfaktoren[[#This Row],[2027]]/1000, 0)</f>
        <v>0</v>
      </c>
      <c r="S95" s="14">
        <f>IF(ISNUMBER(Refsz_Verbräuche[[#This Row],[2028]]), Refsz_Verbräuche[[#This Row],[2028]]*Emissionsfaktoren[[#This Row],[2028]]/1000, 0)</f>
        <v>0</v>
      </c>
      <c r="T95" s="14">
        <f>IF(ISNUMBER(Refsz_Verbräuche[[#This Row],[2029]]), Refsz_Verbräuche[[#This Row],[2029]]*Emissionsfaktoren[[#This Row],[2029]]/1000, 0)</f>
        <v>0</v>
      </c>
      <c r="U95" s="14">
        <f>IF(ISNUMBER(Refsz_Verbräuche[[#This Row],[2030]]), Refsz_Verbräuche[[#This Row],[2030]]*Emissionsfaktoren[[#This Row],[2030]]/1000, 0)</f>
        <v>0</v>
      </c>
      <c r="V95" s="14">
        <f>IF(ISNUMBER(Refsz_Verbräuche[[#This Row],[2035]]), Refsz_Verbräuche[[#This Row],[2035]]*Emissionsfaktoren[[#This Row],[2035]]/1000, 0)</f>
        <v>0</v>
      </c>
      <c r="W95" s="14">
        <f>IF(ISNUMBER(Refsz_Verbräuche[[#This Row],[2040]]), Refsz_Verbräuche[[#This Row],[2040]]*Emissionsfaktoren[[#This Row],[2040]]/1000, 0)</f>
        <v>0</v>
      </c>
      <c r="X95" s="14">
        <f>IF(ISNUMBER(Refsz_Verbräuche[[#This Row],[2045]]), Refsz_Verbräuche[[#This Row],[2045]]*Emissionsfaktoren[[#This Row],[2045]]/1000, 0)</f>
        <v>0</v>
      </c>
      <c r="Y95" s="14">
        <f>IF(ISNUMBER(Refsz_Verbräuche[[#This Row],[2050]]), Refsz_Verbräuche[[#This Row],[2050]]*Emissionsfaktoren[[#This Row],[2050]]/1000, 0)</f>
        <v>0</v>
      </c>
    </row>
    <row r="96" spans="2:25" ht="16.5">
      <c r="B96" s="14">
        <v>79</v>
      </c>
      <c r="C96" s="14" t="str">
        <f>Refsz_Verbräuche[[#This Row],[Handlungsfeld]]</f>
        <v>Mobilität 2</v>
      </c>
      <c r="D96" s="19" t="str">
        <f>Refsz_Verbräuche[[#This Row],[Datenpunkt]]</f>
        <v>Studierendenreisen (Incoming) - Eisenbahn (Nahverkehr)</v>
      </c>
      <c r="E96" t="s">
        <v>195</v>
      </c>
      <c r="F96" s="14">
        <f>IF(ISNUMBER(Refsz_Verbräuche[[#This Row],[2015]]), Refsz_Verbräuche[[#This Row],[2015]]*Emissionsfaktoren[[#This Row],[2015]]/1000, 0)</f>
        <v>0</v>
      </c>
      <c r="G96" s="14">
        <f>IF(ISNUMBER(Refsz_Verbräuche[[#This Row],[2016]]), Refsz_Verbräuche[[#This Row],[2016]]*Emissionsfaktoren[[#This Row],[2016]]/1000, 0)</f>
        <v>0</v>
      </c>
      <c r="H96" s="14">
        <f>IF(ISNUMBER(Refsz_Verbräuche[[#This Row],[2017]]), Refsz_Verbräuche[[#This Row],[2017]]*Emissionsfaktoren[[#This Row],[2017]]/1000, 0)</f>
        <v>0</v>
      </c>
      <c r="I96" s="14">
        <f>IF(ISNUMBER(Refsz_Verbräuche[[#This Row],[2018]]), Refsz_Verbräuche[[#This Row],[2018]]*Emissionsfaktoren[[#This Row],[2018]]/1000, 0)</f>
        <v>0</v>
      </c>
      <c r="J96" s="14">
        <f>IF(ISNUMBER(Refsz_Verbräuche[[#This Row],[2019]]), Refsz_Verbräuche[[#This Row],[2019]]*Emissionsfaktoren[[#This Row],[2019]]/1000, 0)</f>
        <v>0</v>
      </c>
      <c r="K96" s="14">
        <f>IF(ISNUMBER(Refsz_Verbräuche[[#This Row],[2020]]), Refsz_Verbräuche[[#This Row],[2020]]*Emissionsfaktoren[[#This Row],[2020]]/1000, 0)</f>
        <v>0</v>
      </c>
      <c r="L96" s="14">
        <f>IF(ISNUMBER(Refsz_Verbräuche[[#This Row],[2021]]), Refsz_Verbräuche[[#This Row],[2021]]*Emissionsfaktoren[[#This Row],[2021]]/1000, 0)</f>
        <v>0</v>
      </c>
      <c r="M96" s="14">
        <f>IF(ISNUMBER(Refsz_Verbräuche[[#This Row],[2022]]), Refsz_Verbräuche[[#This Row],[2022]]*Emissionsfaktoren[[#This Row],[2022]]/1000, 0)</f>
        <v>0</v>
      </c>
      <c r="N96" s="14">
        <f>IF(ISNUMBER(Refsz_Verbräuche[[#This Row],[2023]]), Refsz_Verbräuche[[#This Row],[2023]]*Emissionsfaktoren[[#This Row],[2023]]/1000, 0)</f>
        <v>0</v>
      </c>
      <c r="O96" s="14">
        <f>IF(ISNUMBER(Refsz_Verbräuche[[#This Row],[2024]]), Refsz_Verbräuche[[#This Row],[2024]]*Emissionsfaktoren[[#This Row],[2024]]/1000, 0)</f>
        <v>0</v>
      </c>
      <c r="P96" s="14">
        <f>IF(ISNUMBER(Refsz_Verbräuche[[#This Row],[2025]]), Refsz_Verbräuche[[#This Row],[2025]]*Emissionsfaktoren[[#This Row],[2025]]/1000, 0)</f>
        <v>0</v>
      </c>
      <c r="Q96" s="14">
        <f>IF(ISNUMBER(Refsz_Verbräuche[[#This Row],[2026]]), Refsz_Verbräuche[[#This Row],[2026]]*Emissionsfaktoren[[#This Row],[2026]]/1000, 0)</f>
        <v>0</v>
      </c>
      <c r="R96" s="14">
        <f>IF(ISNUMBER(Refsz_Verbräuche[[#This Row],[2027]]), Refsz_Verbräuche[[#This Row],[2027]]*Emissionsfaktoren[[#This Row],[2027]]/1000, 0)</f>
        <v>0</v>
      </c>
      <c r="S96" s="14">
        <f>IF(ISNUMBER(Refsz_Verbräuche[[#This Row],[2028]]), Refsz_Verbräuche[[#This Row],[2028]]*Emissionsfaktoren[[#This Row],[2028]]/1000, 0)</f>
        <v>0</v>
      </c>
      <c r="T96" s="14">
        <f>IF(ISNUMBER(Refsz_Verbräuche[[#This Row],[2029]]), Refsz_Verbräuche[[#This Row],[2029]]*Emissionsfaktoren[[#This Row],[2029]]/1000, 0)</f>
        <v>0</v>
      </c>
      <c r="U96" s="14">
        <f>IF(ISNUMBER(Refsz_Verbräuche[[#This Row],[2030]]), Refsz_Verbräuche[[#This Row],[2030]]*Emissionsfaktoren[[#This Row],[2030]]/1000, 0)</f>
        <v>0</v>
      </c>
      <c r="V96" s="14">
        <f>IF(ISNUMBER(Refsz_Verbräuche[[#This Row],[2035]]), Refsz_Verbräuche[[#This Row],[2035]]*Emissionsfaktoren[[#This Row],[2035]]/1000, 0)</f>
        <v>0</v>
      </c>
      <c r="W96" s="14">
        <f>IF(ISNUMBER(Refsz_Verbräuche[[#This Row],[2040]]), Refsz_Verbräuche[[#This Row],[2040]]*Emissionsfaktoren[[#This Row],[2040]]/1000, 0)</f>
        <v>0</v>
      </c>
      <c r="X96" s="14">
        <f>IF(ISNUMBER(Refsz_Verbräuche[[#This Row],[2045]]), Refsz_Verbräuche[[#This Row],[2045]]*Emissionsfaktoren[[#This Row],[2045]]/1000, 0)</f>
        <v>0</v>
      </c>
      <c r="Y96" s="14">
        <f>IF(ISNUMBER(Refsz_Verbräuche[[#This Row],[2050]]), Refsz_Verbräuche[[#This Row],[2050]]*Emissionsfaktoren[[#This Row],[2050]]/1000, 0)</f>
        <v>0</v>
      </c>
    </row>
    <row r="97" spans="2:25" ht="16.5">
      <c r="B97" s="14">
        <v>80</v>
      </c>
      <c r="C97" s="14" t="str">
        <f>Refsz_Verbräuche[[#This Row],[Handlungsfeld]]</f>
        <v>Mobilität 2</v>
      </c>
      <c r="D97" s="19" t="str">
        <f>Refsz_Verbräuche[[#This Row],[Datenpunkt]]</f>
        <v>Studierendenreisen (Incoming) - Privater PKW (alle Antriebsarten)</v>
      </c>
      <c r="E97" t="s">
        <v>195</v>
      </c>
      <c r="F97" s="14">
        <f>IF(ISNUMBER(Refsz_Verbräuche[[#This Row],[2015]]), Refsz_Verbräuche[[#This Row],[2015]]*Emissionsfaktoren[[#This Row],[2015]]/1000, 0)</f>
        <v>0</v>
      </c>
      <c r="G97" s="14">
        <f>IF(ISNUMBER(Refsz_Verbräuche[[#This Row],[2016]]), Refsz_Verbräuche[[#This Row],[2016]]*Emissionsfaktoren[[#This Row],[2016]]/1000, 0)</f>
        <v>0</v>
      </c>
      <c r="H97" s="14">
        <f>IF(ISNUMBER(Refsz_Verbräuche[[#This Row],[2017]]), Refsz_Verbräuche[[#This Row],[2017]]*Emissionsfaktoren[[#This Row],[2017]]/1000, 0)</f>
        <v>0</v>
      </c>
      <c r="I97" s="14">
        <f>IF(ISNUMBER(Refsz_Verbräuche[[#This Row],[2018]]), Refsz_Verbräuche[[#This Row],[2018]]*Emissionsfaktoren[[#This Row],[2018]]/1000, 0)</f>
        <v>0</v>
      </c>
      <c r="J97" s="14">
        <f>IF(ISNUMBER(Refsz_Verbräuche[[#This Row],[2019]]), Refsz_Verbräuche[[#This Row],[2019]]*Emissionsfaktoren[[#This Row],[2019]]/1000, 0)</f>
        <v>0</v>
      </c>
      <c r="K97" s="14">
        <f>IF(ISNUMBER(Refsz_Verbräuche[[#This Row],[2020]]), Refsz_Verbräuche[[#This Row],[2020]]*Emissionsfaktoren[[#This Row],[2020]]/1000, 0)</f>
        <v>0</v>
      </c>
      <c r="L97" s="14">
        <f>IF(ISNUMBER(Refsz_Verbräuche[[#This Row],[2021]]), Refsz_Verbräuche[[#This Row],[2021]]*Emissionsfaktoren[[#This Row],[2021]]/1000, 0)</f>
        <v>0</v>
      </c>
      <c r="M97" s="14">
        <f>IF(ISNUMBER(Refsz_Verbräuche[[#This Row],[2022]]), Refsz_Verbräuche[[#This Row],[2022]]*Emissionsfaktoren[[#This Row],[2022]]/1000, 0)</f>
        <v>0</v>
      </c>
      <c r="N97" s="14">
        <f>IF(ISNUMBER(Refsz_Verbräuche[[#This Row],[2023]]), Refsz_Verbräuche[[#This Row],[2023]]*Emissionsfaktoren[[#This Row],[2023]]/1000, 0)</f>
        <v>0</v>
      </c>
      <c r="O97" s="14">
        <f>IF(ISNUMBER(Refsz_Verbräuche[[#This Row],[2024]]), Refsz_Verbräuche[[#This Row],[2024]]*Emissionsfaktoren[[#This Row],[2024]]/1000, 0)</f>
        <v>0</v>
      </c>
      <c r="P97" s="14">
        <f>IF(ISNUMBER(Refsz_Verbräuche[[#This Row],[2025]]), Refsz_Verbräuche[[#This Row],[2025]]*Emissionsfaktoren[[#This Row],[2025]]/1000, 0)</f>
        <v>0</v>
      </c>
      <c r="Q97" s="14">
        <f>IF(ISNUMBER(Refsz_Verbräuche[[#This Row],[2026]]), Refsz_Verbräuche[[#This Row],[2026]]*Emissionsfaktoren[[#This Row],[2026]]/1000, 0)</f>
        <v>0</v>
      </c>
      <c r="R97" s="14">
        <f>IF(ISNUMBER(Refsz_Verbräuche[[#This Row],[2027]]), Refsz_Verbräuche[[#This Row],[2027]]*Emissionsfaktoren[[#This Row],[2027]]/1000, 0)</f>
        <v>0</v>
      </c>
      <c r="S97" s="14">
        <f>IF(ISNUMBER(Refsz_Verbräuche[[#This Row],[2028]]), Refsz_Verbräuche[[#This Row],[2028]]*Emissionsfaktoren[[#This Row],[2028]]/1000, 0)</f>
        <v>0</v>
      </c>
      <c r="T97" s="14">
        <f>IF(ISNUMBER(Refsz_Verbräuche[[#This Row],[2029]]), Refsz_Verbräuche[[#This Row],[2029]]*Emissionsfaktoren[[#This Row],[2029]]/1000, 0)</f>
        <v>0</v>
      </c>
      <c r="U97" s="14">
        <f>IF(ISNUMBER(Refsz_Verbräuche[[#This Row],[2030]]), Refsz_Verbräuche[[#This Row],[2030]]*Emissionsfaktoren[[#This Row],[2030]]/1000, 0)</f>
        <v>0</v>
      </c>
      <c r="V97" s="14">
        <f>IF(ISNUMBER(Refsz_Verbräuche[[#This Row],[2035]]), Refsz_Verbräuche[[#This Row],[2035]]*Emissionsfaktoren[[#This Row],[2035]]/1000, 0)</f>
        <v>0</v>
      </c>
      <c r="W97" s="14">
        <f>IF(ISNUMBER(Refsz_Verbräuche[[#This Row],[2040]]), Refsz_Verbräuche[[#This Row],[2040]]*Emissionsfaktoren[[#This Row],[2040]]/1000, 0)</f>
        <v>0</v>
      </c>
      <c r="X97" s="14">
        <f>IF(ISNUMBER(Refsz_Verbräuche[[#This Row],[2045]]), Refsz_Verbräuche[[#This Row],[2045]]*Emissionsfaktoren[[#This Row],[2045]]/1000, 0)</f>
        <v>0</v>
      </c>
      <c r="Y97" s="14">
        <f>IF(ISNUMBER(Refsz_Verbräuche[[#This Row],[2050]]), Refsz_Verbräuche[[#This Row],[2050]]*Emissionsfaktoren[[#This Row],[2050]]/1000, 0)</f>
        <v>0</v>
      </c>
    </row>
    <row r="98" spans="2:25" ht="16.5">
      <c r="B98" s="14">
        <v>81</v>
      </c>
      <c r="C98" s="14">
        <f>Refsz_Verbräuche[[#This Row],[Handlungsfeld]]</f>
        <v>0</v>
      </c>
      <c r="D98" s="19">
        <f>Refsz_Verbräuche[[#This Row],[Datenpunkt]]</f>
        <v>0</v>
      </c>
      <c r="E98" t="s">
        <v>195</v>
      </c>
      <c r="F98" s="14">
        <f>IF(ISNUMBER(Refsz_Verbräuche[[#This Row],[2015]]), Refsz_Verbräuche[[#This Row],[2015]]*Emissionsfaktoren[[#This Row],[2015]]/1000, 0)</f>
        <v>0</v>
      </c>
      <c r="G98" s="14">
        <f>IF(ISNUMBER(Refsz_Verbräuche[[#This Row],[2016]]), Refsz_Verbräuche[[#This Row],[2016]]*Emissionsfaktoren[[#This Row],[2016]]/1000, 0)</f>
        <v>0</v>
      </c>
      <c r="H98" s="14">
        <f>IF(ISNUMBER(Refsz_Verbräuche[[#This Row],[2017]]), Refsz_Verbräuche[[#This Row],[2017]]*Emissionsfaktoren[[#This Row],[2017]]/1000, 0)</f>
        <v>0</v>
      </c>
      <c r="I98" s="14">
        <f>IF(ISNUMBER(Refsz_Verbräuche[[#This Row],[2018]]), Refsz_Verbräuche[[#This Row],[2018]]*Emissionsfaktoren[[#This Row],[2018]]/1000, 0)</f>
        <v>0</v>
      </c>
      <c r="J98" s="14">
        <f>IF(ISNUMBER(Refsz_Verbräuche[[#This Row],[2019]]), Refsz_Verbräuche[[#This Row],[2019]]*Emissionsfaktoren[[#This Row],[2019]]/1000, 0)</f>
        <v>0</v>
      </c>
      <c r="K98" s="14">
        <f>IF(ISNUMBER(Refsz_Verbräuche[[#This Row],[2020]]), Refsz_Verbräuche[[#This Row],[2020]]*Emissionsfaktoren[[#This Row],[2020]]/1000, 0)</f>
        <v>0</v>
      </c>
      <c r="L98" s="14">
        <f>IF(ISNUMBER(Refsz_Verbräuche[[#This Row],[2021]]), Refsz_Verbräuche[[#This Row],[2021]]*Emissionsfaktoren[[#This Row],[2021]]/1000, 0)</f>
        <v>0</v>
      </c>
      <c r="M98" s="14">
        <f>IF(ISNUMBER(Refsz_Verbräuche[[#This Row],[2022]]), Refsz_Verbräuche[[#This Row],[2022]]*Emissionsfaktoren[[#This Row],[2022]]/1000, 0)</f>
        <v>0</v>
      </c>
      <c r="N98" s="14">
        <f>IF(ISNUMBER(Refsz_Verbräuche[[#This Row],[2023]]), Refsz_Verbräuche[[#This Row],[2023]]*Emissionsfaktoren[[#This Row],[2023]]/1000, 0)</f>
        <v>0</v>
      </c>
      <c r="O98" s="14">
        <f>IF(ISNUMBER(Refsz_Verbräuche[[#This Row],[2024]]), Refsz_Verbräuche[[#This Row],[2024]]*Emissionsfaktoren[[#This Row],[2024]]/1000, 0)</f>
        <v>0</v>
      </c>
      <c r="P98" s="14">
        <f>IF(ISNUMBER(Refsz_Verbräuche[[#This Row],[2025]]), Refsz_Verbräuche[[#This Row],[2025]]*Emissionsfaktoren[[#This Row],[2025]]/1000, 0)</f>
        <v>0</v>
      </c>
      <c r="Q98" s="14">
        <f>IF(ISNUMBER(Refsz_Verbräuche[[#This Row],[2026]]), Refsz_Verbräuche[[#This Row],[2026]]*Emissionsfaktoren[[#This Row],[2026]]/1000, 0)</f>
        <v>0</v>
      </c>
      <c r="R98" s="14">
        <f>IF(ISNUMBER(Refsz_Verbräuche[[#This Row],[2027]]), Refsz_Verbräuche[[#This Row],[2027]]*Emissionsfaktoren[[#This Row],[2027]]/1000, 0)</f>
        <v>0</v>
      </c>
      <c r="S98" s="14">
        <f>IF(ISNUMBER(Refsz_Verbräuche[[#This Row],[2028]]), Refsz_Verbräuche[[#This Row],[2028]]*Emissionsfaktoren[[#This Row],[2028]]/1000, 0)</f>
        <v>0</v>
      </c>
      <c r="T98" s="14">
        <f>IF(ISNUMBER(Refsz_Verbräuche[[#This Row],[2029]]), Refsz_Verbräuche[[#This Row],[2029]]*Emissionsfaktoren[[#This Row],[2029]]/1000, 0)</f>
        <v>0</v>
      </c>
      <c r="U98" s="14">
        <f>IF(ISNUMBER(Refsz_Verbräuche[[#This Row],[2030]]), Refsz_Verbräuche[[#This Row],[2030]]*Emissionsfaktoren[[#This Row],[2030]]/1000, 0)</f>
        <v>0</v>
      </c>
      <c r="V98" s="14">
        <f>IF(ISNUMBER(Refsz_Verbräuche[[#This Row],[2035]]), Refsz_Verbräuche[[#This Row],[2035]]*Emissionsfaktoren[[#This Row],[2035]]/1000, 0)</f>
        <v>0</v>
      </c>
      <c r="W98" s="14">
        <f>IF(ISNUMBER(Refsz_Verbräuche[[#This Row],[2040]]), Refsz_Verbräuche[[#This Row],[2040]]*Emissionsfaktoren[[#This Row],[2040]]/1000, 0)</f>
        <v>0</v>
      </c>
      <c r="X98" s="14">
        <f>IF(ISNUMBER(Refsz_Verbräuche[[#This Row],[2045]]), Refsz_Verbräuche[[#This Row],[2045]]*Emissionsfaktoren[[#This Row],[2045]]/1000, 0)</f>
        <v>0</v>
      </c>
      <c r="Y98" s="14">
        <f>IF(ISNUMBER(Refsz_Verbräuche[[#This Row],[2050]]), Refsz_Verbräuche[[#This Row],[2050]]*Emissionsfaktoren[[#This Row],[2050]]/1000, 0)</f>
        <v>0</v>
      </c>
    </row>
    <row r="99" spans="2:25" ht="16.5">
      <c r="B99" s="14">
        <v>82</v>
      </c>
      <c r="C99" s="14" t="str">
        <f>Refsz_Verbräuche[[#This Row],[Handlungsfeld]]</f>
        <v>Mobilität 2</v>
      </c>
      <c r="D99" s="19" t="str">
        <f>Refsz_Verbräuche[[#This Row],[Datenpunkt]]</f>
        <v>An- und Abreise von Gästen - Flugreisen</v>
      </c>
      <c r="E99" t="s">
        <v>195</v>
      </c>
      <c r="F99" s="14">
        <f>IF(ISNUMBER(Refsz_Verbräuche[[#This Row],[2015]]), Refsz_Verbräuche[[#This Row],[2015]]*Emissionsfaktoren[[#This Row],[2015]]/1000, 0)</f>
        <v>0</v>
      </c>
      <c r="G99" s="14">
        <f>IF(ISNUMBER(Refsz_Verbräuche[[#This Row],[2016]]), Refsz_Verbräuche[[#This Row],[2016]]*Emissionsfaktoren[[#This Row],[2016]]/1000, 0)</f>
        <v>0</v>
      </c>
      <c r="H99" s="14">
        <f>IF(ISNUMBER(Refsz_Verbräuche[[#This Row],[2017]]), Refsz_Verbräuche[[#This Row],[2017]]*Emissionsfaktoren[[#This Row],[2017]]/1000, 0)</f>
        <v>0</v>
      </c>
      <c r="I99" s="14">
        <f>IF(ISNUMBER(Refsz_Verbräuche[[#This Row],[2018]]), Refsz_Verbräuche[[#This Row],[2018]]*Emissionsfaktoren[[#This Row],[2018]]/1000, 0)</f>
        <v>0</v>
      </c>
      <c r="J99" s="14">
        <f>IF(ISNUMBER(Refsz_Verbräuche[[#This Row],[2019]]), Refsz_Verbräuche[[#This Row],[2019]]*Emissionsfaktoren[[#This Row],[2019]]/1000, 0)</f>
        <v>0</v>
      </c>
      <c r="K99" s="14">
        <f>IF(ISNUMBER(Refsz_Verbräuche[[#This Row],[2020]]), Refsz_Verbräuche[[#This Row],[2020]]*Emissionsfaktoren[[#This Row],[2020]]/1000, 0)</f>
        <v>0</v>
      </c>
      <c r="L99" s="14">
        <f>IF(ISNUMBER(Refsz_Verbräuche[[#This Row],[2021]]), Refsz_Verbräuche[[#This Row],[2021]]*Emissionsfaktoren[[#This Row],[2021]]/1000, 0)</f>
        <v>0</v>
      </c>
      <c r="M99" s="14">
        <f>IF(ISNUMBER(Refsz_Verbräuche[[#This Row],[2022]]), Refsz_Verbräuche[[#This Row],[2022]]*Emissionsfaktoren[[#This Row],[2022]]/1000, 0)</f>
        <v>0</v>
      </c>
      <c r="N99" s="14">
        <f>IF(ISNUMBER(Refsz_Verbräuche[[#This Row],[2023]]), Refsz_Verbräuche[[#This Row],[2023]]*Emissionsfaktoren[[#This Row],[2023]]/1000, 0)</f>
        <v>0</v>
      </c>
      <c r="O99" s="14">
        <f>IF(ISNUMBER(Refsz_Verbräuche[[#This Row],[2024]]), Refsz_Verbräuche[[#This Row],[2024]]*Emissionsfaktoren[[#This Row],[2024]]/1000, 0)</f>
        <v>0</v>
      </c>
      <c r="P99" s="14">
        <f>IF(ISNUMBER(Refsz_Verbräuche[[#This Row],[2025]]), Refsz_Verbräuche[[#This Row],[2025]]*Emissionsfaktoren[[#This Row],[2025]]/1000, 0)</f>
        <v>0</v>
      </c>
      <c r="Q99" s="14">
        <f>IF(ISNUMBER(Refsz_Verbräuche[[#This Row],[2026]]), Refsz_Verbräuche[[#This Row],[2026]]*Emissionsfaktoren[[#This Row],[2026]]/1000, 0)</f>
        <v>0</v>
      </c>
      <c r="R99" s="14">
        <f>IF(ISNUMBER(Refsz_Verbräuche[[#This Row],[2027]]), Refsz_Verbräuche[[#This Row],[2027]]*Emissionsfaktoren[[#This Row],[2027]]/1000, 0)</f>
        <v>0</v>
      </c>
      <c r="S99" s="14">
        <f>IF(ISNUMBER(Refsz_Verbräuche[[#This Row],[2028]]), Refsz_Verbräuche[[#This Row],[2028]]*Emissionsfaktoren[[#This Row],[2028]]/1000, 0)</f>
        <v>0</v>
      </c>
      <c r="T99" s="14">
        <f>IF(ISNUMBER(Refsz_Verbräuche[[#This Row],[2029]]), Refsz_Verbräuche[[#This Row],[2029]]*Emissionsfaktoren[[#This Row],[2029]]/1000, 0)</f>
        <v>0</v>
      </c>
      <c r="U99" s="14">
        <f>IF(ISNUMBER(Refsz_Verbräuche[[#This Row],[2030]]), Refsz_Verbräuche[[#This Row],[2030]]*Emissionsfaktoren[[#This Row],[2030]]/1000, 0)</f>
        <v>0</v>
      </c>
      <c r="V99" s="14">
        <f>IF(ISNUMBER(Refsz_Verbräuche[[#This Row],[2035]]), Refsz_Verbräuche[[#This Row],[2035]]*Emissionsfaktoren[[#This Row],[2035]]/1000, 0)</f>
        <v>0</v>
      </c>
      <c r="W99" s="14">
        <f>IF(ISNUMBER(Refsz_Verbräuche[[#This Row],[2040]]), Refsz_Verbräuche[[#This Row],[2040]]*Emissionsfaktoren[[#This Row],[2040]]/1000, 0)</f>
        <v>0</v>
      </c>
      <c r="X99" s="14">
        <f>IF(ISNUMBER(Refsz_Verbräuche[[#This Row],[2045]]), Refsz_Verbräuche[[#This Row],[2045]]*Emissionsfaktoren[[#This Row],[2045]]/1000, 0)</f>
        <v>0</v>
      </c>
      <c r="Y99" s="14">
        <f>IF(ISNUMBER(Refsz_Verbräuche[[#This Row],[2050]]), Refsz_Verbräuche[[#This Row],[2050]]*Emissionsfaktoren[[#This Row],[2050]]/1000, 0)</f>
        <v>0</v>
      </c>
    </row>
    <row r="100" spans="2:25" ht="16.5">
      <c r="B100" s="14">
        <v>83</v>
      </c>
      <c r="C100" s="14" t="str">
        <f>Refsz_Verbräuche[[#This Row],[Handlungsfeld]]</f>
        <v>Mobilität 2</v>
      </c>
      <c r="D100" s="19" t="str">
        <f>Refsz_Verbräuche[[#This Row],[Datenpunkt]]</f>
        <v>An- und Abreise von Gästen - Eisenbahn (Nahverkehr)</v>
      </c>
      <c r="E100" t="s">
        <v>195</v>
      </c>
      <c r="F100" s="14">
        <f>IF(ISNUMBER(Refsz_Verbräuche[[#This Row],[2015]]), Refsz_Verbräuche[[#This Row],[2015]]*Emissionsfaktoren[[#This Row],[2015]]/1000, 0)</f>
        <v>0</v>
      </c>
      <c r="G100" s="14">
        <f>IF(ISNUMBER(Refsz_Verbräuche[[#This Row],[2016]]), Refsz_Verbräuche[[#This Row],[2016]]*Emissionsfaktoren[[#This Row],[2016]]/1000, 0)</f>
        <v>0</v>
      </c>
      <c r="H100" s="14">
        <f>IF(ISNUMBER(Refsz_Verbräuche[[#This Row],[2017]]), Refsz_Verbräuche[[#This Row],[2017]]*Emissionsfaktoren[[#This Row],[2017]]/1000, 0)</f>
        <v>0</v>
      </c>
      <c r="I100" s="14">
        <f>IF(ISNUMBER(Refsz_Verbräuche[[#This Row],[2018]]), Refsz_Verbräuche[[#This Row],[2018]]*Emissionsfaktoren[[#This Row],[2018]]/1000, 0)</f>
        <v>0</v>
      </c>
      <c r="J100" s="14">
        <f>IF(ISNUMBER(Refsz_Verbräuche[[#This Row],[2019]]), Refsz_Verbräuche[[#This Row],[2019]]*Emissionsfaktoren[[#This Row],[2019]]/1000, 0)</f>
        <v>0</v>
      </c>
      <c r="K100" s="14">
        <f>IF(ISNUMBER(Refsz_Verbräuche[[#This Row],[2020]]), Refsz_Verbräuche[[#This Row],[2020]]*Emissionsfaktoren[[#This Row],[2020]]/1000, 0)</f>
        <v>0</v>
      </c>
      <c r="L100" s="14">
        <f>IF(ISNUMBER(Refsz_Verbräuche[[#This Row],[2021]]), Refsz_Verbräuche[[#This Row],[2021]]*Emissionsfaktoren[[#This Row],[2021]]/1000, 0)</f>
        <v>0</v>
      </c>
      <c r="M100" s="14">
        <f>IF(ISNUMBER(Refsz_Verbräuche[[#This Row],[2022]]), Refsz_Verbräuche[[#This Row],[2022]]*Emissionsfaktoren[[#This Row],[2022]]/1000, 0)</f>
        <v>0</v>
      </c>
      <c r="N100" s="14">
        <f>IF(ISNUMBER(Refsz_Verbräuche[[#This Row],[2023]]), Refsz_Verbräuche[[#This Row],[2023]]*Emissionsfaktoren[[#This Row],[2023]]/1000, 0)</f>
        <v>0</v>
      </c>
      <c r="O100" s="14">
        <f>IF(ISNUMBER(Refsz_Verbräuche[[#This Row],[2024]]), Refsz_Verbräuche[[#This Row],[2024]]*Emissionsfaktoren[[#This Row],[2024]]/1000, 0)</f>
        <v>0</v>
      </c>
      <c r="P100" s="14">
        <f>IF(ISNUMBER(Refsz_Verbräuche[[#This Row],[2025]]), Refsz_Verbräuche[[#This Row],[2025]]*Emissionsfaktoren[[#This Row],[2025]]/1000, 0)</f>
        <v>0</v>
      </c>
      <c r="Q100" s="14">
        <f>IF(ISNUMBER(Refsz_Verbräuche[[#This Row],[2026]]), Refsz_Verbräuche[[#This Row],[2026]]*Emissionsfaktoren[[#This Row],[2026]]/1000, 0)</f>
        <v>0</v>
      </c>
      <c r="R100" s="14">
        <f>IF(ISNUMBER(Refsz_Verbräuche[[#This Row],[2027]]), Refsz_Verbräuche[[#This Row],[2027]]*Emissionsfaktoren[[#This Row],[2027]]/1000, 0)</f>
        <v>0</v>
      </c>
      <c r="S100" s="14">
        <f>IF(ISNUMBER(Refsz_Verbräuche[[#This Row],[2028]]), Refsz_Verbräuche[[#This Row],[2028]]*Emissionsfaktoren[[#This Row],[2028]]/1000, 0)</f>
        <v>0</v>
      </c>
      <c r="T100" s="14">
        <f>IF(ISNUMBER(Refsz_Verbräuche[[#This Row],[2029]]), Refsz_Verbräuche[[#This Row],[2029]]*Emissionsfaktoren[[#This Row],[2029]]/1000, 0)</f>
        <v>0</v>
      </c>
      <c r="U100" s="14">
        <f>IF(ISNUMBER(Refsz_Verbräuche[[#This Row],[2030]]), Refsz_Verbräuche[[#This Row],[2030]]*Emissionsfaktoren[[#This Row],[2030]]/1000, 0)</f>
        <v>0</v>
      </c>
      <c r="V100" s="14">
        <f>IF(ISNUMBER(Refsz_Verbräuche[[#This Row],[2035]]), Refsz_Verbräuche[[#This Row],[2035]]*Emissionsfaktoren[[#This Row],[2035]]/1000, 0)</f>
        <v>0</v>
      </c>
      <c r="W100" s="14">
        <f>IF(ISNUMBER(Refsz_Verbräuche[[#This Row],[2040]]), Refsz_Verbräuche[[#This Row],[2040]]*Emissionsfaktoren[[#This Row],[2040]]/1000, 0)</f>
        <v>0</v>
      </c>
      <c r="X100" s="14">
        <f>IF(ISNUMBER(Refsz_Verbräuche[[#This Row],[2045]]), Refsz_Verbräuche[[#This Row],[2045]]*Emissionsfaktoren[[#This Row],[2045]]/1000, 0)</f>
        <v>0</v>
      </c>
      <c r="Y100" s="14">
        <f>IF(ISNUMBER(Refsz_Verbräuche[[#This Row],[2050]]), Refsz_Verbräuche[[#This Row],[2050]]*Emissionsfaktoren[[#This Row],[2050]]/1000, 0)</f>
        <v>0</v>
      </c>
    </row>
    <row r="101" spans="2:25" ht="16.5">
      <c r="B101" s="14">
        <v>84</v>
      </c>
      <c r="C101" s="14" t="str">
        <f>Refsz_Verbräuche[[#This Row],[Handlungsfeld]]</f>
        <v>Mobilität 2</v>
      </c>
      <c r="D101" s="19" t="str">
        <f>Refsz_Verbräuche[[#This Row],[Datenpunkt]]</f>
        <v>An- und Abreise von Gästen - Privater PKW (alle Antriebsarten)</v>
      </c>
      <c r="E101" t="s">
        <v>195</v>
      </c>
      <c r="F101" s="14">
        <f>IF(ISNUMBER(Refsz_Verbräuche[[#This Row],[2015]]), Refsz_Verbräuche[[#This Row],[2015]]*Emissionsfaktoren[[#This Row],[2015]]/1000, 0)</f>
        <v>0</v>
      </c>
      <c r="G101" s="14">
        <f>IF(ISNUMBER(Refsz_Verbräuche[[#This Row],[2016]]), Refsz_Verbräuche[[#This Row],[2016]]*Emissionsfaktoren[[#This Row],[2016]]/1000, 0)</f>
        <v>0</v>
      </c>
      <c r="H101" s="14">
        <f>IF(ISNUMBER(Refsz_Verbräuche[[#This Row],[2017]]), Refsz_Verbräuche[[#This Row],[2017]]*Emissionsfaktoren[[#This Row],[2017]]/1000, 0)</f>
        <v>0</v>
      </c>
      <c r="I101" s="14">
        <f>IF(ISNUMBER(Refsz_Verbräuche[[#This Row],[2018]]), Refsz_Verbräuche[[#This Row],[2018]]*Emissionsfaktoren[[#This Row],[2018]]/1000, 0)</f>
        <v>0</v>
      </c>
      <c r="J101" s="14">
        <f>IF(ISNUMBER(Refsz_Verbräuche[[#This Row],[2019]]), Refsz_Verbräuche[[#This Row],[2019]]*Emissionsfaktoren[[#This Row],[2019]]/1000, 0)</f>
        <v>0</v>
      </c>
      <c r="K101" s="14">
        <f>IF(ISNUMBER(Refsz_Verbräuche[[#This Row],[2020]]), Refsz_Verbräuche[[#This Row],[2020]]*Emissionsfaktoren[[#This Row],[2020]]/1000, 0)</f>
        <v>0</v>
      </c>
      <c r="L101" s="14">
        <f>IF(ISNUMBER(Refsz_Verbräuche[[#This Row],[2021]]), Refsz_Verbräuche[[#This Row],[2021]]*Emissionsfaktoren[[#This Row],[2021]]/1000, 0)</f>
        <v>0</v>
      </c>
      <c r="M101" s="14">
        <f>IF(ISNUMBER(Refsz_Verbräuche[[#This Row],[2022]]), Refsz_Verbräuche[[#This Row],[2022]]*Emissionsfaktoren[[#This Row],[2022]]/1000, 0)</f>
        <v>0</v>
      </c>
      <c r="N101" s="14">
        <f>IF(ISNUMBER(Refsz_Verbräuche[[#This Row],[2023]]), Refsz_Verbräuche[[#This Row],[2023]]*Emissionsfaktoren[[#This Row],[2023]]/1000, 0)</f>
        <v>0</v>
      </c>
      <c r="O101" s="14">
        <f>IF(ISNUMBER(Refsz_Verbräuche[[#This Row],[2024]]), Refsz_Verbräuche[[#This Row],[2024]]*Emissionsfaktoren[[#This Row],[2024]]/1000, 0)</f>
        <v>0</v>
      </c>
      <c r="P101" s="14">
        <f>IF(ISNUMBER(Refsz_Verbräuche[[#This Row],[2025]]), Refsz_Verbräuche[[#This Row],[2025]]*Emissionsfaktoren[[#This Row],[2025]]/1000, 0)</f>
        <v>0</v>
      </c>
      <c r="Q101" s="14">
        <f>IF(ISNUMBER(Refsz_Verbräuche[[#This Row],[2026]]), Refsz_Verbräuche[[#This Row],[2026]]*Emissionsfaktoren[[#This Row],[2026]]/1000, 0)</f>
        <v>0</v>
      </c>
      <c r="R101" s="14">
        <f>IF(ISNUMBER(Refsz_Verbräuche[[#This Row],[2027]]), Refsz_Verbräuche[[#This Row],[2027]]*Emissionsfaktoren[[#This Row],[2027]]/1000, 0)</f>
        <v>0</v>
      </c>
      <c r="S101" s="14">
        <f>IF(ISNUMBER(Refsz_Verbräuche[[#This Row],[2028]]), Refsz_Verbräuche[[#This Row],[2028]]*Emissionsfaktoren[[#This Row],[2028]]/1000, 0)</f>
        <v>0</v>
      </c>
      <c r="T101" s="14">
        <f>IF(ISNUMBER(Refsz_Verbräuche[[#This Row],[2029]]), Refsz_Verbräuche[[#This Row],[2029]]*Emissionsfaktoren[[#This Row],[2029]]/1000, 0)</f>
        <v>0</v>
      </c>
      <c r="U101" s="14">
        <f>IF(ISNUMBER(Refsz_Verbräuche[[#This Row],[2030]]), Refsz_Verbräuche[[#This Row],[2030]]*Emissionsfaktoren[[#This Row],[2030]]/1000, 0)</f>
        <v>0</v>
      </c>
      <c r="V101" s="14">
        <f>IF(ISNUMBER(Refsz_Verbräuche[[#This Row],[2035]]), Refsz_Verbräuche[[#This Row],[2035]]*Emissionsfaktoren[[#This Row],[2035]]/1000, 0)</f>
        <v>0</v>
      </c>
      <c r="W101" s="14">
        <f>IF(ISNUMBER(Refsz_Verbräuche[[#This Row],[2040]]), Refsz_Verbräuche[[#This Row],[2040]]*Emissionsfaktoren[[#This Row],[2040]]/1000, 0)</f>
        <v>0</v>
      </c>
      <c r="X101" s="14">
        <f>IF(ISNUMBER(Refsz_Verbräuche[[#This Row],[2045]]), Refsz_Verbräuche[[#This Row],[2045]]*Emissionsfaktoren[[#This Row],[2045]]/1000, 0)</f>
        <v>0</v>
      </c>
      <c r="Y101" s="14">
        <f>IF(ISNUMBER(Refsz_Verbräuche[[#This Row],[2050]]), Refsz_Verbräuche[[#This Row],[2050]]*Emissionsfaktoren[[#This Row],[2050]]/1000, 0)</f>
        <v>0</v>
      </c>
    </row>
    <row r="102" spans="2:25" ht="16.5">
      <c r="B102" s="14">
        <v>85</v>
      </c>
      <c r="C102" s="14">
        <f>Refsz_Verbräuche[[#This Row],[Handlungsfeld]]</f>
        <v>0</v>
      </c>
      <c r="D102" s="19">
        <f>Refsz_Verbräuche[[#This Row],[Datenpunkt]]</f>
        <v>0</v>
      </c>
      <c r="E102" t="s">
        <v>195</v>
      </c>
      <c r="F102" s="14">
        <f>IF(ISNUMBER(Refsz_Verbräuche[[#This Row],[2015]]), Refsz_Verbräuche[[#This Row],[2015]]*Emissionsfaktoren[[#This Row],[2015]]/1000, 0)</f>
        <v>0</v>
      </c>
      <c r="G102" s="14">
        <f>IF(ISNUMBER(Refsz_Verbräuche[[#This Row],[2016]]), Refsz_Verbräuche[[#This Row],[2016]]*Emissionsfaktoren[[#This Row],[2016]]/1000, 0)</f>
        <v>0</v>
      </c>
      <c r="H102" s="14">
        <f>IF(ISNUMBER(Refsz_Verbräuche[[#This Row],[2017]]), Refsz_Verbräuche[[#This Row],[2017]]*Emissionsfaktoren[[#This Row],[2017]]/1000, 0)</f>
        <v>0</v>
      </c>
      <c r="I102" s="14">
        <f>IF(ISNUMBER(Refsz_Verbräuche[[#This Row],[2018]]), Refsz_Verbräuche[[#This Row],[2018]]*Emissionsfaktoren[[#This Row],[2018]]/1000, 0)</f>
        <v>0</v>
      </c>
      <c r="J102" s="14">
        <f>IF(ISNUMBER(Refsz_Verbräuche[[#This Row],[2019]]), Refsz_Verbräuche[[#This Row],[2019]]*Emissionsfaktoren[[#This Row],[2019]]/1000, 0)</f>
        <v>0</v>
      </c>
      <c r="K102" s="14">
        <f>IF(ISNUMBER(Refsz_Verbräuche[[#This Row],[2020]]), Refsz_Verbräuche[[#This Row],[2020]]*Emissionsfaktoren[[#This Row],[2020]]/1000, 0)</f>
        <v>0</v>
      </c>
      <c r="L102" s="14">
        <f>IF(ISNUMBER(Refsz_Verbräuche[[#This Row],[2021]]), Refsz_Verbräuche[[#This Row],[2021]]*Emissionsfaktoren[[#This Row],[2021]]/1000, 0)</f>
        <v>0</v>
      </c>
      <c r="M102" s="14">
        <f>IF(ISNUMBER(Refsz_Verbräuche[[#This Row],[2022]]), Refsz_Verbräuche[[#This Row],[2022]]*Emissionsfaktoren[[#This Row],[2022]]/1000, 0)</f>
        <v>0</v>
      </c>
      <c r="N102" s="14">
        <f>IF(ISNUMBER(Refsz_Verbräuche[[#This Row],[2023]]), Refsz_Verbräuche[[#This Row],[2023]]*Emissionsfaktoren[[#This Row],[2023]]/1000, 0)</f>
        <v>0</v>
      </c>
      <c r="O102" s="14">
        <f>IF(ISNUMBER(Refsz_Verbräuche[[#This Row],[2024]]), Refsz_Verbräuche[[#This Row],[2024]]*Emissionsfaktoren[[#This Row],[2024]]/1000, 0)</f>
        <v>0</v>
      </c>
      <c r="P102" s="14">
        <f>IF(ISNUMBER(Refsz_Verbräuche[[#This Row],[2025]]), Refsz_Verbräuche[[#This Row],[2025]]*Emissionsfaktoren[[#This Row],[2025]]/1000, 0)</f>
        <v>0</v>
      </c>
      <c r="Q102" s="14">
        <f>IF(ISNUMBER(Refsz_Verbräuche[[#This Row],[2026]]), Refsz_Verbräuche[[#This Row],[2026]]*Emissionsfaktoren[[#This Row],[2026]]/1000, 0)</f>
        <v>0</v>
      </c>
      <c r="R102" s="14">
        <f>IF(ISNUMBER(Refsz_Verbräuche[[#This Row],[2027]]), Refsz_Verbräuche[[#This Row],[2027]]*Emissionsfaktoren[[#This Row],[2027]]/1000, 0)</f>
        <v>0</v>
      </c>
      <c r="S102" s="14">
        <f>IF(ISNUMBER(Refsz_Verbräuche[[#This Row],[2028]]), Refsz_Verbräuche[[#This Row],[2028]]*Emissionsfaktoren[[#This Row],[2028]]/1000, 0)</f>
        <v>0</v>
      </c>
      <c r="T102" s="14">
        <f>IF(ISNUMBER(Refsz_Verbräuche[[#This Row],[2029]]), Refsz_Verbräuche[[#This Row],[2029]]*Emissionsfaktoren[[#This Row],[2029]]/1000, 0)</f>
        <v>0</v>
      </c>
      <c r="U102" s="14">
        <f>IF(ISNUMBER(Refsz_Verbräuche[[#This Row],[2030]]), Refsz_Verbräuche[[#This Row],[2030]]*Emissionsfaktoren[[#This Row],[2030]]/1000, 0)</f>
        <v>0</v>
      </c>
      <c r="V102" s="14">
        <f>IF(ISNUMBER(Refsz_Verbräuche[[#This Row],[2035]]), Refsz_Verbräuche[[#This Row],[2035]]*Emissionsfaktoren[[#This Row],[2035]]/1000, 0)</f>
        <v>0</v>
      </c>
      <c r="W102" s="14">
        <f>IF(ISNUMBER(Refsz_Verbräuche[[#This Row],[2040]]), Refsz_Verbräuche[[#This Row],[2040]]*Emissionsfaktoren[[#This Row],[2040]]/1000, 0)</f>
        <v>0</v>
      </c>
      <c r="X102" s="14">
        <f>IF(ISNUMBER(Refsz_Verbräuche[[#This Row],[2045]]), Refsz_Verbräuche[[#This Row],[2045]]*Emissionsfaktoren[[#This Row],[2045]]/1000, 0)</f>
        <v>0</v>
      </c>
      <c r="Y102" s="14">
        <f>IF(ISNUMBER(Refsz_Verbräuche[[#This Row],[2050]]), Refsz_Verbräuche[[#This Row],[2050]]*Emissionsfaktoren[[#This Row],[2050]]/1000, 0)</f>
        <v>0</v>
      </c>
    </row>
    <row r="103" spans="2:25" ht="16.5">
      <c r="B103" s="14">
        <v>86</v>
      </c>
      <c r="C103" s="14" t="str">
        <f>Refsz_Verbräuche[[#This Row],[Handlungsfeld]]</f>
        <v>Wasser</v>
      </c>
      <c r="D103" s="19" t="str">
        <f>Refsz_Verbräuche[[#This Row],[Datenpunkt]]</f>
        <v>Abwasser</v>
      </c>
      <c r="E103" t="s">
        <v>195</v>
      </c>
      <c r="F103" s="14">
        <f>IF(ISNUMBER(Refsz_Verbräuche[[#This Row],[2015]]), Refsz_Verbräuche[[#This Row],[2015]]*Emissionsfaktoren[[#This Row],[2015]]/1000, 0)</f>
        <v>0</v>
      </c>
      <c r="G103" s="14">
        <f>IF(ISNUMBER(Refsz_Verbräuche[[#This Row],[2016]]), Refsz_Verbräuche[[#This Row],[2016]]*Emissionsfaktoren[[#This Row],[2016]]/1000, 0)</f>
        <v>0</v>
      </c>
      <c r="H103" s="14">
        <f>IF(ISNUMBER(Refsz_Verbräuche[[#This Row],[2017]]), Refsz_Verbräuche[[#This Row],[2017]]*Emissionsfaktoren[[#This Row],[2017]]/1000, 0)</f>
        <v>0</v>
      </c>
      <c r="I103" s="14">
        <f>IF(ISNUMBER(Refsz_Verbräuche[[#This Row],[2018]]), Refsz_Verbräuche[[#This Row],[2018]]*Emissionsfaktoren[[#This Row],[2018]]/1000, 0)</f>
        <v>0</v>
      </c>
      <c r="J103" s="14">
        <f>IF(ISNUMBER(Refsz_Verbräuche[[#This Row],[2019]]), Refsz_Verbräuche[[#This Row],[2019]]*Emissionsfaktoren[[#This Row],[2019]]/1000, 0)</f>
        <v>0</v>
      </c>
      <c r="K103" s="14">
        <f>IF(ISNUMBER(Refsz_Verbräuche[[#This Row],[2020]]), Refsz_Verbräuche[[#This Row],[2020]]*Emissionsfaktoren[[#This Row],[2020]]/1000, 0)</f>
        <v>0</v>
      </c>
      <c r="L103" s="14">
        <f>IF(ISNUMBER(Refsz_Verbräuche[[#This Row],[2021]]), Refsz_Verbräuche[[#This Row],[2021]]*Emissionsfaktoren[[#This Row],[2021]]/1000, 0)</f>
        <v>0</v>
      </c>
      <c r="M103" s="14">
        <f>IF(ISNUMBER(Refsz_Verbräuche[[#This Row],[2022]]), Refsz_Verbräuche[[#This Row],[2022]]*Emissionsfaktoren[[#This Row],[2022]]/1000, 0)</f>
        <v>0</v>
      </c>
      <c r="N103" s="14">
        <f>IF(ISNUMBER(Refsz_Verbräuche[[#This Row],[2023]]), Refsz_Verbräuche[[#This Row],[2023]]*Emissionsfaktoren[[#This Row],[2023]]/1000, 0)</f>
        <v>0</v>
      </c>
      <c r="O103" s="14">
        <f>IF(ISNUMBER(Refsz_Verbräuche[[#This Row],[2024]]), Refsz_Verbräuche[[#This Row],[2024]]*Emissionsfaktoren[[#This Row],[2024]]/1000, 0)</f>
        <v>0</v>
      </c>
      <c r="P103" s="14">
        <f>IF(ISNUMBER(Refsz_Verbräuche[[#This Row],[2025]]), Refsz_Verbräuche[[#This Row],[2025]]*Emissionsfaktoren[[#This Row],[2025]]/1000, 0)</f>
        <v>0</v>
      </c>
      <c r="Q103" s="14">
        <f>IF(ISNUMBER(Refsz_Verbräuche[[#This Row],[2026]]), Refsz_Verbräuche[[#This Row],[2026]]*Emissionsfaktoren[[#This Row],[2026]]/1000, 0)</f>
        <v>0</v>
      </c>
      <c r="R103" s="14">
        <f>IF(ISNUMBER(Refsz_Verbräuche[[#This Row],[2027]]), Refsz_Verbräuche[[#This Row],[2027]]*Emissionsfaktoren[[#This Row],[2027]]/1000, 0)</f>
        <v>0</v>
      </c>
      <c r="S103" s="14">
        <f>IF(ISNUMBER(Refsz_Verbräuche[[#This Row],[2028]]), Refsz_Verbräuche[[#This Row],[2028]]*Emissionsfaktoren[[#This Row],[2028]]/1000, 0)</f>
        <v>0</v>
      </c>
      <c r="T103" s="14">
        <f>IF(ISNUMBER(Refsz_Verbräuche[[#This Row],[2029]]), Refsz_Verbräuche[[#This Row],[2029]]*Emissionsfaktoren[[#This Row],[2029]]/1000, 0)</f>
        <v>0</v>
      </c>
      <c r="U103" s="14">
        <f>IF(ISNUMBER(Refsz_Verbräuche[[#This Row],[2030]]), Refsz_Verbräuche[[#This Row],[2030]]*Emissionsfaktoren[[#This Row],[2030]]/1000, 0)</f>
        <v>0</v>
      </c>
      <c r="V103" s="14">
        <f>IF(ISNUMBER(Refsz_Verbräuche[[#This Row],[2035]]), Refsz_Verbräuche[[#This Row],[2035]]*Emissionsfaktoren[[#This Row],[2035]]/1000, 0)</f>
        <v>0</v>
      </c>
      <c r="W103" s="14">
        <f>IF(ISNUMBER(Refsz_Verbräuche[[#This Row],[2040]]), Refsz_Verbräuche[[#This Row],[2040]]*Emissionsfaktoren[[#This Row],[2040]]/1000, 0)</f>
        <v>0</v>
      </c>
      <c r="X103" s="14">
        <f>IF(ISNUMBER(Refsz_Verbräuche[[#This Row],[2045]]), Refsz_Verbräuche[[#This Row],[2045]]*Emissionsfaktoren[[#This Row],[2045]]/1000, 0)</f>
        <v>0</v>
      </c>
      <c r="Y103" s="14">
        <f>IF(ISNUMBER(Refsz_Verbräuche[[#This Row],[2050]]), Refsz_Verbräuche[[#This Row],[2050]]*Emissionsfaktoren[[#This Row],[2050]]/1000, 0)</f>
        <v>0</v>
      </c>
    </row>
    <row r="104" spans="2:25" ht="16.5">
      <c r="B104" s="14">
        <v>87</v>
      </c>
      <c r="C104" s="14" t="str">
        <f>Refsz_Verbräuche[[#This Row],[Handlungsfeld]]</f>
        <v>Wasser</v>
      </c>
      <c r="D104" s="19" t="str">
        <f>Refsz_Verbräuche[[#This Row],[Datenpunkt]]</f>
        <v>Trinkwasser</v>
      </c>
      <c r="E104" t="s">
        <v>195</v>
      </c>
      <c r="F104" s="14">
        <f>IF(ISNUMBER(Refsz_Verbräuche[[#This Row],[2015]]), Refsz_Verbräuche[[#This Row],[2015]]*Emissionsfaktoren[[#This Row],[2015]]/1000, 0)</f>
        <v>0</v>
      </c>
      <c r="G104" s="14">
        <f>IF(ISNUMBER(Refsz_Verbräuche[[#This Row],[2016]]), Refsz_Verbräuche[[#This Row],[2016]]*Emissionsfaktoren[[#This Row],[2016]]/1000, 0)</f>
        <v>0</v>
      </c>
      <c r="H104" s="14">
        <f>IF(ISNUMBER(Refsz_Verbräuche[[#This Row],[2017]]), Refsz_Verbräuche[[#This Row],[2017]]*Emissionsfaktoren[[#This Row],[2017]]/1000, 0)</f>
        <v>0</v>
      </c>
      <c r="I104" s="14">
        <f>IF(ISNUMBER(Refsz_Verbräuche[[#This Row],[2018]]), Refsz_Verbräuche[[#This Row],[2018]]*Emissionsfaktoren[[#This Row],[2018]]/1000, 0)</f>
        <v>0</v>
      </c>
      <c r="J104" s="14">
        <f>IF(ISNUMBER(Refsz_Verbräuche[[#This Row],[2019]]), Refsz_Verbräuche[[#This Row],[2019]]*Emissionsfaktoren[[#This Row],[2019]]/1000, 0)</f>
        <v>0</v>
      </c>
      <c r="K104" s="14">
        <f>IF(ISNUMBER(Refsz_Verbräuche[[#This Row],[2020]]), Refsz_Verbräuche[[#This Row],[2020]]*Emissionsfaktoren[[#This Row],[2020]]/1000, 0)</f>
        <v>0</v>
      </c>
      <c r="L104" s="14">
        <f>IF(ISNUMBER(Refsz_Verbräuche[[#This Row],[2021]]), Refsz_Verbräuche[[#This Row],[2021]]*Emissionsfaktoren[[#This Row],[2021]]/1000, 0)</f>
        <v>0</v>
      </c>
      <c r="M104" s="14">
        <f>IF(ISNUMBER(Refsz_Verbräuche[[#This Row],[2022]]), Refsz_Verbräuche[[#This Row],[2022]]*Emissionsfaktoren[[#This Row],[2022]]/1000, 0)</f>
        <v>0</v>
      </c>
      <c r="N104" s="14">
        <f>IF(ISNUMBER(Refsz_Verbräuche[[#This Row],[2023]]), Refsz_Verbräuche[[#This Row],[2023]]*Emissionsfaktoren[[#This Row],[2023]]/1000, 0)</f>
        <v>0</v>
      </c>
      <c r="O104" s="14">
        <f>IF(ISNUMBER(Refsz_Verbräuche[[#This Row],[2024]]), Refsz_Verbräuche[[#This Row],[2024]]*Emissionsfaktoren[[#This Row],[2024]]/1000, 0)</f>
        <v>0</v>
      </c>
      <c r="P104" s="14">
        <f>IF(ISNUMBER(Refsz_Verbräuche[[#This Row],[2025]]), Refsz_Verbräuche[[#This Row],[2025]]*Emissionsfaktoren[[#This Row],[2025]]/1000, 0)</f>
        <v>0</v>
      </c>
      <c r="Q104" s="14">
        <f>IF(ISNUMBER(Refsz_Verbräuche[[#This Row],[2026]]), Refsz_Verbräuche[[#This Row],[2026]]*Emissionsfaktoren[[#This Row],[2026]]/1000, 0)</f>
        <v>0</v>
      </c>
      <c r="R104" s="14">
        <f>IF(ISNUMBER(Refsz_Verbräuche[[#This Row],[2027]]), Refsz_Verbräuche[[#This Row],[2027]]*Emissionsfaktoren[[#This Row],[2027]]/1000, 0)</f>
        <v>0</v>
      </c>
      <c r="S104" s="14">
        <f>IF(ISNUMBER(Refsz_Verbräuche[[#This Row],[2028]]), Refsz_Verbräuche[[#This Row],[2028]]*Emissionsfaktoren[[#This Row],[2028]]/1000, 0)</f>
        <v>0</v>
      </c>
      <c r="T104" s="14">
        <f>IF(ISNUMBER(Refsz_Verbräuche[[#This Row],[2029]]), Refsz_Verbräuche[[#This Row],[2029]]*Emissionsfaktoren[[#This Row],[2029]]/1000, 0)</f>
        <v>0</v>
      </c>
      <c r="U104" s="14">
        <f>IF(ISNUMBER(Refsz_Verbräuche[[#This Row],[2030]]), Refsz_Verbräuche[[#This Row],[2030]]*Emissionsfaktoren[[#This Row],[2030]]/1000, 0)</f>
        <v>0</v>
      </c>
      <c r="V104" s="14">
        <f>IF(ISNUMBER(Refsz_Verbräuche[[#This Row],[2035]]), Refsz_Verbräuche[[#This Row],[2035]]*Emissionsfaktoren[[#This Row],[2035]]/1000, 0)</f>
        <v>0</v>
      </c>
      <c r="W104" s="14">
        <f>IF(ISNUMBER(Refsz_Verbräuche[[#This Row],[2040]]), Refsz_Verbräuche[[#This Row],[2040]]*Emissionsfaktoren[[#This Row],[2040]]/1000, 0)</f>
        <v>0</v>
      </c>
      <c r="X104" s="14">
        <f>IF(ISNUMBER(Refsz_Verbräuche[[#This Row],[2045]]), Refsz_Verbräuche[[#This Row],[2045]]*Emissionsfaktoren[[#This Row],[2045]]/1000, 0)</f>
        <v>0</v>
      </c>
      <c r="Y104" s="14">
        <f>IF(ISNUMBER(Refsz_Verbräuche[[#This Row],[2050]]), Refsz_Verbräuche[[#This Row],[2050]]*Emissionsfaktoren[[#This Row],[2050]]/1000, 0)</f>
        <v>0</v>
      </c>
    </row>
    <row r="105" spans="2:25" ht="16.5">
      <c r="B105" s="14">
        <v>88</v>
      </c>
      <c r="C105" s="14">
        <f>Refsz_Verbräuche[[#This Row],[Handlungsfeld]]</f>
        <v>0</v>
      </c>
      <c r="D105" s="19">
        <f>Refsz_Verbräuche[[#This Row],[Datenpunkt]]</f>
        <v>0</v>
      </c>
      <c r="E105" t="s">
        <v>195</v>
      </c>
      <c r="F105" s="14">
        <f>IF(ISNUMBER(Refsz_Verbräuche[[#This Row],[2015]]), Refsz_Verbräuche[[#This Row],[2015]]*Emissionsfaktoren[[#This Row],[2015]]/1000, 0)</f>
        <v>0</v>
      </c>
      <c r="G105" s="14">
        <f>IF(ISNUMBER(Refsz_Verbräuche[[#This Row],[2016]]), Refsz_Verbräuche[[#This Row],[2016]]*Emissionsfaktoren[[#This Row],[2016]]/1000, 0)</f>
        <v>0</v>
      </c>
      <c r="H105" s="14">
        <f>IF(ISNUMBER(Refsz_Verbräuche[[#This Row],[2017]]), Refsz_Verbräuche[[#This Row],[2017]]*Emissionsfaktoren[[#This Row],[2017]]/1000, 0)</f>
        <v>0</v>
      </c>
      <c r="I105" s="14">
        <f>IF(ISNUMBER(Refsz_Verbräuche[[#This Row],[2018]]), Refsz_Verbräuche[[#This Row],[2018]]*Emissionsfaktoren[[#This Row],[2018]]/1000, 0)</f>
        <v>0</v>
      </c>
      <c r="J105" s="14">
        <f>IF(ISNUMBER(Refsz_Verbräuche[[#This Row],[2019]]), Refsz_Verbräuche[[#This Row],[2019]]*Emissionsfaktoren[[#This Row],[2019]]/1000, 0)</f>
        <v>0</v>
      </c>
      <c r="K105" s="14">
        <f>IF(ISNUMBER(Refsz_Verbräuche[[#This Row],[2020]]), Refsz_Verbräuche[[#This Row],[2020]]*Emissionsfaktoren[[#This Row],[2020]]/1000, 0)</f>
        <v>0</v>
      </c>
      <c r="L105" s="14">
        <f>IF(ISNUMBER(Refsz_Verbräuche[[#This Row],[2021]]), Refsz_Verbräuche[[#This Row],[2021]]*Emissionsfaktoren[[#This Row],[2021]]/1000, 0)</f>
        <v>0</v>
      </c>
      <c r="M105" s="14">
        <f>IF(ISNUMBER(Refsz_Verbräuche[[#This Row],[2022]]), Refsz_Verbräuche[[#This Row],[2022]]*Emissionsfaktoren[[#This Row],[2022]]/1000, 0)</f>
        <v>0</v>
      </c>
      <c r="N105" s="14">
        <f>IF(ISNUMBER(Refsz_Verbräuche[[#This Row],[2023]]), Refsz_Verbräuche[[#This Row],[2023]]*Emissionsfaktoren[[#This Row],[2023]]/1000, 0)</f>
        <v>0</v>
      </c>
      <c r="O105" s="14">
        <f>IF(ISNUMBER(Refsz_Verbräuche[[#This Row],[2024]]), Refsz_Verbräuche[[#This Row],[2024]]*Emissionsfaktoren[[#This Row],[2024]]/1000, 0)</f>
        <v>0</v>
      </c>
      <c r="P105" s="14">
        <f>IF(ISNUMBER(Refsz_Verbräuche[[#This Row],[2025]]), Refsz_Verbräuche[[#This Row],[2025]]*Emissionsfaktoren[[#This Row],[2025]]/1000, 0)</f>
        <v>0</v>
      </c>
      <c r="Q105" s="14">
        <f>IF(ISNUMBER(Refsz_Verbräuche[[#This Row],[2026]]), Refsz_Verbräuche[[#This Row],[2026]]*Emissionsfaktoren[[#This Row],[2026]]/1000, 0)</f>
        <v>0</v>
      </c>
      <c r="R105" s="14">
        <f>IF(ISNUMBER(Refsz_Verbräuche[[#This Row],[2027]]), Refsz_Verbräuche[[#This Row],[2027]]*Emissionsfaktoren[[#This Row],[2027]]/1000, 0)</f>
        <v>0</v>
      </c>
      <c r="S105" s="14">
        <f>IF(ISNUMBER(Refsz_Verbräuche[[#This Row],[2028]]), Refsz_Verbräuche[[#This Row],[2028]]*Emissionsfaktoren[[#This Row],[2028]]/1000, 0)</f>
        <v>0</v>
      </c>
      <c r="T105" s="14">
        <f>IF(ISNUMBER(Refsz_Verbräuche[[#This Row],[2029]]), Refsz_Verbräuche[[#This Row],[2029]]*Emissionsfaktoren[[#This Row],[2029]]/1000, 0)</f>
        <v>0</v>
      </c>
      <c r="U105" s="14">
        <f>IF(ISNUMBER(Refsz_Verbräuche[[#This Row],[2030]]), Refsz_Verbräuche[[#This Row],[2030]]*Emissionsfaktoren[[#This Row],[2030]]/1000, 0)</f>
        <v>0</v>
      </c>
      <c r="V105" s="14">
        <f>IF(ISNUMBER(Refsz_Verbräuche[[#This Row],[2035]]), Refsz_Verbräuche[[#This Row],[2035]]*Emissionsfaktoren[[#This Row],[2035]]/1000, 0)</f>
        <v>0</v>
      </c>
      <c r="W105" s="14">
        <f>IF(ISNUMBER(Refsz_Verbräuche[[#This Row],[2040]]), Refsz_Verbräuche[[#This Row],[2040]]*Emissionsfaktoren[[#This Row],[2040]]/1000, 0)</f>
        <v>0</v>
      </c>
      <c r="X105" s="14">
        <f>IF(ISNUMBER(Refsz_Verbräuche[[#This Row],[2045]]), Refsz_Verbräuche[[#This Row],[2045]]*Emissionsfaktoren[[#This Row],[2045]]/1000, 0)</f>
        <v>0</v>
      </c>
      <c r="Y105" s="14">
        <f>IF(ISNUMBER(Refsz_Verbräuche[[#This Row],[2050]]), Refsz_Verbräuche[[#This Row],[2050]]*Emissionsfaktoren[[#This Row],[2050]]/1000, 0)</f>
        <v>0</v>
      </c>
    </row>
    <row r="106" spans="2:25" ht="16.5">
      <c r="B106" s="14">
        <v>89</v>
      </c>
      <c r="C106" s="14" t="str">
        <f>Refsz_Verbräuche[[#This Row],[Handlungsfeld]]</f>
        <v>Waren und Dienstleistungen</v>
      </c>
      <c r="D106" s="19" t="str">
        <f>Refsz_Verbräuche[[#This Row],[Datenpunkt]]</f>
        <v>Recyclingpapier</v>
      </c>
      <c r="E106" t="s">
        <v>195</v>
      </c>
      <c r="F106" s="14">
        <f>IF(ISNUMBER(Refsz_Verbräuche[[#This Row],[2015]]), Refsz_Verbräuche[[#This Row],[2015]]*Emissionsfaktoren[[#This Row],[2015]]/1000, 0)</f>
        <v>0</v>
      </c>
      <c r="G106" s="14">
        <f>IF(ISNUMBER(Refsz_Verbräuche[[#This Row],[2016]]), Refsz_Verbräuche[[#This Row],[2016]]*Emissionsfaktoren[[#This Row],[2016]]/1000, 0)</f>
        <v>0</v>
      </c>
      <c r="H106" s="14">
        <f>IF(ISNUMBER(Refsz_Verbräuche[[#This Row],[2017]]), Refsz_Verbräuche[[#This Row],[2017]]*Emissionsfaktoren[[#This Row],[2017]]/1000, 0)</f>
        <v>0</v>
      </c>
      <c r="I106" s="14">
        <f>IF(ISNUMBER(Refsz_Verbräuche[[#This Row],[2018]]), Refsz_Verbräuche[[#This Row],[2018]]*Emissionsfaktoren[[#This Row],[2018]]/1000, 0)</f>
        <v>0</v>
      </c>
      <c r="J106" s="14">
        <f>IF(ISNUMBER(Refsz_Verbräuche[[#This Row],[2019]]), Refsz_Verbräuche[[#This Row],[2019]]*Emissionsfaktoren[[#This Row],[2019]]/1000, 0)</f>
        <v>0</v>
      </c>
      <c r="K106" s="14">
        <f>IF(ISNUMBER(Refsz_Verbräuche[[#This Row],[2020]]), Refsz_Verbräuche[[#This Row],[2020]]*Emissionsfaktoren[[#This Row],[2020]]/1000, 0)</f>
        <v>0</v>
      </c>
      <c r="L106" s="14">
        <f>IF(ISNUMBER(Refsz_Verbräuche[[#This Row],[2021]]), Refsz_Verbräuche[[#This Row],[2021]]*Emissionsfaktoren[[#This Row],[2021]]/1000, 0)</f>
        <v>0</v>
      </c>
      <c r="M106" s="14">
        <f>IF(ISNUMBER(Refsz_Verbräuche[[#This Row],[2022]]), Refsz_Verbräuche[[#This Row],[2022]]*Emissionsfaktoren[[#This Row],[2022]]/1000, 0)</f>
        <v>0</v>
      </c>
      <c r="N106" s="14">
        <f>IF(ISNUMBER(Refsz_Verbräuche[[#This Row],[2023]]), Refsz_Verbräuche[[#This Row],[2023]]*Emissionsfaktoren[[#This Row],[2023]]/1000, 0)</f>
        <v>0</v>
      </c>
      <c r="O106" s="14">
        <f>IF(ISNUMBER(Refsz_Verbräuche[[#This Row],[2024]]), Refsz_Verbräuche[[#This Row],[2024]]*Emissionsfaktoren[[#This Row],[2024]]/1000, 0)</f>
        <v>0</v>
      </c>
      <c r="P106" s="14">
        <f>IF(ISNUMBER(Refsz_Verbräuche[[#This Row],[2025]]), Refsz_Verbräuche[[#This Row],[2025]]*Emissionsfaktoren[[#This Row],[2025]]/1000, 0)</f>
        <v>0</v>
      </c>
      <c r="Q106" s="14">
        <f>IF(ISNUMBER(Refsz_Verbräuche[[#This Row],[2026]]), Refsz_Verbräuche[[#This Row],[2026]]*Emissionsfaktoren[[#This Row],[2026]]/1000, 0)</f>
        <v>0</v>
      </c>
      <c r="R106" s="14">
        <f>IF(ISNUMBER(Refsz_Verbräuche[[#This Row],[2027]]), Refsz_Verbräuche[[#This Row],[2027]]*Emissionsfaktoren[[#This Row],[2027]]/1000, 0)</f>
        <v>0</v>
      </c>
      <c r="S106" s="14">
        <f>IF(ISNUMBER(Refsz_Verbräuche[[#This Row],[2028]]), Refsz_Verbräuche[[#This Row],[2028]]*Emissionsfaktoren[[#This Row],[2028]]/1000, 0)</f>
        <v>0</v>
      </c>
      <c r="T106" s="14">
        <f>IF(ISNUMBER(Refsz_Verbräuche[[#This Row],[2029]]), Refsz_Verbräuche[[#This Row],[2029]]*Emissionsfaktoren[[#This Row],[2029]]/1000, 0)</f>
        <v>0</v>
      </c>
      <c r="U106" s="14">
        <f>IF(ISNUMBER(Refsz_Verbräuche[[#This Row],[2030]]), Refsz_Verbräuche[[#This Row],[2030]]*Emissionsfaktoren[[#This Row],[2030]]/1000, 0)</f>
        <v>0</v>
      </c>
      <c r="V106" s="14">
        <f>IF(ISNUMBER(Refsz_Verbräuche[[#This Row],[2035]]), Refsz_Verbräuche[[#This Row],[2035]]*Emissionsfaktoren[[#This Row],[2035]]/1000, 0)</f>
        <v>0</v>
      </c>
      <c r="W106" s="14">
        <f>IF(ISNUMBER(Refsz_Verbräuche[[#This Row],[2040]]), Refsz_Verbräuche[[#This Row],[2040]]*Emissionsfaktoren[[#This Row],[2040]]/1000, 0)</f>
        <v>0</v>
      </c>
      <c r="X106" s="14">
        <f>IF(ISNUMBER(Refsz_Verbräuche[[#This Row],[2045]]), Refsz_Verbräuche[[#This Row],[2045]]*Emissionsfaktoren[[#This Row],[2045]]/1000, 0)</f>
        <v>0</v>
      </c>
      <c r="Y106" s="14">
        <f>IF(ISNUMBER(Refsz_Verbräuche[[#This Row],[2050]]), Refsz_Verbräuche[[#This Row],[2050]]*Emissionsfaktoren[[#This Row],[2050]]/1000, 0)</f>
        <v>0</v>
      </c>
    </row>
    <row r="107" spans="2:25" ht="16.5">
      <c r="B107" s="14">
        <v>90</v>
      </c>
      <c r="C107" s="14" t="str">
        <f>Refsz_Verbräuche[[#This Row],[Handlungsfeld]]</f>
        <v>Waren und Dienstleistungen</v>
      </c>
      <c r="D107" s="19" t="str">
        <f>Refsz_Verbräuche[[#This Row],[Datenpunkt]]</f>
        <v>Frischfaserpapier</v>
      </c>
      <c r="E107" t="s">
        <v>195</v>
      </c>
      <c r="F107" s="14">
        <f>IF(ISNUMBER(Refsz_Verbräuche[[#This Row],[2015]]), Refsz_Verbräuche[[#This Row],[2015]]*Emissionsfaktoren[[#This Row],[2015]]/1000, 0)</f>
        <v>0</v>
      </c>
      <c r="G107" s="14">
        <f>IF(ISNUMBER(Refsz_Verbräuche[[#This Row],[2016]]), Refsz_Verbräuche[[#This Row],[2016]]*Emissionsfaktoren[[#This Row],[2016]]/1000, 0)</f>
        <v>0</v>
      </c>
      <c r="H107" s="14">
        <f>IF(ISNUMBER(Refsz_Verbräuche[[#This Row],[2017]]), Refsz_Verbräuche[[#This Row],[2017]]*Emissionsfaktoren[[#This Row],[2017]]/1000, 0)</f>
        <v>0</v>
      </c>
      <c r="I107" s="14">
        <f>IF(ISNUMBER(Refsz_Verbräuche[[#This Row],[2018]]), Refsz_Verbräuche[[#This Row],[2018]]*Emissionsfaktoren[[#This Row],[2018]]/1000, 0)</f>
        <v>0</v>
      </c>
      <c r="J107" s="14">
        <f>IF(ISNUMBER(Refsz_Verbräuche[[#This Row],[2019]]), Refsz_Verbräuche[[#This Row],[2019]]*Emissionsfaktoren[[#This Row],[2019]]/1000, 0)</f>
        <v>0</v>
      </c>
      <c r="K107" s="14">
        <f>IF(ISNUMBER(Refsz_Verbräuche[[#This Row],[2020]]), Refsz_Verbräuche[[#This Row],[2020]]*Emissionsfaktoren[[#This Row],[2020]]/1000, 0)</f>
        <v>0</v>
      </c>
      <c r="L107" s="14">
        <f>IF(ISNUMBER(Refsz_Verbräuche[[#This Row],[2021]]), Refsz_Verbräuche[[#This Row],[2021]]*Emissionsfaktoren[[#This Row],[2021]]/1000, 0)</f>
        <v>0</v>
      </c>
      <c r="M107" s="14">
        <f>IF(ISNUMBER(Refsz_Verbräuche[[#This Row],[2022]]), Refsz_Verbräuche[[#This Row],[2022]]*Emissionsfaktoren[[#This Row],[2022]]/1000, 0)</f>
        <v>0</v>
      </c>
      <c r="N107" s="14">
        <f>IF(ISNUMBER(Refsz_Verbräuche[[#This Row],[2023]]), Refsz_Verbräuche[[#This Row],[2023]]*Emissionsfaktoren[[#This Row],[2023]]/1000, 0)</f>
        <v>0</v>
      </c>
      <c r="O107" s="14">
        <f>IF(ISNUMBER(Refsz_Verbräuche[[#This Row],[2024]]), Refsz_Verbräuche[[#This Row],[2024]]*Emissionsfaktoren[[#This Row],[2024]]/1000, 0)</f>
        <v>0</v>
      </c>
      <c r="P107" s="14">
        <f>IF(ISNUMBER(Refsz_Verbräuche[[#This Row],[2025]]), Refsz_Verbräuche[[#This Row],[2025]]*Emissionsfaktoren[[#This Row],[2025]]/1000, 0)</f>
        <v>0</v>
      </c>
      <c r="Q107" s="14">
        <f>IF(ISNUMBER(Refsz_Verbräuche[[#This Row],[2026]]), Refsz_Verbräuche[[#This Row],[2026]]*Emissionsfaktoren[[#This Row],[2026]]/1000, 0)</f>
        <v>0</v>
      </c>
      <c r="R107" s="14">
        <f>IF(ISNUMBER(Refsz_Verbräuche[[#This Row],[2027]]), Refsz_Verbräuche[[#This Row],[2027]]*Emissionsfaktoren[[#This Row],[2027]]/1000, 0)</f>
        <v>0</v>
      </c>
      <c r="S107" s="14">
        <f>IF(ISNUMBER(Refsz_Verbräuche[[#This Row],[2028]]), Refsz_Verbräuche[[#This Row],[2028]]*Emissionsfaktoren[[#This Row],[2028]]/1000, 0)</f>
        <v>0</v>
      </c>
      <c r="T107" s="14">
        <f>IF(ISNUMBER(Refsz_Verbräuche[[#This Row],[2029]]), Refsz_Verbräuche[[#This Row],[2029]]*Emissionsfaktoren[[#This Row],[2029]]/1000, 0)</f>
        <v>0</v>
      </c>
      <c r="U107" s="14">
        <f>IF(ISNUMBER(Refsz_Verbräuche[[#This Row],[2030]]), Refsz_Verbräuche[[#This Row],[2030]]*Emissionsfaktoren[[#This Row],[2030]]/1000, 0)</f>
        <v>0</v>
      </c>
      <c r="V107" s="14">
        <f>IF(ISNUMBER(Refsz_Verbräuche[[#This Row],[2035]]), Refsz_Verbräuche[[#This Row],[2035]]*Emissionsfaktoren[[#This Row],[2035]]/1000, 0)</f>
        <v>0</v>
      </c>
      <c r="W107" s="14">
        <f>IF(ISNUMBER(Refsz_Verbräuche[[#This Row],[2040]]), Refsz_Verbräuche[[#This Row],[2040]]*Emissionsfaktoren[[#This Row],[2040]]/1000, 0)</f>
        <v>0</v>
      </c>
      <c r="X107" s="14">
        <f>IF(ISNUMBER(Refsz_Verbräuche[[#This Row],[2045]]), Refsz_Verbräuche[[#This Row],[2045]]*Emissionsfaktoren[[#This Row],[2045]]/1000, 0)</f>
        <v>0</v>
      </c>
      <c r="Y107" s="14">
        <f>IF(ISNUMBER(Refsz_Verbräuche[[#This Row],[2050]]), Refsz_Verbräuche[[#This Row],[2050]]*Emissionsfaktoren[[#This Row],[2050]]/1000, 0)</f>
        <v>0</v>
      </c>
    </row>
    <row r="108" spans="2:25" ht="16.5">
      <c r="B108" s="14">
        <v>91</v>
      </c>
      <c r="C108" s="14" t="str">
        <f>Refsz_Verbräuche[[#This Row],[Handlungsfeld]]</f>
        <v>Waren und Dienstleistungen</v>
      </c>
      <c r="D108" s="19" t="str">
        <f>Refsz_Verbräuche[[#This Row],[Datenpunkt]]</f>
        <v>Toilettenpapier (Recycling)</v>
      </c>
      <c r="E108" t="s">
        <v>195</v>
      </c>
      <c r="F108" s="14">
        <f>IF(ISNUMBER(Refsz_Verbräuche[[#This Row],[2015]]), Refsz_Verbräuche[[#This Row],[2015]]*Emissionsfaktoren[[#This Row],[2015]]/1000, 0)</f>
        <v>0</v>
      </c>
      <c r="G108" s="14">
        <f>IF(ISNUMBER(Refsz_Verbräuche[[#This Row],[2016]]), Refsz_Verbräuche[[#This Row],[2016]]*Emissionsfaktoren[[#This Row],[2016]]/1000, 0)</f>
        <v>0</v>
      </c>
      <c r="H108" s="14">
        <f>IF(ISNUMBER(Refsz_Verbräuche[[#This Row],[2017]]), Refsz_Verbräuche[[#This Row],[2017]]*Emissionsfaktoren[[#This Row],[2017]]/1000, 0)</f>
        <v>0</v>
      </c>
      <c r="I108" s="14">
        <f>IF(ISNUMBER(Refsz_Verbräuche[[#This Row],[2018]]), Refsz_Verbräuche[[#This Row],[2018]]*Emissionsfaktoren[[#This Row],[2018]]/1000, 0)</f>
        <v>0</v>
      </c>
      <c r="J108" s="14">
        <f>IF(ISNUMBER(Refsz_Verbräuche[[#This Row],[2019]]), Refsz_Verbräuche[[#This Row],[2019]]*Emissionsfaktoren[[#This Row],[2019]]/1000, 0)</f>
        <v>0</v>
      </c>
      <c r="K108" s="14">
        <f>IF(ISNUMBER(Refsz_Verbräuche[[#This Row],[2020]]), Refsz_Verbräuche[[#This Row],[2020]]*Emissionsfaktoren[[#This Row],[2020]]/1000, 0)</f>
        <v>0</v>
      </c>
      <c r="L108" s="14">
        <f>IF(ISNUMBER(Refsz_Verbräuche[[#This Row],[2021]]), Refsz_Verbräuche[[#This Row],[2021]]*Emissionsfaktoren[[#This Row],[2021]]/1000, 0)</f>
        <v>0</v>
      </c>
      <c r="M108" s="14">
        <f>IF(ISNUMBER(Refsz_Verbräuche[[#This Row],[2022]]), Refsz_Verbräuche[[#This Row],[2022]]*Emissionsfaktoren[[#This Row],[2022]]/1000, 0)</f>
        <v>0</v>
      </c>
      <c r="N108" s="14">
        <f>IF(ISNUMBER(Refsz_Verbräuche[[#This Row],[2023]]), Refsz_Verbräuche[[#This Row],[2023]]*Emissionsfaktoren[[#This Row],[2023]]/1000, 0)</f>
        <v>0</v>
      </c>
      <c r="O108" s="14">
        <f>IF(ISNUMBER(Refsz_Verbräuche[[#This Row],[2024]]), Refsz_Verbräuche[[#This Row],[2024]]*Emissionsfaktoren[[#This Row],[2024]]/1000, 0)</f>
        <v>0</v>
      </c>
      <c r="P108" s="14">
        <f>IF(ISNUMBER(Refsz_Verbräuche[[#This Row],[2025]]), Refsz_Verbräuche[[#This Row],[2025]]*Emissionsfaktoren[[#This Row],[2025]]/1000, 0)</f>
        <v>0</v>
      </c>
      <c r="Q108" s="14">
        <f>IF(ISNUMBER(Refsz_Verbräuche[[#This Row],[2026]]), Refsz_Verbräuche[[#This Row],[2026]]*Emissionsfaktoren[[#This Row],[2026]]/1000, 0)</f>
        <v>0</v>
      </c>
      <c r="R108" s="14">
        <f>IF(ISNUMBER(Refsz_Verbräuche[[#This Row],[2027]]), Refsz_Verbräuche[[#This Row],[2027]]*Emissionsfaktoren[[#This Row],[2027]]/1000, 0)</f>
        <v>0</v>
      </c>
      <c r="S108" s="14">
        <f>IF(ISNUMBER(Refsz_Verbräuche[[#This Row],[2028]]), Refsz_Verbräuche[[#This Row],[2028]]*Emissionsfaktoren[[#This Row],[2028]]/1000, 0)</f>
        <v>0</v>
      </c>
      <c r="T108" s="14">
        <f>IF(ISNUMBER(Refsz_Verbräuche[[#This Row],[2029]]), Refsz_Verbräuche[[#This Row],[2029]]*Emissionsfaktoren[[#This Row],[2029]]/1000, 0)</f>
        <v>0</v>
      </c>
      <c r="U108" s="14">
        <f>IF(ISNUMBER(Refsz_Verbräuche[[#This Row],[2030]]), Refsz_Verbräuche[[#This Row],[2030]]*Emissionsfaktoren[[#This Row],[2030]]/1000, 0)</f>
        <v>0</v>
      </c>
      <c r="V108" s="14">
        <f>IF(ISNUMBER(Refsz_Verbräuche[[#This Row],[2035]]), Refsz_Verbräuche[[#This Row],[2035]]*Emissionsfaktoren[[#This Row],[2035]]/1000, 0)</f>
        <v>0</v>
      </c>
      <c r="W108" s="14">
        <f>IF(ISNUMBER(Refsz_Verbräuche[[#This Row],[2040]]), Refsz_Verbräuche[[#This Row],[2040]]*Emissionsfaktoren[[#This Row],[2040]]/1000, 0)</f>
        <v>0</v>
      </c>
      <c r="X108" s="14">
        <f>IF(ISNUMBER(Refsz_Verbräuche[[#This Row],[2045]]), Refsz_Verbräuche[[#This Row],[2045]]*Emissionsfaktoren[[#This Row],[2045]]/1000, 0)</f>
        <v>0</v>
      </c>
      <c r="Y108" s="14">
        <f>IF(ISNUMBER(Refsz_Verbräuche[[#This Row],[2050]]), Refsz_Verbräuche[[#This Row],[2050]]*Emissionsfaktoren[[#This Row],[2050]]/1000, 0)</f>
        <v>0</v>
      </c>
    </row>
    <row r="109" spans="2:25" ht="16.5">
      <c r="B109" s="14">
        <v>92</v>
      </c>
      <c r="C109" s="14" t="str">
        <f>Refsz_Verbräuche[[#This Row],[Handlungsfeld]]</f>
        <v>Waren und Dienstleistungen</v>
      </c>
      <c r="D109" s="19" t="str">
        <f>Refsz_Verbräuche[[#This Row],[Datenpunkt]]</f>
        <v>Papierhandtücher (Recycling)</v>
      </c>
      <c r="E109" t="s">
        <v>195</v>
      </c>
      <c r="F109" s="14">
        <f>IF(ISNUMBER(Refsz_Verbräuche[[#This Row],[2015]]), Refsz_Verbräuche[[#This Row],[2015]]*Emissionsfaktoren[[#This Row],[2015]]/1000, 0)</f>
        <v>0</v>
      </c>
      <c r="G109" s="14">
        <f>IF(ISNUMBER(Refsz_Verbräuche[[#This Row],[2016]]), Refsz_Verbräuche[[#This Row],[2016]]*Emissionsfaktoren[[#This Row],[2016]]/1000, 0)</f>
        <v>0</v>
      </c>
      <c r="H109" s="14">
        <f>IF(ISNUMBER(Refsz_Verbräuche[[#This Row],[2017]]), Refsz_Verbräuche[[#This Row],[2017]]*Emissionsfaktoren[[#This Row],[2017]]/1000, 0)</f>
        <v>0</v>
      </c>
      <c r="I109" s="14">
        <f>IF(ISNUMBER(Refsz_Verbräuche[[#This Row],[2018]]), Refsz_Verbräuche[[#This Row],[2018]]*Emissionsfaktoren[[#This Row],[2018]]/1000, 0)</f>
        <v>0</v>
      </c>
      <c r="J109" s="14">
        <f>IF(ISNUMBER(Refsz_Verbräuche[[#This Row],[2019]]), Refsz_Verbräuche[[#This Row],[2019]]*Emissionsfaktoren[[#This Row],[2019]]/1000, 0)</f>
        <v>0</v>
      </c>
      <c r="K109" s="14">
        <f>IF(ISNUMBER(Refsz_Verbräuche[[#This Row],[2020]]), Refsz_Verbräuche[[#This Row],[2020]]*Emissionsfaktoren[[#This Row],[2020]]/1000, 0)</f>
        <v>0</v>
      </c>
      <c r="L109" s="14">
        <f>IF(ISNUMBER(Refsz_Verbräuche[[#This Row],[2021]]), Refsz_Verbräuche[[#This Row],[2021]]*Emissionsfaktoren[[#This Row],[2021]]/1000, 0)</f>
        <v>0</v>
      </c>
      <c r="M109" s="14">
        <f>IF(ISNUMBER(Refsz_Verbräuche[[#This Row],[2022]]), Refsz_Verbräuche[[#This Row],[2022]]*Emissionsfaktoren[[#This Row],[2022]]/1000, 0)</f>
        <v>0</v>
      </c>
      <c r="N109" s="14">
        <f>IF(ISNUMBER(Refsz_Verbräuche[[#This Row],[2023]]), Refsz_Verbräuche[[#This Row],[2023]]*Emissionsfaktoren[[#This Row],[2023]]/1000, 0)</f>
        <v>0</v>
      </c>
      <c r="O109" s="14">
        <f>IF(ISNUMBER(Refsz_Verbräuche[[#This Row],[2024]]), Refsz_Verbräuche[[#This Row],[2024]]*Emissionsfaktoren[[#This Row],[2024]]/1000, 0)</f>
        <v>0</v>
      </c>
      <c r="P109" s="14">
        <f>IF(ISNUMBER(Refsz_Verbräuche[[#This Row],[2025]]), Refsz_Verbräuche[[#This Row],[2025]]*Emissionsfaktoren[[#This Row],[2025]]/1000, 0)</f>
        <v>0</v>
      </c>
      <c r="Q109" s="14">
        <f>IF(ISNUMBER(Refsz_Verbräuche[[#This Row],[2026]]), Refsz_Verbräuche[[#This Row],[2026]]*Emissionsfaktoren[[#This Row],[2026]]/1000, 0)</f>
        <v>0</v>
      </c>
      <c r="R109" s="14">
        <f>IF(ISNUMBER(Refsz_Verbräuche[[#This Row],[2027]]), Refsz_Verbräuche[[#This Row],[2027]]*Emissionsfaktoren[[#This Row],[2027]]/1000, 0)</f>
        <v>0</v>
      </c>
      <c r="S109" s="14">
        <f>IF(ISNUMBER(Refsz_Verbräuche[[#This Row],[2028]]), Refsz_Verbräuche[[#This Row],[2028]]*Emissionsfaktoren[[#This Row],[2028]]/1000, 0)</f>
        <v>0</v>
      </c>
      <c r="T109" s="14">
        <f>IF(ISNUMBER(Refsz_Verbräuche[[#This Row],[2029]]), Refsz_Verbräuche[[#This Row],[2029]]*Emissionsfaktoren[[#This Row],[2029]]/1000, 0)</f>
        <v>0</v>
      </c>
      <c r="U109" s="14">
        <f>IF(ISNUMBER(Refsz_Verbräuche[[#This Row],[2030]]), Refsz_Verbräuche[[#This Row],[2030]]*Emissionsfaktoren[[#This Row],[2030]]/1000, 0)</f>
        <v>0</v>
      </c>
      <c r="V109" s="14">
        <f>IF(ISNUMBER(Refsz_Verbräuche[[#This Row],[2035]]), Refsz_Verbräuche[[#This Row],[2035]]*Emissionsfaktoren[[#This Row],[2035]]/1000, 0)</f>
        <v>0</v>
      </c>
      <c r="W109" s="14">
        <f>IF(ISNUMBER(Refsz_Verbräuche[[#This Row],[2040]]), Refsz_Verbräuche[[#This Row],[2040]]*Emissionsfaktoren[[#This Row],[2040]]/1000, 0)</f>
        <v>0</v>
      </c>
      <c r="X109" s="14">
        <f>IF(ISNUMBER(Refsz_Verbräuche[[#This Row],[2045]]), Refsz_Verbräuche[[#This Row],[2045]]*Emissionsfaktoren[[#This Row],[2045]]/1000, 0)</f>
        <v>0</v>
      </c>
      <c r="Y109" s="14">
        <f>IF(ISNUMBER(Refsz_Verbräuche[[#This Row],[2050]]), Refsz_Verbräuche[[#This Row],[2050]]*Emissionsfaktoren[[#This Row],[2050]]/1000, 0)</f>
        <v>0</v>
      </c>
    </row>
    <row r="110" spans="2:25" ht="16.5">
      <c r="B110" s="14">
        <v>93</v>
      </c>
      <c r="C110" s="14">
        <f>Refsz_Verbräuche[[#This Row],[Handlungsfeld]]</f>
        <v>0</v>
      </c>
      <c r="D110" s="19">
        <f>Refsz_Verbräuche[[#This Row],[Datenpunkt]]</f>
        <v>0</v>
      </c>
      <c r="E110" t="s">
        <v>195</v>
      </c>
      <c r="F110" s="14">
        <f>IF(ISNUMBER(Refsz_Verbräuche[[#This Row],[2015]]), Refsz_Verbräuche[[#This Row],[2015]]*Emissionsfaktoren[[#This Row],[2015]]/1000, 0)</f>
        <v>0</v>
      </c>
      <c r="G110" s="14">
        <f>IF(ISNUMBER(Refsz_Verbräuche[[#This Row],[2016]]), Refsz_Verbräuche[[#This Row],[2016]]*Emissionsfaktoren[[#This Row],[2016]]/1000, 0)</f>
        <v>0</v>
      </c>
      <c r="H110" s="14">
        <f>IF(ISNUMBER(Refsz_Verbräuche[[#This Row],[2017]]), Refsz_Verbräuche[[#This Row],[2017]]*Emissionsfaktoren[[#This Row],[2017]]/1000, 0)</f>
        <v>0</v>
      </c>
      <c r="I110" s="14">
        <f>IF(ISNUMBER(Refsz_Verbräuche[[#This Row],[2018]]), Refsz_Verbräuche[[#This Row],[2018]]*Emissionsfaktoren[[#This Row],[2018]]/1000, 0)</f>
        <v>0</v>
      </c>
      <c r="J110" s="14">
        <f>IF(ISNUMBER(Refsz_Verbräuche[[#This Row],[2019]]), Refsz_Verbräuche[[#This Row],[2019]]*Emissionsfaktoren[[#This Row],[2019]]/1000, 0)</f>
        <v>0</v>
      </c>
      <c r="K110" s="14">
        <f>IF(ISNUMBER(Refsz_Verbräuche[[#This Row],[2020]]), Refsz_Verbräuche[[#This Row],[2020]]*Emissionsfaktoren[[#This Row],[2020]]/1000, 0)</f>
        <v>0</v>
      </c>
      <c r="L110" s="14">
        <f>IF(ISNUMBER(Refsz_Verbräuche[[#This Row],[2021]]), Refsz_Verbräuche[[#This Row],[2021]]*Emissionsfaktoren[[#This Row],[2021]]/1000, 0)</f>
        <v>0</v>
      </c>
      <c r="M110" s="14">
        <f>IF(ISNUMBER(Refsz_Verbräuche[[#This Row],[2022]]), Refsz_Verbräuche[[#This Row],[2022]]*Emissionsfaktoren[[#This Row],[2022]]/1000, 0)</f>
        <v>0</v>
      </c>
      <c r="N110" s="14">
        <f>IF(ISNUMBER(Refsz_Verbräuche[[#This Row],[2023]]), Refsz_Verbräuche[[#This Row],[2023]]*Emissionsfaktoren[[#This Row],[2023]]/1000, 0)</f>
        <v>0</v>
      </c>
      <c r="O110" s="14">
        <f>IF(ISNUMBER(Refsz_Verbräuche[[#This Row],[2024]]), Refsz_Verbräuche[[#This Row],[2024]]*Emissionsfaktoren[[#This Row],[2024]]/1000, 0)</f>
        <v>0</v>
      </c>
      <c r="P110" s="14">
        <f>IF(ISNUMBER(Refsz_Verbräuche[[#This Row],[2025]]), Refsz_Verbräuche[[#This Row],[2025]]*Emissionsfaktoren[[#This Row],[2025]]/1000, 0)</f>
        <v>0</v>
      </c>
      <c r="Q110" s="14">
        <f>IF(ISNUMBER(Refsz_Verbräuche[[#This Row],[2026]]), Refsz_Verbräuche[[#This Row],[2026]]*Emissionsfaktoren[[#This Row],[2026]]/1000, 0)</f>
        <v>0</v>
      </c>
      <c r="R110" s="14">
        <f>IF(ISNUMBER(Refsz_Verbräuche[[#This Row],[2027]]), Refsz_Verbräuche[[#This Row],[2027]]*Emissionsfaktoren[[#This Row],[2027]]/1000, 0)</f>
        <v>0</v>
      </c>
      <c r="S110" s="14">
        <f>IF(ISNUMBER(Refsz_Verbräuche[[#This Row],[2028]]), Refsz_Verbräuche[[#This Row],[2028]]*Emissionsfaktoren[[#This Row],[2028]]/1000, 0)</f>
        <v>0</v>
      </c>
      <c r="T110" s="14">
        <f>IF(ISNUMBER(Refsz_Verbräuche[[#This Row],[2029]]), Refsz_Verbräuche[[#This Row],[2029]]*Emissionsfaktoren[[#This Row],[2029]]/1000, 0)</f>
        <v>0</v>
      </c>
      <c r="U110" s="14">
        <f>IF(ISNUMBER(Refsz_Verbräuche[[#This Row],[2030]]), Refsz_Verbräuche[[#This Row],[2030]]*Emissionsfaktoren[[#This Row],[2030]]/1000, 0)</f>
        <v>0</v>
      </c>
      <c r="V110" s="14">
        <f>IF(ISNUMBER(Refsz_Verbräuche[[#This Row],[2035]]), Refsz_Verbräuche[[#This Row],[2035]]*Emissionsfaktoren[[#This Row],[2035]]/1000, 0)</f>
        <v>0</v>
      </c>
      <c r="W110" s="14">
        <f>IF(ISNUMBER(Refsz_Verbräuche[[#This Row],[2040]]), Refsz_Verbräuche[[#This Row],[2040]]*Emissionsfaktoren[[#This Row],[2040]]/1000, 0)</f>
        <v>0</v>
      </c>
      <c r="X110" s="14">
        <f>IF(ISNUMBER(Refsz_Verbräuche[[#This Row],[2045]]), Refsz_Verbräuche[[#This Row],[2045]]*Emissionsfaktoren[[#This Row],[2045]]/1000, 0)</f>
        <v>0</v>
      </c>
      <c r="Y110" s="14">
        <f>IF(ISNUMBER(Refsz_Verbräuche[[#This Row],[2050]]), Refsz_Verbräuche[[#This Row],[2050]]*Emissionsfaktoren[[#This Row],[2050]]/1000, 0)</f>
        <v>0</v>
      </c>
    </row>
    <row r="111" spans="2:25" ht="16.5">
      <c r="B111" s="14">
        <v>94</v>
      </c>
      <c r="C111" s="14" t="str">
        <f>Refsz_Verbräuche[[#This Row],[Handlungsfeld]]</f>
        <v>Waren und Dienstleistungen</v>
      </c>
      <c r="D111" s="19" t="str">
        <f>Refsz_Verbräuche[[#This Row],[Datenpunkt]]</f>
        <v>Outgesourcte Leistungen des Rechenzentrums</v>
      </c>
      <c r="E111" t="s">
        <v>195</v>
      </c>
      <c r="F111" s="14">
        <f>IF(ISNUMBER(Refsz_Verbräuche[[#This Row],[2015]]), Refsz_Verbräuche[[#This Row],[2015]]*Emissionsfaktoren[[#This Row],[2015]]/1000, 0)</f>
        <v>0</v>
      </c>
      <c r="G111" s="14">
        <f>IF(ISNUMBER(Refsz_Verbräuche[[#This Row],[2016]]), Refsz_Verbräuche[[#This Row],[2016]]*Emissionsfaktoren[[#This Row],[2016]]/1000, 0)</f>
        <v>0</v>
      </c>
      <c r="H111" s="14">
        <f>IF(ISNUMBER(Refsz_Verbräuche[[#This Row],[2017]]), Refsz_Verbräuche[[#This Row],[2017]]*Emissionsfaktoren[[#This Row],[2017]]/1000, 0)</f>
        <v>0</v>
      </c>
      <c r="I111" s="14">
        <f>IF(ISNUMBER(Refsz_Verbräuche[[#This Row],[2018]]), Refsz_Verbräuche[[#This Row],[2018]]*Emissionsfaktoren[[#This Row],[2018]]/1000, 0)</f>
        <v>0</v>
      </c>
      <c r="J111" s="14">
        <f>IF(ISNUMBER(Refsz_Verbräuche[[#This Row],[2019]]), Refsz_Verbräuche[[#This Row],[2019]]*Emissionsfaktoren[[#This Row],[2019]]/1000, 0)</f>
        <v>0</v>
      </c>
      <c r="K111" s="14">
        <f>IF(ISNUMBER(Refsz_Verbräuche[[#This Row],[2020]]), Refsz_Verbräuche[[#This Row],[2020]]*Emissionsfaktoren[[#This Row],[2020]]/1000, 0)</f>
        <v>0</v>
      </c>
      <c r="L111" s="14">
        <f>IF(ISNUMBER(Refsz_Verbräuche[[#This Row],[2021]]), Refsz_Verbräuche[[#This Row],[2021]]*Emissionsfaktoren[[#This Row],[2021]]/1000, 0)</f>
        <v>0</v>
      </c>
      <c r="M111" s="14">
        <f>IF(ISNUMBER(Refsz_Verbräuche[[#This Row],[2022]]), Refsz_Verbräuche[[#This Row],[2022]]*Emissionsfaktoren[[#This Row],[2022]]/1000, 0)</f>
        <v>0</v>
      </c>
      <c r="N111" s="14">
        <f>IF(ISNUMBER(Refsz_Verbräuche[[#This Row],[2023]]), Refsz_Verbräuche[[#This Row],[2023]]*Emissionsfaktoren[[#This Row],[2023]]/1000, 0)</f>
        <v>0</v>
      </c>
      <c r="O111" s="14">
        <f>IF(ISNUMBER(Refsz_Verbräuche[[#This Row],[2024]]), Refsz_Verbräuche[[#This Row],[2024]]*Emissionsfaktoren[[#This Row],[2024]]/1000, 0)</f>
        <v>0</v>
      </c>
      <c r="P111" s="14">
        <f>IF(ISNUMBER(Refsz_Verbräuche[[#This Row],[2025]]), Refsz_Verbräuche[[#This Row],[2025]]*Emissionsfaktoren[[#This Row],[2025]]/1000, 0)</f>
        <v>0</v>
      </c>
      <c r="Q111" s="14">
        <f>IF(ISNUMBER(Refsz_Verbräuche[[#This Row],[2026]]), Refsz_Verbräuche[[#This Row],[2026]]*Emissionsfaktoren[[#This Row],[2026]]/1000, 0)</f>
        <v>0</v>
      </c>
      <c r="R111" s="14">
        <f>IF(ISNUMBER(Refsz_Verbräuche[[#This Row],[2027]]), Refsz_Verbräuche[[#This Row],[2027]]*Emissionsfaktoren[[#This Row],[2027]]/1000, 0)</f>
        <v>0</v>
      </c>
      <c r="S111" s="14">
        <f>IF(ISNUMBER(Refsz_Verbräuche[[#This Row],[2028]]), Refsz_Verbräuche[[#This Row],[2028]]*Emissionsfaktoren[[#This Row],[2028]]/1000, 0)</f>
        <v>0</v>
      </c>
      <c r="T111" s="14">
        <f>IF(ISNUMBER(Refsz_Verbräuche[[#This Row],[2029]]), Refsz_Verbräuche[[#This Row],[2029]]*Emissionsfaktoren[[#This Row],[2029]]/1000, 0)</f>
        <v>0</v>
      </c>
      <c r="U111" s="14">
        <f>IF(ISNUMBER(Refsz_Verbräuche[[#This Row],[2030]]), Refsz_Verbräuche[[#This Row],[2030]]*Emissionsfaktoren[[#This Row],[2030]]/1000, 0)</f>
        <v>0</v>
      </c>
      <c r="V111" s="14">
        <f>IF(ISNUMBER(Refsz_Verbräuche[[#This Row],[2035]]), Refsz_Verbräuche[[#This Row],[2035]]*Emissionsfaktoren[[#This Row],[2035]]/1000, 0)</f>
        <v>0</v>
      </c>
      <c r="W111" s="14">
        <f>IF(ISNUMBER(Refsz_Verbräuche[[#This Row],[2040]]), Refsz_Verbräuche[[#This Row],[2040]]*Emissionsfaktoren[[#This Row],[2040]]/1000, 0)</f>
        <v>0</v>
      </c>
      <c r="X111" s="14">
        <f>IF(ISNUMBER(Refsz_Verbräuche[[#This Row],[2045]]), Refsz_Verbräuche[[#This Row],[2045]]*Emissionsfaktoren[[#This Row],[2045]]/1000, 0)</f>
        <v>0</v>
      </c>
      <c r="Y111" s="14">
        <f>IF(ISNUMBER(Refsz_Verbräuche[[#This Row],[2050]]), Refsz_Verbräuche[[#This Row],[2050]]*Emissionsfaktoren[[#This Row],[2050]]/1000, 0)</f>
        <v>0</v>
      </c>
    </row>
    <row r="112" spans="2:25" ht="16.5">
      <c r="B112" s="14">
        <v>95</v>
      </c>
      <c r="C112" s="14" t="str">
        <f>Refsz_Verbräuche[[#This Row],[Handlungsfeld]]</f>
        <v>Waren und Dienstleistungen</v>
      </c>
      <c r="D112" s="19" t="str">
        <f>Refsz_Verbräuche[[#This Row],[Datenpunkt]]</f>
        <v>Beamer</v>
      </c>
      <c r="E112" t="s">
        <v>195</v>
      </c>
      <c r="F112" s="14">
        <f>IF(ISNUMBER(Refsz_Verbräuche[[#This Row],[2015]]), Refsz_Verbräuche[[#This Row],[2015]]*Emissionsfaktoren[[#This Row],[2015]]/1000, 0)</f>
        <v>0</v>
      </c>
      <c r="G112" s="14">
        <f>IF(ISNUMBER(Refsz_Verbräuche[[#This Row],[2016]]), Refsz_Verbräuche[[#This Row],[2016]]*Emissionsfaktoren[[#This Row],[2016]]/1000, 0)</f>
        <v>0</v>
      </c>
      <c r="H112" s="14">
        <f>IF(ISNUMBER(Refsz_Verbräuche[[#This Row],[2017]]), Refsz_Verbräuche[[#This Row],[2017]]*Emissionsfaktoren[[#This Row],[2017]]/1000, 0)</f>
        <v>0</v>
      </c>
      <c r="I112" s="14">
        <f>IF(ISNUMBER(Refsz_Verbräuche[[#This Row],[2018]]), Refsz_Verbräuche[[#This Row],[2018]]*Emissionsfaktoren[[#This Row],[2018]]/1000, 0)</f>
        <v>0</v>
      </c>
      <c r="J112" s="14">
        <f>IF(ISNUMBER(Refsz_Verbräuche[[#This Row],[2019]]), Refsz_Verbräuche[[#This Row],[2019]]*Emissionsfaktoren[[#This Row],[2019]]/1000, 0)</f>
        <v>0</v>
      </c>
      <c r="K112" s="14">
        <f>IF(ISNUMBER(Refsz_Verbräuche[[#This Row],[2020]]), Refsz_Verbräuche[[#This Row],[2020]]*Emissionsfaktoren[[#This Row],[2020]]/1000, 0)</f>
        <v>0</v>
      </c>
      <c r="L112" s="14">
        <f>IF(ISNUMBER(Refsz_Verbräuche[[#This Row],[2021]]), Refsz_Verbräuche[[#This Row],[2021]]*Emissionsfaktoren[[#This Row],[2021]]/1000, 0)</f>
        <v>0</v>
      </c>
      <c r="M112" s="14">
        <f>IF(ISNUMBER(Refsz_Verbräuche[[#This Row],[2022]]), Refsz_Verbräuche[[#This Row],[2022]]*Emissionsfaktoren[[#This Row],[2022]]/1000, 0)</f>
        <v>0</v>
      </c>
      <c r="N112" s="14">
        <f>IF(ISNUMBER(Refsz_Verbräuche[[#This Row],[2023]]), Refsz_Verbräuche[[#This Row],[2023]]*Emissionsfaktoren[[#This Row],[2023]]/1000, 0)</f>
        <v>0</v>
      </c>
      <c r="O112" s="14">
        <f>IF(ISNUMBER(Refsz_Verbräuche[[#This Row],[2024]]), Refsz_Verbräuche[[#This Row],[2024]]*Emissionsfaktoren[[#This Row],[2024]]/1000, 0)</f>
        <v>0</v>
      </c>
      <c r="P112" s="14">
        <f>IF(ISNUMBER(Refsz_Verbräuche[[#This Row],[2025]]), Refsz_Verbräuche[[#This Row],[2025]]*Emissionsfaktoren[[#This Row],[2025]]/1000, 0)</f>
        <v>0</v>
      </c>
      <c r="Q112" s="14">
        <f>IF(ISNUMBER(Refsz_Verbräuche[[#This Row],[2026]]), Refsz_Verbräuche[[#This Row],[2026]]*Emissionsfaktoren[[#This Row],[2026]]/1000, 0)</f>
        <v>0</v>
      </c>
      <c r="R112" s="14">
        <f>IF(ISNUMBER(Refsz_Verbräuche[[#This Row],[2027]]), Refsz_Verbräuche[[#This Row],[2027]]*Emissionsfaktoren[[#This Row],[2027]]/1000, 0)</f>
        <v>0</v>
      </c>
      <c r="S112" s="14">
        <f>IF(ISNUMBER(Refsz_Verbräuche[[#This Row],[2028]]), Refsz_Verbräuche[[#This Row],[2028]]*Emissionsfaktoren[[#This Row],[2028]]/1000, 0)</f>
        <v>0</v>
      </c>
      <c r="T112" s="14">
        <f>IF(ISNUMBER(Refsz_Verbräuche[[#This Row],[2029]]), Refsz_Verbräuche[[#This Row],[2029]]*Emissionsfaktoren[[#This Row],[2029]]/1000, 0)</f>
        <v>0</v>
      </c>
      <c r="U112" s="14">
        <f>IF(ISNUMBER(Refsz_Verbräuche[[#This Row],[2030]]), Refsz_Verbräuche[[#This Row],[2030]]*Emissionsfaktoren[[#This Row],[2030]]/1000, 0)</f>
        <v>0</v>
      </c>
      <c r="V112" s="14">
        <f>IF(ISNUMBER(Refsz_Verbräuche[[#This Row],[2035]]), Refsz_Verbräuche[[#This Row],[2035]]*Emissionsfaktoren[[#This Row],[2035]]/1000, 0)</f>
        <v>0</v>
      </c>
      <c r="W112" s="14">
        <f>IF(ISNUMBER(Refsz_Verbräuche[[#This Row],[2040]]), Refsz_Verbräuche[[#This Row],[2040]]*Emissionsfaktoren[[#This Row],[2040]]/1000, 0)</f>
        <v>0</v>
      </c>
      <c r="X112" s="14">
        <f>IF(ISNUMBER(Refsz_Verbräuche[[#This Row],[2045]]), Refsz_Verbräuche[[#This Row],[2045]]*Emissionsfaktoren[[#This Row],[2045]]/1000, 0)</f>
        <v>0</v>
      </c>
      <c r="Y112" s="14">
        <f>IF(ISNUMBER(Refsz_Verbräuche[[#This Row],[2050]]), Refsz_Verbräuche[[#This Row],[2050]]*Emissionsfaktoren[[#This Row],[2050]]/1000, 0)</f>
        <v>0</v>
      </c>
    </row>
    <row r="113" spans="2:25" ht="16.5">
      <c r="B113" s="14">
        <v>96</v>
      </c>
      <c r="C113" s="14" t="str">
        <f>Refsz_Verbräuche[[#This Row],[Handlungsfeld]]</f>
        <v>Waren und Dienstleistungen</v>
      </c>
      <c r="D113" s="19" t="str">
        <f>Refsz_Verbräuche[[#This Row],[Datenpunkt]]</f>
        <v>Notebook/Laptop</v>
      </c>
      <c r="E113" t="s">
        <v>195</v>
      </c>
      <c r="F113" s="14">
        <f>IF(ISNUMBER(Refsz_Verbräuche[[#This Row],[2015]]), Refsz_Verbräuche[[#This Row],[2015]]*Emissionsfaktoren[[#This Row],[2015]]/1000, 0)</f>
        <v>0</v>
      </c>
      <c r="G113" s="14">
        <f>IF(ISNUMBER(Refsz_Verbräuche[[#This Row],[2016]]), Refsz_Verbräuche[[#This Row],[2016]]*Emissionsfaktoren[[#This Row],[2016]]/1000, 0)</f>
        <v>0</v>
      </c>
      <c r="H113" s="14">
        <f>IF(ISNUMBER(Refsz_Verbräuche[[#This Row],[2017]]), Refsz_Verbräuche[[#This Row],[2017]]*Emissionsfaktoren[[#This Row],[2017]]/1000, 0)</f>
        <v>0</v>
      </c>
      <c r="I113" s="14">
        <f>IF(ISNUMBER(Refsz_Verbräuche[[#This Row],[2018]]), Refsz_Verbräuche[[#This Row],[2018]]*Emissionsfaktoren[[#This Row],[2018]]/1000, 0)</f>
        <v>0</v>
      </c>
      <c r="J113" s="14">
        <f>IF(ISNUMBER(Refsz_Verbräuche[[#This Row],[2019]]), Refsz_Verbräuche[[#This Row],[2019]]*Emissionsfaktoren[[#This Row],[2019]]/1000, 0)</f>
        <v>0</v>
      </c>
      <c r="K113" s="14">
        <f>IF(ISNUMBER(Refsz_Verbräuche[[#This Row],[2020]]), Refsz_Verbräuche[[#This Row],[2020]]*Emissionsfaktoren[[#This Row],[2020]]/1000, 0)</f>
        <v>0</v>
      </c>
      <c r="L113" s="14">
        <f>IF(ISNUMBER(Refsz_Verbräuche[[#This Row],[2021]]), Refsz_Verbräuche[[#This Row],[2021]]*Emissionsfaktoren[[#This Row],[2021]]/1000, 0)</f>
        <v>0</v>
      </c>
      <c r="M113" s="14">
        <f>IF(ISNUMBER(Refsz_Verbräuche[[#This Row],[2022]]), Refsz_Verbräuche[[#This Row],[2022]]*Emissionsfaktoren[[#This Row],[2022]]/1000, 0)</f>
        <v>0</v>
      </c>
      <c r="N113" s="14">
        <f>IF(ISNUMBER(Refsz_Verbräuche[[#This Row],[2023]]), Refsz_Verbräuche[[#This Row],[2023]]*Emissionsfaktoren[[#This Row],[2023]]/1000, 0)</f>
        <v>0</v>
      </c>
      <c r="O113" s="14">
        <f>IF(ISNUMBER(Refsz_Verbräuche[[#This Row],[2024]]), Refsz_Verbräuche[[#This Row],[2024]]*Emissionsfaktoren[[#This Row],[2024]]/1000, 0)</f>
        <v>0</v>
      </c>
      <c r="P113" s="14">
        <f>IF(ISNUMBER(Refsz_Verbräuche[[#This Row],[2025]]), Refsz_Verbräuche[[#This Row],[2025]]*Emissionsfaktoren[[#This Row],[2025]]/1000, 0)</f>
        <v>0</v>
      </c>
      <c r="Q113" s="14">
        <f>IF(ISNUMBER(Refsz_Verbräuche[[#This Row],[2026]]), Refsz_Verbräuche[[#This Row],[2026]]*Emissionsfaktoren[[#This Row],[2026]]/1000, 0)</f>
        <v>0</v>
      </c>
      <c r="R113" s="14">
        <f>IF(ISNUMBER(Refsz_Verbräuche[[#This Row],[2027]]), Refsz_Verbräuche[[#This Row],[2027]]*Emissionsfaktoren[[#This Row],[2027]]/1000, 0)</f>
        <v>0</v>
      </c>
      <c r="S113" s="14">
        <f>IF(ISNUMBER(Refsz_Verbräuche[[#This Row],[2028]]), Refsz_Verbräuche[[#This Row],[2028]]*Emissionsfaktoren[[#This Row],[2028]]/1000, 0)</f>
        <v>0</v>
      </c>
      <c r="T113" s="14">
        <f>IF(ISNUMBER(Refsz_Verbräuche[[#This Row],[2029]]), Refsz_Verbräuche[[#This Row],[2029]]*Emissionsfaktoren[[#This Row],[2029]]/1000, 0)</f>
        <v>0</v>
      </c>
      <c r="U113" s="14">
        <f>IF(ISNUMBER(Refsz_Verbräuche[[#This Row],[2030]]), Refsz_Verbräuche[[#This Row],[2030]]*Emissionsfaktoren[[#This Row],[2030]]/1000, 0)</f>
        <v>0</v>
      </c>
      <c r="V113" s="14">
        <f>IF(ISNUMBER(Refsz_Verbräuche[[#This Row],[2035]]), Refsz_Verbräuche[[#This Row],[2035]]*Emissionsfaktoren[[#This Row],[2035]]/1000, 0)</f>
        <v>0</v>
      </c>
      <c r="W113" s="14">
        <f>IF(ISNUMBER(Refsz_Verbräuche[[#This Row],[2040]]), Refsz_Verbräuche[[#This Row],[2040]]*Emissionsfaktoren[[#This Row],[2040]]/1000, 0)</f>
        <v>0</v>
      </c>
      <c r="X113" s="14">
        <f>IF(ISNUMBER(Refsz_Verbräuche[[#This Row],[2045]]), Refsz_Verbräuche[[#This Row],[2045]]*Emissionsfaktoren[[#This Row],[2045]]/1000, 0)</f>
        <v>0</v>
      </c>
      <c r="Y113" s="14">
        <f>IF(ISNUMBER(Refsz_Verbräuche[[#This Row],[2050]]), Refsz_Verbräuche[[#This Row],[2050]]*Emissionsfaktoren[[#This Row],[2050]]/1000, 0)</f>
        <v>0</v>
      </c>
    </row>
    <row r="114" spans="2:25" ht="16.5">
      <c r="B114" s="14">
        <v>97</v>
      </c>
      <c r="C114" s="14" t="str">
        <f>Refsz_Verbräuche[[#This Row],[Handlungsfeld]]</f>
        <v>Waren und Dienstleistungen</v>
      </c>
      <c r="D114" s="19" t="str">
        <f>Refsz_Verbräuche[[#This Row],[Datenpunkt]]</f>
        <v>Desktop-PC mit Monitor</v>
      </c>
      <c r="E114" t="s">
        <v>195</v>
      </c>
      <c r="F114" s="14">
        <f>IF(ISNUMBER(Refsz_Verbräuche[[#This Row],[2015]]), Refsz_Verbräuche[[#This Row],[2015]]*Emissionsfaktoren[[#This Row],[2015]]/1000, 0)</f>
        <v>0</v>
      </c>
      <c r="G114" s="14">
        <f>IF(ISNUMBER(Refsz_Verbräuche[[#This Row],[2016]]), Refsz_Verbräuche[[#This Row],[2016]]*Emissionsfaktoren[[#This Row],[2016]]/1000, 0)</f>
        <v>0</v>
      </c>
      <c r="H114" s="14">
        <f>IF(ISNUMBER(Refsz_Verbräuche[[#This Row],[2017]]), Refsz_Verbräuche[[#This Row],[2017]]*Emissionsfaktoren[[#This Row],[2017]]/1000, 0)</f>
        <v>0</v>
      </c>
      <c r="I114" s="14">
        <f>IF(ISNUMBER(Refsz_Verbräuche[[#This Row],[2018]]), Refsz_Verbräuche[[#This Row],[2018]]*Emissionsfaktoren[[#This Row],[2018]]/1000, 0)</f>
        <v>0</v>
      </c>
      <c r="J114" s="14">
        <f>IF(ISNUMBER(Refsz_Verbräuche[[#This Row],[2019]]), Refsz_Verbräuche[[#This Row],[2019]]*Emissionsfaktoren[[#This Row],[2019]]/1000, 0)</f>
        <v>0</v>
      </c>
      <c r="K114" s="14">
        <f>IF(ISNUMBER(Refsz_Verbräuche[[#This Row],[2020]]), Refsz_Verbräuche[[#This Row],[2020]]*Emissionsfaktoren[[#This Row],[2020]]/1000, 0)</f>
        <v>0</v>
      </c>
      <c r="L114" s="14">
        <f>IF(ISNUMBER(Refsz_Verbräuche[[#This Row],[2021]]), Refsz_Verbräuche[[#This Row],[2021]]*Emissionsfaktoren[[#This Row],[2021]]/1000, 0)</f>
        <v>0</v>
      </c>
      <c r="M114" s="14">
        <f>IF(ISNUMBER(Refsz_Verbräuche[[#This Row],[2022]]), Refsz_Verbräuche[[#This Row],[2022]]*Emissionsfaktoren[[#This Row],[2022]]/1000, 0)</f>
        <v>0</v>
      </c>
      <c r="N114" s="14">
        <f>IF(ISNUMBER(Refsz_Verbräuche[[#This Row],[2023]]), Refsz_Verbräuche[[#This Row],[2023]]*Emissionsfaktoren[[#This Row],[2023]]/1000, 0)</f>
        <v>0</v>
      </c>
      <c r="O114" s="14">
        <f>IF(ISNUMBER(Refsz_Verbräuche[[#This Row],[2024]]), Refsz_Verbräuche[[#This Row],[2024]]*Emissionsfaktoren[[#This Row],[2024]]/1000, 0)</f>
        <v>0</v>
      </c>
      <c r="P114" s="14">
        <f>IF(ISNUMBER(Refsz_Verbräuche[[#This Row],[2025]]), Refsz_Verbräuche[[#This Row],[2025]]*Emissionsfaktoren[[#This Row],[2025]]/1000, 0)</f>
        <v>0</v>
      </c>
      <c r="Q114" s="14">
        <f>IF(ISNUMBER(Refsz_Verbräuche[[#This Row],[2026]]), Refsz_Verbräuche[[#This Row],[2026]]*Emissionsfaktoren[[#This Row],[2026]]/1000, 0)</f>
        <v>0</v>
      </c>
      <c r="R114" s="14">
        <f>IF(ISNUMBER(Refsz_Verbräuche[[#This Row],[2027]]), Refsz_Verbräuche[[#This Row],[2027]]*Emissionsfaktoren[[#This Row],[2027]]/1000, 0)</f>
        <v>0</v>
      </c>
      <c r="S114" s="14">
        <f>IF(ISNUMBER(Refsz_Verbräuche[[#This Row],[2028]]), Refsz_Verbräuche[[#This Row],[2028]]*Emissionsfaktoren[[#This Row],[2028]]/1000, 0)</f>
        <v>0</v>
      </c>
      <c r="T114" s="14">
        <f>IF(ISNUMBER(Refsz_Verbräuche[[#This Row],[2029]]), Refsz_Verbräuche[[#This Row],[2029]]*Emissionsfaktoren[[#This Row],[2029]]/1000, 0)</f>
        <v>0</v>
      </c>
      <c r="U114" s="14">
        <f>IF(ISNUMBER(Refsz_Verbräuche[[#This Row],[2030]]), Refsz_Verbräuche[[#This Row],[2030]]*Emissionsfaktoren[[#This Row],[2030]]/1000, 0)</f>
        <v>0</v>
      </c>
      <c r="V114" s="14">
        <f>IF(ISNUMBER(Refsz_Verbräuche[[#This Row],[2035]]), Refsz_Verbräuche[[#This Row],[2035]]*Emissionsfaktoren[[#This Row],[2035]]/1000, 0)</f>
        <v>0</v>
      </c>
      <c r="W114" s="14">
        <f>IF(ISNUMBER(Refsz_Verbräuche[[#This Row],[2040]]), Refsz_Verbräuche[[#This Row],[2040]]*Emissionsfaktoren[[#This Row],[2040]]/1000, 0)</f>
        <v>0</v>
      </c>
      <c r="X114" s="14">
        <f>IF(ISNUMBER(Refsz_Verbräuche[[#This Row],[2045]]), Refsz_Verbräuche[[#This Row],[2045]]*Emissionsfaktoren[[#This Row],[2045]]/1000, 0)</f>
        <v>0</v>
      </c>
      <c r="Y114" s="14">
        <f>IF(ISNUMBER(Refsz_Verbräuche[[#This Row],[2050]]), Refsz_Verbräuche[[#This Row],[2050]]*Emissionsfaktoren[[#This Row],[2050]]/1000, 0)</f>
        <v>0</v>
      </c>
    </row>
    <row r="115" spans="2:25" ht="16.5">
      <c r="B115" s="14">
        <v>98</v>
      </c>
      <c r="C115" s="14" t="str">
        <f>Refsz_Verbräuche[[#This Row],[Handlungsfeld]]</f>
        <v>Waren und Dienstleistungen</v>
      </c>
      <c r="D115" s="19" t="str">
        <f>Refsz_Verbräuche[[#This Row],[Datenpunkt]]</f>
        <v>Docking-Station</v>
      </c>
      <c r="E115" t="s">
        <v>195</v>
      </c>
      <c r="F115" s="14">
        <f>IF(ISNUMBER(Refsz_Verbräuche[[#This Row],[2015]]), Refsz_Verbräuche[[#This Row],[2015]]*Emissionsfaktoren[[#This Row],[2015]]/1000, 0)</f>
        <v>0</v>
      </c>
      <c r="G115" s="14">
        <f>IF(ISNUMBER(Refsz_Verbräuche[[#This Row],[2016]]), Refsz_Verbräuche[[#This Row],[2016]]*Emissionsfaktoren[[#This Row],[2016]]/1000, 0)</f>
        <v>0</v>
      </c>
      <c r="H115" s="14">
        <f>IF(ISNUMBER(Refsz_Verbräuche[[#This Row],[2017]]), Refsz_Verbräuche[[#This Row],[2017]]*Emissionsfaktoren[[#This Row],[2017]]/1000, 0)</f>
        <v>0</v>
      </c>
      <c r="I115" s="14">
        <f>IF(ISNUMBER(Refsz_Verbräuche[[#This Row],[2018]]), Refsz_Verbräuche[[#This Row],[2018]]*Emissionsfaktoren[[#This Row],[2018]]/1000, 0)</f>
        <v>0</v>
      </c>
      <c r="J115" s="14">
        <f>IF(ISNUMBER(Refsz_Verbräuche[[#This Row],[2019]]), Refsz_Verbräuche[[#This Row],[2019]]*Emissionsfaktoren[[#This Row],[2019]]/1000, 0)</f>
        <v>0</v>
      </c>
      <c r="K115" s="14">
        <f>IF(ISNUMBER(Refsz_Verbräuche[[#This Row],[2020]]), Refsz_Verbräuche[[#This Row],[2020]]*Emissionsfaktoren[[#This Row],[2020]]/1000, 0)</f>
        <v>0</v>
      </c>
      <c r="L115" s="14">
        <f>IF(ISNUMBER(Refsz_Verbräuche[[#This Row],[2021]]), Refsz_Verbräuche[[#This Row],[2021]]*Emissionsfaktoren[[#This Row],[2021]]/1000, 0)</f>
        <v>0</v>
      </c>
      <c r="M115" s="14">
        <f>IF(ISNUMBER(Refsz_Verbräuche[[#This Row],[2022]]), Refsz_Verbräuche[[#This Row],[2022]]*Emissionsfaktoren[[#This Row],[2022]]/1000, 0)</f>
        <v>0</v>
      </c>
      <c r="N115" s="14">
        <f>IF(ISNUMBER(Refsz_Verbräuche[[#This Row],[2023]]), Refsz_Verbräuche[[#This Row],[2023]]*Emissionsfaktoren[[#This Row],[2023]]/1000, 0)</f>
        <v>0</v>
      </c>
      <c r="O115" s="14">
        <f>IF(ISNUMBER(Refsz_Verbräuche[[#This Row],[2024]]), Refsz_Verbräuche[[#This Row],[2024]]*Emissionsfaktoren[[#This Row],[2024]]/1000, 0)</f>
        <v>0</v>
      </c>
      <c r="P115" s="14">
        <f>IF(ISNUMBER(Refsz_Verbräuche[[#This Row],[2025]]), Refsz_Verbräuche[[#This Row],[2025]]*Emissionsfaktoren[[#This Row],[2025]]/1000, 0)</f>
        <v>0</v>
      </c>
      <c r="Q115" s="14">
        <f>IF(ISNUMBER(Refsz_Verbräuche[[#This Row],[2026]]), Refsz_Verbräuche[[#This Row],[2026]]*Emissionsfaktoren[[#This Row],[2026]]/1000, 0)</f>
        <v>0</v>
      </c>
      <c r="R115" s="14">
        <f>IF(ISNUMBER(Refsz_Verbräuche[[#This Row],[2027]]), Refsz_Verbräuche[[#This Row],[2027]]*Emissionsfaktoren[[#This Row],[2027]]/1000, 0)</f>
        <v>0</v>
      </c>
      <c r="S115" s="14">
        <f>IF(ISNUMBER(Refsz_Verbräuche[[#This Row],[2028]]), Refsz_Verbräuche[[#This Row],[2028]]*Emissionsfaktoren[[#This Row],[2028]]/1000, 0)</f>
        <v>0</v>
      </c>
      <c r="T115" s="14">
        <f>IF(ISNUMBER(Refsz_Verbräuche[[#This Row],[2029]]), Refsz_Verbräuche[[#This Row],[2029]]*Emissionsfaktoren[[#This Row],[2029]]/1000, 0)</f>
        <v>0</v>
      </c>
      <c r="U115" s="14">
        <f>IF(ISNUMBER(Refsz_Verbräuche[[#This Row],[2030]]), Refsz_Verbräuche[[#This Row],[2030]]*Emissionsfaktoren[[#This Row],[2030]]/1000, 0)</f>
        <v>0</v>
      </c>
      <c r="V115" s="14">
        <f>IF(ISNUMBER(Refsz_Verbräuche[[#This Row],[2035]]), Refsz_Verbräuche[[#This Row],[2035]]*Emissionsfaktoren[[#This Row],[2035]]/1000, 0)</f>
        <v>0</v>
      </c>
      <c r="W115" s="14">
        <f>IF(ISNUMBER(Refsz_Verbräuche[[#This Row],[2040]]), Refsz_Verbräuche[[#This Row],[2040]]*Emissionsfaktoren[[#This Row],[2040]]/1000, 0)</f>
        <v>0</v>
      </c>
      <c r="X115" s="14">
        <f>IF(ISNUMBER(Refsz_Verbräuche[[#This Row],[2045]]), Refsz_Verbräuche[[#This Row],[2045]]*Emissionsfaktoren[[#This Row],[2045]]/1000, 0)</f>
        <v>0</v>
      </c>
      <c r="Y115" s="14">
        <f>IF(ISNUMBER(Refsz_Verbräuche[[#This Row],[2050]]), Refsz_Verbräuche[[#This Row],[2050]]*Emissionsfaktoren[[#This Row],[2050]]/1000, 0)</f>
        <v>0</v>
      </c>
    </row>
    <row r="116" spans="2:25" ht="16.5">
      <c r="B116" s="14">
        <v>99</v>
      </c>
      <c r="C116" s="14" t="str">
        <f>Refsz_Verbräuche[[#This Row],[Handlungsfeld]]</f>
        <v>Waren und Dienstleistungen</v>
      </c>
      <c r="D116" s="19" t="str">
        <f>Refsz_Verbräuche[[#This Row],[Datenpunkt]]</f>
        <v>Laserdrucker</v>
      </c>
      <c r="E116" t="s">
        <v>195</v>
      </c>
      <c r="F116" s="14">
        <f>IF(ISNUMBER(Refsz_Verbräuche[[#This Row],[2015]]), Refsz_Verbräuche[[#This Row],[2015]]*Emissionsfaktoren[[#This Row],[2015]]/1000, 0)</f>
        <v>0</v>
      </c>
      <c r="G116" s="14">
        <f>IF(ISNUMBER(Refsz_Verbräuche[[#This Row],[2016]]), Refsz_Verbräuche[[#This Row],[2016]]*Emissionsfaktoren[[#This Row],[2016]]/1000, 0)</f>
        <v>0</v>
      </c>
      <c r="H116" s="14">
        <f>IF(ISNUMBER(Refsz_Verbräuche[[#This Row],[2017]]), Refsz_Verbräuche[[#This Row],[2017]]*Emissionsfaktoren[[#This Row],[2017]]/1000, 0)</f>
        <v>0</v>
      </c>
      <c r="I116" s="14">
        <f>IF(ISNUMBER(Refsz_Verbräuche[[#This Row],[2018]]), Refsz_Verbräuche[[#This Row],[2018]]*Emissionsfaktoren[[#This Row],[2018]]/1000, 0)</f>
        <v>0</v>
      </c>
      <c r="J116" s="14">
        <f>IF(ISNUMBER(Refsz_Verbräuche[[#This Row],[2019]]), Refsz_Verbräuche[[#This Row],[2019]]*Emissionsfaktoren[[#This Row],[2019]]/1000, 0)</f>
        <v>0</v>
      </c>
      <c r="K116" s="14">
        <f>IF(ISNUMBER(Refsz_Verbräuche[[#This Row],[2020]]), Refsz_Verbräuche[[#This Row],[2020]]*Emissionsfaktoren[[#This Row],[2020]]/1000, 0)</f>
        <v>0</v>
      </c>
      <c r="L116" s="14">
        <f>IF(ISNUMBER(Refsz_Verbräuche[[#This Row],[2021]]), Refsz_Verbräuche[[#This Row],[2021]]*Emissionsfaktoren[[#This Row],[2021]]/1000, 0)</f>
        <v>0</v>
      </c>
      <c r="M116" s="14">
        <f>IF(ISNUMBER(Refsz_Verbräuche[[#This Row],[2022]]), Refsz_Verbräuche[[#This Row],[2022]]*Emissionsfaktoren[[#This Row],[2022]]/1000, 0)</f>
        <v>0</v>
      </c>
      <c r="N116" s="14">
        <f>IF(ISNUMBER(Refsz_Verbräuche[[#This Row],[2023]]), Refsz_Verbräuche[[#This Row],[2023]]*Emissionsfaktoren[[#This Row],[2023]]/1000, 0)</f>
        <v>0</v>
      </c>
      <c r="O116" s="14">
        <f>IF(ISNUMBER(Refsz_Verbräuche[[#This Row],[2024]]), Refsz_Verbräuche[[#This Row],[2024]]*Emissionsfaktoren[[#This Row],[2024]]/1000, 0)</f>
        <v>0</v>
      </c>
      <c r="P116" s="14">
        <f>IF(ISNUMBER(Refsz_Verbräuche[[#This Row],[2025]]), Refsz_Verbräuche[[#This Row],[2025]]*Emissionsfaktoren[[#This Row],[2025]]/1000, 0)</f>
        <v>0</v>
      </c>
      <c r="Q116" s="14">
        <f>IF(ISNUMBER(Refsz_Verbräuche[[#This Row],[2026]]), Refsz_Verbräuche[[#This Row],[2026]]*Emissionsfaktoren[[#This Row],[2026]]/1000, 0)</f>
        <v>0</v>
      </c>
      <c r="R116" s="14">
        <f>IF(ISNUMBER(Refsz_Verbräuche[[#This Row],[2027]]), Refsz_Verbräuche[[#This Row],[2027]]*Emissionsfaktoren[[#This Row],[2027]]/1000, 0)</f>
        <v>0</v>
      </c>
      <c r="S116" s="14">
        <f>IF(ISNUMBER(Refsz_Verbräuche[[#This Row],[2028]]), Refsz_Verbräuche[[#This Row],[2028]]*Emissionsfaktoren[[#This Row],[2028]]/1000, 0)</f>
        <v>0</v>
      </c>
      <c r="T116" s="14">
        <f>IF(ISNUMBER(Refsz_Verbräuche[[#This Row],[2029]]), Refsz_Verbräuche[[#This Row],[2029]]*Emissionsfaktoren[[#This Row],[2029]]/1000, 0)</f>
        <v>0</v>
      </c>
      <c r="U116" s="14">
        <f>IF(ISNUMBER(Refsz_Verbräuche[[#This Row],[2030]]), Refsz_Verbräuche[[#This Row],[2030]]*Emissionsfaktoren[[#This Row],[2030]]/1000, 0)</f>
        <v>0</v>
      </c>
      <c r="V116" s="14">
        <f>IF(ISNUMBER(Refsz_Verbräuche[[#This Row],[2035]]), Refsz_Verbräuche[[#This Row],[2035]]*Emissionsfaktoren[[#This Row],[2035]]/1000, 0)</f>
        <v>0</v>
      </c>
      <c r="W116" s="14">
        <f>IF(ISNUMBER(Refsz_Verbräuche[[#This Row],[2040]]), Refsz_Verbräuche[[#This Row],[2040]]*Emissionsfaktoren[[#This Row],[2040]]/1000, 0)</f>
        <v>0</v>
      </c>
      <c r="X116" s="14">
        <f>IF(ISNUMBER(Refsz_Verbräuche[[#This Row],[2045]]), Refsz_Verbräuche[[#This Row],[2045]]*Emissionsfaktoren[[#This Row],[2045]]/1000, 0)</f>
        <v>0</v>
      </c>
      <c r="Y116" s="14">
        <f>IF(ISNUMBER(Refsz_Verbräuche[[#This Row],[2050]]), Refsz_Verbräuche[[#This Row],[2050]]*Emissionsfaktoren[[#This Row],[2050]]/1000, 0)</f>
        <v>0</v>
      </c>
    </row>
    <row r="117" spans="2:25" ht="16.5">
      <c r="B117" s="14">
        <v>100</v>
      </c>
      <c r="C117" s="14" t="str">
        <f>Refsz_Verbräuche[[#This Row],[Handlungsfeld]]</f>
        <v>Waren und Dienstleistungen</v>
      </c>
      <c r="D117" s="19" t="str">
        <f>Refsz_Verbräuche[[#This Row],[Datenpunkt]]</f>
        <v>Multifunktionsdrucker klein (31 x 44 x 42 cm)</v>
      </c>
      <c r="E117" t="s">
        <v>195</v>
      </c>
      <c r="F117" s="14">
        <f>IF(ISNUMBER(Refsz_Verbräuche[[#This Row],[2015]]), Refsz_Verbräuche[[#This Row],[2015]]*Emissionsfaktoren[[#This Row],[2015]]/1000, 0)</f>
        <v>0</v>
      </c>
      <c r="G117" s="14">
        <f>IF(ISNUMBER(Refsz_Verbräuche[[#This Row],[2016]]), Refsz_Verbräuche[[#This Row],[2016]]*Emissionsfaktoren[[#This Row],[2016]]/1000, 0)</f>
        <v>0</v>
      </c>
      <c r="H117" s="14">
        <f>IF(ISNUMBER(Refsz_Verbräuche[[#This Row],[2017]]), Refsz_Verbräuche[[#This Row],[2017]]*Emissionsfaktoren[[#This Row],[2017]]/1000, 0)</f>
        <v>0</v>
      </c>
      <c r="I117" s="14">
        <f>IF(ISNUMBER(Refsz_Verbräuche[[#This Row],[2018]]), Refsz_Verbräuche[[#This Row],[2018]]*Emissionsfaktoren[[#This Row],[2018]]/1000, 0)</f>
        <v>0</v>
      </c>
      <c r="J117" s="14">
        <f>IF(ISNUMBER(Refsz_Verbräuche[[#This Row],[2019]]), Refsz_Verbräuche[[#This Row],[2019]]*Emissionsfaktoren[[#This Row],[2019]]/1000, 0)</f>
        <v>0</v>
      </c>
      <c r="K117" s="14">
        <f>IF(ISNUMBER(Refsz_Verbräuche[[#This Row],[2020]]), Refsz_Verbräuche[[#This Row],[2020]]*Emissionsfaktoren[[#This Row],[2020]]/1000, 0)</f>
        <v>0</v>
      </c>
      <c r="L117" s="14">
        <f>IF(ISNUMBER(Refsz_Verbräuche[[#This Row],[2021]]), Refsz_Verbräuche[[#This Row],[2021]]*Emissionsfaktoren[[#This Row],[2021]]/1000, 0)</f>
        <v>0</v>
      </c>
      <c r="M117" s="14">
        <f>IF(ISNUMBER(Refsz_Verbräuche[[#This Row],[2022]]), Refsz_Verbräuche[[#This Row],[2022]]*Emissionsfaktoren[[#This Row],[2022]]/1000, 0)</f>
        <v>0</v>
      </c>
      <c r="N117" s="14">
        <f>IF(ISNUMBER(Refsz_Verbräuche[[#This Row],[2023]]), Refsz_Verbräuche[[#This Row],[2023]]*Emissionsfaktoren[[#This Row],[2023]]/1000, 0)</f>
        <v>0</v>
      </c>
      <c r="O117" s="14">
        <f>IF(ISNUMBER(Refsz_Verbräuche[[#This Row],[2024]]), Refsz_Verbräuche[[#This Row],[2024]]*Emissionsfaktoren[[#This Row],[2024]]/1000, 0)</f>
        <v>0</v>
      </c>
      <c r="P117" s="14">
        <f>IF(ISNUMBER(Refsz_Verbräuche[[#This Row],[2025]]), Refsz_Verbräuche[[#This Row],[2025]]*Emissionsfaktoren[[#This Row],[2025]]/1000, 0)</f>
        <v>0</v>
      </c>
      <c r="Q117" s="14">
        <f>IF(ISNUMBER(Refsz_Verbräuche[[#This Row],[2026]]), Refsz_Verbräuche[[#This Row],[2026]]*Emissionsfaktoren[[#This Row],[2026]]/1000, 0)</f>
        <v>0</v>
      </c>
      <c r="R117" s="14">
        <f>IF(ISNUMBER(Refsz_Verbräuche[[#This Row],[2027]]), Refsz_Verbräuche[[#This Row],[2027]]*Emissionsfaktoren[[#This Row],[2027]]/1000, 0)</f>
        <v>0</v>
      </c>
      <c r="S117" s="14">
        <f>IF(ISNUMBER(Refsz_Verbräuche[[#This Row],[2028]]), Refsz_Verbräuche[[#This Row],[2028]]*Emissionsfaktoren[[#This Row],[2028]]/1000, 0)</f>
        <v>0</v>
      </c>
      <c r="T117" s="14">
        <f>IF(ISNUMBER(Refsz_Verbräuche[[#This Row],[2029]]), Refsz_Verbräuche[[#This Row],[2029]]*Emissionsfaktoren[[#This Row],[2029]]/1000, 0)</f>
        <v>0</v>
      </c>
      <c r="U117" s="14">
        <f>IF(ISNUMBER(Refsz_Verbräuche[[#This Row],[2030]]), Refsz_Verbräuche[[#This Row],[2030]]*Emissionsfaktoren[[#This Row],[2030]]/1000, 0)</f>
        <v>0</v>
      </c>
      <c r="V117" s="14">
        <f>IF(ISNUMBER(Refsz_Verbräuche[[#This Row],[2035]]), Refsz_Verbräuche[[#This Row],[2035]]*Emissionsfaktoren[[#This Row],[2035]]/1000, 0)</f>
        <v>0</v>
      </c>
      <c r="W117" s="14">
        <f>IF(ISNUMBER(Refsz_Verbräuche[[#This Row],[2040]]), Refsz_Verbräuche[[#This Row],[2040]]*Emissionsfaktoren[[#This Row],[2040]]/1000, 0)</f>
        <v>0</v>
      </c>
      <c r="X117" s="14">
        <f>IF(ISNUMBER(Refsz_Verbräuche[[#This Row],[2045]]), Refsz_Verbräuche[[#This Row],[2045]]*Emissionsfaktoren[[#This Row],[2045]]/1000, 0)</f>
        <v>0</v>
      </c>
      <c r="Y117" s="14">
        <f>IF(ISNUMBER(Refsz_Verbräuche[[#This Row],[2050]]), Refsz_Verbräuche[[#This Row],[2050]]*Emissionsfaktoren[[#This Row],[2050]]/1000, 0)</f>
        <v>0</v>
      </c>
    </row>
    <row r="118" spans="2:25" ht="16.5">
      <c r="B118" s="14">
        <v>101</v>
      </c>
      <c r="C118" s="14" t="str">
        <f>Refsz_Verbräuche[[#This Row],[Handlungsfeld]]</f>
        <v>Waren und Dienstleistungen</v>
      </c>
      <c r="D118" s="19" t="str">
        <f>Refsz_Verbräuche[[#This Row],[Datenpunkt]]</f>
        <v>Multifunktionsdrucker mittel (54 x 56 x 52 cm)</v>
      </c>
      <c r="E118" t="s">
        <v>195</v>
      </c>
      <c r="F118" s="14">
        <f>IF(ISNUMBER(Refsz_Verbräuche[[#This Row],[2015]]), Refsz_Verbräuche[[#This Row],[2015]]*Emissionsfaktoren[[#This Row],[2015]]/1000, 0)</f>
        <v>0</v>
      </c>
      <c r="G118" s="14">
        <f>IF(ISNUMBER(Refsz_Verbräuche[[#This Row],[2016]]), Refsz_Verbräuche[[#This Row],[2016]]*Emissionsfaktoren[[#This Row],[2016]]/1000, 0)</f>
        <v>0</v>
      </c>
      <c r="H118" s="14">
        <f>IF(ISNUMBER(Refsz_Verbräuche[[#This Row],[2017]]), Refsz_Verbräuche[[#This Row],[2017]]*Emissionsfaktoren[[#This Row],[2017]]/1000, 0)</f>
        <v>0</v>
      </c>
      <c r="I118" s="14">
        <f>IF(ISNUMBER(Refsz_Verbräuche[[#This Row],[2018]]), Refsz_Verbräuche[[#This Row],[2018]]*Emissionsfaktoren[[#This Row],[2018]]/1000, 0)</f>
        <v>0</v>
      </c>
      <c r="J118" s="14">
        <f>IF(ISNUMBER(Refsz_Verbräuche[[#This Row],[2019]]), Refsz_Verbräuche[[#This Row],[2019]]*Emissionsfaktoren[[#This Row],[2019]]/1000, 0)</f>
        <v>0</v>
      </c>
      <c r="K118" s="14">
        <f>IF(ISNUMBER(Refsz_Verbräuche[[#This Row],[2020]]), Refsz_Verbräuche[[#This Row],[2020]]*Emissionsfaktoren[[#This Row],[2020]]/1000, 0)</f>
        <v>0</v>
      </c>
      <c r="L118" s="14">
        <f>IF(ISNUMBER(Refsz_Verbräuche[[#This Row],[2021]]), Refsz_Verbräuche[[#This Row],[2021]]*Emissionsfaktoren[[#This Row],[2021]]/1000, 0)</f>
        <v>0</v>
      </c>
      <c r="M118" s="14">
        <f>IF(ISNUMBER(Refsz_Verbräuche[[#This Row],[2022]]), Refsz_Verbräuche[[#This Row],[2022]]*Emissionsfaktoren[[#This Row],[2022]]/1000, 0)</f>
        <v>0</v>
      </c>
      <c r="N118" s="14">
        <f>IF(ISNUMBER(Refsz_Verbräuche[[#This Row],[2023]]), Refsz_Verbräuche[[#This Row],[2023]]*Emissionsfaktoren[[#This Row],[2023]]/1000, 0)</f>
        <v>0</v>
      </c>
      <c r="O118" s="14">
        <f>IF(ISNUMBER(Refsz_Verbräuche[[#This Row],[2024]]), Refsz_Verbräuche[[#This Row],[2024]]*Emissionsfaktoren[[#This Row],[2024]]/1000, 0)</f>
        <v>0</v>
      </c>
      <c r="P118" s="14">
        <f>IF(ISNUMBER(Refsz_Verbräuche[[#This Row],[2025]]), Refsz_Verbräuche[[#This Row],[2025]]*Emissionsfaktoren[[#This Row],[2025]]/1000, 0)</f>
        <v>0</v>
      </c>
      <c r="Q118" s="14">
        <f>IF(ISNUMBER(Refsz_Verbräuche[[#This Row],[2026]]), Refsz_Verbräuche[[#This Row],[2026]]*Emissionsfaktoren[[#This Row],[2026]]/1000, 0)</f>
        <v>0</v>
      </c>
      <c r="R118" s="14">
        <f>IF(ISNUMBER(Refsz_Verbräuche[[#This Row],[2027]]), Refsz_Verbräuche[[#This Row],[2027]]*Emissionsfaktoren[[#This Row],[2027]]/1000, 0)</f>
        <v>0</v>
      </c>
      <c r="S118" s="14">
        <f>IF(ISNUMBER(Refsz_Verbräuche[[#This Row],[2028]]), Refsz_Verbräuche[[#This Row],[2028]]*Emissionsfaktoren[[#This Row],[2028]]/1000, 0)</f>
        <v>0</v>
      </c>
      <c r="T118" s="14">
        <f>IF(ISNUMBER(Refsz_Verbräuche[[#This Row],[2029]]), Refsz_Verbräuche[[#This Row],[2029]]*Emissionsfaktoren[[#This Row],[2029]]/1000, 0)</f>
        <v>0</v>
      </c>
      <c r="U118" s="14">
        <f>IF(ISNUMBER(Refsz_Verbräuche[[#This Row],[2030]]), Refsz_Verbräuche[[#This Row],[2030]]*Emissionsfaktoren[[#This Row],[2030]]/1000, 0)</f>
        <v>0</v>
      </c>
      <c r="V118" s="14">
        <f>IF(ISNUMBER(Refsz_Verbräuche[[#This Row],[2035]]), Refsz_Verbräuche[[#This Row],[2035]]*Emissionsfaktoren[[#This Row],[2035]]/1000, 0)</f>
        <v>0</v>
      </c>
      <c r="W118" s="14">
        <f>IF(ISNUMBER(Refsz_Verbräuche[[#This Row],[2040]]), Refsz_Verbräuche[[#This Row],[2040]]*Emissionsfaktoren[[#This Row],[2040]]/1000, 0)</f>
        <v>0</v>
      </c>
      <c r="X118" s="14">
        <f>IF(ISNUMBER(Refsz_Verbräuche[[#This Row],[2045]]), Refsz_Verbräuche[[#This Row],[2045]]*Emissionsfaktoren[[#This Row],[2045]]/1000, 0)</f>
        <v>0</v>
      </c>
      <c r="Y118" s="14">
        <f>IF(ISNUMBER(Refsz_Verbräuche[[#This Row],[2050]]), Refsz_Verbräuche[[#This Row],[2050]]*Emissionsfaktoren[[#This Row],[2050]]/1000, 0)</f>
        <v>0</v>
      </c>
    </row>
    <row r="119" spans="2:25" ht="16.5">
      <c r="B119" s="14">
        <v>102</v>
      </c>
      <c r="C119" s="14" t="str">
        <f>Refsz_Verbräuche[[#This Row],[Handlungsfeld]]</f>
        <v>Waren und Dienstleistungen</v>
      </c>
      <c r="D119" s="19" t="str">
        <f>Refsz_Verbräuche[[#This Row],[Datenpunkt]]</f>
        <v>Multifunktionsdrucker groß (114 x 65 x 59 cm)</v>
      </c>
      <c r="E119" t="s">
        <v>195</v>
      </c>
      <c r="F119" s="14">
        <f>IF(ISNUMBER(Refsz_Verbräuche[[#This Row],[2015]]), Refsz_Verbräuche[[#This Row],[2015]]*Emissionsfaktoren[[#This Row],[2015]]/1000, 0)</f>
        <v>0</v>
      </c>
      <c r="G119" s="14">
        <f>IF(ISNUMBER(Refsz_Verbräuche[[#This Row],[2016]]), Refsz_Verbräuche[[#This Row],[2016]]*Emissionsfaktoren[[#This Row],[2016]]/1000, 0)</f>
        <v>0</v>
      </c>
      <c r="H119" s="14">
        <f>IF(ISNUMBER(Refsz_Verbräuche[[#This Row],[2017]]), Refsz_Verbräuche[[#This Row],[2017]]*Emissionsfaktoren[[#This Row],[2017]]/1000, 0)</f>
        <v>0</v>
      </c>
      <c r="I119" s="14">
        <f>IF(ISNUMBER(Refsz_Verbräuche[[#This Row],[2018]]), Refsz_Verbräuche[[#This Row],[2018]]*Emissionsfaktoren[[#This Row],[2018]]/1000, 0)</f>
        <v>0</v>
      </c>
      <c r="J119" s="14">
        <f>IF(ISNUMBER(Refsz_Verbräuche[[#This Row],[2019]]), Refsz_Verbräuche[[#This Row],[2019]]*Emissionsfaktoren[[#This Row],[2019]]/1000, 0)</f>
        <v>0</v>
      </c>
      <c r="K119" s="14">
        <f>IF(ISNUMBER(Refsz_Verbräuche[[#This Row],[2020]]), Refsz_Verbräuche[[#This Row],[2020]]*Emissionsfaktoren[[#This Row],[2020]]/1000, 0)</f>
        <v>0</v>
      </c>
      <c r="L119" s="14">
        <f>IF(ISNUMBER(Refsz_Verbräuche[[#This Row],[2021]]), Refsz_Verbräuche[[#This Row],[2021]]*Emissionsfaktoren[[#This Row],[2021]]/1000, 0)</f>
        <v>0</v>
      </c>
      <c r="M119" s="14">
        <f>IF(ISNUMBER(Refsz_Verbräuche[[#This Row],[2022]]), Refsz_Verbräuche[[#This Row],[2022]]*Emissionsfaktoren[[#This Row],[2022]]/1000, 0)</f>
        <v>0</v>
      </c>
      <c r="N119" s="14">
        <f>IF(ISNUMBER(Refsz_Verbräuche[[#This Row],[2023]]), Refsz_Verbräuche[[#This Row],[2023]]*Emissionsfaktoren[[#This Row],[2023]]/1000, 0)</f>
        <v>0</v>
      </c>
      <c r="O119" s="14">
        <f>IF(ISNUMBER(Refsz_Verbräuche[[#This Row],[2024]]), Refsz_Verbräuche[[#This Row],[2024]]*Emissionsfaktoren[[#This Row],[2024]]/1000, 0)</f>
        <v>0</v>
      </c>
      <c r="P119" s="14">
        <f>IF(ISNUMBER(Refsz_Verbräuche[[#This Row],[2025]]), Refsz_Verbräuche[[#This Row],[2025]]*Emissionsfaktoren[[#This Row],[2025]]/1000, 0)</f>
        <v>0</v>
      </c>
      <c r="Q119" s="14">
        <f>IF(ISNUMBER(Refsz_Verbräuche[[#This Row],[2026]]), Refsz_Verbräuche[[#This Row],[2026]]*Emissionsfaktoren[[#This Row],[2026]]/1000, 0)</f>
        <v>0</v>
      </c>
      <c r="R119" s="14">
        <f>IF(ISNUMBER(Refsz_Verbräuche[[#This Row],[2027]]), Refsz_Verbräuche[[#This Row],[2027]]*Emissionsfaktoren[[#This Row],[2027]]/1000, 0)</f>
        <v>0</v>
      </c>
      <c r="S119" s="14">
        <f>IF(ISNUMBER(Refsz_Verbräuche[[#This Row],[2028]]), Refsz_Verbräuche[[#This Row],[2028]]*Emissionsfaktoren[[#This Row],[2028]]/1000, 0)</f>
        <v>0</v>
      </c>
      <c r="T119" s="14">
        <f>IF(ISNUMBER(Refsz_Verbräuche[[#This Row],[2029]]), Refsz_Verbräuche[[#This Row],[2029]]*Emissionsfaktoren[[#This Row],[2029]]/1000, 0)</f>
        <v>0</v>
      </c>
      <c r="U119" s="14">
        <f>IF(ISNUMBER(Refsz_Verbräuche[[#This Row],[2030]]), Refsz_Verbräuche[[#This Row],[2030]]*Emissionsfaktoren[[#This Row],[2030]]/1000, 0)</f>
        <v>0</v>
      </c>
      <c r="V119" s="14">
        <f>IF(ISNUMBER(Refsz_Verbräuche[[#This Row],[2035]]), Refsz_Verbräuche[[#This Row],[2035]]*Emissionsfaktoren[[#This Row],[2035]]/1000, 0)</f>
        <v>0</v>
      </c>
      <c r="W119" s="14">
        <f>IF(ISNUMBER(Refsz_Verbräuche[[#This Row],[2040]]), Refsz_Verbräuche[[#This Row],[2040]]*Emissionsfaktoren[[#This Row],[2040]]/1000, 0)</f>
        <v>0</v>
      </c>
      <c r="X119" s="14">
        <f>IF(ISNUMBER(Refsz_Verbräuche[[#This Row],[2045]]), Refsz_Verbräuche[[#This Row],[2045]]*Emissionsfaktoren[[#This Row],[2045]]/1000, 0)</f>
        <v>0</v>
      </c>
      <c r="Y119" s="14">
        <f>IF(ISNUMBER(Refsz_Verbräuche[[#This Row],[2050]]), Refsz_Verbräuche[[#This Row],[2050]]*Emissionsfaktoren[[#This Row],[2050]]/1000, 0)</f>
        <v>0</v>
      </c>
    </row>
    <row r="120" spans="2:25" ht="16.5">
      <c r="B120" s="14">
        <v>103</v>
      </c>
      <c r="C120" s="14" t="str">
        <f>Refsz_Verbräuche[[#This Row],[Handlungsfeld]]</f>
        <v>Waren und Dienstleistungen</v>
      </c>
      <c r="D120" s="19" t="str">
        <f>Refsz_Verbräuche[[#This Row],[Datenpunkt]]</f>
        <v>Toner</v>
      </c>
      <c r="E120" t="s">
        <v>195</v>
      </c>
      <c r="F120" s="14">
        <f>IF(ISNUMBER(Refsz_Verbräuche[[#This Row],[2015]]), Refsz_Verbräuche[[#This Row],[2015]]*Emissionsfaktoren[[#This Row],[2015]]/1000, 0)</f>
        <v>0</v>
      </c>
      <c r="G120" s="14">
        <f>IF(ISNUMBER(Refsz_Verbräuche[[#This Row],[2016]]), Refsz_Verbräuche[[#This Row],[2016]]*Emissionsfaktoren[[#This Row],[2016]]/1000, 0)</f>
        <v>0</v>
      </c>
      <c r="H120" s="14">
        <f>IF(ISNUMBER(Refsz_Verbräuche[[#This Row],[2017]]), Refsz_Verbräuche[[#This Row],[2017]]*Emissionsfaktoren[[#This Row],[2017]]/1000, 0)</f>
        <v>0</v>
      </c>
      <c r="I120" s="14">
        <f>IF(ISNUMBER(Refsz_Verbräuche[[#This Row],[2018]]), Refsz_Verbräuche[[#This Row],[2018]]*Emissionsfaktoren[[#This Row],[2018]]/1000, 0)</f>
        <v>0</v>
      </c>
      <c r="J120" s="14">
        <f>IF(ISNUMBER(Refsz_Verbräuche[[#This Row],[2019]]), Refsz_Verbräuche[[#This Row],[2019]]*Emissionsfaktoren[[#This Row],[2019]]/1000, 0)</f>
        <v>0</v>
      </c>
      <c r="K120" s="14">
        <f>IF(ISNUMBER(Refsz_Verbräuche[[#This Row],[2020]]), Refsz_Verbräuche[[#This Row],[2020]]*Emissionsfaktoren[[#This Row],[2020]]/1000, 0)</f>
        <v>0</v>
      </c>
      <c r="L120" s="14">
        <f>IF(ISNUMBER(Refsz_Verbräuche[[#This Row],[2021]]), Refsz_Verbräuche[[#This Row],[2021]]*Emissionsfaktoren[[#This Row],[2021]]/1000, 0)</f>
        <v>0</v>
      </c>
      <c r="M120" s="14">
        <f>IF(ISNUMBER(Refsz_Verbräuche[[#This Row],[2022]]), Refsz_Verbräuche[[#This Row],[2022]]*Emissionsfaktoren[[#This Row],[2022]]/1000, 0)</f>
        <v>0</v>
      </c>
      <c r="N120" s="14">
        <f>IF(ISNUMBER(Refsz_Verbräuche[[#This Row],[2023]]), Refsz_Verbräuche[[#This Row],[2023]]*Emissionsfaktoren[[#This Row],[2023]]/1000, 0)</f>
        <v>0</v>
      </c>
      <c r="O120" s="14">
        <f>IF(ISNUMBER(Refsz_Verbräuche[[#This Row],[2024]]), Refsz_Verbräuche[[#This Row],[2024]]*Emissionsfaktoren[[#This Row],[2024]]/1000, 0)</f>
        <v>0</v>
      </c>
      <c r="P120" s="14">
        <f>IF(ISNUMBER(Refsz_Verbräuche[[#This Row],[2025]]), Refsz_Verbräuche[[#This Row],[2025]]*Emissionsfaktoren[[#This Row],[2025]]/1000, 0)</f>
        <v>0</v>
      </c>
      <c r="Q120" s="14">
        <f>IF(ISNUMBER(Refsz_Verbräuche[[#This Row],[2026]]), Refsz_Verbräuche[[#This Row],[2026]]*Emissionsfaktoren[[#This Row],[2026]]/1000, 0)</f>
        <v>0</v>
      </c>
      <c r="R120" s="14">
        <f>IF(ISNUMBER(Refsz_Verbräuche[[#This Row],[2027]]), Refsz_Verbräuche[[#This Row],[2027]]*Emissionsfaktoren[[#This Row],[2027]]/1000, 0)</f>
        <v>0</v>
      </c>
      <c r="S120" s="14">
        <f>IF(ISNUMBER(Refsz_Verbräuche[[#This Row],[2028]]), Refsz_Verbräuche[[#This Row],[2028]]*Emissionsfaktoren[[#This Row],[2028]]/1000, 0)</f>
        <v>0</v>
      </c>
      <c r="T120" s="14">
        <f>IF(ISNUMBER(Refsz_Verbräuche[[#This Row],[2029]]), Refsz_Verbräuche[[#This Row],[2029]]*Emissionsfaktoren[[#This Row],[2029]]/1000, 0)</f>
        <v>0</v>
      </c>
      <c r="U120" s="14">
        <f>IF(ISNUMBER(Refsz_Verbräuche[[#This Row],[2030]]), Refsz_Verbräuche[[#This Row],[2030]]*Emissionsfaktoren[[#This Row],[2030]]/1000, 0)</f>
        <v>0</v>
      </c>
      <c r="V120" s="14">
        <f>IF(ISNUMBER(Refsz_Verbräuche[[#This Row],[2035]]), Refsz_Verbräuche[[#This Row],[2035]]*Emissionsfaktoren[[#This Row],[2035]]/1000, 0)</f>
        <v>0</v>
      </c>
      <c r="W120" s="14">
        <f>IF(ISNUMBER(Refsz_Verbräuche[[#This Row],[2040]]), Refsz_Verbräuche[[#This Row],[2040]]*Emissionsfaktoren[[#This Row],[2040]]/1000, 0)</f>
        <v>0</v>
      </c>
      <c r="X120" s="14">
        <f>IF(ISNUMBER(Refsz_Verbräuche[[#This Row],[2045]]), Refsz_Verbräuche[[#This Row],[2045]]*Emissionsfaktoren[[#This Row],[2045]]/1000, 0)</f>
        <v>0</v>
      </c>
      <c r="Y120" s="14">
        <f>IF(ISNUMBER(Refsz_Verbräuche[[#This Row],[2050]]), Refsz_Verbräuche[[#This Row],[2050]]*Emissionsfaktoren[[#This Row],[2050]]/1000, 0)</f>
        <v>0</v>
      </c>
    </row>
    <row r="121" spans="2:25" ht="16.5">
      <c r="B121" s="14">
        <v>104</v>
      </c>
      <c r="C121" s="14">
        <f>Refsz_Verbräuche[[#This Row],[Handlungsfeld]]</f>
        <v>0</v>
      </c>
      <c r="D121" s="19">
        <f>Refsz_Verbräuche[[#This Row],[Datenpunkt]]</f>
        <v>0</v>
      </c>
      <c r="E121" t="s">
        <v>195</v>
      </c>
      <c r="F121" s="14">
        <f>IF(ISNUMBER(Refsz_Verbräuche[[#This Row],[2015]]), Refsz_Verbräuche[[#This Row],[2015]]*Emissionsfaktoren[[#This Row],[2015]]/1000, 0)</f>
        <v>0</v>
      </c>
      <c r="G121" s="14">
        <f>IF(ISNUMBER(Refsz_Verbräuche[[#This Row],[2016]]), Refsz_Verbräuche[[#This Row],[2016]]*Emissionsfaktoren[[#This Row],[2016]]/1000, 0)</f>
        <v>0</v>
      </c>
      <c r="H121" s="14">
        <f>IF(ISNUMBER(Refsz_Verbräuche[[#This Row],[2017]]), Refsz_Verbräuche[[#This Row],[2017]]*Emissionsfaktoren[[#This Row],[2017]]/1000, 0)</f>
        <v>0</v>
      </c>
      <c r="I121" s="14">
        <f>IF(ISNUMBER(Refsz_Verbräuche[[#This Row],[2018]]), Refsz_Verbräuche[[#This Row],[2018]]*Emissionsfaktoren[[#This Row],[2018]]/1000, 0)</f>
        <v>0</v>
      </c>
      <c r="J121" s="14">
        <f>IF(ISNUMBER(Refsz_Verbräuche[[#This Row],[2019]]), Refsz_Verbräuche[[#This Row],[2019]]*Emissionsfaktoren[[#This Row],[2019]]/1000, 0)</f>
        <v>0</v>
      </c>
      <c r="K121" s="14">
        <f>IF(ISNUMBER(Refsz_Verbräuche[[#This Row],[2020]]), Refsz_Verbräuche[[#This Row],[2020]]*Emissionsfaktoren[[#This Row],[2020]]/1000, 0)</f>
        <v>0</v>
      </c>
      <c r="L121" s="14">
        <f>IF(ISNUMBER(Refsz_Verbräuche[[#This Row],[2021]]), Refsz_Verbräuche[[#This Row],[2021]]*Emissionsfaktoren[[#This Row],[2021]]/1000, 0)</f>
        <v>0</v>
      </c>
      <c r="M121" s="14">
        <f>IF(ISNUMBER(Refsz_Verbräuche[[#This Row],[2022]]), Refsz_Verbräuche[[#This Row],[2022]]*Emissionsfaktoren[[#This Row],[2022]]/1000, 0)</f>
        <v>0</v>
      </c>
      <c r="N121" s="14">
        <f>IF(ISNUMBER(Refsz_Verbräuche[[#This Row],[2023]]), Refsz_Verbräuche[[#This Row],[2023]]*Emissionsfaktoren[[#This Row],[2023]]/1000, 0)</f>
        <v>0</v>
      </c>
      <c r="O121" s="14">
        <f>IF(ISNUMBER(Refsz_Verbräuche[[#This Row],[2024]]), Refsz_Verbräuche[[#This Row],[2024]]*Emissionsfaktoren[[#This Row],[2024]]/1000, 0)</f>
        <v>0</v>
      </c>
      <c r="P121" s="14">
        <f>IF(ISNUMBER(Refsz_Verbräuche[[#This Row],[2025]]), Refsz_Verbräuche[[#This Row],[2025]]*Emissionsfaktoren[[#This Row],[2025]]/1000, 0)</f>
        <v>0</v>
      </c>
      <c r="Q121" s="14">
        <f>IF(ISNUMBER(Refsz_Verbräuche[[#This Row],[2026]]), Refsz_Verbräuche[[#This Row],[2026]]*Emissionsfaktoren[[#This Row],[2026]]/1000, 0)</f>
        <v>0</v>
      </c>
      <c r="R121" s="14">
        <f>IF(ISNUMBER(Refsz_Verbräuche[[#This Row],[2027]]), Refsz_Verbräuche[[#This Row],[2027]]*Emissionsfaktoren[[#This Row],[2027]]/1000, 0)</f>
        <v>0</v>
      </c>
      <c r="S121" s="14">
        <f>IF(ISNUMBER(Refsz_Verbräuche[[#This Row],[2028]]), Refsz_Verbräuche[[#This Row],[2028]]*Emissionsfaktoren[[#This Row],[2028]]/1000, 0)</f>
        <v>0</v>
      </c>
      <c r="T121" s="14">
        <f>IF(ISNUMBER(Refsz_Verbräuche[[#This Row],[2029]]), Refsz_Verbräuche[[#This Row],[2029]]*Emissionsfaktoren[[#This Row],[2029]]/1000, 0)</f>
        <v>0</v>
      </c>
      <c r="U121" s="14">
        <f>IF(ISNUMBER(Refsz_Verbräuche[[#This Row],[2030]]), Refsz_Verbräuche[[#This Row],[2030]]*Emissionsfaktoren[[#This Row],[2030]]/1000, 0)</f>
        <v>0</v>
      </c>
      <c r="V121" s="14">
        <f>IF(ISNUMBER(Refsz_Verbräuche[[#This Row],[2035]]), Refsz_Verbräuche[[#This Row],[2035]]*Emissionsfaktoren[[#This Row],[2035]]/1000, 0)</f>
        <v>0</v>
      </c>
      <c r="W121" s="14">
        <f>IF(ISNUMBER(Refsz_Verbräuche[[#This Row],[2040]]), Refsz_Verbräuche[[#This Row],[2040]]*Emissionsfaktoren[[#This Row],[2040]]/1000, 0)</f>
        <v>0</v>
      </c>
      <c r="X121" s="14">
        <f>IF(ISNUMBER(Refsz_Verbräuche[[#This Row],[2045]]), Refsz_Verbräuche[[#This Row],[2045]]*Emissionsfaktoren[[#This Row],[2045]]/1000, 0)</f>
        <v>0</v>
      </c>
      <c r="Y121" s="14">
        <f>IF(ISNUMBER(Refsz_Verbräuche[[#This Row],[2050]]), Refsz_Verbräuche[[#This Row],[2050]]*Emissionsfaktoren[[#This Row],[2050]]/1000, 0)</f>
        <v>0</v>
      </c>
    </row>
    <row r="122" spans="2:25" ht="16.5">
      <c r="B122" s="14">
        <v>105</v>
      </c>
      <c r="C122" s="14" t="str">
        <f>Refsz_Verbräuche[[#This Row],[Handlungsfeld]]</f>
        <v>Abfall</v>
      </c>
      <c r="D122" s="19" t="str">
        <f>Refsz_Verbräuche[[#This Row],[Datenpunkt]]</f>
        <v>Bioabfall, Grünschnitt (Kompostierung)</v>
      </c>
      <c r="E122" t="s">
        <v>195</v>
      </c>
      <c r="F122" s="14">
        <f>IF(ISNUMBER(Refsz_Verbräuche[[#This Row],[2015]]), Refsz_Verbräuche[[#This Row],[2015]]*Emissionsfaktoren[[#This Row],[2015]]/1000, 0)</f>
        <v>0</v>
      </c>
      <c r="G122" s="14">
        <f>IF(ISNUMBER(Refsz_Verbräuche[[#This Row],[2016]]), Refsz_Verbräuche[[#This Row],[2016]]*Emissionsfaktoren[[#This Row],[2016]]/1000, 0)</f>
        <v>0</v>
      </c>
      <c r="H122" s="14">
        <f>IF(ISNUMBER(Refsz_Verbräuche[[#This Row],[2017]]), Refsz_Verbräuche[[#This Row],[2017]]*Emissionsfaktoren[[#This Row],[2017]]/1000, 0)</f>
        <v>0</v>
      </c>
      <c r="I122" s="14">
        <f>IF(ISNUMBER(Refsz_Verbräuche[[#This Row],[2018]]), Refsz_Verbräuche[[#This Row],[2018]]*Emissionsfaktoren[[#This Row],[2018]]/1000, 0)</f>
        <v>0</v>
      </c>
      <c r="J122" s="14">
        <f>IF(ISNUMBER(Refsz_Verbräuche[[#This Row],[2019]]), Refsz_Verbräuche[[#This Row],[2019]]*Emissionsfaktoren[[#This Row],[2019]]/1000, 0)</f>
        <v>0</v>
      </c>
      <c r="K122" s="14">
        <f>IF(ISNUMBER(Refsz_Verbräuche[[#This Row],[2020]]), Refsz_Verbräuche[[#This Row],[2020]]*Emissionsfaktoren[[#This Row],[2020]]/1000, 0)</f>
        <v>0</v>
      </c>
      <c r="L122" s="14">
        <f>IF(ISNUMBER(Refsz_Verbräuche[[#This Row],[2021]]), Refsz_Verbräuche[[#This Row],[2021]]*Emissionsfaktoren[[#This Row],[2021]]/1000, 0)</f>
        <v>0</v>
      </c>
      <c r="M122" s="14">
        <f>IF(ISNUMBER(Refsz_Verbräuche[[#This Row],[2022]]), Refsz_Verbräuche[[#This Row],[2022]]*Emissionsfaktoren[[#This Row],[2022]]/1000, 0)</f>
        <v>0</v>
      </c>
      <c r="N122" s="14">
        <f>IF(ISNUMBER(Refsz_Verbräuche[[#This Row],[2023]]), Refsz_Verbräuche[[#This Row],[2023]]*Emissionsfaktoren[[#This Row],[2023]]/1000, 0)</f>
        <v>0</v>
      </c>
      <c r="O122" s="14">
        <f>IF(ISNUMBER(Refsz_Verbräuche[[#This Row],[2024]]), Refsz_Verbräuche[[#This Row],[2024]]*Emissionsfaktoren[[#This Row],[2024]]/1000, 0)</f>
        <v>0</v>
      </c>
      <c r="P122" s="14">
        <f>IF(ISNUMBER(Refsz_Verbräuche[[#This Row],[2025]]), Refsz_Verbräuche[[#This Row],[2025]]*Emissionsfaktoren[[#This Row],[2025]]/1000, 0)</f>
        <v>0</v>
      </c>
      <c r="Q122" s="14">
        <f>IF(ISNUMBER(Refsz_Verbräuche[[#This Row],[2026]]), Refsz_Verbräuche[[#This Row],[2026]]*Emissionsfaktoren[[#This Row],[2026]]/1000, 0)</f>
        <v>0</v>
      </c>
      <c r="R122" s="14">
        <f>IF(ISNUMBER(Refsz_Verbräuche[[#This Row],[2027]]), Refsz_Verbräuche[[#This Row],[2027]]*Emissionsfaktoren[[#This Row],[2027]]/1000, 0)</f>
        <v>0</v>
      </c>
      <c r="S122" s="14">
        <f>IF(ISNUMBER(Refsz_Verbräuche[[#This Row],[2028]]), Refsz_Verbräuche[[#This Row],[2028]]*Emissionsfaktoren[[#This Row],[2028]]/1000, 0)</f>
        <v>0</v>
      </c>
      <c r="T122" s="14">
        <f>IF(ISNUMBER(Refsz_Verbräuche[[#This Row],[2029]]), Refsz_Verbräuche[[#This Row],[2029]]*Emissionsfaktoren[[#This Row],[2029]]/1000, 0)</f>
        <v>0</v>
      </c>
      <c r="U122" s="14">
        <f>IF(ISNUMBER(Refsz_Verbräuche[[#This Row],[2030]]), Refsz_Verbräuche[[#This Row],[2030]]*Emissionsfaktoren[[#This Row],[2030]]/1000, 0)</f>
        <v>0</v>
      </c>
      <c r="V122" s="14">
        <f>IF(ISNUMBER(Refsz_Verbräuche[[#This Row],[2035]]), Refsz_Verbräuche[[#This Row],[2035]]*Emissionsfaktoren[[#This Row],[2035]]/1000, 0)</f>
        <v>0</v>
      </c>
      <c r="W122" s="14">
        <f>IF(ISNUMBER(Refsz_Verbräuche[[#This Row],[2040]]), Refsz_Verbräuche[[#This Row],[2040]]*Emissionsfaktoren[[#This Row],[2040]]/1000, 0)</f>
        <v>0</v>
      </c>
      <c r="X122" s="14">
        <f>IF(ISNUMBER(Refsz_Verbräuche[[#This Row],[2045]]), Refsz_Verbräuche[[#This Row],[2045]]*Emissionsfaktoren[[#This Row],[2045]]/1000, 0)</f>
        <v>0</v>
      </c>
      <c r="Y122" s="14">
        <f>IF(ISNUMBER(Refsz_Verbräuche[[#This Row],[2050]]), Refsz_Verbräuche[[#This Row],[2050]]*Emissionsfaktoren[[#This Row],[2050]]/1000, 0)</f>
        <v>0</v>
      </c>
    </row>
    <row r="123" spans="2:25" ht="16.5">
      <c r="B123" s="14">
        <v>106</v>
      </c>
      <c r="C123" s="14" t="str">
        <f>Refsz_Verbräuche[[#This Row],[Handlungsfeld]]</f>
        <v>Abfall</v>
      </c>
      <c r="D123" s="19" t="str">
        <f>Refsz_Verbräuche[[#This Row],[Datenpunkt]]</f>
        <v>Bioabfall (Verbrennung)</v>
      </c>
      <c r="E123" t="s">
        <v>195</v>
      </c>
      <c r="F123" s="14">
        <f>IF(ISNUMBER(Refsz_Verbräuche[[#This Row],[2015]]), Refsz_Verbräuche[[#This Row],[2015]]*Emissionsfaktoren[[#This Row],[2015]]/1000, 0)</f>
        <v>0</v>
      </c>
      <c r="G123" s="14">
        <f>IF(ISNUMBER(Refsz_Verbräuche[[#This Row],[2016]]), Refsz_Verbräuche[[#This Row],[2016]]*Emissionsfaktoren[[#This Row],[2016]]/1000, 0)</f>
        <v>0</v>
      </c>
      <c r="H123" s="14">
        <f>IF(ISNUMBER(Refsz_Verbräuche[[#This Row],[2017]]), Refsz_Verbräuche[[#This Row],[2017]]*Emissionsfaktoren[[#This Row],[2017]]/1000, 0)</f>
        <v>0</v>
      </c>
      <c r="I123" s="14">
        <f>IF(ISNUMBER(Refsz_Verbräuche[[#This Row],[2018]]), Refsz_Verbräuche[[#This Row],[2018]]*Emissionsfaktoren[[#This Row],[2018]]/1000, 0)</f>
        <v>0</v>
      </c>
      <c r="J123" s="14">
        <f>IF(ISNUMBER(Refsz_Verbräuche[[#This Row],[2019]]), Refsz_Verbräuche[[#This Row],[2019]]*Emissionsfaktoren[[#This Row],[2019]]/1000, 0)</f>
        <v>0</v>
      </c>
      <c r="K123" s="14">
        <f>IF(ISNUMBER(Refsz_Verbräuche[[#This Row],[2020]]), Refsz_Verbräuche[[#This Row],[2020]]*Emissionsfaktoren[[#This Row],[2020]]/1000, 0)</f>
        <v>0</v>
      </c>
      <c r="L123" s="14">
        <f>IF(ISNUMBER(Refsz_Verbräuche[[#This Row],[2021]]), Refsz_Verbräuche[[#This Row],[2021]]*Emissionsfaktoren[[#This Row],[2021]]/1000, 0)</f>
        <v>0</v>
      </c>
      <c r="M123" s="14">
        <f>IF(ISNUMBER(Refsz_Verbräuche[[#This Row],[2022]]), Refsz_Verbräuche[[#This Row],[2022]]*Emissionsfaktoren[[#This Row],[2022]]/1000, 0)</f>
        <v>0</v>
      </c>
      <c r="N123" s="14">
        <f>IF(ISNUMBER(Refsz_Verbräuche[[#This Row],[2023]]), Refsz_Verbräuche[[#This Row],[2023]]*Emissionsfaktoren[[#This Row],[2023]]/1000, 0)</f>
        <v>0</v>
      </c>
      <c r="O123" s="14">
        <f>IF(ISNUMBER(Refsz_Verbräuche[[#This Row],[2024]]), Refsz_Verbräuche[[#This Row],[2024]]*Emissionsfaktoren[[#This Row],[2024]]/1000, 0)</f>
        <v>0</v>
      </c>
      <c r="P123" s="14">
        <f>IF(ISNUMBER(Refsz_Verbräuche[[#This Row],[2025]]), Refsz_Verbräuche[[#This Row],[2025]]*Emissionsfaktoren[[#This Row],[2025]]/1000, 0)</f>
        <v>0</v>
      </c>
      <c r="Q123" s="14">
        <f>IF(ISNUMBER(Refsz_Verbräuche[[#This Row],[2026]]), Refsz_Verbräuche[[#This Row],[2026]]*Emissionsfaktoren[[#This Row],[2026]]/1000, 0)</f>
        <v>0</v>
      </c>
      <c r="R123" s="14">
        <f>IF(ISNUMBER(Refsz_Verbräuche[[#This Row],[2027]]), Refsz_Verbräuche[[#This Row],[2027]]*Emissionsfaktoren[[#This Row],[2027]]/1000, 0)</f>
        <v>0</v>
      </c>
      <c r="S123" s="14">
        <f>IF(ISNUMBER(Refsz_Verbräuche[[#This Row],[2028]]), Refsz_Verbräuche[[#This Row],[2028]]*Emissionsfaktoren[[#This Row],[2028]]/1000, 0)</f>
        <v>0</v>
      </c>
      <c r="T123" s="14">
        <f>IF(ISNUMBER(Refsz_Verbräuche[[#This Row],[2029]]), Refsz_Verbräuche[[#This Row],[2029]]*Emissionsfaktoren[[#This Row],[2029]]/1000, 0)</f>
        <v>0</v>
      </c>
      <c r="U123" s="14">
        <f>IF(ISNUMBER(Refsz_Verbräuche[[#This Row],[2030]]), Refsz_Verbräuche[[#This Row],[2030]]*Emissionsfaktoren[[#This Row],[2030]]/1000, 0)</f>
        <v>0</v>
      </c>
      <c r="V123" s="14">
        <f>IF(ISNUMBER(Refsz_Verbräuche[[#This Row],[2035]]), Refsz_Verbräuche[[#This Row],[2035]]*Emissionsfaktoren[[#This Row],[2035]]/1000, 0)</f>
        <v>0</v>
      </c>
      <c r="W123" s="14">
        <f>IF(ISNUMBER(Refsz_Verbräuche[[#This Row],[2040]]), Refsz_Verbräuche[[#This Row],[2040]]*Emissionsfaktoren[[#This Row],[2040]]/1000, 0)</f>
        <v>0</v>
      </c>
      <c r="X123" s="14">
        <f>IF(ISNUMBER(Refsz_Verbräuche[[#This Row],[2045]]), Refsz_Verbräuche[[#This Row],[2045]]*Emissionsfaktoren[[#This Row],[2045]]/1000, 0)</f>
        <v>0</v>
      </c>
      <c r="Y123" s="14">
        <f>IF(ISNUMBER(Refsz_Verbräuche[[#This Row],[2050]]), Refsz_Verbräuche[[#This Row],[2050]]*Emissionsfaktoren[[#This Row],[2050]]/1000, 0)</f>
        <v>0</v>
      </c>
    </row>
    <row r="124" spans="2:25" ht="16.5">
      <c r="B124" s="14">
        <v>107</v>
      </c>
      <c r="C124" s="14" t="str">
        <f>Refsz_Verbräuche[[#This Row],[Handlungsfeld]]</f>
        <v>Abfall</v>
      </c>
      <c r="D124" s="19" t="str">
        <f>Refsz_Verbräuche[[#This Row],[Datenpunkt]]</f>
        <v>Papierabfall</v>
      </c>
      <c r="E124" t="s">
        <v>195</v>
      </c>
      <c r="F124" s="14">
        <f>IF(ISNUMBER(Refsz_Verbräuche[[#This Row],[2015]]), Refsz_Verbräuche[[#This Row],[2015]]*Emissionsfaktoren[[#This Row],[2015]]/1000, 0)</f>
        <v>0</v>
      </c>
      <c r="G124" s="14">
        <f>IF(ISNUMBER(Refsz_Verbräuche[[#This Row],[2016]]), Refsz_Verbräuche[[#This Row],[2016]]*Emissionsfaktoren[[#This Row],[2016]]/1000, 0)</f>
        <v>0</v>
      </c>
      <c r="H124" s="14">
        <f>IF(ISNUMBER(Refsz_Verbräuche[[#This Row],[2017]]), Refsz_Verbräuche[[#This Row],[2017]]*Emissionsfaktoren[[#This Row],[2017]]/1000, 0)</f>
        <v>0</v>
      </c>
      <c r="I124" s="14">
        <f>IF(ISNUMBER(Refsz_Verbräuche[[#This Row],[2018]]), Refsz_Verbräuche[[#This Row],[2018]]*Emissionsfaktoren[[#This Row],[2018]]/1000, 0)</f>
        <v>0</v>
      </c>
      <c r="J124" s="14">
        <f>IF(ISNUMBER(Refsz_Verbräuche[[#This Row],[2019]]), Refsz_Verbräuche[[#This Row],[2019]]*Emissionsfaktoren[[#This Row],[2019]]/1000, 0)</f>
        <v>0</v>
      </c>
      <c r="K124" s="14">
        <f>IF(ISNUMBER(Refsz_Verbräuche[[#This Row],[2020]]), Refsz_Verbräuche[[#This Row],[2020]]*Emissionsfaktoren[[#This Row],[2020]]/1000, 0)</f>
        <v>0</v>
      </c>
      <c r="L124" s="14">
        <f>IF(ISNUMBER(Refsz_Verbräuche[[#This Row],[2021]]), Refsz_Verbräuche[[#This Row],[2021]]*Emissionsfaktoren[[#This Row],[2021]]/1000, 0)</f>
        <v>0</v>
      </c>
      <c r="M124" s="14">
        <f>IF(ISNUMBER(Refsz_Verbräuche[[#This Row],[2022]]), Refsz_Verbräuche[[#This Row],[2022]]*Emissionsfaktoren[[#This Row],[2022]]/1000, 0)</f>
        <v>0</v>
      </c>
      <c r="N124" s="14">
        <f>IF(ISNUMBER(Refsz_Verbräuche[[#This Row],[2023]]), Refsz_Verbräuche[[#This Row],[2023]]*Emissionsfaktoren[[#This Row],[2023]]/1000, 0)</f>
        <v>0</v>
      </c>
      <c r="O124" s="14">
        <f>IF(ISNUMBER(Refsz_Verbräuche[[#This Row],[2024]]), Refsz_Verbräuche[[#This Row],[2024]]*Emissionsfaktoren[[#This Row],[2024]]/1000, 0)</f>
        <v>0</v>
      </c>
      <c r="P124" s="14">
        <f>IF(ISNUMBER(Refsz_Verbräuche[[#This Row],[2025]]), Refsz_Verbräuche[[#This Row],[2025]]*Emissionsfaktoren[[#This Row],[2025]]/1000, 0)</f>
        <v>0</v>
      </c>
      <c r="Q124" s="14">
        <f>IF(ISNUMBER(Refsz_Verbräuche[[#This Row],[2026]]), Refsz_Verbräuche[[#This Row],[2026]]*Emissionsfaktoren[[#This Row],[2026]]/1000, 0)</f>
        <v>0</v>
      </c>
      <c r="R124" s="14">
        <f>IF(ISNUMBER(Refsz_Verbräuche[[#This Row],[2027]]), Refsz_Verbräuche[[#This Row],[2027]]*Emissionsfaktoren[[#This Row],[2027]]/1000, 0)</f>
        <v>0</v>
      </c>
      <c r="S124" s="14">
        <f>IF(ISNUMBER(Refsz_Verbräuche[[#This Row],[2028]]), Refsz_Verbräuche[[#This Row],[2028]]*Emissionsfaktoren[[#This Row],[2028]]/1000, 0)</f>
        <v>0</v>
      </c>
      <c r="T124" s="14">
        <f>IF(ISNUMBER(Refsz_Verbräuche[[#This Row],[2029]]), Refsz_Verbräuche[[#This Row],[2029]]*Emissionsfaktoren[[#This Row],[2029]]/1000, 0)</f>
        <v>0</v>
      </c>
      <c r="U124" s="14">
        <f>IF(ISNUMBER(Refsz_Verbräuche[[#This Row],[2030]]), Refsz_Verbräuche[[#This Row],[2030]]*Emissionsfaktoren[[#This Row],[2030]]/1000, 0)</f>
        <v>0</v>
      </c>
      <c r="V124" s="14">
        <f>IF(ISNUMBER(Refsz_Verbräuche[[#This Row],[2035]]), Refsz_Verbräuche[[#This Row],[2035]]*Emissionsfaktoren[[#This Row],[2035]]/1000, 0)</f>
        <v>0</v>
      </c>
      <c r="W124" s="14">
        <f>IF(ISNUMBER(Refsz_Verbräuche[[#This Row],[2040]]), Refsz_Verbräuche[[#This Row],[2040]]*Emissionsfaktoren[[#This Row],[2040]]/1000, 0)</f>
        <v>0</v>
      </c>
      <c r="X124" s="14">
        <f>IF(ISNUMBER(Refsz_Verbräuche[[#This Row],[2045]]), Refsz_Verbräuche[[#This Row],[2045]]*Emissionsfaktoren[[#This Row],[2045]]/1000, 0)</f>
        <v>0</v>
      </c>
      <c r="Y124" s="14">
        <f>IF(ISNUMBER(Refsz_Verbräuche[[#This Row],[2050]]), Refsz_Verbräuche[[#This Row],[2050]]*Emissionsfaktoren[[#This Row],[2050]]/1000, 0)</f>
        <v>0</v>
      </c>
    </row>
    <row r="125" spans="2:25" ht="16.5">
      <c r="B125" s="14">
        <v>108</v>
      </c>
      <c r="C125" s="14" t="str">
        <f>Refsz_Verbräuche[[#This Row],[Handlungsfeld]]</f>
        <v>Abfall</v>
      </c>
      <c r="D125" s="19" t="str">
        <f>Refsz_Verbräuche[[#This Row],[Datenpunkt]]</f>
        <v>Plastik- und Verpackungsabfall</v>
      </c>
      <c r="E125" t="s">
        <v>195</v>
      </c>
      <c r="F125" s="14">
        <f>IF(ISNUMBER(Refsz_Verbräuche[[#This Row],[2015]]), Refsz_Verbräuche[[#This Row],[2015]]*Emissionsfaktoren[[#This Row],[2015]]/1000, 0)</f>
        <v>0</v>
      </c>
      <c r="G125" s="14">
        <f>IF(ISNUMBER(Refsz_Verbräuche[[#This Row],[2016]]), Refsz_Verbräuche[[#This Row],[2016]]*Emissionsfaktoren[[#This Row],[2016]]/1000, 0)</f>
        <v>0</v>
      </c>
      <c r="H125" s="14">
        <f>IF(ISNUMBER(Refsz_Verbräuche[[#This Row],[2017]]), Refsz_Verbräuche[[#This Row],[2017]]*Emissionsfaktoren[[#This Row],[2017]]/1000, 0)</f>
        <v>0</v>
      </c>
      <c r="I125" s="14">
        <f>IF(ISNUMBER(Refsz_Verbräuche[[#This Row],[2018]]), Refsz_Verbräuche[[#This Row],[2018]]*Emissionsfaktoren[[#This Row],[2018]]/1000, 0)</f>
        <v>0</v>
      </c>
      <c r="J125" s="14">
        <f>IF(ISNUMBER(Refsz_Verbräuche[[#This Row],[2019]]), Refsz_Verbräuche[[#This Row],[2019]]*Emissionsfaktoren[[#This Row],[2019]]/1000, 0)</f>
        <v>0</v>
      </c>
      <c r="K125" s="14">
        <f>IF(ISNUMBER(Refsz_Verbräuche[[#This Row],[2020]]), Refsz_Verbräuche[[#This Row],[2020]]*Emissionsfaktoren[[#This Row],[2020]]/1000, 0)</f>
        <v>0</v>
      </c>
      <c r="L125" s="14">
        <f>IF(ISNUMBER(Refsz_Verbräuche[[#This Row],[2021]]), Refsz_Verbräuche[[#This Row],[2021]]*Emissionsfaktoren[[#This Row],[2021]]/1000, 0)</f>
        <v>0</v>
      </c>
      <c r="M125" s="14">
        <f>IF(ISNUMBER(Refsz_Verbräuche[[#This Row],[2022]]), Refsz_Verbräuche[[#This Row],[2022]]*Emissionsfaktoren[[#This Row],[2022]]/1000, 0)</f>
        <v>0</v>
      </c>
      <c r="N125" s="14">
        <f>IF(ISNUMBER(Refsz_Verbräuche[[#This Row],[2023]]), Refsz_Verbräuche[[#This Row],[2023]]*Emissionsfaktoren[[#This Row],[2023]]/1000, 0)</f>
        <v>0</v>
      </c>
      <c r="O125" s="14">
        <f>IF(ISNUMBER(Refsz_Verbräuche[[#This Row],[2024]]), Refsz_Verbräuche[[#This Row],[2024]]*Emissionsfaktoren[[#This Row],[2024]]/1000, 0)</f>
        <v>0</v>
      </c>
      <c r="P125" s="14">
        <f>IF(ISNUMBER(Refsz_Verbräuche[[#This Row],[2025]]), Refsz_Verbräuche[[#This Row],[2025]]*Emissionsfaktoren[[#This Row],[2025]]/1000, 0)</f>
        <v>0</v>
      </c>
      <c r="Q125" s="14">
        <f>IF(ISNUMBER(Refsz_Verbräuche[[#This Row],[2026]]), Refsz_Verbräuche[[#This Row],[2026]]*Emissionsfaktoren[[#This Row],[2026]]/1000, 0)</f>
        <v>0</v>
      </c>
      <c r="R125" s="14">
        <f>IF(ISNUMBER(Refsz_Verbräuche[[#This Row],[2027]]), Refsz_Verbräuche[[#This Row],[2027]]*Emissionsfaktoren[[#This Row],[2027]]/1000, 0)</f>
        <v>0</v>
      </c>
      <c r="S125" s="14">
        <f>IF(ISNUMBER(Refsz_Verbräuche[[#This Row],[2028]]), Refsz_Verbräuche[[#This Row],[2028]]*Emissionsfaktoren[[#This Row],[2028]]/1000, 0)</f>
        <v>0</v>
      </c>
      <c r="T125" s="14">
        <f>IF(ISNUMBER(Refsz_Verbräuche[[#This Row],[2029]]), Refsz_Verbräuche[[#This Row],[2029]]*Emissionsfaktoren[[#This Row],[2029]]/1000, 0)</f>
        <v>0</v>
      </c>
      <c r="U125" s="14">
        <f>IF(ISNUMBER(Refsz_Verbräuche[[#This Row],[2030]]), Refsz_Verbräuche[[#This Row],[2030]]*Emissionsfaktoren[[#This Row],[2030]]/1000, 0)</f>
        <v>0</v>
      </c>
      <c r="V125" s="14">
        <f>IF(ISNUMBER(Refsz_Verbräuche[[#This Row],[2035]]), Refsz_Verbräuche[[#This Row],[2035]]*Emissionsfaktoren[[#This Row],[2035]]/1000, 0)</f>
        <v>0</v>
      </c>
      <c r="W125" s="14">
        <f>IF(ISNUMBER(Refsz_Verbräuche[[#This Row],[2040]]), Refsz_Verbräuche[[#This Row],[2040]]*Emissionsfaktoren[[#This Row],[2040]]/1000, 0)</f>
        <v>0</v>
      </c>
      <c r="X125" s="14">
        <f>IF(ISNUMBER(Refsz_Verbräuche[[#This Row],[2045]]), Refsz_Verbräuche[[#This Row],[2045]]*Emissionsfaktoren[[#This Row],[2045]]/1000, 0)</f>
        <v>0</v>
      </c>
      <c r="Y125" s="14">
        <f>IF(ISNUMBER(Refsz_Verbräuche[[#This Row],[2050]]), Refsz_Verbräuche[[#This Row],[2050]]*Emissionsfaktoren[[#This Row],[2050]]/1000, 0)</f>
        <v>0</v>
      </c>
    </row>
    <row r="126" spans="2:25" ht="16.5">
      <c r="B126" s="14">
        <v>109</v>
      </c>
      <c r="C126" s="14" t="str">
        <f>Refsz_Verbräuche[[#This Row],[Handlungsfeld]]</f>
        <v>Abfall</v>
      </c>
      <c r="D126" s="19" t="str">
        <f>Refsz_Verbräuche[[#This Row],[Datenpunkt]]</f>
        <v>Restmüll</v>
      </c>
      <c r="E126" t="s">
        <v>195</v>
      </c>
      <c r="F126" s="14">
        <f>IF(ISNUMBER(Refsz_Verbräuche[[#This Row],[2015]]), Refsz_Verbräuche[[#This Row],[2015]]*Emissionsfaktoren[[#This Row],[2015]]/1000, 0)</f>
        <v>0</v>
      </c>
      <c r="G126" s="14">
        <f>IF(ISNUMBER(Refsz_Verbräuche[[#This Row],[2016]]), Refsz_Verbräuche[[#This Row],[2016]]*Emissionsfaktoren[[#This Row],[2016]]/1000, 0)</f>
        <v>0</v>
      </c>
      <c r="H126" s="14">
        <f>IF(ISNUMBER(Refsz_Verbräuche[[#This Row],[2017]]), Refsz_Verbräuche[[#This Row],[2017]]*Emissionsfaktoren[[#This Row],[2017]]/1000, 0)</f>
        <v>0</v>
      </c>
      <c r="I126" s="14">
        <f>IF(ISNUMBER(Refsz_Verbräuche[[#This Row],[2018]]), Refsz_Verbräuche[[#This Row],[2018]]*Emissionsfaktoren[[#This Row],[2018]]/1000, 0)</f>
        <v>0</v>
      </c>
      <c r="J126" s="14">
        <f>IF(ISNUMBER(Refsz_Verbräuche[[#This Row],[2019]]), Refsz_Verbräuche[[#This Row],[2019]]*Emissionsfaktoren[[#This Row],[2019]]/1000, 0)</f>
        <v>0</v>
      </c>
      <c r="K126" s="14">
        <f>IF(ISNUMBER(Refsz_Verbräuche[[#This Row],[2020]]), Refsz_Verbräuche[[#This Row],[2020]]*Emissionsfaktoren[[#This Row],[2020]]/1000, 0)</f>
        <v>0</v>
      </c>
      <c r="L126" s="14">
        <f>IF(ISNUMBER(Refsz_Verbräuche[[#This Row],[2021]]), Refsz_Verbräuche[[#This Row],[2021]]*Emissionsfaktoren[[#This Row],[2021]]/1000, 0)</f>
        <v>0</v>
      </c>
      <c r="M126" s="14">
        <f>IF(ISNUMBER(Refsz_Verbräuche[[#This Row],[2022]]), Refsz_Verbräuche[[#This Row],[2022]]*Emissionsfaktoren[[#This Row],[2022]]/1000, 0)</f>
        <v>0</v>
      </c>
      <c r="N126" s="14">
        <f>IF(ISNUMBER(Refsz_Verbräuche[[#This Row],[2023]]), Refsz_Verbräuche[[#This Row],[2023]]*Emissionsfaktoren[[#This Row],[2023]]/1000, 0)</f>
        <v>0</v>
      </c>
      <c r="O126" s="14">
        <f>IF(ISNUMBER(Refsz_Verbräuche[[#This Row],[2024]]), Refsz_Verbräuche[[#This Row],[2024]]*Emissionsfaktoren[[#This Row],[2024]]/1000, 0)</f>
        <v>0</v>
      </c>
      <c r="P126" s="14">
        <f>IF(ISNUMBER(Refsz_Verbräuche[[#This Row],[2025]]), Refsz_Verbräuche[[#This Row],[2025]]*Emissionsfaktoren[[#This Row],[2025]]/1000, 0)</f>
        <v>0</v>
      </c>
      <c r="Q126" s="14">
        <f>IF(ISNUMBER(Refsz_Verbräuche[[#This Row],[2026]]), Refsz_Verbräuche[[#This Row],[2026]]*Emissionsfaktoren[[#This Row],[2026]]/1000, 0)</f>
        <v>0</v>
      </c>
      <c r="R126" s="14">
        <f>IF(ISNUMBER(Refsz_Verbräuche[[#This Row],[2027]]), Refsz_Verbräuche[[#This Row],[2027]]*Emissionsfaktoren[[#This Row],[2027]]/1000, 0)</f>
        <v>0</v>
      </c>
      <c r="S126" s="14">
        <f>IF(ISNUMBER(Refsz_Verbräuche[[#This Row],[2028]]), Refsz_Verbräuche[[#This Row],[2028]]*Emissionsfaktoren[[#This Row],[2028]]/1000, 0)</f>
        <v>0</v>
      </c>
      <c r="T126" s="14">
        <f>IF(ISNUMBER(Refsz_Verbräuche[[#This Row],[2029]]), Refsz_Verbräuche[[#This Row],[2029]]*Emissionsfaktoren[[#This Row],[2029]]/1000, 0)</f>
        <v>0</v>
      </c>
      <c r="U126" s="14">
        <f>IF(ISNUMBER(Refsz_Verbräuche[[#This Row],[2030]]), Refsz_Verbräuche[[#This Row],[2030]]*Emissionsfaktoren[[#This Row],[2030]]/1000, 0)</f>
        <v>0</v>
      </c>
      <c r="V126" s="14">
        <f>IF(ISNUMBER(Refsz_Verbräuche[[#This Row],[2035]]), Refsz_Verbräuche[[#This Row],[2035]]*Emissionsfaktoren[[#This Row],[2035]]/1000, 0)</f>
        <v>0</v>
      </c>
      <c r="W126" s="14">
        <f>IF(ISNUMBER(Refsz_Verbräuche[[#This Row],[2040]]), Refsz_Verbräuche[[#This Row],[2040]]*Emissionsfaktoren[[#This Row],[2040]]/1000, 0)</f>
        <v>0</v>
      </c>
      <c r="X126" s="14">
        <f>IF(ISNUMBER(Refsz_Verbräuche[[#This Row],[2045]]), Refsz_Verbräuche[[#This Row],[2045]]*Emissionsfaktoren[[#This Row],[2045]]/1000, 0)</f>
        <v>0</v>
      </c>
      <c r="Y126" s="14">
        <f>IF(ISNUMBER(Refsz_Verbräuche[[#This Row],[2050]]), Refsz_Verbräuche[[#This Row],[2050]]*Emissionsfaktoren[[#This Row],[2050]]/1000, 0)</f>
        <v>0</v>
      </c>
    </row>
    <row r="127" spans="2:25" ht="16.5">
      <c r="B127" s="14">
        <v>110</v>
      </c>
      <c r="C127" s="14" t="str">
        <f>Refsz_Verbräuche[[#This Row],[Handlungsfeld]]</f>
        <v>Abfall</v>
      </c>
      <c r="D127" s="19" t="str">
        <f>Refsz_Verbräuche[[#This Row],[Datenpunkt]]</f>
        <v>Sperrmüll</v>
      </c>
      <c r="E127" t="s">
        <v>195</v>
      </c>
      <c r="F127" s="14">
        <f>IF(ISNUMBER(Refsz_Verbräuche[[#This Row],[2015]]), Refsz_Verbräuche[[#This Row],[2015]]*Emissionsfaktoren[[#This Row],[2015]]/1000, 0)</f>
        <v>0</v>
      </c>
      <c r="G127" s="14">
        <f>IF(ISNUMBER(Refsz_Verbräuche[[#This Row],[2016]]), Refsz_Verbräuche[[#This Row],[2016]]*Emissionsfaktoren[[#This Row],[2016]]/1000, 0)</f>
        <v>0</v>
      </c>
      <c r="H127" s="14">
        <f>IF(ISNUMBER(Refsz_Verbräuche[[#This Row],[2017]]), Refsz_Verbräuche[[#This Row],[2017]]*Emissionsfaktoren[[#This Row],[2017]]/1000, 0)</f>
        <v>0</v>
      </c>
      <c r="I127" s="14">
        <f>IF(ISNUMBER(Refsz_Verbräuche[[#This Row],[2018]]), Refsz_Verbräuche[[#This Row],[2018]]*Emissionsfaktoren[[#This Row],[2018]]/1000, 0)</f>
        <v>0</v>
      </c>
      <c r="J127" s="14">
        <f>IF(ISNUMBER(Refsz_Verbräuche[[#This Row],[2019]]), Refsz_Verbräuche[[#This Row],[2019]]*Emissionsfaktoren[[#This Row],[2019]]/1000, 0)</f>
        <v>0</v>
      </c>
      <c r="K127" s="14">
        <f>IF(ISNUMBER(Refsz_Verbräuche[[#This Row],[2020]]), Refsz_Verbräuche[[#This Row],[2020]]*Emissionsfaktoren[[#This Row],[2020]]/1000, 0)</f>
        <v>0</v>
      </c>
      <c r="L127" s="14">
        <f>IF(ISNUMBER(Refsz_Verbräuche[[#This Row],[2021]]), Refsz_Verbräuche[[#This Row],[2021]]*Emissionsfaktoren[[#This Row],[2021]]/1000, 0)</f>
        <v>0</v>
      </c>
      <c r="M127" s="14">
        <f>IF(ISNUMBER(Refsz_Verbräuche[[#This Row],[2022]]), Refsz_Verbräuche[[#This Row],[2022]]*Emissionsfaktoren[[#This Row],[2022]]/1000, 0)</f>
        <v>0</v>
      </c>
      <c r="N127" s="14">
        <f>IF(ISNUMBER(Refsz_Verbräuche[[#This Row],[2023]]), Refsz_Verbräuche[[#This Row],[2023]]*Emissionsfaktoren[[#This Row],[2023]]/1000, 0)</f>
        <v>0</v>
      </c>
      <c r="O127" s="14">
        <f>IF(ISNUMBER(Refsz_Verbräuche[[#This Row],[2024]]), Refsz_Verbräuche[[#This Row],[2024]]*Emissionsfaktoren[[#This Row],[2024]]/1000, 0)</f>
        <v>0</v>
      </c>
      <c r="P127" s="14">
        <f>IF(ISNUMBER(Refsz_Verbräuche[[#This Row],[2025]]), Refsz_Verbräuche[[#This Row],[2025]]*Emissionsfaktoren[[#This Row],[2025]]/1000, 0)</f>
        <v>0</v>
      </c>
      <c r="Q127" s="14">
        <f>IF(ISNUMBER(Refsz_Verbräuche[[#This Row],[2026]]), Refsz_Verbräuche[[#This Row],[2026]]*Emissionsfaktoren[[#This Row],[2026]]/1000, 0)</f>
        <v>0</v>
      </c>
      <c r="R127" s="14">
        <f>IF(ISNUMBER(Refsz_Verbräuche[[#This Row],[2027]]), Refsz_Verbräuche[[#This Row],[2027]]*Emissionsfaktoren[[#This Row],[2027]]/1000, 0)</f>
        <v>0</v>
      </c>
      <c r="S127" s="14">
        <f>IF(ISNUMBER(Refsz_Verbräuche[[#This Row],[2028]]), Refsz_Verbräuche[[#This Row],[2028]]*Emissionsfaktoren[[#This Row],[2028]]/1000, 0)</f>
        <v>0</v>
      </c>
      <c r="T127" s="14">
        <f>IF(ISNUMBER(Refsz_Verbräuche[[#This Row],[2029]]), Refsz_Verbräuche[[#This Row],[2029]]*Emissionsfaktoren[[#This Row],[2029]]/1000, 0)</f>
        <v>0</v>
      </c>
      <c r="U127" s="14">
        <f>IF(ISNUMBER(Refsz_Verbräuche[[#This Row],[2030]]), Refsz_Verbräuche[[#This Row],[2030]]*Emissionsfaktoren[[#This Row],[2030]]/1000, 0)</f>
        <v>0</v>
      </c>
      <c r="V127" s="14">
        <f>IF(ISNUMBER(Refsz_Verbräuche[[#This Row],[2035]]), Refsz_Verbräuche[[#This Row],[2035]]*Emissionsfaktoren[[#This Row],[2035]]/1000, 0)</f>
        <v>0</v>
      </c>
      <c r="W127" s="14">
        <f>IF(ISNUMBER(Refsz_Verbräuche[[#This Row],[2040]]), Refsz_Verbräuche[[#This Row],[2040]]*Emissionsfaktoren[[#This Row],[2040]]/1000, 0)</f>
        <v>0</v>
      </c>
      <c r="X127" s="14">
        <f>IF(ISNUMBER(Refsz_Verbräuche[[#This Row],[2045]]), Refsz_Verbräuche[[#This Row],[2045]]*Emissionsfaktoren[[#This Row],[2045]]/1000, 0)</f>
        <v>0</v>
      </c>
      <c r="Y127" s="14">
        <f>IF(ISNUMBER(Refsz_Verbräuche[[#This Row],[2050]]), Refsz_Verbräuche[[#This Row],[2050]]*Emissionsfaktoren[[#This Row],[2050]]/1000, 0)</f>
        <v>0</v>
      </c>
    </row>
    <row r="128" spans="2:25" ht="16.5">
      <c r="B128" s="14">
        <v>111</v>
      </c>
      <c r="C128" s="14" t="str">
        <f>Refsz_Verbräuche[[#This Row],[Handlungsfeld]]</f>
        <v>Abfall</v>
      </c>
      <c r="D128" s="19" t="str">
        <f>Refsz_Verbräuche[[#This Row],[Datenpunkt]]</f>
        <v>Altholz</v>
      </c>
      <c r="E128" t="s">
        <v>195</v>
      </c>
      <c r="F128" s="14">
        <f>IF(ISNUMBER(Refsz_Verbräuche[[#This Row],[2015]]), Refsz_Verbräuche[[#This Row],[2015]]*Emissionsfaktoren[[#This Row],[2015]]/1000, 0)</f>
        <v>0</v>
      </c>
      <c r="G128" s="14">
        <f>IF(ISNUMBER(Refsz_Verbräuche[[#This Row],[2016]]), Refsz_Verbräuche[[#This Row],[2016]]*Emissionsfaktoren[[#This Row],[2016]]/1000, 0)</f>
        <v>0</v>
      </c>
      <c r="H128" s="14">
        <f>IF(ISNUMBER(Refsz_Verbräuche[[#This Row],[2017]]), Refsz_Verbräuche[[#This Row],[2017]]*Emissionsfaktoren[[#This Row],[2017]]/1000, 0)</f>
        <v>0</v>
      </c>
      <c r="I128" s="14">
        <f>IF(ISNUMBER(Refsz_Verbräuche[[#This Row],[2018]]), Refsz_Verbräuche[[#This Row],[2018]]*Emissionsfaktoren[[#This Row],[2018]]/1000, 0)</f>
        <v>0</v>
      </c>
      <c r="J128" s="14">
        <f>IF(ISNUMBER(Refsz_Verbräuche[[#This Row],[2019]]), Refsz_Verbräuche[[#This Row],[2019]]*Emissionsfaktoren[[#This Row],[2019]]/1000, 0)</f>
        <v>0</v>
      </c>
      <c r="K128" s="14">
        <f>IF(ISNUMBER(Refsz_Verbräuche[[#This Row],[2020]]), Refsz_Verbräuche[[#This Row],[2020]]*Emissionsfaktoren[[#This Row],[2020]]/1000, 0)</f>
        <v>0</v>
      </c>
      <c r="L128" s="14">
        <f>IF(ISNUMBER(Refsz_Verbräuche[[#This Row],[2021]]), Refsz_Verbräuche[[#This Row],[2021]]*Emissionsfaktoren[[#This Row],[2021]]/1000, 0)</f>
        <v>0</v>
      </c>
      <c r="M128" s="14">
        <f>IF(ISNUMBER(Refsz_Verbräuche[[#This Row],[2022]]), Refsz_Verbräuche[[#This Row],[2022]]*Emissionsfaktoren[[#This Row],[2022]]/1000, 0)</f>
        <v>0</v>
      </c>
      <c r="N128" s="14">
        <f>IF(ISNUMBER(Refsz_Verbräuche[[#This Row],[2023]]), Refsz_Verbräuche[[#This Row],[2023]]*Emissionsfaktoren[[#This Row],[2023]]/1000, 0)</f>
        <v>0</v>
      </c>
      <c r="O128" s="14">
        <f>IF(ISNUMBER(Refsz_Verbräuche[[#This Row],[2024]]), Refsz_Verbräuche[[#This Row],[2024]]*Emissionsfaktoren[[#This Row],[2024]]/1000, 0)</f>
        <v>0</v>
      </c>
      <c r="P128" s="14">
        <f>IF(ISNUMBER(Refsz_Verbräuche[[#This Row],[2025]]), Refsz_Verbräuche[[#This Row],[2025]]*Emissionsfaktoren[[#This Row],[2025]]/1000, 0)</f>
        <v>0</v>
      </c>
      <c r="Q128" s="14">
        <f>IF(ISNUMBER(Refsz_Verbräuche[[#This Row],[2026]]), Refsz_Verbräuche[[#This Row],[2026]]*Emissionsfaktoren[[#This Row],[2026]]/1000, 0)</f>
        <v>0</v>
      </c>
      <c r="R128" s="14">
        <f>IF(ISNUMBER(Refsz_Verbräuche[[#This Row],[2027]]), Refsz_Verbräuche[[#This Row],[2027]]*Emissionsfaktoren[[#This Row],[2027]]/1000, 0)</f>
        <v>0</v>
      </c>
      <c r="S128" s="14">
        <f>IF(ISNUMBER(Refsz_Verbräuche[[#This Row],[2028]]), Refsz_Verbräuche[[#This Row],[2028]]*Emissionsfaktoren[[#This Row],[2028]]/1000, 0)</f>
        <v>0</v>
      </c>
      <c r="T128" s="14">
        <f>IF(ISNUMBER(Refsz_Verbräuche[[#This Row],[2029]]), Refsz_Verbräuche[[#This Row],[2029]]*Emissionsfaktoren[[#This Row],[2029]]/1000, 0)</f>
        <v>0</v>
      </c>
      <c r="U128" s="14">
        <f>IF(ISNUMBER(Refsz_Verbräuche[[#This Row],[2030]]), Refsz_Verbräuche[[#This Row],[2030]]*Emissionsfaktoren[[#This Row],[2030]]/1000, 0)</f>
        <v>0</v>
      </c>
      <c r="V128" s="14">
        <f>IF(ISNUMBER(Refsz_Verbräuche[[#This Row],[2035]]), Refsz_Verbräuche[[#This Row],[2035]]*Emissionsfaktoren[[#This Row],[2035]]/1000, 0)</f>
        <v>0</v>
      </c>
      <c r="W128" s="14">
        <f>IF(ISNUMBER(Refsz_Verbräuche[[#This Row],[2040]]), Refsz_Verbräuche[[#This Row],[2040]]*Emissionsfaktoren[[#This Row],[2040]]/1000, 0)</f>
        <v>0</v>
      </c>
      <c r="X128" s="14">
        <f>IF(ISNUMBER(Refsz_Verbräuche[[#This Row],[2045]]), Refsz_Verbräuche[[#This Row],[2045]]*Emissionsfaktoren[[#This Row],[2045]]/1000, 0)</f>
        <v>0</v>
      </c>
      <c r="Y128" s="14">
        <f>IF(ISNUMBER(Refsz_Verbräuche[[#This Row],[2050]]), Refsz_Verbräuche[[#This Row],[2050]]*Emissionsfaktoren[[#This Row],[2050]]/1000, 0)</f>
        <v>0</v>
      </c>
    </row>
    <row r="129" spans="2:25" ht="16.5">
      <c r="B129" s="14">
        <v>112</v>
      </c>
      <c r="C129" s="14" t="str">
        <f>Refsz_Verbräuche[[#This Row],[Handlungsfeld]]</f>
        <v>Abfall</v>
      </c>
      <c r="D129" s="19" t="str">
        <f>Refsz_Verbräuche[[#This Row],[Datenpunkt]]</f>
        <v>Altglas</v>
      </c>
      <c r="E129" t="s">
        <v>195</v>
      </c>
      <c r="F129" s="14">
        <f>IF(ISNUMBER(Refsz_Verbräuche[[#This Row],[2015]]), Refsz_Verbräuche[[#This Row],[2015]]*Emissionsfaktoren[[#This Row],[2015]]/1000, 0)</f>
        <v>0</v>
      </c>
      <c r="G129" s="14">
        <f>IF(ISNUMBER(Refsz_Verbräuche[[#This Row],[2016]]), Refsz_Verbräuche[[#This Row],[2016]]*Emissionsfaktoren[[#This Row],[2016]]/1000, 0)</f>
        <v>0</v>
      </c>
      <c r="H129" s="14">
        <f>IF(ISNUMBER(Refsz_Verbräuche[[#This Row],[2017]]), Refsz_Verbräuche[[#This Row],[2017]]*Emissionsfaktoren[[#This Row],[2017]]/1000, 0)</f>
        <v>0</v>
      </c>
      <c r="I129" s="14">
        <f>IF(ISNUMBER(Refsz_Verbräuche[[#This Row],[2018]]), Refsz_Verbräuche[[#This Row],[2018]]*Emissionsfaktoren[[#This Row],[2018]]/1000, 0)</f>
        <v>0</v>
      </c>
      <c r="J129" s="14">
        <f>IF(ISNUMBER(Refsz_Verbräuche[[#This Row],[2019]]), Refsz_Verbräuche[[#This Row],[2019]]*Emissionsfaktoren[[#This Row],[2019]]/1000, 0)</f>
        <v>0</v>
      </c>
      <c r="K129" s="14">
        <f>IF(ISNUMBER(Refsz_Verbräuche[[#This Row],[2020]]), Refsz_Verbräuche[[#This Row],[2020]]*Emissionsfaktoren[[#This Row],[2020]]/1000, 0)</f>
        <v>0</v>
      </c>
      <c r="L129" s="14">
        <f>IF(ISNUMBER(Refsz_Verbräuche[[#This Row],[2021]]), Refsz_Verbräuche[[#This Row],[2021]]*Emissionsfaktoren[[#This Row],[2021]]/1000, 0)</f>
        <v>0</v>
      </c>
      <c r="M129" s="14">
        <f>IF(ISNUMBER(Refsz_Verbräuche[[#This Row],[2022]]), Refsz_Verbräuche[[#This Row],[2022]]*Emissionsfaktoren[[#This Row],[2022]]/1000, 0)</f>
        <v>0</v>
      </c>
      <c r="N129" s="14">
        <f>IF(ISNUMBER(Refsz_Verbräuche[[#This Row],[2023]]), Refsz_Verbräuche[[#This Row],[2023]]*Emissionsfaktoren[[#This Row],[2023]]/1000, 0)</f>
        <v>0</v>
      </c>
      <c r="O129" s="14">
        <f>IF(ISNUMBER(Refsz_Verbräuche[[#This Row],[2024]]), Refsz_Verbräuche[[#This Row],[2024]]*Emissionsfaktoren[[#This Row],[2024]]/1000, 0)</f>
        <v>0</v>
      </c>
      <c r="P129" s="14">
        <f>IF(ISNUMBER(Refsz_Verbräuche[[#This Row],[2025]]), Refsz_Verbräuche[[#This Row],[2025]]*Emissionsfaktoren[[#This Row],[2025]]/1000, 0)</f>
        <v>0</v>
      </c>
      <c r="Q129" s="14">
        <f>IF(ISNUMBER(Refsz_Verbräuche[[#This Row],[2026]]), Refsz_Verbräuche[[#This Row],[2026]]*Emissionsfaktoren[[#This Row],[2026]]/1000, 0)</f>
        <v>0</v>
      </c>
      <c r="R129" s="14">
        <f>IF(ISNUMBER(Refsz_Verbräuche[[#This Row],[2027]]), Refsz_Verbräuche[[#This Row],[2027]]*Emissionsfaktoren[[#This Row],[2027]]/1000, 0)</f>
        <v>0</v>
      </c>
      <c r="S129" s="14">
        <f>IF(ISNUMBER(Refsz_Verbräuche[[#This Row],[2028]]), Refsz_Verbräuche[[#This Row],[2028]]*Emissionsfaktoren[[#This Row],[2028]]/1000, 0)</f>
        <v>0</v>
      </c>
      <c r="T129" s="14">
        <f>IF(ISNUMBER(Refsz_Verbräuche[[#This Row],[2029]]), Refsz_Verbräuche[[#This Row],[2029]]*Emissionsfaktoren[[#This Row],[2029]]/1000, 0)</f>
        <v>0</v>
      </c>
      <c r="U129" s="14">
        <f>IF(ISNUMBER(Refsz_Verbräuche[[#This Row],[2030]]), Refsz_Verbräuche[[#This Row],[2030]]*Emissionsfaktoren[[#This Row],[2030]]/1000, 0)</f>
        <v>0</v>
      </c>
      <c r="V129" s="14">
        <f>IF(ISNUMBER(Refsz_Verbräuche[[#This Row],[2035]]), Refsz_Verbräuche[[#This Row],[2035]]*Emissionsfaktoren[[#This Row],[2035]]/1000, 0)</f>
        <v>0</v>
      </c>
      <c r="W129" s="14">
        <f>IF(ISNUMBER(Refsz_Verbräuche[[#This Row],[2040]]), Refsz_Verbräuche[[#This Row],[2040]]*Emissionsfaktoren[[#This Row],[2040]]/1000, 0)</f>
        <v>0</v>
      </c>
      <c r="X129" s="14">
        <f>IF(ISNUMBER(Refsz_Verbräuche[[#This Row],[2045]]), Refsz_Verbräuche[[#This Row],[2045]]*Emissionsfaktoren[[#This Row],[2045]]/1000, 0)</f>
        <v>0</v>
      </c>
      <c r="Y129" s="14">
        <f>IF(ISNUMBER(Refsz_Verbräuche[[#This Row],[2050]]), Refsz_Verbräuche[[#This Row],[2050]]*Emissionsfaktoren[[#This Row],[2050]]/1000, 0)</f>
        <v>0</v>
      </c>
    </row>
    <row r="130" spans="2:25" ht="16.5">
      <c r="B130" s="14">
        <v>113</v>
      </c>
      <c r="C130" s="14" t="str">
        <f>Refsz_Verbräuche[[#This Row],[Handlungsfeld]]</f>
        <v>Abfall</v>
      </c>
      <c r="D130" s="19" t="str">
        <f>Refsz_Verbräuche[[#This Row],[Datenpunkt]]</f>
        <v>E-Großgeräte (Abfall)</v>
      </c>
      <c r="E130" t="s">
        <v>195</v>
      </c>
      <c r="F130" s="14">
        <f>IF(ISNUMBER(Refsz_Verbräuche[[#This Row],[2015]]), Refsz_Verbräuche[[#This Row],[2015]]*Emissionsfaktoren[[#This Row],[2015]]/1000, 0)</f>
        <v>0</v>
      </c>
      <c r="G130" s="14">
        <f>IF(ISNUMBER(Refsz_Verbräuche[[#This Row],[2016]]), Refsz_Verbräuche[[#This Row],[2016]]*Emissionsfaktoren[[#This Row],[2016]]/1000, 0)</f>
        <v>0</v>
      </c>
      <c r="H130" s="14">
        <f>IF(ISNUMBER(Refsz_Verbräuche[[#This Row],[2017]]), Refsz_Verbräuche[[#This Row],[2017]]*Emissionsfaktoren[[#This Row],[2017]]/1000, 0)</f>
        <v>0</v>
      </c>
      <c r="I130" s="14">
        <f>IF(ISNUMBER(Refsz_Verbräuche[[#This Row],[2018]]), Refsz_Verbräuche[[#This Row],[2018]]*Emissionsfaktoren[[#This Row],[2018]]/1000, 0)</f>
        <v>0</v>
      </c>
      <c r="J130" s="14">
        <f>IF(ISNUMBER(Refsz_Verbräuche[[#This Row],[2019]]), Refsz_Verbräuche[[#This Row],[2019]]*Emissionsfaktoren[[#This Row],[2019]]/1000, 0)</f>
        <v>0</v>
      </c>
      <c r="K130" s="14">
        <f>IF(ISNUMBER(Refsz_Verbräuche[[#This Row],[2020]]), Refsz_Verbräuche[[#This Row],[2020]]*Emissionsfaktoren[[#This Row],[2020]]/1000, 0)</f>
        <v>0</v>
      </c>
      <c r="L130" s="14">
        <f>IF(ISNUMBER(Refsz_Verbräuche[[#This Row],[2021]]), Refsz_Verbräuche[[#This Row],[2021]]*Emissionsfaktoren[[#This Row],[2021]]/1000, 0)</f>
        <v>0</v>
      </c>
      <c r="M130" s="14">
        <f>IF(ISNUMBER(Refsz_Verbräuche[[#This Row],[2022]]), Refsz_Verbräuche[[#This Row],[2022]]*Emissionsfaktoren[[#This Row],[2022]]/1000, 0)</f>
        <v>0</v>
      </c>
      <c r="N130" s="14">
        <f>IF(ISNUMBER(Refsz_Verbräuche[[#This Row],[2023]]), Refsz_Verbräuche[[#This Row],[2023]]*Emissionsfaktoren[[#This Row],[2023]]/1000, 0)</f>
        <v>0</v>
      </c>
      <c r="O130" s="14">
        <f>IF(ISNUMBER(Refsz_Verbräuche[[#This Row],[2024]]), Refsz_Verbräuche[[#This Row],[2024]]*Emissionsfaktoren[[#This Row],[2024]]/1000, 0)</f>
        <v>0</v>
      </c>
      <c r="P130" s="14">
        <f>IF(ISNUMBER(Refsz_Verbräuche[[#This Row],[2025]]), Refsz_Verbräuche[[#This Row],[2025]]*Emissionsfaktoren[[#This Row],[2025]]/1000, 0)</f>
        <v>0</v>
      </c>
      <c r="Q130" s="14">
        <f>IF(ISNUMBER(Refsz_Verbräuche[[#This Row],[2026]]), Refsz_Verbräuche[[#This Row],[2026]]*Emissionsfaktoren[[#This Row],[2026]]/1000, 0)</f>
        <v>0</v>
      </c>
      <c r="R130" s="14">
        <f>IF(ISNUMBER(Refsz_Verbräuche[[#This Row],[2027]]), Refsz_Verbräuche[[#This Row],[2027]]*Emissionsfaktoren[[#This Row],[2027]]/1000, 0)</f>
        <v>0</v>
      </c>
      <c r="S130" s="14">
        <f>IF(ISNUMBER(Refsz_Verbräuche[[#This Row],[2028]]), Refsz_Verbräuche[[#This Row],[2028]]*Emissionsfaktoren[[#This Row],[2028]]/1000, 0)</f>
        <v>0</v>
      </c>
      <c r="T130" s="14">
        <f>IF(ISNUMBER(Refsz_Verbräuche[[#This Row],[2029]]), Refsz_Verbräuche[[#This Row],[2029]]*Emissionsfaktoren[[#This Row],[2029]]/1000, 0)</f>
        <v>0</v>
      </c>
      <c r="U130" s="14">
        <f>IF(ISNUMBER(Refsz_Verbräuche[[#This Row],[2030]]), Refsz_Verbräuche[[#This Row],[2030]]*Emissionsfaktoren[[#This Row],[2030]]/1000, 0)</f>
        <v>0</v>
      </c>
      <c r="V130" s="14">
        <f>IF(ISNUMBER(Refsz_Verbräuche[[#This Row],[2035]]), Refsz_Verbräuche[[#This Row],[2035]]*Emissionsfaktoren[[#This Row],[2035]]/1000, 0)</f>
        <v>0</v>
      </c>
      <c r="W130" s="14">
        <f>IF(ISNUMBER(Refsz_Verbräuche[[#This Row],[2040]]), Refsz_Verbräuche[[#This Row],[2040]]*Emissionsfaktoren[[#This Row],[2040]]/1000, 0)</f>
        <v>0</v>
      </c>
      <c r="X130" s="14">
        <f>IF(ISNUMBER(Refsz_Verbräuche[[#This Row],[2045]]), Refsz_Verbräuche[[#This Row],[2045]]*Emissionsfaktoren[[#This Row],[2045]]/1000, 0)</f>
        <v>0</v>
      </c>
      <c r="Y130" s="14">
        <f>IF(ISNUMBER(Refsz_Verbräuche[[#This Row],[2050]]), Refsz_Verbräuche[[#This Row],[2050]]*Emissionsfaktoren[[#This Row],[2050]]/1000, 0)</f>
        <v>0</v>
      </c>
    </row>
    <row r="131" spans="2:25" ht="16.5">
      <c r="B131" s="14">
        <v>114</v>
      </c>
      <c r="C131" s="14" t="str">
        <f>Refsz_Verbräuche[[#This Row],[Handlungsfeld]]</f>
        <v>Abfall</v>
      </c>
      <c r="D131" s="19" t="str">
        <f>Refsz_Verbräuche[[#This Row],[Datenpunkt]]</f>
        <v>Metalle (Abfall)</v>
      </c>
      <c r="E131" t="s">
        <v>195</v>
      </c>
      <c r="F131" s="14">
        <f>IF(ISNUMBER(Refsz_Verbräuche[[#This Row],[2015]]), Refsz_Verbräuche[[#This Row],[2015]]*Emissionsfaktoren[[#This Row],[2015]]/1000, 0)</f>
        <v>0</v>
      </c>
      <c r="G131" s="14">
        <f>IF(ISNUMBER(Refsz_Verbräuche[[#This Row],[2016]]), Refsz_Verbräuche[[#This Row],[2016]]*Emissionsfaktoren[[#This Row],[2016]]/1000, 0)</f>
        <v>0</v>
      </c>
      <c r="H131" s="14">
        <f>IF(ISNUMBER(Refsz_Verbräuche[[#This Row],[2017]]), Refsz_Verbräuche[[#This Row],[2017]]*Emissionsfaktoren[[#This Row],[2017]]/1000, 0)</f>
        <v>0</v>
      </c>
      <c r="I131" s="14">
        <f>IF(ISNUMBER(Refsz_Verbräuche[[#This Row],[2018]]), Refsz_Verbräuche[[#This Row],[2018]]*Emissionsfaktoren[[#This Row],[2018]]/1000, 0)</f>
        <v>0</v>
      </c>
      <c r="J131" s="14">
        <f>IF(ISNUMBER(Refsz_Verbräuche[[#This Row],[2019]]), Refsz_Verbräuche[[#This Row],[2019]]*Emissionsfaktoren[[#This Row],[2019]]/1000, 0)</f>
        <v>0</v>
      </c>
      <c r="K131" s="14">
        <f>IF(ISNUMBER(Refsz_Verbräuche[[#This Row],[2020]]), Refsz_Verbräuche[[#This Row],[2020]]*Emissionsfaktoren[[#This Row],[2020]]/1000, 0)</f>
        <v>0</v>
      </c>
      <c r="L131" s="14">
        <f>IF(ISNUMBER(Refsz_Verbräuche[[#This Row],[2021]]), Refsz_Verbräuche[[#This Row],[2021]]*Emissionsfaktoren[[#This Row],[2021]]/1000, 0)</f>
        <v>0</v>
      </c>
      <c r="M131" s="14">
        <f>IF(ISNUMBER(Refsz_Verbräuche[[#This Row],[2022]]), Refsz_Verbräuche[[#This Row],[2022]]*Emissionsfaktoren[[#This Row],[2022]]/1000, 0)</f>
        <v>0</v>
      </c>
      <c r="N131" s="14">
        <f>IF(ISNUMBER(Refsz_Verbräuche[[#This Row],[2023]]), Refsz_Verbräuche[[#This Row],[2023]]*Emissionsfaktoren[[#This Row],[2023]]/1000, 0)</f>
        <v>0</v>
      </c>
      <c r="O131" s="14">
        <f>IF(ISNUMBER(Refsz_Verbräuche[[#This Row],[2024]]), Refsz_Verbräuche[[#This Row],[2024]]*Emissionsfaktoren[[#This Row],[2024]]/1000, 0)</f>
        <v>0</v>
      </c>
      <c r="P131" s="14">
        <f>IF(ISNUMBER(Refsz_Verbräuche[[#This Row],[2025]]), Refsz_Verbräuche[[#This Row],[2025]]*Emissionsfaktoren[[#This Row],[2025]]/1000, 0)</f>
        <v>0</v>
      </c>
      <c r="Q131" s="14">
        <f>IF(ISNUMBER(Refsz_Verbräuche[[#This Row],[2026]]), Refsz_Verbräuche[[#This Row],[2026]]*Emissionsfaktoren[[#This Row],[2026]]/1000, 0)</f>
        <v>0</v>
      </c>
      <c r="R131" s="14">
        <f>IF(ISNUMBER(Refsz_Verbräuche[[#This Row],[2027]]), Refsz_Verbräuche[[#This Row],[2027]]*Emissionsfaktoren[[#This Row],[2027]]/1000, 0)</f>
        <v>0</v>
      </c>
      <c r="S131" s="14">
        <f>IF(ISNUMBER(Refsz_Verbräuche[[#This Row],[2028]]), Refsz_Verbräuche[[#This Row],[2028]]*Emissionsfaktoren[[#This Row],[2028]]/1000, 0)</f>
        <v>0</v>
      </c>
      <c r="T131" s="14">
        <f>IF(ISNUMBER(Refsz_Verbräuche[[#This Row],[2029]]), Refsz_Verbräuche[[#This Row],[2029]]*Emissionsfaktoren[[#This Row],[2029]]/1000, 0)</f>
        <v>0</v>
      </c>
      <c r="U131" s="14">
        <f>IF(ISNUMBER(Refsz_Verbräuche[[#This Row],[2030]]), Refsz_Verbräuche[[#This Row],[2030]]*Emissionsfaktoren[[#This Row],[2030]]/1000, 0)</f>
        <v>0</v>
      </c>
      <c r="V131" s="14">
        <f>IF(ISNUMBER(Refsz_Verbräuche[[#This Row],[2035]]), Refsz_Verbräuche[[#This Row],[2035]]*Emissionsfaktoren[[#This Row],[2035]]/1000, 0)</f>
        <v>0</v>
      </c>
      <c r="W131" s="14">
        <f>IF(ISNUMBER(Refsz_Verbräuche[[#This Row],[2040]]), Refsz_Verbräuche[[#This Row],[2040]]*Emissionsfaktoren[[#This Row],[2040]]/1000, 0)</f>
        <v>0</v>
      </c>
      <c r="X131" s="14">
        <f>IF(ISNUMBER(Refsz_Verbräuche[[#This Row],[2045]]), Refsz_Verbräuche[[#This Row],[2045]]*Emissionsfaktoren[[#This Row],[2045]]/1000, 0)</f>
        <v>0</v>
      </c>
      <c r="Y131" s="14">
        <f>IF(ISNUMBER(Refsz_Verbräuche[[#This Row],[2050]]), Refsz_Verbräuche[[#This Row],[2050]]*Emissionsfaktoren[[#This Row],[2050]]/1000, 0)</f>
        <v>0</v>
      </c>
    </row>
    <row r="132" spans="2:25" ht="16.5">
      <c r="B132" s="14">
        <v>115</v>
      </c>
      <c r="C132" s="14" t="str">
        <f>Refsz_Verbräuche[[#This Row],[Handlungsfeld]]</f>
        <v>Abfall</v>
      </c>
      <c r="D132" s="19" t="str">
        <f>Refsz_Verbräuche[[#This Row],[Datenpunkt]]</f>
        <v>Bauschutt</v>
      </c>
      <c r="E132" t="s">
        <v>195</v>
      </c>
      <c r="F132" s="14">
        <f>IF(ISNUMBER(Refsz_Verbräuche[[#This Row],[2015]]), Refsz_Verbräuche[[#This Row],[2015]]*Emissionsfaktoren[[#This Row],[2015]]/1000, 0)</f>
        <v>0</v>
      </c>
      <c r="G132" s="14">
        <f>IF(ISNUMBER(Refsz_Verbräuche[[#This Row],[2016]]), Refsz_Verbräuche[[#This Row],[2016]]*Emissionsfaktoren[[#This Row],[2016]]/1000, 0)</f>
        <v>0</v>
      </c>
      <c r="H132" s="14">
        <f>IF(ISNUMBER(Refsz_Verbräuche[[#This Row],[2017]]), Refsz_Verbräuche[[#This Row],[2017]]*Emissionsfaktoren[[#This Row],[2017]]/1000, 0)</f>
        <v>0</v>
      </c>
      <c r="I132" s="14">
        <f>IF(ISNUMBER(Refsz_Verbräuche[[#This Row],[2018]]), Refsz_Verbräuche[[#This Row],[2018]]*Emissionsfaktoren[[#This Row],[2018]]/1000, 0)</f>
        <v>0</v>
      </c>
      <c r="J132" s="14">
        <f>IF(ISNUMBER(Refsz_Verbräuche[[#This Row],[2019]]), Refsz_Verbräuche[[#This Row],[2019]]*Emissionsfaktoren[[#This Row],[2019]]/1000, 0)</f>
        <v>0</v>
      </c>
      <c r="K132" s="14">
        <f>IF(ISNUMBER(Refsz_Verbräuche[[#This Row],[2020]]), Refsz_Verbräuche[[#This Row],[2020]]*Emissionsfaktoren[[#This Row],[2020]]/1000, 0)</f>
        <v>0</v>
      </c>
      <c r="L132" s="14">
        <f>IF(ISNUMBER(Refsz_Verbräuche[[#This Row],[2021]]), Refsz_Verbräuche[[#This Row],[2021]]*Emissionsfaktoren[[#This Row],[2021]]/1000, 0)</f>
        <v>0</v>
      </c>
      <c r="M132" s="14">
        <f>IF(ISNUMBER(Refsz_Verbräuche[[#This Row],[2022]]), Refsz_Verbräuche[[#This Row],[2022]]*Emissionsfaktoren[[#This Row],[2022]]/1000, 0)</f>
        <v>0</v>
      </c>
      <c r="N132" s="14">
        <f>IF(ISNUMBER(Refsz_Verbräuche[[#This Row],[2023]]), Refsz_Verbräuche[[#This Row],[2023]]*Emissionsfaktoren[[#This Row],[2023]]/1000, 0)</f>
        <v>0</v>
      </c>
      <c r="O132" s="14">
        <f>IF(ISNUMBER(Refsz_Verbräuche[[#This Row],[2024]]), Refsz_Verbräuche[[#This Row],[2024]]*Emissionsfaktoren[[#This Row],[2024]]/1000, 0)</f>
        <v>0</v>
      </c>
      <c r="P132" s="14">
        <f>IF(ISNUMBER(Refsz_Verbräuche[[#This Row],[2025]]), Refsz_Verbräuche[[#This Row],[2025]]*Emissionsfaktoren[[#This Row],[2025]]/1000, 0)</f>
        <v>0</v>
      </c>
      <c r="Q132" s="14">
        <f>IF(ISNUMBER(Refsz_Verbräuche[[#This Row],[2026]]), Refsz_Verbräuche[[#This Row],[2026]]*Emissionsfaktoren[[#This Row],[2026]]/1000, 0)</f>
        <v>0</v>
      </c>
      <c r="R132" s="14">
        <f>IF(ISNUMBER(Refsz_Verbräuche[[#This Row],[2027]]), Refsz_Verbräuche[[#This Row],[2027]]*Emissionsfaktoren[[#This Row],[2027]]/1000, 0)</f>
        <v>0</v>
      </c>
      <c r="S132" s="14">
        <f>IF(ISNUMBER(Refsz_Verbräuche[[#This Row],[2028]]), Refsz_Verbräuche[[#This Row],[2028]]*Emissionsfaktoren[[#This Row],[2028]]/1000, 0)</f>
        <v>0</v>
      </c>
      <c r="T132" s="14">
        <f>IF(ISNUMBER(Refsz_Verbräuche[[#This Row],[2029]]), Refsz_Verbräuche[[#This Row],[2029]]*Emissionsfaktoren[[#This Row],[2029]]/1000, 0)</f>
        <v>0</v>
      </c>
      <c r="U132" s="14">
        <f>IF(ISNUMBER(Refsz_Verbräuche[[#This Row],[2030]]), Refsz_Verbräuche[[#This Row],[2030]]*Emissionsfaktoren[[#This Row],[2030]]/1000, 0)</f>
        <v>0</v>
      </c>
      <c r="V132" s="14">
        <f>IF(ISNUMBER(Refsz_Verbräuche[[#This Row],[2035]]), Refsz_Verbräuche[[#This Row],[2035]]*Emissionsfaktoren[[#This Row],[2035]]/1000, 0)</f>
        <v>0</v>
      </c>
      <c r="W132" s="14">
        <f>IF(ISNUMBER(Refsz_Verbräuche[[#This Row],[2040]]), Refsz_Verbräuche[[#This Row],[2040]]*Emissionsfaktoren[[#This Row],[2040]]/1000, 0)</f>
        <v>0</v>
      </c>
      <c r="X132" s="14">
        <f>IF(ISNUMBER(Refsz_Verbräuche[[#This Row],[2045]]), Refsz_Verbräuche[[#This Row],[2045]]*Emissionsfaktoren[[#This Row],[2045]]/1000, 0)</f>
        <v>0</v>
      </c>
      <c r="Y132" s="14">
        <f>IF(ISNUMBER(Refsz_Verbräuche[[#This Row],[2050]]), Refsz_Verbräuche[[#This Row],[2050]]*Emissionsfaktoren[[#This Row],[2050]]/1000, 0)</f>
        <v>0</v>
      </c>
    </row>
    <row r="133" spans="2:25" ht="16.5">
      <c r="B133" s="14">
        <v>116</v>
      </c>
      <c r="C133" s="14">
        <f>Refsz_Verbräuche[[#This Row],[Handlungsfeld]]</f>
        <v>0</v>
      </c>
      <c r="D133" s="19">
        <f>Refsz_Verbräuche[[#This Row],[Datenpunkt]]</f>
        <v>0</v>
      </c>
      <c r="E133" t="s">
        <v>195</v>
      </c>
      <c r="F133" s="14">
        <f>IF(ISNUMBER(Refsz_Verbräuche[[#This Row],[2015]]), Refsz_Verbräuche[[#This Row],[2015]]*Emissionsfaktoren[[#This Row],[2015]]/1000, 0)</f>
        <v>0</v>
      </c>
      <c r="G133" s="14">
        <f>IF(ISNUMBER(Refsz_Verbräuche[[#This Row],[2016]]), Refsz_Verbräuche[[#This Row],[2016]]*Emissionsfaktoren[[#This Row],[2016]]/1000, 0)</f>
        <v>0</v>
      </c>
      <c r="H133" s="14">
        <f>IF(ISNUMBER(Refsz_Verbräuche[[#This Row],[2017]]), Refsz_Verbräuche[[#This Row],[2017]]*Emissionsfaktoren[[#This Row],[2017]]/1000, 0)</f>
        <v>0</v>
      </c>
      <c r="I133" s="14">
        <f>IF(ISNUMBER(Refsz_Verbräuche[[#This Row],[2018]]), Refsz_Verbräuche[[#This Row],[2018]]*Emissionsfaktoren[[#This Row],[2018]]/1000, 0)</f>
        <v>0</v>
      </c>
      <c r="J133" s="14">
        <f>IF(ISNUMBER(Refsz_Verbräuche[[#This Row],[2019]]), Refsz_Verbräuche[[#This Row],[2019]]*Emissionsfaktoren[[#This Row],[2019]]/1000, 0)</f>
        <v>0</v>
      </c>
      <c r="K133" s="14">
        <f>IF(ISNUMBER(Refsz_Verbräuche[[#This Row],[2020]]), Refsz_Verbräuche[[#This Row],[2020]]*Emissionsfaktoren[[#This Row],[2020]]/1000, 0)</f>
        <v>0</v>
      </c>
      <c r="L133" s="14">
        <f>IF(ISNUMBER(Refsz_Verbräuche[[#This Row],[2021]]), Refsz_Verbräuche[[#This Row],[2021]]*Emissionsfaktoren[[#This Row],[2021]]/1000, 0)</f>
        <v>0</v>
      </c>
      <c r="M133" s="14">
        <f>IF(ISNUMBER(Refsz_Verbräuche[[#This Row],[2022]]), Refsz_Verbräuche[[#This Row],[2022]]*Emissionsfaktoren[[#This Row],[2022]]/1000, 0)</f>
        <v>0</v>
      </c>
      <c r="N133" s="14">
        <f>IF(ISNUMBER(Refsz_Verbräuche[[#This Row],[2023]]), Refsz_Verbräuche[[#This Row],[2023]]*Emissionsfaktoren[[#This Row],[2023]]/1000, 0)</f>
        <v>0</v>
      </c>
      <c r="O133" s="14">
        <f>IF(ISNUMBER(Refsz_Verbräuche[[#This Row],[2024]]), Refsz_Verbräuche[[#This Row],[2024]]*Emissionsfaktoren[[#This Row],[2024]]/1000, 0)</f>
        <v>0</v>
      </c>
      <c r="P133" s="14">
        <f>IF(ISNUMBER(Refsz_Verbräuche[[#This Row],[2025]]), Refsz_Verbräuche[[#This Row],[2025]]*Emissionsfaktoren[[#This Row],[2025]]/1000, 0)</f>
        <v>0</v>
      </c>
      <c r="Q133" s="14">
        <f>IF(ISNUMBER(Refsz_Verbräuche[[#This Row],[2026]]), Refsz_Verbräuche[[#This Row],[2026]]*Emissionsfaktoren[[#This Row],[2026]]/1000, 0)</f>
        <v>0</v>
      </c>
      <c r="R133" s="14">
        <f>IF(ISNUMBER(Refsz_Verbräuche[[#This Row],[2027]]), Refsz_Verbräuche[[#This Row],[2027]]*Emissionsfaktoren[[#This Row],[2027]]/1000, 0)</f>
        <v>0</v>
      </c>
      <c r="S133" s="14">
        <f>IF(ISNUMBER(Refsz_Verbräuche[[#This Row],[2028]]), Refsz_Verbräuche[[#This Row],[2028]]*Emissionsfaktoren[[#This Row],[2028]]/1000, 0)</f>
        <v>0</v>
      </c>
      <c r="T133" s="14">
        <f>IF(ISNUMBER(Refsz_Verbräuche[[#This Row],[2029]]), Refsz_Verbräuche[[#This Row],[2029]]*Emissionsfaktoren[[#This Row],[2029]]/1000, 0)</f>
        <v>0</v>
      </c>
      <c r="U133" s="14">
        <f>IF(ISNUMBER(Refsz_Verbräuche[[#This Row],[2030]]), Refsz_Verbräuche[[#This Row],[2030]]*Emissionsfaktoren[[#This Row],[2030]]/1000, 0)</f>
        <v>0</v>
      </c>
      <c r="V133" s="14">
        <f>IF(ISNUMBER(Refsz_Verbräuche[[#This Row],[2035]]), Refsz_Verbräuche[[#This Row],[2035]]*Emissionsfaktoren[[#This Row],[2035]]/1000, 0)</f>
        <v>0</v>
      </c>
      <c r="W133" s="14">
        <f>IF(ISNUMBER(Refsz_Verbräuche[[#This Row],[2040]]), Refsz_Verbräuche[[#This Row],[2040]]*Emissionsfaktoren[[#This Row],[2040]]/1000, 0)</f>
        <v>0</v>
      </c>
      <c r="X133" s="14">
        <f>IF(ISNUMBER(Refsz_Verbräuche[[#This Row],[2045]]), Refsz_Verbräuche[[#This Row],[2045]]*Emissionsfaktoren[[#This Row],[2045]]/1000, 0)</f>
        <v>0</v>
      </c>
      <c r="Y133" s="14">
        <f>IF(ISNUMBER(Refsz_Verbräuche[[#This Row],[2050]]), Refsz_Verbräuche[[#This Row],[2050]]*Emissionsfaktoren[[#This Row],[2050]]/1000, 0)</f>
        <v>0</v>
      </c>
    </row>
    <row r="134" spans="2:25" ht="16.5">
      <c r="B134" s="14">
        <v>117</v>
      </c>
      <c r="C134" s="14" t="str">
        <f>Refsz_Verbräuche[[#This Row],[Handlungsfeld]]</f>
        <v>Baugüter</v>
      </c>
      <c r="D134" s="19" t="str">
        <f>Refsz_Verbräuche[[#This Row],[Datenpunkt]]</f>
        <v>Branntkalk</v>
      </c>
      <c r="E134" t="s">
        <v>195</v>
      </c>
      <c r="F134" s="14">
        <f>IF(ISNUMBER(Refsz_Verbräuche[[#This Row],[2015]]), Refsz_Verbräuche[[#This Row],[2015]]*Emissionsfaktoren[[#This Row],[2015]]/1000, 0)</f>
        <v>0</v>
      </c>
      <c r="G134" s="14">
        <f>IF(ISNUMBER(Refsz_Verbräuche[[#This Row],[2016]]), Refsz_Verbräuche[[#This Row],[2016]]*Emissionsfaktoren[[#This Row],[2016]]/1000, 0)</f>
        <v>0</v>
      </c>
      <c r="H134" s="14">
        <f>IF(ISNUMBER(Refsz_Verbräuche[[#This Row],[2017]]), Refsz_Verbräuche[[#This Row],[2017]]*Emissionsfaktoren[[#This Row],[2017]]/1000, 0)</f>
        <v>0</v>
      </c>
      <c r="I134" s="14">
        <f>IF(ISNUMBER(Refsz_Verbräuche[[#This Row],[2018]]), Refsz_Verbräuche[[#This Row],[2018]]*Emissionsfaktoren[[#This Row],[2018]]/1000, 0)</f>
        <v>0</v>
      </c>
      <c r="J134" s="14">
        <f>IF(ISNUMBER(Refsz_Verbräuche[[#This Row],[2019]]), Refsz_Verbräuche[[#This Row],[2019]]*Emissionsfaktoren[[#This Row],[2019]]/1000, 0)</f>
        <v>0</v>
      </c>
      <c r="K134" s="14">
        <f>IF(ISNUMBER(Refsz_Verbräuche[[#This Row],[2020]]), Refsz_Verbräuche[[#This Row],[2020]]*Emissionsfaktoren[[#This Row],[2020]]/1000, 0)</f>
        <v>0</v>
      </c>
      <c r="L134" s="14">
        <f>IF(ISNUMBER(Refsz_Verbräuche[[#This Row],[2021]]), Refsz_Verbräuche[[#This Row],[2021]]*Emissionsfaktoren[[#This Row],[2021]]/1000, 0)</f>
        <v>0</v>
      </c>
      <c r="M134" s="14">
        <f>IF(ISNUMBER(Refsz_Verbräuche[[#This Row],[2022]]), Refsz_Verbräuche[[#This Row],[2022]]*Emissionsfaktoren[[#This Row],[2022]]/1000, 0)</f>
        <v>0</v>
      </c>
      <c r="N134" s="14">
        <f>IF(ISNUMBER(Refsz_Verbräuche[[#This Row],[2023]]), Refsz_Verbräuche[[#This Row],[2023]]*Emissionsfaktoren[[#This Row],[2023]]/1000, 0)</f>
        <v>0</v>
      </c>
      <c r="O134" s="14">
        <f>IF(ISNUMBER(Refsz_Verbräuche[[#This Row],[2024]]), Refsz_Verbräuche[[#This Row],[2024]]*Emissionsfaktoren[[#This Row],[2024]]/1000, 0)</f>
        <v>0</v>
      </c>
      <c r="P134" s="14">
        <f>IF(ISNUMBER(Refsz_Verbräuche[[#This Row],[2025]]), Refsz_Verbräuche[[#This Row],[2025]]*Emissionsfaktoren[[#This Row],[2025]]/1000, 0)</f>
        <v>0</v>
      </c>
      <c r="Q134" s="14">
        <f>IF(ISNUMBER(Refsz_Verbräuche[[#This Row],[2026]]), Refsz_Verbräuche[[#This Row],[2026]]*Emissionsfaktoren[[#This Row],[2026]]/1000, 0)</f>
        <v>0</v>
      </c>
      <c r="R134" s="14">
        <f>IF(ISNUMBER(Refsz_Verbräuche[[#This Row],[2027]]), Refsz_Verbräuche[[#This Row],[2027]]*Emissionsfaktoren[[#This Row],[2027]]/1000, 0)</f>
        <v>0</v>
      </c>
      <c r="S134" s="14">
        <f>IF(ISNUMBER(Refsz_Verbräuche[[#This Row],[2028]]), Refsz_Verbräuche[[#This Row],[2028]]*Emissionsfaktoren[[#This Row],[2028]]/1000, 0)</f>
        <v>0</v>
      </c>
      <c r="T134" s="14">
        <f>IF(ISNUMBER(Refsz_Verbräuche[[#This Row],[2029]]), Refsz_Verbräuche[[#This Row],[2029]]*Emissionsfaktoren[[#This Row],[2029]]/1000, 0)</f>
        <v>0</v>
      </c>
      <c r="U134" s="14">
        <f>IF(ISNUMBER(Refsz_Verbräuche[[#This Row],[2030]]), Refsz_Verbräuche[[#This Row],[2030]]*Emissionsfaktoren[[#This Row],[2030]]/1000, 0)</f>
        <v>0</v>
      </c>
      <c r="V134" s="14">
        <f>IF(ISNUMBER(Refsz_Verbräuche[[#This Row],[2035]]), Refsz_Verbräuche[[#This Row],[2035]]*Emissionsfaktoren[[#This Row],[2035]]/1000, 0)</f>
        <v>0</v>
      </c>
      <c r="W134" s="14">
        <f>IF(ISNUMBER(Refsz_Verbräuche[[#This Row],[2040]]), Refsz_Verbräuche[[#This Row],[2040]]*Emissionsfaktoren[[#This Row],[2040]]/1000, 0)</f>
        <v>0</v>
      </c>
      <c r="X134" s="14">
        <f>IF(ISNUMBER(Refsz_Verbräuche[[#This Row],[2045]]), Refsz_Verbräuche[[#This Row],[2045]]*Emissionsfaktoren[[#This Row],[2045]]/1000, 0)</f>
        <v>0</v>
      </c>
      <c r="Y134" s="14">
        <f>IF(ISNUMBER(Refsz_Verbräuche[[#This Row],[2050]]), Refsz_Verbräuche[[#This Row],[2050]]*Emissionsfaktoren[[#This Row],[2050]]/1000, 0)</f>
        <v>0</v>
      </c>
    </row>
    <row r="135" spans="2:25" ht="16.5">
      <c r="B135" s="14">
        <v>118</v>
      </c>
      <c r="C135" s="14" t="str">
        <f>Refsz_Verbräuche[[#This Row],[Handlungsfeld]]</f>
        <v>Baugüter</v>
      </c>
      <c r="D135" s="19" t="str">
        <f>Refsz_Verbräuche[[#This Row],[Datenpunkt]]</f>
        <v>Gips</v>
      </c>
      <c r="E135" t="s">
        <v>195</v>
      </c>
      <c r="F135" s="14">
        <f>IF(ISNUMBER(Refsz_Verbräuche[[#This Row],[2015]]), Refsz_Verbräuche[[#This Row],[2015]]*Emissionsfaktoren[[#This Row],[2015]]/1000, 0)</f>
        <v>0</v>
      </c>
      <c r="G135" s="14">
        <f>IF(ISNUMBER(Refsz_Verbräuche[[#This Row],[2016]]), Refsz_Verbräuche[[#This Row],[2016]]*Emissionsfaktoren[[#This Row],[2016]]/1000, 0)</f>
        <v>0</v>
      </c>
      <c r="H135" s="14">
        <f>IF(ISNUMBER(Refsz_Verbräuche[[#This Row],[2017]]), Refsz_Verbräuche[[#This Row],[2017]]*Emissionsfaktoren[[#This Row],[2017]]/1000, 0)</f>
        <v>0</v>
      </c>
      <c r="I135" s="14">
        <f>IF(ISNUMBER(Refsz_Verbräuche[[#This Row],[2018]]), Refsz_Verbräuche[[#This Row],[2018]]*Emissionsfaktoren[[#This Row],[2018]]/1000, 0)</f>
        <v>0</v>
      </c>
      <c r="J135" s="14">
        <f>IF(ISNUMBER(Refsz_Verbräuche[[#This Row],[2019]]), Refsz_Verbräuche[[#This Row],[2019]]*Emissionsfaktoren[[#This Row],[2019]]/1000, 0)</f>
        <v>0</v>
      </c>
      <c r="K135" s="14">
        <f>IF(ISNUMBER(Refsz_Verbräuche[[#This Row],[2020]]), Refsz_Verbräuche[[#This Row],[2020]]*Emissionsfaktoren[[#This Row],[2020]]/1000, 0)</f>
        <v>0</v>
      </c>
      <c r="L135" s="14">
        <f>IF(ISNUMBER(Refsz_Verbräuche[[#This Row],[2021]]), Refsz_Verbräuche[[#This Row],[2021]]*Emissionsfaktoren[[#This Row],[2021]]/1000, 0)</f>
        <v>0</v>
      </c>
      <c r="M135" s="14">
        <f>IF(ISNUMBER(Refsz_Verbräuche[[#This Row],[2022]]), Refsz_Verbräuche[[#This Row],[2022]]*Emissionsfaktoren[[#This Row],[2022]]/1000, 0)</f>
        <v>0</v>
      </c>
      <c r="N135" s="14">
        <f>IF(ISNUMBER(Refsz_Verbräuche[[#This Row],[2023]]), Refsz_Verbräuche[[#This Row],[2023]]*Emissionsfaktoren[[#This Row],[2023]]/1000, 0)</f>
        <v>0</v>
      </c>
      <c r="O135" s="14">
        <f>IF(ISNUMBER(Refsz_Verbräuche[[#This Row],[2024]]), Refsz_Verbräuche[[#This Row],[2024]]*Emissionsfaktoren[[#This Row],[2024]]/1000, 0)</f>
        <v>0</v>
      </c>
      <c r="P135" s="14">
        <f>IF(ISNUMBER(Refsz_Verbräuche[[#This Row],[2025]]), Refsz_Verbräuche[[#This Row],[2025]]*Emissionsfaktoren[[#This Row],[2025]]/1000, 0)</f>
        <v>0</v>
      </c>
      <c r="Q135" s="14">
        <f>IF(ISNUMBER(Refsz_Verbräuche[[#This Row],[2026]]), Refsz_Verbräuche[[#This Row],[2026]]*Emissionsfaktoren[[#This Row],[2026]]/1000, 0)</f>
        <v>0</v>
      </c>
      <c r="R135" s="14">
        <f>IF(ISNUMBER(Refsz_Verbräuche[[#This Row],[2027]]), Refsz_Verbräuche[[#This Row],[2027]]*Emissionsfaktoren[[#This Row],[2027]]/1000, 0)</f>
        <v>0</v>
      </c>
      <c r="S135" s="14">
        <f>IF(ISNUMBER(Refsz_Verbräuche[[#This Row],[2028]]), Refsz_Verbräuche[[#This Row],[2028]]*Emissionsfaktoren[[#This Row],[2028]]/1000, 0)</f>
        <v>0</v>
      </c>
      <c r="T135" s="14">
        <f>IF(ISNUMBER(Refsz_Verbräuche[[#This Row],[2029]]), Refsz_Verbräuche[[#This Row],[2029]]*Emissionsfaktoren[[#This Row],[2029]]/1000, 0)</f>
        <v>0</v>
      </c>
      <c r="U135" s="14">
        <f>IF(ISNUMBER(Refsz_Verbräuche[[#This Row],[2030]]), Refsz_Verbräuche[[#This Row],[2030]]*Emissionsfaktoren[[#This Row],[2030]]/1000, 0)</f>
        <v>0</v>
      </c>
      <c r="V135" s="14">
        <f>IF(ISNUMBER(Refsz_Verbräuche[[#This Row],[2035]]), Refsz_Verbräuche[[#This Row],[2035]]*Emissionsfaktoren[[#This Row],[2035]]/1000, 0)</f>
        <v>0</v>
      </c>
      <c r="W135" s="14">
        <f>IF(ISNUMBER(Refsz_Verbräuche[[#This Row],[2040]]), Refsz_Verbräuche[[#This Row],[2040]]*Emissionsfaktoren[[#This Row],[2040]]/1000, 0)</f>
        <v>0</v>
      </c>
      <c r="X135" s="14">
        <f>IF(ISNUMBER(Refsz_Verbräuche[[#This Row],[2045]]), Refsz_Verbräuche[[#This Row],[2045]]*Emissionsfaktoren[[#This Row],[2045]]/1000, 0)</f>
        <v>0</v>
      </c>
      <c r="Y135" s="14">
        <f>IF(ISNUMBER(Refsz_Verbräuche[[#This Row],[2050]]), Refsz_Verbräuche[[#This Row],[2050]]*Emissionsfaktoren[[#This Row],[2050]]/1000, 0)</f>
        <v>0</v>
      </c>
    </row>
    <row r="136" spans="2:25" ht="16.5">
      <c r="B136" s="14">
        <v>119</v>
      </c>
      <c r="C136" s="14" t="str">
        <f>Refsz_Verbräuche[[#This Row],[Handlungsfeld]]</f>
        <v>Baugüter</v>
      </c>
      <c r="D136" s="19" t="str">
        <f>Refsz_Verbräuche[[#This Row],[Datenpunkt]]</f>
        <v>Gipsplatte</v>
      </c>
      <c r="E136" t="s">
        <v>195</v>
      </c>
      <c r="F136" s="14">
        <f>IF(ISNUMBER(Refsz_Verbräuche[[#This Row],[2015]]), Refsz_Verbräuche[[#This Row],[2015]]*Emissionsfaktoren[[#This Row],[2015]]/1000, 0)</f>
        <v>0</v>
      </c>
      <c r="G136" s="14">
        <f>IF(ISNUMBER(Refsz_Verbräuche[[#This Row],[2016]]), Refsz_Verbräuche[[#This Row],[2016]]*Emissionsfaktoren[[#This Row],[2016]]/1000, 0)</f>
        <v>0</v>
      </c>
      <c r="H136" s="14">
        <f>IF(ISNUMBER(Refsz_Verbräuche[[#This Row],[2017]]), Refsz_Verbräuche[[#This Row],[2017]]*Emissionsfaktoren[[#This Row],[2017]]/1000, 0)</f>
        <v>0</v>
      </c>
      <c r="I136" s="14">
        <f>IF(ISNUMBER(Refsz_Verbräuche[[#This Row],[2018]]), Refsz_Verbräuche[[#This Row],[2018]]*Emissionsfaktoren[[#This Row],[2018]]/1000, 0)</f>
        <v>0</v>
      </c>
      <c r="J136" s="14">
        <f>IF(ISNUMBER(Refsz_Verbräuche[[#This Row],[2019]]), Refsz_Verbräuche[[#This Row],[2019]]*Emissionsfaktoren[[#This Row],[2019]]/1000, 0)</f>
        <v>0</v>
      </c>
      <c r="K136" s="14">
        <f>IF(ISNUMBER(Refsz_Verbräuche[[#This Row],[2020]]), Refsz_Verbräuche[[#This Row],[2020]]*Emissionsfaktoren[[#This Row],[2020]]/1000, 0)</f>
        <v>0</v>
      </c>
      <c r="L136" s="14">
        <f>IF(ISNUMBER(Refsz_Verbräuche[[#This Row],[2021]]), Refsz_Verbräuche[[#This Row],[2021]]*Emissionsfaktoren[[#This Row],[2021]]/1000, 0)</f>
        <v>0</v>
      </c>
      <c r="M136" s="14">
        <f>IF(ISNUMBER(Refsz_Verbräuche[[#This Row],[2022]]), Refsz_Verbräuche[[#This Row],[2022]]*Emissionsfaktoren[[#This Row],[2022]]/1000, 0)</f>
        <v>0</v>
      </c>
      <c r="N136" s="14">
        <f>IF(ISNUMBER(Refsz_Verbräuche[[#This Row],[2023]]), Refsz_Verbräuche[[#This Row],[2023]]*Emissionsfaktoren[[#This Row],[2023]]/1000, 0)</f>
        <v>0</v>
      </c>
      <c r="O136" s="14">
        <f>IF(ISNUMBER(Refsz_Verbräuche[[#This Row],[2024]]), Refsz_Verbräuche[[#This Row],[2024]]*Emissionsfaktoren[[#This Row],[2024]]/1000, 0)</f>
        <v>0</v>
      </c>
      <c r="P136" s="14">
        <f>IF(ISNUMBER(Refsz_Verbräuche[[#This Row],[2025]]), Refsz_Verbräuche[[#This Row],[2025]]*Emissionsfaktoren[[#This Row],[2025]]/1000, 0)</f>
        <v>0</v>
      </c>
      <c r="Q136" s="14">
        <f>IF(ISNUMBER(Refsz_Verbräuche[[#This Row],[2026]]), Refsz_Verbräuche[[#This Row],[2026]]*Emissionsfaktoren[[#This Row],[2026]]/1000, 0)</f>
        <v>0</v>
      </c>
      <c r="R136" s="14">
        <f>IF(ISNUMBER(Refsz_Verbräuche[[#This Row],[2027]]), Refsz_Verbräuche[[#This Row],[2027]]*Emissionsfaktoren[[#This Row],[2027]]/1000, 0)</f>
        <v>0</v>
      </c>
      <c r="S136" s="14">
        <f>IF(ISNUMBER(Refsz_Verbräuche[[#This Row],[2028]]), Refsz_Verbräuche[[#This Row],[2028]]*Emissionsfaktoren[[#This Row],[2028]]/1000, 0)</f>
        <v>0</v>
      </c>
      <c r="T136" s="14">
        <f>IF(ISNUMBER(Refsz_Verbräuche[[#This Row],[2029]]), Refsz_Verbräuche[[#This Row],[2029]]*Emissionsfaktoren[[#This Row],[2029]]/1000, 0)</f>
        <v>0</v>
      </c>
      <c r="U136" s="14">
        <f>IF(ISNUMBER(Refsz_Verbräuche[[#This Row],[2030]]), Refsz_Verbräuche[[#This Row],[2030]]*Emissionsfaktoren[[#This Row],[2030]]/1000, 0)</f>
        <v>0</v>
      </c>
      <c r="V136" s="14">
        <f>IF(ISNUMBER(Refsz_Verbräuche[[#This Row],[2035]]), Refsz_Verbräuche[[#This Row],[2035]]*Emissionsfaktoren[[#This Row],[2035]]/1000, 0)</f>
        <v>0</v>
      </c>
      <c r="W136" s="14">
        <f>IF(ISNUMBER(Refsz_Verbräuche[[#This Row],[2040]]), Refsz_Verbräuche[[#This Row],[2040]]*Emissionsfaktoren[[#This Row],[2040]]/1000, 0)</f>
        <v>0</v>
      </c>
      <c r="X136" s="14">
        <f>IF(ISNUMBER(Refsz_Verbräuche[[#This Row],[2045]]), Refsz_Verbräuche[[#This Row],[2045]]*Emissionsfaktoren[[#This Row],[2045]]/1000, 0)</f>
        <v>0</v>
      </c>
      <c r="Y136" s="14">
        <f>IF(ISNUMBER(Refsz_Verbräuche[[#This Row],[2050]]), Refsz_Verbräuche[[#This Row],[2050]]*Emissionsfaktoren[[#This Row],[2050]]/1000, 0)</f>
        <v>0</v>
      </c>
    </row>
    <row r="137" spans="2:25" ht="16.5">
      <c r="B137" s="14">
        <v>120</v>
      </c>
      <c r="C137" s="14" t="str">
        <f>Refsz_Verbräuche[[#This Row],[Handlungsfeld]]</f>
        <v>Baugüter</v>
      </c>
      <c r="D137" s="19" t="str">
        <f>Refsz_Verbräuche[[#This Row],[Datenpunkt]]</f>
        <v>Glas (flach)</v>
      </c>
      <c r="E137" t="s">
        <v>195</v>
      </c>
      <c r="F137" s="14">
        <f>IF(ISNUMBER(Refsz_Verbräuche[[#This Row],[2015]]), Refsz_Verbräuche[[#This Row],[2015]]*Emissionsfaktoren[[#This Row],[2015]]/1000, 0)</f>
        <v>0</v>
      </c>
      <c r="G137" s="14">
        <f>IF(ISNUMBER(Refsz_Verbräuche[[#This Row],[2016]]), Refsz_Verbräuche[[#This Row],[2016]]*Emissionsfaktoren[[#This Row],[2016]]/1000, 0)</f>
        <v>0</v>
      </c>
      <c r="H137" s="14">
        <f>IF(ISNUMBER(Refsz_Verbräuche[[#This Row],[2017]]), Refsz_Verbräuche[[#This Row],[2017]]*Emissionsfaktoren[[#This Row],[2017]]/1000, 0)</f>
        <v>0</v>
      </c>
      <c r="I137" s="14">
        <f>IF(ISNUMBER(Refsz_Verbräuche[[#This Row],[2018]]), Refsz_Verbräuche[[#This Row],[2018]]*Emissionsfaktoren[[#This Row],[2018]]/1000, 0)</f>
        <v>0</v>
      </c>
      <c r="J137" s="14">
        <f>IF(ISNUMBER(Refsz_Verbräuche[[#This Row],[2019]]), Refsz_Verbräuche[[#This Row],[2019]]*Emissionsfaktoren[[#This Row],[2019]]/1000, 0)</f>
        <v>0</v>
      </c>
      <c r="K137" s="14">
        <f>IF(ISNUMBER(Refsz_Verbräuche[[#This Row],[2020]]), Refsz_Verbräuche[[#This Row],[2020]]*Emissionsfaktoren[[#This Row],[2020]]/1000, 0)</f>
        <v>0</v>
      </c>
      <c r="L137" s="14">
        <f>IF(ISNUMBER(Refsz_Verbräuche[[#This Row],[2021]]), Refsz_Verbräuche[[#This Row],[2021]]*Emissionsfaktoren[[#This Row],[2021]]/1000, 0)</f>
        <v>0</v>
      </c>
      <c r="M137" s="14">
        <f>IF(ISNUMBER(Refsz_Verbräuche[[#This Row],[2022]]), Refsz_Verbräuche[[#This Row],[2022]]*Emissionsfaktoren[[#This Row],[2022]]/1000, 0)</f>
        <v>0</v>
      </c>
      <c r="N137" s="14">
        <f>IF(ISNUMBER(Refsz_Verbräuche[[#This Row],[2023]]), Refsz_Verbräuche[[#This Row],[2023]]*Emissionsfaktoren[[#This Row],[2023]]/1000, 0)</f>
        <v>0</v>
      </c>
      <c r="O137" s="14">
        <f>IF(ISNUMBER(Refsz_Verbräuche[[#This Row],[2024]]), Refsz_Verbräuche[[#This Row],[2024]]*Emissionsfaktoren[[#This Row],[2024]]/1000, 0)</f>
        <v>0</v>
      </c>
      <c r="P137" s="14">
        <f>IF(ISNUMBER(Refsz_Verbräuche[[#This Row],[2025]]), Refsz_Verbräuche[[#This Row],[2025]]*Emissionsfaktoren[[#This Row],[2025]]/1000, 0)</f>
        <v>0</v>
      </c>
      <c r="Q137" s="14">
        <f>IF(ISNUMBER(Refsz_Verbräuche[[#This Row],[2026]]), Refsz_Verbräuche[[#This Row],[2026]]*Emissionsfaktoren[[#This Row],[2026]]/1000, 0)</f>
        <v>0</v>
      </c>
      <c r="R137" s="14">
        <f>IF(ISNUMBER(Refsz_Verbräuche[[#This Row],[2027]]), Refsz_Verbräuche[[#This Row],[2027]]*Emissionsfaktoren[[#This Row],[2027]]/1000, 0)</f>
        <v>0</v>
      </c>
      <c r="S137" s="14">
        <f>IF(ISNUMBER(Refsz_Verbräuche[[#This Row],[2028]]), Refsz_Verbräuche[[#This Row],[2028]]*Emissionsfaktoren[[#This Row],[2028]]/1000, 0)</f>
        <v>0</v>
      </c>
      <c r="T137" s="14">
        <f>IF(ISNUMBER(Refsz_Verbräuche[[#This Row],[2029]]), Refsz_Verbräuche[[#This Row],[2029]]*Emissionsfaktoren[[#This Row],[2029]]/1000, 0)</f>
        <v>0</v>
      </c>
      <c r="U137" s="14">
        <f>IF(ISNUMBER(Refsz_Verbräuche[[#This Row],[2030]]), Refsz_Verbräuche[[#This Row],[2030]]*Emissionsfaktoren[[#This Row],[2030]]/1000, 0)</f>
        <v>0</v>
      </c>
      <c r="V137" s="14">
        <f>IF(ISNUMBER(Refsz_Verbräuche[[#This Row],[2035]]), Refsz_Verbräuche[[#This Row],[2035]]*Emissionsfaktoren[[#This Row],[2035]]/1000, 0)</f>
        <v>0</v>
      </c>
      <c r="W137" s="14">
        <f>IF(ISNUMBER(Refsz_Verbräuche[[#This Row],[2040]]), Refsz_Verbräuche[[#This Row],[2040]]*Emissionsfaktoren[[#This Row],[2040]]/1000, 0)</f>
        <v>0</v>
      </c>
      <c r="X137" s="14">
        <f>IF(ISNUMBER(Refsz_Verbräuche[[#This Row],[2045]]), Refsz_Verbräuche[[#This Row],[2045]]*Emissionsfaktoren[[#This Row],[2045]]/1000, 0)</f>
        <v>0</v>
      </c>
      <c r="Y137" s="14">
        <f>IF(ISNUMBER(Refsz_Verbräuche[[#This Row],[2050]]), Refsz_Verbräuche[[#This Row],[2050]]*Emissionsfaktoren[[#This Row],[2050]]/1000, 0)</f>
        <v>0</v>
      </c>
    </row>
    <row r="138" spans="2:25" ht="16.5">
      <c r="B138" s="14">
        <v>121</v>
      </c>
      <c r="C138" s="14" t="str">
        <f>Refsz_Verbräuche[[#This Row],[Handlungsfeld]]</f>
        <v>Baugüter</v>
      </c>
      <c r="D138" s="19" t="str">
        <f>Refsz_Verbräuche[[#This Row],[Datenpunkt]]</f>
        <v>Gussasphalt</v>
      </c>
      <c r="E138" t="s">
        <v>195</v>
      </c>
      <c r="F138" s="14">
        <f>IF(ISNUMBER(Refsz_Verbräuche[[#This Row],[2015]]), Refsz_Verbräuche[[#This Row],[2015]]*Emissionsfaktoren[[#This Row],[2015]]/1000, 0)</f>
        <v>0</v>
      </c>
      <c r="G138" s="14">
        <f>IF(ISNUMBER(Refsz_Verbräuche[[#This Row],[2016]]), Refsz_Verbräuche[[#This Row],[2016]]*Emissionsfaktoren[[#This Row],[2016]]/1000, 0)</f>
        <v>0</v>
      </c>
      <c r="H138" s="14">
        <f>IF(ISNUMBER(Refsz_Verbräuche[[#This Row],[2017]]), Refsz_Verbräuche[[#This Row],[2017]]*Emissionsfaktoren[[#This Row],[2017]]/1000, 0)</f>
        <v>0</v>
      </c>
      <c r="I138" s="14">
        <f>IF(ISNUMBER(Refsz_Verbräuche[[#This Row],[2018]]), Refsz_Verbräuche[[#This Row],[2018]]*Emissionsfaktoren[[#This Row],[2018]]/1000, 0)</f>
        <v>0</v>
      </c>
      <c r="J138" s="14">
        <f>IF(ISNUMBER(Refsz_Verbräuche[[#This Row],[2019]]), Refsz_Verbräuche[[#This Row],[2019]]*Emissionsfaktoren[[#This Row],[2019]]/1000, 0)</f>
        <v>0</v>
      </c>
      <c r="K138" s="14">
        <f>IF(ISNUMBER(Refsz_Verbräuche[[#This Row],[2020]]), Refsz_Verbräuche[[#This Row],[2020]]*Emissionsfaktoren[[#This Row],[2020]]/1000, 0)</f>
        <v>0</v>
      </c>
      <c r="L138" s="14">
        <f>IF(ISNUMBER(Refsz_Verbräuche[[#This Row],[2021]]), Refsz_Verbräuche[[#This Row],[2021]]*Emissionsfaktoren[[#This Row],[2021]]/1000, 0)</f>
        <v>0</v>
      </c>
      <c r="M138" s="14">
        <f>IF(ISNUMBER(Refsz_Verbräuche[[#This Row],[2022]]), Refsz_Verbräuche[[#This Row],[2022]]*Emissionsfaktoren[[#This Row],[2022]]/1000, 0)</f>
        <v>0</v>
      </c>
      <c r="N138" s="14">
        <f>IF(ISNUMBER(Refsz_Verbräuche[[#This Row],[2023]]), Refsz_Verbräuche[[#This Row],[2023]]*Emissionsfaktoren[[#This Row],[2023]]/1000, 0)</f>
        <v>0</v>
      </c>
      <c r="O138" s="14">
        <f>IF(ISNUMBER(Refsz_Verbräuche[[#This Row],[2024]]), Refsz_Verbräuche[[#This Row],[2024]]*Emissionsfaktoren[[#This Row],[2024]]/1000, 0)</f>
        <v>0</v>
      </c>
      <c r="P138" s="14">
        <f>IF(ISNUMBER(Refsz_Verbräuche[[#This Row],[2025]]), Refsz_Verbräuche[[#This Row],[2025]]*Emissionsfaktoren[[#This Row],[2025]]/1000, 0)</f>
        <v>0</v>
      </c>
      <c r="Q138" s="14">
        <f>IF(ISNUMBER(Refsz_Verbräuche[[#This Row],[2026]]), Refsz_Verbräuche[[#This Row],[2026]]*Emissionsfaktoren[[#This Row],[2026]]/1000, 0)</f>
        <v>0</v>
      </c>
      <c r="R138" s="14">
        <f>IF(ISNUMBER(Refsz_Verbräuche[[#This Row],[2027]]), Refsz_Verbräuche[[#This Row],[2027]]*Emissionsfaktoren[[#This Row],[2027]]/1000, 0)</f>
        <v>0</v>
      </c>
      <c r="S138" s="14">
        <f>IF(ISNUMBER(Refsz_Verbräuche[[#This Row],[2028]]), Refsz_Verbräuche[[#This Row],[2028]]*Emissionsfaktoren[[#This Row],[2028]]/1000, 0)</f>
        <v>0</v>
      </c>
      <c r="T138" s="14">
        <f>IF(ISNUMBER(Refsz_Verbräuche[[#This Row],[2029]]), Refsz_Verbräuche[[#This Row],[2029]]*Emissionsfaktoren[[#This Row],[2029]]/1000, 0)</f>
        <v>0</v>
      </c>
      <c r="U138" s="14">
        <f>IF(ISNUMBER(Refsz_Verbräuche[[#This Row],[2030]]), Refsz_Verbräuche[[#This Row],[2030]]*Emissionsfaktoren[[#This Row],[2030]]/1000, 0)</f>
        <v>0</v>
      </c>
      <c r="V138" s="14">
        <f>IF(ISNUMBER(Refsz_Verbräuche[[#This Row],[2035]]), Refsz_Verbräuche[[#This Row],[2035]]*Emissionsfaktoren[[#This Row],[2035]]/1000, 0)</f>
        <v>0</v>
      </c>
      <c r="W138" s="14">
        <f>IF(ISNUMBER(Refsz_Verbräuche[[#This Row],[2040]]), Refsz_Verbräuche[[#This Row],[2040]]*Emissionsfaktoren[[#This Row],[2040]]/1000, 0)</f>
        <v>0</v>
      </c>
      <c r="X138" s="14">
        <f>IF(ISNUMBER(Refsz_Verbräuche[[#This Row],[2045]]), Refsz_Verbräuche[[#This Row],[2045]]*Emissionsfaktoren[[#This Row],[2045]]/1000, 0)</f>
        <v>0</v>
      </c>
      <c r="Y138" s="14">
        <f>IF(ISNUMBER(Refsz_Verbräuche[[#This Row],[2050]]), Refsz_Verbräuche[[#This Row],[2050]]*Emissionsfaktoren[[#This Row],[2050]]/1000, 0)</f>
        <v>0</v>
      </c>
    </row>
    <row r="139" spans="2:25" ht="16.5">
      <c r="B139" s="14">
        <v>122</v>
      </c>
      <c r="C139" s="14" t="str">
        <f>Refsz_Verbräuche[[#This Row],[Handlungsfeld]]</f>
        <v>Baugüter</v>
      </c>
      <c r="D139" s="19" t="str">
        <f>Refsz_Verbräuche[[#This Row],[Datenpunkt]]</f>
        <v>Kalksandstein</v>
      </c>
      <c r="E139" t="s">
        <v>195</v>
      </c>
      <c r="F139" s="14">
        <f>IF(ISNUMBER(Refsz_Verbräuche[[#This Row],[2015]]), Refsz_Verbräuche[[#This Row],[2015]]*Emissionsfaktoren[[#This Row],[2015]]/1000, 0)</f>
        <v>0</v>
      </c>
      <c r="G139" s="14">
        <f>IF(ISNUMBER(Refsz_Verbräuche[[#This Row],[2016]]), Refsz_Verbräuche[[#This Row],[2016]]*Emissionsfaktoren[[#This Row],[2016]]/1000, 0)</f>
        <v>0</v>
      </c>
      <c r="H139" s="14">
        <f>IF(ISNUMBER(Refsz_Verbräuche[[#This Row],[2017]]), Refsz_Verbräuche[[#This Row],[2017]]*Emissionsfaktoren[[#This Row],[2017]]/1000, 0)</f>
        <v>0</v>
      </c>
      <c r="I139" s="14">
        <f>IF(ISNUMBER(Refsz_Verbräuche[[#This Row],[2018]]), Refsz_Verbräuche[[#This Row],[2018]]*Emissionsfaktoren[[#This Row],[2018]]/1000, 0)</f>
        <v>0</v>
      </c>
      <c r="J139" s="14">
        <f>IF(ISNUMBER(Refsz_Verbräuche[[#This Row],[2019]]), Refsz_Verbräuche[[#This Row],[2019]]*Emissionsfaktoren[[#This Row],[2019]]/1000, 0)</f>
        <v>0</v>
      </c>
      <c r="K139" s="14">
        <f>IF(ISNUMBER(Refsz_Verbräuche[[#This Row],[2020]]), Refsz_Verbräuche[[#This Row],[2020]]*Emissionsfaktoren[[#This Row],[2020]]/1000, 0)</f>
        <v>0</v>
      </c>
      <c r="L139" s="14">
        <f>IF(ISNUMBER(Refsz_Verbräuche[[#This Row],[2021]]), Refsz_Verbräuche[[#This Row],[2021]]*Emissionsfaktoren[[#This Row],[2021]]/1000, 0)</f>
        <v>0</v>
      </c>
      <c r="M139" s="14">
        <f>IF(ISNUMBER(Refsz_Verbräuche[[#This Row],[2022]]), Refsz_Verbräuche[[#This Row],[2022]]*Emissionsfaktoren[[#This Row],[2022]]/1000, 0)</f>
        <v>0</v>
      </c>
      <c r="N139" s="14">
        <f>IF(ISNUMBER(Refsz_Verbräuche[[#This Row],[2023]]), Refsz_Verbräuche[[#This Row],[2023]]*Emissionsfaktoren[[#This Row],[2023]]/1000, 0)</f>
        <v>0</v>
      </c>
      <c r="O139" s="14">
        <f>IF(ISNUMBER(Refsz_Verbräuche[[#This Row],[2024]]), Refsz_Verbräuche[[#This Row],[2024]]*Emissionsfaktoren[[#This Row],[2024]]/1000, 0)</f>
        <v>0</v>
      </c>
      <c r="P139" s="14">
        <f>IF(ISNUMBER(Refsz_Verbräuche[[#This Row],[2025]]), Refsz_Verbräuche[[#This Row],[2025]]*Emissionsfaktoren[[#This Row],[2025]]/1000, 0)</f>
        <v>0</v>
      </c>
      <c r="Q139" s="14">
        <f>IF(ISNUMBER(Refsz_Verbräuche[[#This Row],[2026]]), Refsz_Verbräuche[[#This Row],[2026]]*Emissionsfaktoren[[#This Row],[2026]]/1000, 0)</f>
        <v>0</v>
      </c>
      <c r="R139" s="14">
        <f>IF(ISNUMBER(Refsz_Verbräuche[[#This Row],[2027]]), Refsz_Verbräuche[[#This Row],[2027]]*Emissionsfaktoren[[#This Row],[2027]]/1000, 0)</f>
        <v>0</v>
      </c>
      <c r="S139" s="14">
        <f>IF(ISNUMBER(Refsz_Verbräuche[[#This Row],[2028]]), Refsz_Verbräuche[[#This Row],[2028]]*Emissionsfaktoren[[#This Row],[2028]]/1000, 0)</f>
        <v>0</v>
      </c>
      <c r="T139" s="14">
        <f>IF(ISNUMBER(Refsz_Verbräuche[[#This Row],[2029]]), Refsz_Verbräuche[[#This Row],[2029]]*Emissionsfaktoren[[#This Row],[2029]]/1000, 0)</f>
        <v>0</v>
      </c>
      <c r="U139" s="14">
        <f>IF(ISNUMBER(Refsz_Verbräuche[[#This Row],[2030]]), Refsz_Verbräuche[[#This Row],[2030]]*Emissionsfaktoren[[#This Row],[2030]]/1000, 0)</f>
        <v>0</v>
      </c>
      <c r="V139" s="14">
        <f>IF(ISNUMBER(Refsz_Verbräuche[[#This Row],[2035]]), Refsz_Verbräuche[[#This Row],[2035]]*Emissionsfaktoren[[#This Row],[2035]]/1000, 0)</f>
        <v>0</v>
      </c>
      <c r="W139" s="14">
        <f>IF(ISNUMBER(Refsz_Verbräuche[[#This Row],[2040]]), Refsz_Verbräuche[[#This Row],[2040]]*Emissionsfaktoren[[#This Row],[2040]]/1000, 0)</f>
        <v>0</v>
      </c>
      <c r="X139" s="14">
        <f>IF(ISNUMBER(Refsz_Verbräuche[[#This Row],[2045]]), Refsz_Verbräuche[[#This Row],[2045]]*Emissionsfaktoren[[#This Row],[2045]]/1000, 0)</f>
        <v>0</v>
      </c>
      <c r="Y139" s="14">
        <f>IF(ISNUMBER(Refsz_Verbräuche[[#This Row],[2050]]), Refsz_Verbräuche[[#This Row],[2050]]*Emissionsfaktoren[[#This Row],[2050]]/1000, 0)</f>
        <v>0</v>
      </c>
    </row>
    <row r="140" spans="2:25" ht="16.5">
      <c r="B140" s="14">
        <v>123</v>
      </c>
      <c r="C140" s="14" t="str">
        <f>Refsz_Verbräuche[[#This Row],[Handlungsfeld]]</f>
        <v>Baugüter</v>
      </c>
      <c r="D140" s="19" t="str">
        <f>Refsz_Verbräuche[[#This Row],[Datenpunkt]]</f>
        <v>Porenbetonstein</v>
      </c>
      <c r="E140" t="s">
        <v>195</v>
      </c>
      <c r="F140" s="14">
        <f>IF(ISNUMBER(Refsz_Verbräuche[[#This Row],[2015]]), Refsz_Verbräuche[[#This Row],[2015]]*Emissionsfaktoren[[#This Row],[2015]]/1000, 0)</f>
        <v>0</v>
      </c>
      <c r="G140" s="14">
        <f>IF(ISNUMBER(Refsz_Verbräuche[[#This Row],[2016]]), Refsz_Verbräuche[[#This Row],[2016]]*Emissionsfaktoren[[#This Row],[2016]]/1000, 0)</f>
        <v>0</v>
      </c>
      <c r="H140" s="14">
        <f>IF(ISNUMBER(Refsz_Verbräuche[[#This Row],[2017]]), Refsz_Verbräuche[[#This Row],[2017]]*Emissionsfaktoren[[#This Row],[2017]]/1000, 0)</f>
        <v>0</v>
      </c>
      <c r="I140" s="14">
        <f>IF(ISNUMBER(Refsz_Verbräuche[[#This Row],[2018]]), Refsz_Verbräuche[[#This Row],[2018]]*Emissionsfaktoren[[#This Row],[2018]]/1000, 0)</f>
        <v>0</v>
      </c>
      <c r="J140" s="14">
        <f>IF(ISNUMBER(Refsz_Verbräuche[[#This Row],[2019]]), Refsz_Verbräuche[[#This Row],[2019]]*Emissionsfaktoren[[#This Row],[2019]]/1000, 0)</f>
        <v>0</v>
      </c>
      <c r="K140" s="14">
        <f>IF(ISNUMBER(Refsz_Verbräuche[[#This Row],[2020]]), Refsz_Verbräuche[[#This Row],[2020]]*Emissionsfaktoren[[#This Row],[2020]]/1000, 0)</f>
        <v>0</v>
      </c>
      <c r="L140" s="14">
        <f>IF(ISNUMBER(Refsz_Verbräuche[[#This Row],[2021]]), Refsz_Verbräuche[[#This Row],[2021]]*Emissionsfaktoren[[#This Row],[2021]]/1000, 0)</f>
        <v>0</v>
      </c>
      <c r="M140" s="14">
        <f>IF(ISNUMBER(Refsz_Verbräuche[[#This Row],[2022]]), Refsz_Verbräuche[[#This Row],[2022]]*Emissionsfaktoren[[#This Row],[2022]]/1000, 0)</f>
        <v>0</v>
      </c>
      <c r="N140" s="14">
        <f>IF(ISNUMBER(Refsz_Verbräuche[[#This Row],[2023]]), Refsz_Verbräuche[[#This Row],[2023]]*Emissionsfaktoren[[#This Row],[2023]]/1000, 0)</f>
        <v>0</v>
      </c>
      <c r="O140" s="14">
        <f>IF(ISNUMBER(Refsz_Verbräuche[[#This Row],[2024]]), Refsz_Verbräuche[[#This Row],[2024]]*Emissionsfaktoren[[#This Row],[2024]]/1000, 0)</f>
        <v>0</v>
      </c>
      <c r="P140" s="14">
        <f>IF(ISNUMBER(Refsz_Verbräuche[[#This Row],[2025]]), Refsz_Verbräuche[[#This Row],[2025]]*Emissionsfaktoren[[#This Row],[2025]]/1000, 0)</f>
        <v>0</v>
      </c>
      <c r="Q140" s="14">
        <f>IF(ISNUMBER(Refsz_Verbräuche[[#This Row],[2026]]), Refsz_Verbräuche[[#This Row],[2026]]*Emissionsfaktoren[[#This Row],[2026]]/1000, 0)</f>
        <v>0</v>
      </c>
      <c r="R140" s="14">
        <f>IF(ISNUMBER(Refsz_Verbräuche[[#This Row],[2027]]), Refsz_Verbräuche[[#This Row],[2027]]*Emissionsfaktoren[[#This Row],[2027]]/1000, 0)</f>
        <v>0</v>
      </c>
      <c r="S140" s="14">
        <f>IF(ISNUMBER(Refsz_Verbräuche[[#This Row],[2028]]), Refsz_Verbräuche[[#This Row],[2028]]*Emissionsfaktoren[[#This Row],[2028]]/1000, 0)</f>
        <v>0</v>
      </c>
      <c r="T140" s="14">
        <f>IF(ISNUMBER(Refsz_Verbräuche[[#This Row],[2029]]), Refsz_Verbräuche[[#This Row],[2029]]*Emissionsfaktoren[[#This Row],[2029]]/1000, 0)</f>
        <v>0</v>
      </c>
      <c r="U140" s="14">
        <f>IF(ISNUMBER(Refsz_Verbräuche[[#This Row],[2030]]), Refsz_Verbräuche[[#This Row],[2030]]*Emissionsfaktoren[[#This Row],[2030]]/1000, 0)</f>
        <v>0</v>
      </c>
      <c r="V140" s="14">
        <f>IF(ISNUMBER(Refsz_Verbräuche[[#This Row],[2035]]), Refsz_Verbräuche[[#This Row],[2035]]*Emissionsfaktoren[[#This Row],[2035]]/1000, 0)</f>
        <v>0</v>
      </c>
      <c r="W140" s="14">
        <f>IF(ISNUMBER(Refsz_Verbräuche[[#This Row],[2040]]), Refsz_Verbräuche[[#This Row],[2040]]*Emissionsfaktoren[[#This Row],[2040]]/1000, 0)</f>
        <v>0</v>
      </c>
      <c r="X140" s="14">
        <f>IF(ISNUMBER(Refsz_Verbräuche[[#This Row],[2045]]), Refsz_Verbräuche[[#This Row],[2045]]*Emissionsfaktoren[[#This Row],[2045]]/1000, 0)</f>
        <v>0</v>
      </c>
      <c r="Y140" s="14">
        <f>IF(ISNUMBER(Refsz_Verbräuche[[#This Row],[2050]]), Refsz_Verbräuche[[#This Row],[2050]]*Emissionsfaktoren[[#This Row],[2050]]/1000, 0)</f>
        <v>0</v>
      </c>
    </row>
    <row r="141" spans="2:25" ht="16.5">
      <c r="B141" s="14">
        <v>124</v>
      </c>
      <c r="C141" s="14" t="str">
        <f>Refsz_Verbräuche[[#This Row],[Handlungsfeld]]</f>
        <v>Baugüter</v>
      </c>
      <c r="D141" s="19" t="str">
        <f>Refsz_Verbräuche[[#This Row],[Datenpunkt]]</f>
        <v>Steinwolle</v>
      </c>
      <c r="E141" t="s">
        <v>195</v>
      </c>
      <c r="F141" s="14">
        <f>IF(ISNUMBER(Refsz_Verbräuche[[#This Row],[2015]]), Refsz_Verbräuche[[#This Row],[2015]]*Emissionsfaktoren[[#This Row],[2015]]/1000, 0)</f>
        <v>0</v>
      </c>
      <c r="G141" s="14">
        <f>IF(ISNUMBER(Refsz_Verbräuche[[#This Row],[2016]]), Refsz_Verbräuche[[#This Row],[2016]]*Emissionsfaktoren[[#This Row],[2016]]/1000, 0)</f>
        <v>0</v>
      </c>
      <c r="H141" s="14">
        <f>IF(ISNUMBER(Refsz_Verbräuche[[#This Row],[2017]]), Refsz_Verbräuche[[#This Row],[2017]]*Emissionsfaktoren[[#This Row],[2017]]/1000, 0)</f>
        <v>0</v>
      </c>
      <c r="I141" s="14">
        <f>IF(ISNUMBER(Refsz_Verbräuche[[#This Row],[2018]]), Refsz_Verbräuche[[#This Row],[2018]]*Emissionsfaktoren[[#This Row],[2018]]/1000, 0)</f>
        <v>0</v>
      </c>
      <c r="J141" s="14">
        <f>IF(ISNUMBER(Refsz_Verbräuche[[#This Row],[2019]]), Refsz_Verbräuche[[#This Row],[2019]]*Emissionsfaktoren[[#This Row],[2019]]/1000, 0)</f>
        <v>0</v>
      </c>
      <c r="K141" s="14">
        <f>IF(ISNUMBER(Refsz_Verbräuche[[#This Row],[2020]]), Refsz_Verbräuche[[#This Row],[2020]]*Emissionsfaktoren[[#This Row],[2020]]/1000, 0)</f>
        <v>0</v>
      </c>
      <c r="L141" s="14">
        <f>IF(ISNUMBER(Refsz_Verbräuche[[#This Row],[2021]]), Refsz_Verbräuche[[#This Row],[2021]]*Emissionsfaktoren[[#This Row],[2021]]/1000, 0)</f>
        <v>0</v>
      </c>
      <c r="M141" s="14">
        <f>IF(ISNUMBER(Refsz_Verbräuche[[#This Row],[2022]]), Refsz_Verbräuche[[#This Row],[2022]]*Emissionsfaktoren[[#This Row],[2022]]/1000, 0)</f>
        <v>0</v>
      </c>
      <c r="N141" s="14">
        <f>IF(ISNUMBER(Refsz_Verbräuche[[#This Row],[2023]]), Refsz_Verbräuche[[#This Row],[2023]]*Emissionsfaktoren[[#This Row],[2023]]/1000, 0)</f>
        <v>0</v>
      </c>
      <c r="O141" s="14">
        <f>IF(ISNUMBER(Refsz_Verbräuche[[#This Row],[2024]]), Refsz_Verbräuche[[#This Row],[2024]]*Emissionsfaktoren[[#This Row],[2024]]/1000, 0)</f>
        <v>0</v>
      </c>
      <c r="P141" s="14">
        <f>IF(ISNUMBER(Refsz_Verbräuche[[#This Row],[2025]]), Refsz_Verbräuche[[#This Row],[2025]]*Emissionsfaktoren[[#This Row],[2025]]/1000, 0)</f>
        <v>0</v>
      </c>
      <c r="Q141" s="14">
        <f>IF(ISNUMBER(Refsz_Verbräuche[[#This Row],[2026]]), Refsz_Verbräuche[[#This Row],[2026]]*Emissionsfaktoren[[#This Row],[2026]]/1000, 0)</f>
        <v>0</v>
      </c>
      <c r="R141" s="14">
        <f>IF(ISNUMBER(Refsz_Verbräuche[[#This Row],[2027]]), Refsz_Verbräuche[[#This Row],[2027]]*Emissionsfaktoren[[#This Row],[2027]]/1000, 0)</f>
        <v>0</v>
      </c>
      <c r="S141" s="14">
        <f>IF(ISNUMBER(Refsz_Verbräuche[[#This Row],[2028]]), Refsz_Verbräuche[[#This Row],[2028]]*Emissionsfaktoren[[#This Row],[2028]]/1000, 0)</f>
        <v>0</v>
      </c>
      <c r="T141" s="14">
        <f>IF(ISNUMBER(Refsz_Verbräuche[[#This Row],[2029]]), Refsz_Verbräuche[[#This Row],[2029]]*Emissionsfaktoren[[#This Row],[2029]]/1000, 0)</f>
        <v>0</v>
      </c>
      <c r="U141" s="14">
        <f>IF(ISNUMBER(Refsz_Verbräuche[[#This Row],[2030]]), Refsz_Verbräuche[[#This Row],[2030]]*Emissionsfaktoren[[#This Row],[2030]]/1000, 0)</f>
        <v>0</v>
      </c>
      <c r="V141" s="14">
        <f>IF(ISNUMBER(Refsz_Verbräuche[[#This Row],[2035]]), Refsz_Verbräuche[[#This Row],[2035]]*Emissionsfaktoren[[#This Row],[2035]]/1000, 0)</f>
        <v>0</v>
      </c>
      <c r="W141" s="14">
        <f>IF(ISNUMBER(Refsz_Verbräuche[[#This Row],[2040]]), Refsz_Verbräuche[[#This Row],[2040]]*Emissionsfaktoren[[#This Row],[2040]]/1000, 0)</f>
        <v>0</v>
      </c>
      <c r="X141" s="14">
        <f>IF(ISNUMBER(Refsz_Verbräuche[[#This Row],[2045]]), Refsz_Verbräuche[[#This Row],[2045]]*Emissionsfaktoren[[#This Row],[2045]]/1000, 0)</f>
        <v>0</v>
      </c>
      <c r="Y141" s="14">
        <f>IF(ISNUMBER(Refsz_Verbräuche[[#This Row],[2050]]), Refsz_Verbräuche[[#This Row],[2050]]*Emissionsfaktoren[[#This Row],[2050]]/1000, 0)</f>
        <v>0</v>
      </c>
    </row>
    <row r="142" spans="2:25" ht="16.5">
      <c r="B142" s="14">
        <v>125</v>
      </c>
      <c r="C142" s="14" t="str">
        <f>Refsz_Verbräuche[[#This Row],[Handlungsfeld]]</f>
        <v>Baugüter</v>
      </c>
      <c r="D142" s="19" t="str">
        <f>Refsz_Verbräuche[[#This Row],[Datenpunkt]]</f>
        <v>Tonziegel (fürs Dach)</v>
      </c>
      <c r="E142" t="s">
        <v>195</v>
      </c>
      <c r="F142" s="14">
        <f>IF(ISNUMBER(Refsz_Verbräuche[[#This Row],[2015]]), Refsz_Verbräuche[[#This Row],[2015]]*Emissionsfaktoren[[#This Row],[2015]]/1000, 0)</f>
        <v>0</v>
      </c>
      <c r="G142" s="14">
        <f>IF(ISNUMBER(Refsz_Verbräuche[[#This Row],[2016]]), Refsz_Verbräuche[[#This Row],[2016]]*Emissionsfaktoren[[#This Row],[2016]]/1000, 0)</f>
        <v>0</v>
      </c>
      <c r="H142" s="14">
        <f>IF(ISNUMBER(Refsz_Verbräuche[[#This Row],[2017]]), Refsz_Verbräuche[[#This Row],[2017]]*Emissionsfaktoren[[#This Row],[2017]]/1000, 0)</f>
        <v>0</v>
      </c>
      <c r="I142" s="14">
        <f>IF(ISNUMBER(Refsz_Verbräuche[[#This Row],[2018]]), Refsz_Verbräuche[[#This Row],[2018]]*Emissionsfaktoren[[#This Row],[2018]]/1000, 0)</f>
        <v>0</v>
      </c>
      <c r="J142" s="14">
        <f>IF(ISNUMBER(Refsz_Verbräuche[[#This Row],[2019]]), Refsz_Verbräuche[[#This Row],[2019]]*Emissionsfaktoren[[#This Row],[2019]]/1000, 0)</f>
        <v>0</v>
      </c>
      <c r="K142" s="14">
        <f>IF(ISNUMBER(Refsz_Verbräuche[[#This Row],[2020]]), Refsz_Verbräuche[[#This Row],[2020]]*Emissionsfaktoren[[#This Row],[2020]]/1000, 0)</f>
        <v>0</v>
      </c>
      <c r="L142" s="14">
        <f>IF(ISNUMBER(Refsz_Verbräuche[[#This Row],[2021]]), Refsz_Verbräuche[[#This Row],[2021]]*Emissionsfaktoren[[#This Row],[2021]]/1000, 0)</f>
        <v>0</v>
      </c>
      <c r="M142" s="14">
        <f>IF(ISNUMBER(Refsz_Verbräuche[[#This Row],[2022]]), Refsz_Verbräuche[[#This Row],[2022]]*Emissionsfaktoren[[#This Row],[2022]]/1000, 0)</f>
        <v>0</v>
      </c>
      <c r="N142" s="14">
        <f>IF(ISNUMBER(Refsz_Verbräuche[[#This Row],[2023]]), Refsz_Verbräuche[[#This Row],[2023]]*Emissionsfaktoren[[#This Row],[2023]]/1000, 0)</f>
        <v>0</v>
      </c>
      <c r="O142" s="14">
        <f>IF(ISNUMBER(Refsz_Verbräuche[[#This Row],[2024]]), Refsz_Verbräuche[[#This Row],[2024]]*Emissionsfaktoren[[#This Row],[2024]]/1000, 0)</f>
        <v>0</v>
      </c>
      <c r="P142" s="14">
        <f>IF(ISNUMBER(Refsz_Verbräuche[[#This Row],[2025]]), Refsz_Verbräuche[[#This Row],[2025]]*Emissionsfaktoren[[#This Row],[2025]]/1000, 0)</f>
        <v>0</v>
      </c>
      <c r="Q142" s="14">
        <f>IF(ISNUMBER(Refsz_Verbräuche[[#This Row],[2026]]), Refsz_Verbräuche[[#This Row],[2026]]*Emissionsfaktoren[[#This Row],[2026]]/1000, 0)</f>
        <v>0</v>
      </c>
      <c r="R142" s="14">
        <f>IF(ISNUMBER(Refsz_Verbräuche[[#This Row],[2027]]), Refsz_Verbräuche[[#This Row],[2027]]*Emissionsfaktoren[[#This Row],[2027]]/1000, 0)</f>
        <v>0</v>
      </c>
      <c r="S142" s="14">
        <f>IF(ISNUMBER(Refsz_Verbräuche[[#This Row],[2028]]), Refsz_Verbräuche[[#This Row],[2028]]*Emissionsfaktoren[[#This Row],[2028]]/1000, 0)</f>
        <v>0</v>
      </c>
      <c r="T142" s="14">
        <f>IF(ISNUMBER(Refsz_Verbräuche[[#This Row],[2029]]), Refsz_Verbräuche[[#This Row],[2029]]*Emissionsfaktoren[[#This Row],[2029]]/1000, 0)</f>
        <v>0</v>
      </c>
      <c r="U142" s="14">
        <f>IF(ISNUMBER(Refsz_Verbräuche[[#This Row],[2030]]), Refsz_Verbräuche[[#This Row],[2030]]*Emissionsfaktoren[[#This Row],[2030]]/1000, 0)</f>
        <v>0</v>
      </c>
      <c r="V142" s="14">
        <f>IF(ISNUMBER(Refsz_Verbräuche[[#This Row],[2035]]), Refsz_Verbräuche[[#This Row],[2035]]*Emissionsfaktoren[[#This Row],[2035]]/1000, 0)</f>
        <v>0</v>
      </c>
      <c r="W142" s="14">
        <f>IF(ISNUMBER(Refsz_Verbräuche[[#This Row],[2040]]), Refsz_Verbräuche[[#This Row],[2040]]*Emissionsfaktoren[[#This Row],[2040]]/1000, 0)</f>
        <v>0</v>
      </c>
      <c r="X142" s="14">
        <f>IF(ISNUMBER(Refsz_Verbräuche[[#This Row],[2045]]), Refsz_Verbräuche[[#This Row],[2045]]*Emissionsfaktoren[[#This Row],[2045]]/1000, 0)</f>
        <v>0</v>
      </c>
      <c r="Y142" s="14">
        <f>IF(ISNUMBER(Refsz_Verbräuche[[#This Row],[2050]]), Refsz_Verbräuche[[#This Row],[2050]]*Emissionsfaktoren[[#This Row],[2050]]/1000, 0)</f>
        <v>0</v>
      </c>
    </row>
    <row r="143" spans="2:25" ht="16.5">
      <c r="B143" s="14">
        <v>126</v>
      </c>
      <c r="C143" s="14" t="str">
        <f>Refsz_Verbräuche[[#This Row],[Handlungsfeld]]</f>
        <v>Baugüter</v>
      </c>
      <c r="D143" s="19" t="str">
        <f>Refsz_Verbräuche[[#This Row],[Datenpunkt]]</f>
        <v>Zement (Portland)</v>
      </c>
      <c r="E143" t="s">
        <v>195</v>
      </c>
      <c r="F143" s="14">
        <f>IF(ISNUMBER(Refsz_Verbräuche[[#This Row],[2015]]), Refsz_Verbräuche[[#This Row],[2015]]*Emissionsfaktoren[[#This Row],[2015]]/1000, 0)</f>
        <v>0</v>
      </c>
      <c r="G143" s="14">
        <f>IF(ISNUMBER(Refsz_Verbräuche[[#This Row],[2016]]), Refsz_Verbräuche[[#This Row],[2016]]*Emissionsfaktoren[[#This Row],[2016]]/1000, 0)</f>
        <v>0</v>
      </c>
      <c r="H143" s="14">
        <f>IF(ISNUMBER(Refsz_Verbräuche[[#This Row],[2017]]), Refsz_Verbräuche[[#This Row],[2017]]*Emissionsfaktoren[[#This Row],[2017]]/1000, 0)</f>
        <v>0</v>
      </c>
      <c r="I143" s="14">
        <f>IF(ISNUMBER(Refsz_Verbräuche[[#This Row],[2018]]), Refsz_Verbräuche[[#This Row],[2018]]*Emissionsfaktoren[[#This Row],[2018]]/1000, 0)</f>
        <v>0</v>
      </c>
      <c r="J143" s="14">
        <f>IF(ISNUMBER(Refsz_Verbräuche[[#This Row],[2019]]), Refsz_Verbräuche[[#This Row],[2019]]*Emissionsfaktoren[[#This Row],[2019]]/1000, 0)</f>
        <v>0</v>
      </c>
      <c r="K143" s="14">
        <f>IF(ISNUMBER(Refsz_Verbräuche[[#This Row],[2020]]), Refsz_Verbräuche[[#This Row],[2020]]*Emissionsfaktoren[[#This Row],[2020]]/1000, 0)</f>
        <v>0</v>
      </c>
      <c r="L143" s="14">
        <f>IF(ISNUMBER(Refsz_Verbräuche[[#This Row],[2021]]), Refsz_Verbräuche[[#This Row],[2021]]*Emissionsfaktoren[[#This Row],[2021]]/1000, 0)</f>
        <v>0</v>
      </c>
      <c r="M143" s="14">
        <f>IF(ISNUMBER(Refsz_Verbräuche[[#This Row],[2022]]), Refsz_Verbräuche[[#This Row],[2022]]*Emissionsfaktoren[[#This Row],[2022]]/1000, 0)</f>
        <v>0</v>
      </c>
      <c r="N143" s="14">
        <f>IF(ISNUMBER(Refsz_Verbräuche[[#This Row],[2023]]), Refsz_Verbräuche[[#This Row],[2023]]*Emissionsfaktoren[[#This Row],[2023]]/1000, 0)</f>
        <v>0</v>
      </c>
      <c r="O143" s="14">
        <f>IF(ISNUMBER(Refsz_Verbräuche[[#This Row],[2024]]), Refsz_Verbräuche[[#This Row],[2024]]*Emissionsfaktoren[[#This Row],[2024]]/1000, 0)</f>
        <v>0</v>
      </c>
      <c r="P143" s="14">
        <f>IF(ISNUMBER(Refsz_Verbräuche[[#This Row],[2025]]), Refsz_Verbräuche[[#This Row],[2025]]*Emissionsfaktoren[[#This Row],[2025]]/1000, 0)</f>
        <v>0</v>
      </c>
      <c r="Q143" s="14">
        <f>IF(ISNUMBER(Refsz_Verbräuche[[#This Row],[2026]]), Refsz_Verbräuche[[#This Row],[2026]]*Emissionsfaktoren[[#This Row],[2026]]/1000, 0)</f>
        <v>0</v>
      </c>
      <c r="R143" s="14">
        <f>IF(ISNUMBER(Refsz_Verbräuche[[#This Row],[2027]]), Refsz_Verbräuche[[#This Row],[2027]]*Emissionsfaktoren[[#This Row],[2027]]/1000, 0)</f>
        <v>0</v>
      </c>
      <c r="S143" s="14">
        <f>IF(ISNUMBER(Refsz_Verbräuche[[#This Row],[2028]]), Refsz_Verbräuche[[#This Row],[2028]]*Emissionsfaktoren[[#This Row],[2028]]/1000, 0)</f>
        <v>0</v>
      </c>
      <c r="T143" s="14">
        <f>IF(ISNUMBER(Refsz_Verbräuche[[#This Row],[2029]]), Refsz_Verbräuche[[#This Row],[2029]]*Emissionsfaktoren[[#This Row],[2029]]/1000, 0)</f>
        <v>0</v>
      </c>
      <c r="U143" s="14">
        <f>IF(ISNUMBER(Refsz_Verbräuche[[#This Row],[2030]]), Refsz_Verbräuche[[#This Row],[2030]]*Emissionsfaktoren[[#This Row],[2030]]/1000, 0)</f>
        <v>0</v>
      </c>
      <c r="V143" s="14">
        <f>IF(ISNUMBER(Refsz_Verbräuche[[#This Row],[2035]]), Refsz_Verbräuche[[#This Row],[2035]]*Emissionsfaktoren[[#This Row],[2035]]/1000, 0)</f>
        <v>0</v>
      </c>
      <c r="W143" s="14">
        <f>IF(ISNUMBER(Refsz_Verbräuche[[#This Row],[2040]]), Refsz_Verbräuche[[#This Row],[2040]]*Emissionsfaktoren[[#This Row],[2040]]/1000, 0)</f>
        <v>0</v>
      </c>
      <c r="X143" s="14">
        <f>IF(ISNUMBER(Refsz_Verbräuche[[#This Row],[2045]]), Refsz_Verbräuche[[#This Row],[2045]]*Emissionsfaktoren[[#This Row],[2045]]/1000, 0)</f>
        <v>0</v>
      </c>
      <c r="Y143" s="14">
        <f>IF(ISNUMBER(Refsz_Verbräuche[[#This Row],[2050]]), Refsz_Verbräuche[[#This Row],[2050]]*Emissionsfaktoren[[#This Row],[2050]]/1000, 0)</f>
        <v>0</v>
      </c>
    </row>
    <row r="144" spans="2:25" ht="16.5">
      <c r="B144" s="14">
        <v>127</v>
      </c>
      <c r="C144" s="14" t="str">
        <f>Refsz_Verbräuche[[#This Row],[Handlungsfeld]]</f>
        <v>Baugüter</v>
      </c>
      <c r="D144" s="19" t="str">
        <f>Refsz_Verbräuche[[#This Row],[Datenpunkt]]</f>
        <v>Kies</v>
      </c>
      <c r="E144" t="s">
        <v>195</v>
      </c>
      <c r="F144" s="14">
        <f>IF(ISNUMBER(Refsz_Verbräuche[[#This Row],[2015]]), Refsz_Verbräuche[[#This Row],[2015]]*Emissionsfaktoren[[#This Row],[2015]]/1000, 0)</f>
        <v>0</v>
      </c>
      <c r="G144" s="14">
        <f>IF(ISNUMBER(Refsz_Verbräuche[[#This Row],[2016]]), Refsz_Verbräuche[[#This Row],[2016]]*Emissionsfaktoren[[#This Row],[2016]]/1000, 0)</f>
        <v>0</v>
      </c>
      <c r="H144" s="14">
        <f>IF(ISNUMBER(Refsz_Verbräuche[[#This Row],[2017]]), Refsz_Verbräuche[[#This Row],[2017]]*Emissionsfaktoren[[#This Row],[2017]]/1000, 0)</f>
        <v>0</v>
      </c>
      <c r="I144" s="14">
        <f>IF(ISNUMBER(Refsz_Verbräuche[[#This Row],[2018]]), Refsz_Verbräuche[[#This Row],[2018]]*Emissionsfaktoren[[#This Row],[2018]]/1000, 0)</f>
        <v>0</v>
      </c>
      <c r="J144" s="14">
        <f>IF(ISNUMBER(Refsz_Verbräuche[[#This Row],[2019]]), Refsz_Verbräuche[[#This Row],[2019]]*Emissionsfaktoren[[#This Row],[2019]]/1000, 0)</f>
        <v>0</v>
      </c>
      <c r="K144" s="14">
        <f>IF(ISNUMBER(Refsz_Verbräuche[[#This Row],[2020]]), Refsz_Verbräuche[[#This Row],[2020]]*Emissionsfaktoren[[#This Row],[2020]]/1000, 0)</f>
        <v>0</v>
      </c>
      <c r="L144" s="14">
        <f>IF(ISNUMBER(Refsz_Verbräuche[[#This Row],[2021]]), Refsz_Verbräuche[[#This Row],[2021]]*Emissionsfaktoren[[#This Row],[2021]]/1000, 0)</f>
        <v>0</v>
      </c>
      <c r="M144" s="14">
        <f>IF(ISNUMBER(Refsz_Verbräuche[[#This Row],[2022]]), Refsz_Verbräuche[[#This Row],[2022]]*Emissionsfaktoren[[#This Row],[2022]]/1000, 0)</f>
        <v>0</v>
      </c>
      <c r="N144" s="14">
        <f>IF(ISNUMBER(Refsz_Verbräuche[[#This Row],[2023]]), Refsz_Verbräuche[[#This Row],[2023]]*Emissionsfaktoren[[#This Row],[2023]]/1000, 0)</f>
        <v>0</v>
      </c>
      <c r="O144" s="14">
        <f>IF(ISNUMBER(Refsz_Verbräuche[[#This Row],[2024]]), Refsz_Verbräuche[[#This Row],[2024]]*Emissionsfaktoren[[#This Row],[2024]]/1000, 0)</f>
        <v>0</v>
      </c>
      <c r="P144" s="14">
        <f>IF(ISNUMBER(Refsz_Verbräuche[[#This Row],[2025]]), Refsz_Verbräuche[[#This Row],[2025]]*Emissionsfaktoren[[#This Row],[2025]]/1000, 0)</f>
        <v>0</v>
      </c>
      <c r="Q144" s="14">
        <f>IF(ISNUMBER(Refsz_Verbräuche[[#This Row],[2026]]), Refsz_Verbräuche[[#This Row],[2026]]*Emissionsfaktoren[[#This Row],[2026]]/1000, 0)</f>
        <v>0</v>
      </c>
      <c r="R144" s="14">
        <f>IF(ISNUMBER(Refsz_Verbräuche[[#This Row],[2027]]), Refsz_Verbräuche[[#This Row],[2027]]*Emissionsfaktoren[[#This Row],[2027]]/1000, 0)</f>
        <v>0</v>
      </c>
      <c r="S144" s="14">
        <f>IF(ISNUMBER(Refsz_Verbräuche[[#This Row],[2028]]), Refsz_Verbräuche[[#This Row],[2028]]*Emissionsfaktoren[[#This Row],[2028]]/1000, 0)</f>
        <v>0</v>
      </c>
      <c r="T144" s="14">
        <f>IF(ISNUMBER(Refsz_Verbräuche[[#This Row],[2029]]), Refsz_Verbräuche[[#This Row],[2029]]*Emissionsfaktoren[[#This Row],[2029]]/1000, 0)</f>
        <v>0</v>
      </c>
      <c r="U144" s="14">
        <f>IF(ISNUMBER(Refsz_Verbräuche[[#This Row],[2030]]), Refsz_Verbräuche[[#This Row],[2030]]*Emissionsfaktoren[[#This Row],[2030]]/1000, 0)</f>
        <v>0</v>
      </c>
      <c r="V144" s="14">
        <f>IF(ISNUMBER(Refsz_Verbräuche[[#This Row],[2035]]), Refsz_Verbräuche[[#This Row],[2035]]*Emissionsfaktoren[[#This Row],[2035]]/1000, 0)</f>
        <v>0</v>
      </c>
      <c r="W144" s="14">
        <f>IF(ISNUMBER(Refsz_Verbräuche[[#This Row],[2040]]), Refsz_Verbräuche[[#This Row],[2040]]*Emissionsfaktoren[[#This Row],[2040]]/1000, 0)</f>
        <v>0</v>
      </c>
      <c r="X144" s="14">
        <f>IF(ISNUMBER(Refsz_Verbräuche[[#This Row],[2045]]), Refsz_Verbräuche[[#This Row],[2045]]*Emissionsfaktoren[[#This Row],[2045]]/1000, 0)</f>
        <v>0</v>
      </c>
      <c r="Y144" s="14">
        <f>IF(ISNUMBER(Refsz_Verbräuche[[#This Row],[2050]]), Refsz_Verbräuche[[#This Row],[2050]]*Emissionsfaktoren[[#This Row],[2050]]/1000, 0)</f>
        <v>0</v>
      </c>
    </row>
    <row r="145" spans="2:25" ht="16.5">
      <c r="B145" s="14">
        <v>128</v>
      </c>
      <c r="C145" s="14" t="str">
        <f>Refsz_Verbräuche[[#This Row],[Handlungsfeld]]</f>
        <v>Baugüter</v>
      </c>
      <c r="D145" s="19" t="str">
        <f>Refsz_Verbräuche[[#This Row],[Datenpunkt]]</f>
        <v>Sand</v>
      </c>
      <c r="E145" t="s">
        <v>195</v>
      </c>
      <c r="F145" s="14">
        <f>IF(ISNUMBER(Refsz_Verbräuche[[#This Row],[2015]]), Refsz_Verbräuche[[#This Row],[2015]]*Emissionsfaktoren[[#This Row],[2015]]/1000, 0)</f>
        <v>0</v>
      </c>
      <c r="G145" s="14">
        <f>IF(ISNUMBER(Refsz_Verbräuche[[#This Row],[2016]]), Refsz_Verbräuche[[#This Row],[2016]]*Emissionsfaktoren[[#This Row],[2016]]/1000, 0)</f>
        <v>0</v>
      </c>
      <c r="H145" s="14">
        <f>IF(ISNUMBER(Refsz_Verbräuche[[#This Row],[2017]]), Refsz_Verbräuche[[#This Row],[2017]]*Emissionsfaktoren[[#This Row],[2017]]/1000, 0)</f>
        <v>0</v>
      </c>
      <c r="I145" s="14">
        <f>IF(ISNUMBER(Refsz_Verbräuche[[#This Row],[2018]]), Refsz_Verbräuche[[#This Row],[2018]]*Emissionsfaktoren[[#This Row],[2018]]/1000, 0)</f>
        <v>0</v>
      </c>
      <c r="J145" s="14">
        <f>IF(ISNUMBER(Refsz_Verbräuche[[#This Row],[2019]]), Refsz_Verbräuche[[#This Row],[2019]]*Emissionsfaktoren[[#This Row],[2019]]/1000, 0)</f>
        <v>0</v>
      </c>
      <c r="K145" s="14">
        <f>IF(ISNUMBER(Refsz_Verbräuche[[#This Row],[2020]]), Refsz_Verbräuche[[#This Row],[2020]]*Emissionsfaktoren[[#This Row],[2020]]/1000, 0)</f>
        <v>0</v>
      </c>
      <c r="L145" s="14">
        <f>IF(ISNUMBER(Refsz_Verbräuche[[#This Row],[2021]]), Refsz_Verbräuche[[#This Row],[2021]]*Emissionsfaktoren[[#This Row],[2021]]/1000, 0)</f>
        <v>0</v>
      </c>
      <c r="M145" s="14">
        <f>IF(ISNUMBER(Refsz_Verbräuche[[#This Row],[2022]]), Refsz_Verbräuche[[#This Row],[2022]]*Emissionsfaktoren[[#This Row],[2022]]/1000, 0)</f>
        <v>0</v>
      </c>
      <c r="N145" s="14">
        <f>IF(ISNUMBER(Refsz_Verbräuche[[#This Row],[2023]]), Refsz_Verbräuche[[#This Row],[2023]]*Emissionsfaktoren[[#This Row],[2023]]/1000, 0)</f>
        <v>0</v>
      </c>
      <c r="O145" s="14">
        <f>IF(ISNUMBER(Refsz_Verbräuche[[#This Row],[2024]]), Refsz_Verbräuche[[#This Row],[2024]]*Emissionsfaktoren[[#This Row],[2024]]/1000, 0)</f>
        <v>0</v>
      </c>
      <c r="P145" s="14">
        <f>IF(ISNUMBER(Refsz_Verbräuche[[#This Row],[2025]]), Refsz_Verbräuche[[#This Row],[2025]]*Emissionsfaktoren[[#This Row],[2025]]/1000, 0)</f>
        <v>0</v>
      </c>
      <c r="Q145" s="14">
        <f>IF(ISNUMBER(Refsz_Verbräuche[[#This Row],[2026]]), Refsz_Verbräuche[[#This Row],[2026]]*Emissionsfaktoren[[#This Row],[2026]]/1000, 0)</f>
        <v>0</v>
      </c>
      <c r="R145" s="14">
        <f>IF(ISNUMBER(Refsz_Verbräuche[[#This Row],[2027]]), Refsz_Verbräuche[[#This Row],[2027]]*Emissionsfaktoren[[#This Row],[2027]]/1000, 0)</f>
        <v>0</v>
      </c>
      <c r="S145" s="14">
        <f>IF(ISNUMBER(Refsz_Verbräuche[[#This Row],[2028]]), Refsz_Verbräuche[[#This Row],[2028]]*Emissionsfaktoren[[#This Row],[2028]]/1000, 0)</f>
        <v>0</v>
      </c>
      <c r="T145" s="14">
        <f>IF(ISNUMBER(Refsz_Verbräuche[[#This Row],[2029]]), Refsz_Verbräuche[[#This Row],[2029]]*Emissionsfaktoren[[#This Row],[2029]]/1000, 0)</f>
        <v>0</v>
      </c>
      <c r="U145" s="14">
        <f>IF(ISNUMBER(Refsz_Verbräuche[[#This Row],[2030]]), Refsz_Verbräuche[[#This Row],[2030]]*Emissionsfaktoren[[#This Row],[2030]]/1000, 0)</f>
        <v>0</v>
      </c>
      <c r="V145" s="14">
        <f>IF(ISNUMBER(Refsz_Verbräuche[[#This Row],[2035]]), Refsz_Verbräuche[[#This Row],[2035]]*Emissionsfaktoren[[#This Row],[2035]]/1000, 0)</f>
        <v>0</v>
      </c>
      <c r="W145" s="14">
        <f>IF(ISNUMBER(Refsz_Verbräuche[[#This Row],[2040]]), Refsz_Verbräuche[[#This Row],[2040]]*Emissionsfaktoren[[#This Row],[2040]]/1000, 0)</f>
        <v>0</v>
      </c>
      <c r="X145" s="14">
        <f>IF(ISNUMBER(Refsz_Verbräuche[[#This Row],[2045]]), Refsz_Verbräuche[[#This Row],[2045]]*Emissionsfaktoren[[#This Row],[2045]]/1000, 0)</f>
        <v>0</v>
      </c>
      <c r="Y145" s="14">
        <f>IF(ISNUMBER(Refsz_Verbräuche[[#This Row],[2050]]), Refsz_Verbräuche[[#This Row],[2050]]*Emissionsfaktoren[[#This Row],[2050]]/1000, 0)</f>
        <v>0</v>
      </c>
    </row>
    <row r="146" spans="2:25" ht="16.5">
      <c r="B146" s="14">
        <v>129</v>
      </c>
      <c r="C146" s="14" t="str">
        <f>Refsz_Verbräuche[[#This Row],[Handlungsfeld]]</f>
        <v>Baugüter</v>
      </c>
      <c r="D146" s="19" t="str">
        <f>Refsz_Verbräuche[[#This Row],[Datenpunkt]]</f>
        <v>Kupferdraht</v>
      </c>
      <c r="E146" t="s">
        <v>195</v>
      </c>
      <c r="F146" s="14">
        <f>IF(ISNUMBER(Refsz_Verbräuche[[#This Row],[2015]]), Refsz_Verbräuche[[#This Row],[2015]]*Emissionsfaktoren[[#This Row],[2015]]/1000, 0)</f>
        <v>0</v>
      </c>
      <c r="G146" s="14">
        <f>IF(ISNUMBER(Refsz_Verbräuche[[#This Row],[2016]]), Refsz_Verbräuche[[#This Row],[2016]]*Emissionsfaktoren[[#This Row],[2016]]/1000, 0)</f>
        <v>0</v>
      </c>
      <c r="H146" s="14">
        <f>IF(ISNUMBER(Refsz_Verbräuche[[#This Row],[2017]]), Refsz_Verbräuche[[#This Row],[2017]]*Emissionsfaktoren[[#This Row],[2017]]/1000, 0)</f>
        <v>0</v>
      </c>
      <c r="I146" s="14">
        <f>IF(ISNUMBER(Refsz_Verbräuche[[#This Row],[2018]]), Refsz_Verbräuche[[#This Row],[2018]]*Emissionsfaktoren[[#This Row],[2018]]/1000, 0)</f>
        <v>0</v>
      </c>
      <c r="J146" s="14">
        <f>IF(ISNUMBER(Refsz_Verbräuche[[#This Row],[2019]]), Refsz_Verbräuche[[#This Row],[2019]]*Emissionsfaktoren[[#This Row],[2019]]/1000, 0)</f>
        <v>0</v>
      </c>
      <c r="K146" s="14">
        <f>IF(ISNUMBER(Refsz_Verbräuche[[#This Row],[2020]]), Refsz_Verbräuche[[#This Row],[2020]]*Emissionsfaktoren[[#This Row],[2020]]/1000, 0)</f>
        <v>0</v>
      </c>
      <c r="L146" s="14">
        <f>IF(ISNUMBER(Refsz_Verbräuche[[#This Row],[2021]]), Refsz_Verbräuche[[#This Row],[2021]]*Emissionsfaktoren[[#This Row],[2021]]/1000, 0)</f>
        <v>0</v>
      </c>
      <c r="M146" s="14">
        <f>IF(ISNUMBER(Refsz_Verbräuche[[#This Row],[2022]]), Refsz_Verbräuche[[#This Row],[2022]]*Emissionsfaktoren[[#This Row],[2022]]/1000, 0)</f>
        <v>0</v>
      </c>
      <c r="N146" s="14">
        <f>IF(ISNUMBER(Refsz_Verbräuche[[#This Row],[2023]]), Refsz_Verbräuche[[#This Row],[2023]]*Emissionsfaktoren[[#This Row],[2023]]/1000, 0)</f>
        <v>0</v>
      </c>
      <c r="O146" s="14">
        <f>IF(ISNUMBER(Refsz_Verbräuche[[#This Row],[2024]]), Refsz_Verbräuche[[#This Row],[2024]]*Emissionsfaktoren[[#This Row],[2024]]/1000, 0)</f>
        <v>0</v>
      </c>
      <c r="P146" s="14">
        <f>IF(ISNUMBER(Refsz_Verbräuche[[#This Row],[2025]]), Refsz_Verbräuche[[#This Row],[2025]]*Emissionsfaktoren[[#This Row],[2025]]/1000, 0)</f>
        <v>0</v>
      </c>
      <c r="Q146" s="14">
        <f>IF(ISNUMBER(Refsz_Verbräuche[[#This Row],[2026]]), Refsz_Verbräuche[[#This Row],[2026]]*Emissionsfaktoren[[#This Row],[2026]]/1000, 0)</f>
        <v>0</v>
      </c>
      <c r="R146" s="14">
        <f>IF(ISNUMBER(Refsz_Verbräuche[[#This Row],[2027]]), Refsz_Verbräuche[[#This Row],[2027]]*Emissionsfaktoren[[#This Row],[2027]]/1000, 0)</f>
        <v>0</v>
      </c>
      <c r="S146" s="14">
        <f>IF(ISNUMBER(Refsz_Verbräuche[[#This Row],[2028]]), Refsz_Verbräuche[[#This Row],[2028]]*Emissionsfaktoren[[#This Row],[2028]]/1000, 0)</f>
        <v>0</v>
      </c>
      <c r="T146" s="14">
        <f>IF(ISNUMBER(Refsz_Verbräuche[[#This Row],[2029]]), Refsz_Verbräuche[[#This Row],[2029]]*Emissionsfaktoren[[#This Row],[2029]]/1000, 0)</f>
        <v>0</v>
      </c>
      <c r="U146" s="14">
        <f>IF(ISNUMBER(Refsz_Verbräuche[[#This Row],[2030]]), Refsz_Verbräuche[[#This Row],[2030]]*Emissionsfaktoren[[#This Row],[2030]]/1000, 0)</f>
        <v>0</v>
      </c>
      <c r="V146" s="14">
        <f>IF(ISNUMBER(Refsz_Verbräuche[[#This Row],[2035]]), Refsz_Verbräuche[[#This Row],[2035]]*Emissionsfaktoren[[#This Row],[2035]]/1000, 0)</f>
        <v>0</v>
      </c>
      <c r="W146" s="14">
        <f>IF(ISNUMBER(Refsz_Verbräuche[[#This Row],[2040]]), Refsz_Verbräuche[[#This Row],[2040]]*Emissionsfaktoren[[#This Row],[2040]]/1000, 0)</f>
        <v>0</v>
      </c>
      <c r="X146" s="14">
        <f>IF(ISNUMBER(Refsz_Verbräuche[[#This Row],[2045]]), Refsz_Verbräuche[[#This Row],[2045]]*Emissionsfaktoren[[#This Row],[2045]]/1000, 0)</f>
        <v>0</v>
      </c>
      <c r="Y146" s="14">
        <f>IF(ISNUMBER(Refsz_Verbräuche[[#This Row],[2050]]), Refsz_Verbräuche[[#This Row],[2050]]*Emissionsfaktoren[[#This Row],[2050]]/1000, 0)</f>
        <v>0</v>
      </c>
    </row>
    <row r="147" spans="2:25" ht="16.5">
      <c r="B147" s="14">
        <v>130</v>
      </c>
      <c r="C147" s="14" t="str">
        <f>Refsz_Verbräuche[[#This Row],[Handlungsfeld]]</f>
        <v>Baugüter</v>
      </c>
      <c r="D147" s="19" t="str">
        <f>Refsz_Verbräuche[[#This Row],[Datenpunkt]]</f>
        <v>Kupferrohr</v>
      </c>
      <c r="E147" t="s">
        <v>195</v>
      </c>
      <c r="F147" s="14">
        <f>IF(ISNUMBER(Refsz_Verbräuche[[#This Row],[2015]]), Refsz_Verbräuche[[#This Row],[2015]]*Emissionsfaktoren[[#This Row],[2015]]/1000, 0)</f>
        <v>0</v>
      </c>
      <c r="G147" s="14">
        <f>IF(ISNUMBER(Refsz_Verbräuche[[#This Row],[2016]]), Refsz_Verbräuche[[#This Row],[2016]]*Emissionsfaktoren[[#This Row],[2016]]/1000, 0)</f>
        <v>0</v>
      </c>
      <c r="H147" s="14">
        <f>IF(ISNUMBER(Refsz_Verbräuche[[#This Row],[2017]]), Refsz_Verbräuche[[#This Row],[2017]]*Emissionsfaktoren[[#This Row],[2017]]/1000, 0)</f>
        <v>0</v>
      </c>
      <c r="I147" s="14">
        <f>IF(ISNUMBER(Refsz_Verbräuche[[#This Row],[2018]]), Refsz_Verbräuche[[#This Row],[2018]]*Emissionsfaktoren[[#This Row],[2018]]/1000, 0)</f>
        <v>0</v>
      </c>
      <c r="J147" s="14">
        <f>IF(ISNUMBER(Refsz_Verbräuche[[#This Row],[2019]]), Refsz_Verbräuche[[#This Row],[2019]]*Emissionsfaktoren[[#This Row],[2019]]/1000, 0)</f>
        <v>0</v>
      </c>
      <c r="K147" s="14">
        <f>IF(ISNUMBER(Refsz_Verbräuche[[#This Row],[2020]]), Refsz_Verbräuche[[#This Row],[2020]]*Emissionsfaktoren[[#This Row],[2020]]/1000, 0)</f>
        <v>0</v>
      </c>
      <c r="L147" s="14">
        <f>IF(ISNUMBER(Refsz_Verbräuche[[#This Row],[2021]]), Refsz_Verbräuche[[#This Row],[2021]]*Emissionsfaktoren[[#This Row],[2021]]/1000, 0)</f>
        <v>0</v>
      </c>
      <c r="M147" s="14">
        <f>IF(ISNUMBER(Refsz_Verbräuche[[#This Row],[2022]]), Refsz_Verbräuche[[#This Row],[2022]]*Emissionsfaktoren[[#This Row],[2022]]/1000, 0)</f>
        <v>0</v>
      </c>
      <c r="N147" s="14">
        <f>IF(ISNUMBER(Refsz_Verbräuche[[#This Row],[2023]]), Refsz_Verbräuche[[#This Row],[2023]]*Emissionsfaktoren[[#This Row],[2023]]/1000, 0)</f>
        <v>0</v>
      </c>
      <c r="O147" s="14">
        <f>IF(ISNUMBER(Refsz_Verbräuche[[#This Row],[2024]]), Refsz_Verbräuche[[#This Row],[2024]]*Emissionsfaktoren[[#This Row],[2024]]/1000, 0)</f>
        <v>0</v>
      </c>
      <c r="P147" s="14">
        <f>IF(ISNUMBER(Refsz_Verbräuche[[#This Row],[2025]]), Refsz_Verbräuche[[#This Row],[2025]]*Emissionsfaktoren[[#This Row],[2025]]/1000, 0)</f>
        <v>0</v>
      </c>
      <c r="Q147" s="14">
        <f>IF(ISNUMBER(Refsz_Verbräuche[[#This Row],[2026]]), Refsz_Verbräuche[[#This Row],[2026]]*Emissionsfaktoren[[#This Row],[2026]]/1000, 0)</f>
        <v>0</v>
      </c>
      <c r="R147" s="14">
        <f>IF(ISNUMBER(Refsz_Verbräuche[[#This Row],[2027]]), Refsz_Verbräuche[[#This Row],[2027]]*Emissionsfaktoren[[#This Row],[2027]]/1000, 0)</f>
        <v>0</v>
      </c>
      <c r="S147" s="14">
        <f>IF(ISNUMBER(Refsz_Verbräuche[[#This Row],[2028]]), Refsz_Verbräuche[[#This Row],[2028]]*Emissionsfaktoren[[#This Row],[2028]]/1000, 0)</f>
        <v>0</v>
      </c>
      <c r="T147" s="14">
        <f>IF(ISNUMBER(Refsz_Verbräuche[[#This Row],[2029]]), Refsz_Verbräuche[[#This Row],[2029]]*Emissionsfaktoren[[#This Row],[2029]]/1000, 0)</f>
        <v>0</v>
      </c>
      <c r="U147" s="14">
        <f>IF(ISNUMBER(Refsz_Verbräuche[[#This Row],[2030]]), Refsz_Verbräuche[[#This Row],[2030]]*Emissionsfaktoren[[#This Row],[2030]]/1000, 0)</f>
        <v>0</v>
      </c>
      <c r="V147" s="14">
        <f>IF(ISNUMBER(Refsz_Verbräuche[[#This Row],[2035]]), Refsz_Verbräuche[[#This Row],[2035]]*Emissionsfaktoren[[#This Row],[2035]]/1000, 0)</f>
        <v>0</v>
      </c>
      <c r="W147" s="14">
        <f>IF(ISNUMBER(Refsz_Verbräuche[[#This Row],[2040]]), Refsz_Verbräuche[[#This Row],[2040]]*Emissionsfaktoren[[#This Row],[2040]]/1000, 0)</f>
        <v>0</v>
      </c>
      <c r="X147" s="14">
        <f>IF(ISNUMBER(Refsz_Verbräuche[[#This Row],[2045]]), Refsz_Verbräuche[[#This Row],[2045]]*Emissionsfaktoren[[#This Row],[2045]]/1000, 0)</f>
        <v>0</v>
      </c>
      <c r="Y147" s="14">
        <f>IF(ISNUMBER(Refsz_Verbräuche[[#This Row],[2050]]), Refsz_Verbräuche[[#This Row],[2050]]*Emissionsfaktoren[[#This Row],[2050]]/1000, 0)</f>
        <v>0</v>
      </c>
    </row>
    <row r="148" spans="2:25" ht="16.5">
      <c r="B148" s="14">
        <v>131</v>
      </c>
      <c r="C148" s="14" t="str">
        <f>Refsz_Verbräuche[[#This Row],[Handlungsfeld]]</f>
        <v>Baugüter</v>
      </c>
      <c r="D148" s="19" t="str">
        <f>Refsz_Verbräuche[[#This Row],[Datenpunkt]]</f>
        <v>Stahl-Blech</v>
      </c>
      <c r="E148" t="s">
        <v>195</v>
      </c>
      <c r="F148" s="14">
        <f>IF(ISNUMBER(Refsz_Verbräuche[[#This Row],[2015]]), Refsz_Verbräuche[[#This Row],[2015]]*Emissionsfaktoren[[#This Row],[2015]]/1000, 0)</f>
        <v>0</v>
      </c>
      <c r="G148" s="14">
        <f>IF(ISNUMBER(Refsz_Verbräuche[[#This Row],[2016]]), Refsz_Verbräuche[[#This Row],[2016]]*Emissionsfaktoren[[#This Row],[2016]]/1000, 0)</f>
        <v>0</v>
      </c>
      <c r="H148" s="14">
        <f>IF(ISNUMBER(Refsz_Verbräuche[[#This Row],[2017]]), Refsz_Verbräuche[[#This Row],[2017]]*Emissionsfaktoren[[#This Row],[2017]]/1000, 0)</f>
        <v>0</v>
      </c>
      <c r="I148" s="14">
        <f>IF(ISNUMBER(Refsz_Verbräuche[[#This Row],[2018]]), Refsz_Verbräuche[[#This Row],[2018]]*Emissionsfaktoren[[#This Row],[2018]]/1000, 0)</f>
        <v>0</v>
      </c>
      <c r="J148" s="14">
        <f>IF(ISNUMBER(Refsz_Verbräuche[[#This Row],[2019]]), Refsz_Verbräuche[[#This Row],[2019]]*Emissionsfaktoren[[#This Row],[2019]]/1000, 0)</f>
        <v>0</v>
      </c>
      <c r="K148" s="14">
        <f>IF(ISNUMBER(Refsz_Verbräuche[[#This Row],[2020]]), Refsz_Verbräuche[[#This Row],[2020]]*Emissionsfaktoren[[#This Row],[2020]]/1000, 0)</f>
        <v>0</v>
      </c>
      <c r="L148" s="14">
        <f>IF(ISNUMBER(Refsz_Verbräuche[[#This Row],[2021]]), Refsz_Verbräuche[[#This Row],[2021]]*Emissionsfaktoren[[#This Row],[2021]]/1000, 0)</f>
        <v>0</v>
      </c>
      <c r="M148" s="14">
        <f>IF(ISNUMBER(Refsz_Verbräuche[[#This Row],[2022]]), Refsz_Verbräuche[[#This Row],[2022]]*Emissionsfaktoren[[#This Row],[2022]]/1000, 0)</f>
        <v>0</v>
      </c>
      <c r="N148" s="14">
        <f>IF(ISNUMBER(Refsz_Verbräuche[[#This Row],[2023]]), Refsz_Verbräuche[[#This Row],[2023]]*Emissionsfaktoren[[#This Row],[2023]]/1000, 0)</f>
        <v>0</v>
      </c>
      <c r="O148" s="14">
        <f>IF(ISNUMBER(Refsz_Verbräuche[[#This Row],[2024]]), Refsz_Verbräuche[[#This Row],[2024]]*Emissionsfaktoren[[#This Row],[2024]]/1000, 0)</f>
        <v>0</v>
      </c>
      <c r="P148" s="14">
        <f>IF(ISNUMBER(Refsz_Verbräuche[[#This Row],[2025]]), Refsz_Verbräuche[[#This Row],[2025]]*Emissionsfaktoren[[#This Row],[2025]]/1000, 0)</f>
        <v>0</v>
      </c>
      <c r="Q148" s="14">
        <f>IF(ISNUMBER(Refsz_Verbräuche[[#This Row],[2026]]), Refsz_Verbräuche[[#This Row],[2026]]*Emissionsfaktoren[[#This Row],[2026]]/1000, 0)</f>
        <v>0</v>
      </c>
      <c r="R148" s="14">
        <f>IF(ISNUMBER(Refsz_Verbräuche[[#This Row],[2027]]), Refsz_Verbräuche[[#This Row],[2027]]*Emissionsfaktoren[[#This Row],[2027]]/1000, 0)</f>
        <v>0</v>
      </c>
      <c r="S148" s="14">
        <f>IF(ISNUMBER(Refsz_Verbräuche[[#This Row],[2028]]), Refsz_Verbräuche[[#This Row],[2028]]*Emissionsfaktoren[[#This Row],[2028]]/1000, 0)</f>
        <v>0</v>
      </c>
      <c r="T148" s="14">
        <f>IF(ISNUMBER(Refsz_Verbräuche[[#This Row],[2029]]), Refsz_Verbräuche[[#This Row],[2029]]*Emissionsfaktoren[[#This Row],[2029]]/1000, 0)</f>
        <v>0</v>
      </c>
      <c r="U148" s="14">
        <f>IF(ISNUMBER(Refsz_Verbräuche[[#This Row],[2030]]), Refsz_Verbräuche[[#This Row],[2030]]*Emissionsfaktoren[[#This Row],[2030]]/1000, 0)</f>
        <v>0</v>
      </c>
      <c r="V148" s="14">
        <f>IF(ISNUMBER(Refsz_Verbräuche[[#This Row],[2035]]), Refsz_Verbräuche[[#This Row],[2035]]*Emissionsfaktoren[[#This Row],[2035]]/1000, 0)</f>
        <v>0</v>
      </c>
      <c r="W148" s="14">
        <f>IF(ISNUMBER(Refsz_Verbräuche[[#This Row],[2040]]), Refsz_Verbräuche[[#This Row],[2040]]*Emissionsfaktoren[[#This Row],[2040]]/1000, 0)</f>
        <v>0</v>
      </c>
      <c r="X148" s="14">
        <f>IF(ISNUMBER(Refsz_Verbräuche[[#This Row],[2045]]), Refsz_Verbräuche[[#This Row],[2045]]*Emissionsfaktoren[[#This Row],[2045]]/1000, 0)</f>
        <v>0</v>
      </c>
      <c r="Y148" s="14">
        <f>IF(ISNUMBER(Refsz_Verbräuche[[#This Row],[2050]]), Refsz_Verbräuche[[#This Row],[2050]]*Emissionsfaktoren[[#This Row],[2050]]/1000, 0)</f>
        <v>0</v>
      </c>
    </row>
    <row r="149" spans="2:25" ht="16.5">
      <c r="B149" s="14">
        <v>132</v>
      </c>
      <c r="C149" s="14" t="str">
        <f>Refsz_Verbräuche[[#This Row],[Handlungsfeld]]</f>
        <v>Baugüter</v>
      </c>
      <c r="D149" s="19" t="str">
        <f>Refsz_Verbräuche[[#This Row],[Datenpunkt]]</f>
        <v>Stahl-Blech verzinkt</v>
      </c>
      <c r="E149" t="s">
        <v>195</v>
      </c>
      <c r="F149" s="14">
        <f>IF(ISNUMBER(Refsz_Verbräuche[[#This Row],[2015]]), Refsz_Verbräuche[[#This Row],[2015]]*Emissionsfaktoren[[#This Row],[2015]]/1000, 0)</f>
        <v>0</v>
      </c>
      <c r="G149" s="14">
        <f>IF(ISNUMBER(Refsz_Verbräuche[[#This Row],[2016]]), Refsz_Verbräuche[[#This Row],[2016]]*Emissionsfaktoren[[#This Row],[2016]]/1000, 0)</f>
        <v>0</v>
      </c>
      <c r="H149" s="14">
        <f>IF(ISNUMBER(Refsz_Verbräuche[[#This Row],[2017]]), Refsz_Verbräuche[[#This Row],[2017]]*Emissionsfaktoren[[#This Row],[2017]]/1000, 0)</f>
        <v>0</v>
      </c>
      <c r="I149" s="14">
        <f>IF(ISNUMBER(Refsz_Verbräuche[[#This Row],[2018]]), Refsz_Verbräuche[[#This Row],[2018]]*Emissionsfaktoren[[#This Row],[2018]]/1000, 0)</f>
        <v>0</v>
      </c>
      <c r="J149" s="14">
        <f>IF(ISNUMBER(Refsz_Verbräuche[[#This Row],[2019]]), Refsz_Verbräuche[[#This Row],[2019]]*Emissionsfaktoren[[#This Row],[2019]]/1000, 0)</f>
        <v>0</v>
      </c>
      <c r="K149" s="14">
        <f>IF(ISNUMBER(Refsz_Verbräuche[[#This Row],[2020]]), Refsz_Verbräuche[[#This Row],[2020]]*Emissionsfaktoren[[#This Row],[2020]]/1000, 0)</f>
        <v>0</v>
      </c>
      <c r="L149" s="14">
        <f>IF(ISNUMBER(Refsz_Verbräuche[[#This Row],[2021]]), Refsz_Verbräuche[[#This Row],[2021]]*Emissionsfaktoren[[#This Row],[2021]]/1000, 0)</f>
        <v>0</v>
      </c>
      <c r="M149" s="14">
        <f>IF(ISNUMBER(Refsz_Verbräuche[[#This Row],[2022]]), Refsz_Verbräuche[[#This Row],[2022]]*Emissionsfaktoren[[#This Row],[2022]]/1000, 0)</f>
        <v>0</v>
      </c>
      <c r="N149" s="14">
        <f>IF(ISNUMBER(Refsz_Verbräuche[[#This Row],[2023]]), Refsz_Verbräuche[[#This Row],[2023]]*Emissionsfaktoren[[#This Row],[2023]]/1000, 0)</f>
        <v>0</v>
      </c>
      <c r="O149" s="14">
        <f>IF(ISNUMBER(Refsz_Verbräuche[[#This Row],[2024]]), Refsz_Verbräuche[[#This Row],[2024]]*Emissionsfaktoren[[#This Row],[2024]]/1000, 0)</f>
        <v>0</v>
      </c>
      <c r="P149" s="14">
        <f>IF(ISNUMBER(Refsz_Verbräuche[[#This Row],[2025]]), Refsz_Verbräuche[[#This Row],[2025]]*Emissionsfaktoren[[#This Row],[2025]]/1000, 0)</f>
        <v>0</v>
      </c>
      <c r="Q149" s="14">
        <f>IF(ISNUMBER(Refsz_Verbräuche[[#This Row],[2026]]), Refsz_Verbräuche[[#This Row],[2026]]*Emissionsfaktoren[[#This Row],[2026]]/1000, 0)</f>
        <v>0</v>
      </c>
      <c r="R149" s="14">
        <f>IF(ISNUMBER(Refsz_Verbräuche[[#This Row],[2027]]), Refsz_Verbräuche[[#This Row],[2027]]*Emissionsfaktoren[[#This Row],[2027]]/1000, 0)</f>
        <v>0</v>
      </c>
      <c r="S149" s="14">
        <f>IF(ISNUMBER(Refsz_Verbräuche[[#This Row],[2028]]), Refsz_Verbräuche[[#This Row],[2028]]*Emissionsfaktoren[[#This Row],[2028]]/1000, 0)</f>
        <v>0</v>
      </c>
      <c r="T149" s="14">
        <f>IF(ISNUMBER(Refsz_Verbräuche[[#This Row],[2029]]), Refsz_Verbräuche[[#This Row],[2029]]*Emissionsfaktoren[[#This Row],[2029]]/1000, 0)</f>
        <v>0</v>
      </c>
      <c r="U149" s="14">
        <f>IF(ISNUMBER(Refsz_Verbräuche[[#This Row],[2030]]), Refsz_Verbräuche[[#This Row],[2030]]*Emissionsfaktoren[[#This Row],[2030]]/1000, 0)</f>
        <v>0</v>
      </c>
      <c r="V149" s="14">
        <f>IF(ISNUMBER(Refsz_Verbräuche[[#This Row],[2035]]), Refsz_Verbräuche[[#This Row],[2035]]*Emissionsfaktoren[[#This Row],[2035]]/1000, 0)</f>
        <v>0</v>
      </c>
      <c r="W149" s="14">
        <f>IF(ISNUMBER(Refsz_Verbräuche[[#This Row],[2040]]), Refsz_Verbräuche[[#This Row],[2040]]*Emissionsfaktoren[[#This Row],[2040]]/1000, 0)</f>
        <v>0</v>
      </c>
      <c r="X149" s="14">
        <f>IF(ISNUMBER(Refsz_Verbräuche[[#This Row],[2045]]), Refsz_Verbräuche[[#This Row],[2045]]*Emissionsfaktoren[[#This Row],[2045]]/1000, 0)</f>
        <v>0</v>
      </c>
      <c r="Y149" s="14">
        <f>IF(ISNUMBER(Refsz_Verbräuche[[#This Row],[2050]]), Refsz_Verbräuche[[#This Row],[2050]]*Emissionsfaktoren[[#This Row],[2050]]/1000, 0)</f>
        <v>0</v>
      </c>
    </row>
    <row r="150" spans="2:25" ht="16.5">
      <c r="B150" s="14">
        <v>133</v>
      </c>
      <c r="C150" s="14" t="str">
        <f>Refsz_Verbräuche[[#This Row],[Handlungsfeld]]</f>
        <v>Baugüter</v>
      </c>
      <c r="D150" s="19" t="str">
        <f>Refsz_Verbräuche[[#This Row],[Datenpunkt]]</f>
        <v>Stahl-Elektro</v>
      </c>
      <c r="E150" t="s">
        <v>195</v>
      </c>
      <c r="F150" s="14">
        <f>IF(ISNUMBER(Refsz_Verbräuche[[#This Row],[2015]]), Refsz_Verbräuche[[#This Row],[2015]]*Emissionsfaktoren[[#This Row],[2015]]/1000, 0)</f>
        <v>0</v>
      </c>
      <c r="G150" s="14">
        <f>IF(ISNUMBER(Refsz_Verbräuche[[#This Row],[2016]]), Refsz_Verbräuche[[#This Row],[2016]]*Emissionsfaktoren[[#This Row],[2016]]/1000, 0)</f>
        <v>0</v>
      </c>
      <c r="H150" s="14">
        <f>IF(ISNUMBER(Refsz_Verbräuche[[#This Row],[2017]]), Refsz_Verbräuche[[#This Row],[2017]]*Emissionsfaktoren[[#This Row],[2017]]/1000, 0)</f>
        <v>0</v>
      </c>
      <c r="I150" s="14">
        <f>IF(ISNUMBER(Refsz_Verbräuche[[#This Row],[2018]]), Refsz_Verbräuche[[#This Row],[2018]]*Emissionsfaktoren[[#This Row],[2018]]/1000, 0)</f>
        <v>0</v>
      </c>
      <c r="J150" s="14">
        <f>IF(ISNUMBER(Refsz_Verbräuche[[#This Row],[2019]]), Refsz_Verbräuche[[#This Row],[2019]]*Emissionsfaktoren[[#This Row],[2019]]/1000, 0)</f>
        <v>0</v>
      </c>
      <c r="K150" s="14">
        <f>IF(ISNUMBER(Refsz_Verbräuche[[#This Row],[2020]]), Refsz_Verbräuche[[#This Row],[2020]]*Emissionsfaktoren[[#This Row],[2020]]/1000, 0)</f>
        <v>0</v>
      </c>
      <c r="L150" s="14">
        <f>IF(ISNUMBER(Refsz_Verbräuche[[#This Row],[2021]]), Refsz_Verbräuche[[#This Row],[2021]]*Emissionsfaktoren[[#This Row],[2021]]/1000, 0)</f>
        <v>0</v>
      </c>
      <c r="M150" s="14">
        <f>IF(ISNUMBER(Refsz_Verbräuche[[#This Row],[2022]]), Refsz_Verbräuche[[#This Row],[2022]]*Emissionsfaktoren[[#This Row],[2022]]/1000, 0)</f>
        <v>0</v>
      </c>
      <c r="N150" s="14">
        <f>IF(ISNUMBER(Refsz_Verbräuche[[#This Row],[2023]]), Refsz_Verbräuche[[#This Row],[2023]]*Emissionsfaktoren[[#This Row],[2023]]/1000, 0)</f>
        <v>0</v>
      </c>
      <c r="O150" s="14">
        <f>IF(ISNUMBER(Refsz_Verbräuche[[#This Row],[2024]]), Refsz_Verbräuche[[#This Row],[2024]]*Emissionsfaktoren[[#This Row],[2024]]/1000, 0)</f>
        <v>0</v>
      </c>
      <c r="P150" s="14">
        <f>IF(ISNUMBER(Refsz_Verbräuche[[#This Row],[2025]]), Refsz_Verbräuche[[#This Row],[2025]]*Emissionsfaktoren[[#This Row],[2025]]/1000, 0)</f>
        <v>0</v>
      </c>
      <c r="Q150" s="14">
        <f>IF(ISNUMBER(Refsz_Verbräuche[[#This Row],[2026]]), Refsz_Verbräuche[[#This Row],[2026]]*Emissionsfaktoren[[#This Row],[2026]]/1000, 0)</f>
        <v>0</v>
      </c>
      <c r="R150" s="14">
        <f>IF(ISNUMBER(Refsz_Verbräuche[[#This Row],[2027]]), Refsz_Verbräuche[[#This Row],[2027]]*Emissionsfaktoren[[#This Row],[2027]]/1000, 0)</f>
        <v>0</v>
      </c>
      <c r="S150" s="14">
        <f>IF(ISNUMBER(Refsz_Verbräuche[[#This Row],[2028]]), Refsz_Verbräuche[[#This Row],[2028]]*Emissionsfaktoren[[#This Row],[2028]]/1000, 0)</f>
        <v>0</v>
      </c>
      <c r="T150" s="14">
        <f>IF(ISNUMBER(Refsz_Verbräuche[[#This Row],[2029]]), Refsz_Verbräuche[[#This Row],[2029]]*Emissionsfaktoren[[#This Row],[2029]]/1000, 0)</f>
        <v>0</v>
      </c>
      <c r="U150" s="14">
        <f>IF(ISNUMBER(Refsz_Verbräuche[[#This Row],[2030]]), Refsz_Verbräuche[[#This Row],[2030]]*Emissionsfaktoren[[#This Row],[2030]]/1000, 0)</f>
        <v>0</v>
      </c>
      <c r="V150" s="14">
        <f>IF(ISNUMBER(Refsz_Verbräuche[[#This Row],[2035]]), Refsz_Verbräuche[[#This Row],[2035]]*Emissionsfaktoren[[#This Row],[2035]]/1000, 0)</f>
        <v>0</v>
      </c>
      <c r="W150" s="14">
        <f>IF(ISNUMBER(Refsz_Verbräuche[[#This Row],[2040]]), Refsz_Verbräuche[[#This Row],[2040]]*Emissionsfaktoren[[#This Row],[2040]]/1000, 0)</f>
        <v>0</v>
      </c>
      <c r="X150" s="14">
        <f>IF(ISNUMBER(Refsz_Verbräuche[[#This Row],[2045]]), Refsz_Verbräuche[[#This Row],[2045]]*Emissionsfaktoren[[#This Row],[2045]]/1000, 0)</f>
        <v>0</v>
      </c>
      <c r="Y150" s="14">
        <f>IF(ISNUMBER(Refsz_Verbräuche[[#This Row],[2050]]), Refsz_Verbräuche[[#This Row],[2050]]*Emissionsfaktoren[[#This Row],[2050]]/1000, 0)</f>
        <v>0</v>
      </c>
    </row>
    <row r="151" spans="2:25" ht="16.5">
      <c r="B151" s="14">
        <v>134</v>
      </c>
      <c r="C151" s="14" t="str">
        <f>Refsz_Verbräuche[[#This Row],[Handlungsfeld]]</f>
        <v>Baugüter</v>
      </c>
      <c r="D151" s="19" t="str">
        <f>Refsz_Verbräuche[[#This Row],[Datenpunkt]]</f>
        <v>Stahl-mix</v>
      </c>
      <c r="E151" t="s">
        <v>195</v>
      </c>
      <c r="F151" s="14">
        <f>IF(ISNUMBER(Refsz_Verbräuche[[#This Row],[2015]]), Refsz_Verbräuche[[#This Row],[2015]]*Emissionsfaktoren[[#This Row],[2015]]/1000, 0)</f>
        <v>0</v>
      </c>
      <c r="G151" s="14">
        <f>IF(ISNUMBER(Refsz_Verbräuche[[#This Row],[2016]]), Refsz_Verbräuche[[#This Row],[2016]]*Emissionsfaktoren[[#This Row],[2016]]/1000, 0)</f>
        <v>0</v>
      </c>
      <c r="H151" s="14">
        <f>IF(ISNUMBER(Refsz_Verbräuche[[#This Row],[2017]]), Refsz_Verbräuche[[#This Row],[2017]]*Emissionsfaktoren[[#This Row],[2017]]/1000, 0)</f>
        <v>0</v>
      </c>
      <c r="I151" s="14">
        <f>IF(ISNUMBER(Refsz_Verbräuche[[#This Row],[2018]]), Refsz_Verbräuche[[#This Row],[2018]]*Emissionsfaktoren[[#This Row],[2018]]/1000, 0)</f>
        <v>0</v>
      </c>
      <c r="J151" s="14">
        <f>IF(ISNUMBER(Refsz_Verbräuche[[#This Row],[2019]]), Refsz_Verbräuche[[#This Row],[2019]]*Emissionsfaktoren[[#This Row],[2019]]/1000, 0)</f>
        <v>0</v>
      </c>
      <c r="K151" s="14">
        <f>IF(ISNUMBER(Refsz_Verbräuche[[#This Row],[2020]]), Refsz_Verbräuche[[#This Row],[2020]]*Emissionsfaktoren[[#This Row],[2020]]/1000, 0)</f>
        <v>0</v>
      </c>
      <c r="L151" s="14">
        <f>IF(ISNUMBER(Refsz_Verbräuche[[#This Row],[2021]]), Refsz_Verbräuche[[#This Row],[2021]]*Emissionsfaktoren[[#This Row],[2021]]/1000, 0)</f>
        <v>0</v>
      </c>
      <c r="M151" s="14">
        <f>IF(ISNUMBER(Refsz_Verbräuche[[#This Row],[2022]]), Refsz_Verbräuche[[#This Row],[2022]]*Emissionsfaktoren[[#This Row],[2022]]/1000, 0)</f>
        <v>0</v>
      </c>
      <c r="N151" s="14">
        <f>IF(ISNUMBER(Refsz_Verbräuche[[#This Row],[2023]]), Refsz_Verbräuche[[#This Row],[2023]]*Emissionsfaktoren[[#This Row],[2023]]/1000, 0)</f>
        <v>0</v>
      </c>
      <c r="O151" s="14">
        <f>IF(ISNUMBER(Refsz_Verbräuche[[#This Row],[2024]]), Refsz_Verbräuche[[#This Row],[2024]]*Emissionsfaktoren[[#This Row],[2024]]/1000, 0)</f>
        <v>0</v>
      </c>
      <c r="P151" s="14">
        <f>IF(ISNUMBER(Refsz_Verbräuche[[#This Row],[2025]]), Refsz_Verbräuche[[#This Row],[2025]]*Emissionsfaktoren[[#This Row],[2025]]/1000, 0)</f>
        <v>0</v>
      </c>
      <c r="Q151" s="14">
        <f>IF(ISNUMBER(Refsz_Verbräuche[[#This Row],[2026]]), Refsz_Verbräuche[[#This Row],[2026]]*Emissionsfaktoren[[#This Row],[2026]]/1000, 0)</f>
        <v>0</v>
      </c>
      <c r="R151" s="14">
        <f>IF(ISNUMBER(Refsz_Verbräuche[[#This Row],[2027]]), Refsz_Verbräuche[[#This Row],[2027]]*Emissionsfaktoren[[#This Row],[2027]]/1000, 0)</f>
        <v>0</v>
      </c>
      <c r="S151" s="14">
        <f>IF(ISNUMBER(Refsz_Verbräuche[[#This Row],[2028]]), Refsz_Verbräuche[[#This Row],[2028]]*Emissionsfaktoren[[#This Row],[2028]]/1000, 0)</f>
        <v>0</v>
      </c>
      <c r="T151" s="14">
        <f>IF(ISNUMBER(Refsz_Verbräuche[[#This Row],[2029]]), Refsz_Verbräuche[[#This Row],[2029]]*Emissionsfaktoren[[#This Row],[2029]]/1000, 0)</f>
        <v>0</v>
      </c>
      <c r="U151" s="14">
        <f>IF(ISNUMBER(Refsz_Verbräuche[[#This Row],[2030]]), Refsz_Verbräuche[[#This Row],[2030]]*Emissionsfaktoren[[#This Row],[2030]]/1000, 0)</f>
        <v>0</v>
      </c>
      <c r="V151" s="14">
        <f>IF(ISNUMBER(Refsz_Verbräuche[[#This Row],[2035]]), Refsz_Verbräuche[[#This Row],[2035]]*Emissionsfaktoren[[#This Row],[2035]]/1000, 0)</f>
        <v>0</v>
      </c>
      <c r="W151" s="14">
        <f>IF(ISNUMBER(Refsz_Verbräuche[[#This Row],[2040]]), Refsz_Verbräuche[[#This Row],[2040]]*Emissionsfaktoren[[#This Row],[2040]]/1000, 0)</f>
        <v>0</v>
      </c>
      <c r="X151" s="14">
        <f>IF(ISNUMBER(Refsz_Verbräuche[[#This Row],[2045]]), Refsz_Verbräuche[[#This Row],[2045]]*Emissionsfaktoren[[#This Row],[2045]]/1000, 0)</f>
        <v>0</v>
      </c>
      <c r="Y151" s="14">
        <f>IF(ISNUMBER(Refsz_Verbräuche[[#This Row],[2050]]), Refsz_Verbräuche[[#This Row],[2050]]*Emissionsfaktoren[[#This Row],[2050]]/1000, 0)</f>
        <v>0</v>
      </c>
    </row>
    <row r="152" spans="2:25" ht="16.5">
      <c r="B152" s="14">
        <v>135</v>
      </c>
      <c r="C152" s="14" t="str">
        <f>Refsz_Verbräuche[[#This Row],[Handlungsfeld]]</f>
        <v>Baugüter</v>
      </c>
      <c r="D152" s="19" t="str">
        <f>Refsz_Verbräuche[[#This Row],[Datenpunkt]]</f>
        <v>Beton</v>
      </c>
      <c r="E152" t="s">
        <v>195</v>
      </c>
      <c r="F152" s="14">
        <f>IF(ISNUMBER(Refsz_Verbräuche[[#This Row],[2015]]), Refsz_Verbräuche[[#This Row],[2015]]*Emissionsfaktoren[[#This Row],[2015]]/1000, 0)</f>
        <v>0</v>
      </c>
      <c r="G152" s="14">
        <f>IF(ISNUMBER(Refsz_Verbräuche[[#This Row],[2016]]), Refsz_Verbräuche[[#This Row],[2016]]*Emissionsfaktoren[[#This Row],[2016]]/1000, 0)</f>
        <v>0</v>
      </c>
      <c r="H152" s="14">
        <f>IF(ISNUMBER(Refsz_Verbräuche[[#This Row],[2017]]), Refsz_Verbräuche[[#This Row],[2017]]*Emissionsfaktoren[[#This Row],[2017]]/1000, 0)</f>
        <v>0</v>
      </c>
      <c r="I152" s="14">
        <f>IF(ISNUMBER(Refsz_Verbräuche[[#This Row],[2018]]), Refsz_Verbräuche[[#This Row],[2018]]*Emissionsfaktoren[[#This Row],[2018]]/1000, 0)</f>
        <v>0</v>
      </c>
      <c r="J152" s="14">
        <f>IF(ISNUMBER(Refsz_Verbräuche[[#This Row],[2019]]), Refsz_Verbräuche[[#This Row],[2019]]*Emissionsfaktoren[[#This Row],[2019]]/1000, 0)</f>
        <v>0</v>
      </c>
      <c r="K152" s="14">
        <f>IF(ISNUMBER(Refsz_Verbräuche[[#This Row],[2020]]), Refsz_Verbräuche[[#This Row],[2020]]*Emissionsfaktoren[[#This Row],[2020]]/1000, 0)</f>
        <v>0</v>
      </c>
      <c r="L152" s="14">
        <f>IF(ISNUMBER(Refsz_Verbräuche[[#This Row],[2021]]), Refsz_Verbräuche[[#This Row],[2021]]*Emissionsfaktoren[[#This Row],[2021]]/1000, 0)</f>
        <v>0</v>
      </c>
      <c r="M152" s="14">
        <f>IF(ISNUMBER(Refsz_Verbräuche[[#This Row],[2022]]), Refsz_Verbräuche[[#This Row],[2022]]*Emissionsfaktoren[[#This Row],[2022]]/1000, 0)</f>
        <v>0</v>
      </c>
      <c r="N152" s="14">
        <f>IF(ISNUMBER(Refsz_Verbräuche[[#This Row],[2023]]), Refsz_Verbräuche[[#This Row],[2023]]*Emissionsfaktoren[[#This Row],[2023]]/1000, 0)</f>
        <v>0</v>
      </c>
      <c r="O152" s="14">
        <f>IF(ISNUMBER(Refsz_Verbräuche[[#This Row],[2024]]), Refsz_Verbräuche[[#This Row],[2024]]*Emissionsfaktoren[[#This Row],[2024]]/1000, 0)</f>
        <v>0</v>
      </c>
      <c r="P152" s="14">
        <f>IF(ISNUMBER(Refsz_Verbräuche[[#This Row],[2025]]), Refsz_Verbräuche[[#This Row],[2025]]*Emissionsfaktoren[[#This Row],[2025]]/1000, 0)</f>
        <v>0</v>
      </c>
      <c r="Q152" s="14">
        <f>IF(ISNUMBER(Refsz_Verbräuche[[#This Row],[2026]]), Refsz_Verbräuche[[#This Row],[2026]]*Emissionsfaktoren[[#This Row],[2026]]/1000, 0)</f>
        <v>0</v>
      </c>
      <c r="R152" s="14">
        <f>IF(ISNUMBER(Refsz_Verbräuche[[#This Row],[2027]]), Refsz_Verbräuche[[#This Row],[2027]]*Emissionsfaktoren[[#This Row],[2027]]/1000, 0)</f>
        <v>0</v>
      </c>
      <c r="S152" s="14">
        <f>IF(ISNUMBER(Refsz_Verbräuche[[#This Row],[2028]]), Refsz_Verbräuche[[#This Row],[2028]]*Emissionsfaktoren[[#This Row],[2028]]/1000, 0)</f>
        <v>0</v>
      </c>
      <c r="T152" s="14">
        <f>IF(ISNUMBER(Refsz_Verbräuche[[#This Row],[2029]]), Refsz_Verbräuche[[#This Row],[2029]]*Emissionsfaktoren[[#This Row],[2029]]/1000, 0)</f>
        <v>0</v>
      </c>
      <c r="U152" s="14">
        <f>IF(ISNUMBER(Refsz_Verbräuche[[#This Row],[2030]]), Refsz_Verbräuche[[#This Row],[2030]]*Emissionsfaktoren[[#This Row],[2030]]/1000, 0)</f>
        <v>0</v>
      </c>
      <c r="V152" s="14">
        <f>IF(ISNUMBER(Refsz_Verbräuche[[#This Row],[2035]]), Refsz_Verbräuche[[#This Row],[2035]]*Emissionsfaktoren[[#This Row],[2035]]/1000, 0)</f>
        <v>0</v>
      </c>
      <c r="W152" s="14">
        <f>IF(ISNUMBER(Refsz_Verbräuche[[#This Row],[2040]]), Refsz_Verbräuche[[#This Row],[2040]]*Emissionsfaktoren[[#This Row],[2040]]/1000, 0)</f>
        <v>0</v>
      </c>
      <c r="X152" s="14">
        <f>IF(ISNUMBER(Refsz_Verbräuche[[#This Row],[2045]]), Refsz_Verbräuche[[#This Row],[2045]]*Emissionsfaktoren[[#This Row],[2045]]/1000, 0)</f>
        <v>0</v>
      </c>
      <c r="Y152" s="14">
        <f>IF(ISNUMBER(Refsz_Verbräuche[[#This Row],[2050]]), Refsz_Verbräuche[[#This Row],[2050]]*Emissionsfaktoren[[#This Row],[2050]]/1000, 0)</f>
        <v>0</v>
      </c>
    </row>
    <row r="153" spans="2:25" ht="16.5">
      <c r="B153" s="14">
        <v>136</v>
      </c>
      <c r="C153" s="14" t="str">
        <f>Refsz_Verbräuche[[#This Row],[Handlungsfeld]]</f>
        <v>Baugüter</v>
      </c>
      <c r="D153" s="19" t="str">
        <f>Refsz_Verbräuche[[#This Row],[Datenpunkt]]</f>
        <v>Glaswolle</v>
      </c>
      <c r="E153" t="s">
        <v>195</v>
      </c>
      <c r="F153" s="14">
        <f>IF(ISNUMBER(Refsz_Verbräuche[[#This Row],[2015]]), Refsz_Verbräuche[[#This Row],[2015]]*Emissionsfaktoren[[#This Row],[2015]]/1000, 0)</f>
        <v>0</v>
      </c>
      <c r="G153" s="14">
        <f>IF(ISNUMBER(Refsz_Verbräuche[[#This Row],[2016]]), Refsz_Verbräuche[[#This Row],[2016]]*Emissionsfaktoren[[#This Row],[2016]]/1000, 0)</f>
        <v>0</v>
      </c>
      <c r="H153" s="14">
        <f>IF(ISNUMBER(Refsz_Verbräuche[[#This Row],[2017]]), Refsz_Verbräuche[[#This Row],[2017]]*Emissionsfaktoren[[#This Row],[2017]]/1000, 0)</f>
        <v>0</v>
      </c>
      <c r="I153" s="14">
        <f>IF(ISNUMBER(Refsz_Verbräuche[[#This Row],[2018]]), Refsz_Verbräuche[[#This Row],[2018]]*Emissionsfaktoren[[#This Row],[2018]]/1000, 0)</f>
        <v>0</v>
      </c>
      <c r="J153" s="14">
        <f>IF(ISNUMBER(Refsz_Verbräuche[[#This Row],[2019]]), Refsz_Verbräuche[[#This Row],[2019]]*Emissionsfaktoren[[#This Row],[2019]]/1000, 0)</f>
        <v>0</v>
      </c>
      <c r="K153" s="14">
        <f>IF(ISNUMBER(Refsz_Verbräuche[[#This Row],[2020]]), Refsz_Verbräuche[[#This Row],[2020]]*Emissionsfaktoren[[#This Row],[2020]]/1000, 0)</f>
        <v>0</v>
      </c>
      <c r="L153" s="14">
        <f>IF(ISNUMBER(Refsz_Verbräuche[[#This Row],[2021]]), Refsz_Verbräuche[[#This Row],[2021]]*Emissionsfaktoren[[#This Row],[2021]]/1000, 0)</f>
        <v>0</v>
      </c>
      <c r="M153" s="14">
        <f>IF(ISNUMBER(Refsz_Verbräuche[[#This Row],[2022]]), Refsz_Verbräuche[[#This Row],[2022]]*Emissionsfaktoren[[#This Row],[2022]]/1000, 0)</f>
        <v>0</v>
      </c>
      <c r="N153" s="14">
        <f>IF(ISNUMBER(Refsz_Verbräuche[[#This Row],[2023]]), Refsz_Verbräuche[[#This Row],[2023]]*Emissionsfaktoren[[#This Row],[2023]]/1000, 0)</f>
        <v>0</v>
      </c>
      <c r="O153" s="14">
        <f>IF(ISNUMBER(Refsz_Verbräuche[[#This Row],[2024]]), Refsz_Verbräuche[[#This Row],[2024]]*Emissionsfaktoren[[#This Row],[2024]]/1000, 0)</f>
        <v>0</v>
      </c>
      <c r="P153" s="14">
        <f>IF(ISNUMBER(Refsz_Verbräuche[[#This Row],[2025]]), Refsz_Verbräuche[[#This Row],[2025]]*Emissionsfaktoren[[#This Row],[2025]]/1000, 0)</f>
        <v>0</v>
      </c>
      <c r="Q153" s="14">
        <f>IF(ISNUMBER(Refsz_Verbräuche[[#This Row],[2026]]), Refsz_Verbräuche[[#This Row],[2026]]*Emissionsfaktoren[[#This Row],[2026]]/1000, 0)</f>
        <v>0</v>
      </c>
      <c r="R153" s="14">
        <f>IF(ISNUMBER(Refsz_Verbräuche[[#This Row],[2027]]), Refsz_Verbräuche[[#This Row],[2027]]*Emissionsfaktoren[[#This Row],[2027]]/1000, 0)</f>
        <v>0</v>
      </c>
      <c r="S153" s="14">
        <f>IF(ISNUMBER(Refsz_Verbräuche[[#This Row],[2028]]), Refsz_Verbräuche[[#This Row],[2028]]*Emissionsfaktoren[[#This Row],[2028]]/1000, 0)</f>
        <v>0</v>
      </c>
      <c r="T153" s="14">
        <f>IF(ISNUMBER(Refsz_Verbräuche[[#This Row],[2029]]), Refsz_Verbräuche[[#This Row],[2029]]*Emissionsfaktoren[[#This Row],[2029]]/1000, 0)</f>
        <v>0</v>
      </c>
      <c r="U153" s="14">
        <f>IF(ISNUMBER(Refsz_Verbräuche[[#This Row],[2030]]), Refsz_Verbräuche[[#This Row],[2030]]*Emissionsfaktoren[[#This Row],[2030]]/1000, 0)</f>
        <v>0</v>
      </c>
      <c r="V153" s="14">
        <f>IF(ISNUMBER(Refsz_Verbräuche[[#This Row],[2035]]), Refsz_Verbräuche[[#This Row],[2035]]*Emissionsfaktoren[[#This Row],[2035]]/1000, 0)</f>
        <v>0</v>
      </c>
      <c r="W153" s="14">
        <f>IF(ISNUMBER(Refsz_Verbräuche[[#This Row],[2040]]), Refsz_Verbräuche[[#This Row],[2040]]*Emissionsfaktoren[[#This Row],[2040]]/1000, 0)</f>
        <v>0</v>
      </c>
      <c r="X153" s="14">
        <f>IF(ISNUMBER(Refsz_Verbräuche[[#This Row],[2045]]), Refsz_Verbräuche[[#This Row],[2045]]*Emissionsfaktoren[[#This Row],[2045]]/1000, 0)</f>
        <v>0</v>
      </c>
      <c r="Y153" s="14">
        <f>IF(ISNUMBER(Refsz_Verbräuche[[#This Row],[2050]]), Refsz_Verbräuche[[#This Row],[2050]]*Emissionsfaktoren[[#This Row],[2050]]/1000, 0)</f>
        <v>0</v>
      </c>
    </row>
    <row r="154" spans="2:25" ht="16.5">
      <c r="B154" s="14">
        <v>137</v>
      </c>
      <c r="C154" s="14" t="str">
        <f>Refsz_Verbräuche[[#This Row],[Handlungsfeld]]</f>
        <v>Baugüter</v>
      </c>
      <c r="D154" s="19" t="str">
        <f>Refsz_Verbräuche[[#This Row],[Datenpunkt]]</f>
        <v>Konstruktionsvollholz</v>
      </c>
      <c r="E154" t="s">
        <v>195</v>
      </c>
      <c r="F154" s="14">
        <f>IF(ISNUMBER(Refsz_Verbräuche[[#This Row],[2015]]), Refsz_Verbräuche[[#This Row],[2015]]*Emissionsfaktoren[[#This Row],[2015]]/1000, 0)</f>
        <v>0</v>
      </c>
      <c r="G154" s="14">
        <f>IF(ISNUMBER(Refsz_Verbräuche[[#This Row],[2016]]), Refsz_Verbräuche[[#This Row],[2016]]*Emissionsfaktoren[[#This Row],[2016]]/1000, 0)</f>
        <v>0</v>
      </c>
      <c r="H154" s="14">
        <f>IF(ISNUMBER(Refsz_Verbräuche[[#This Row],[2017]]), Refsz_Verbräuche[[#This Row],[2017]]*Emissionsfaktoren[[#This Row],[2017]]/1000, 0)</f>
        <v>0</v>
      </c>
      <c r="I154" s="14">
        <f>IF(ISNUMBER(Refsz_Verbräuche[[#This Row],[2018]]), Refsz_Verbräuche[[#This Row],[2018]]*Emissionsfaktoren[[#This Row],[2018]]/1000, 0)</f>
        <v>0</v>
      </c>
      <c r="J154" s="14">
        <f>IF(ISNUMBER(Refsz_Verbräuche[[#This Row],[2019]]), Refsz_Verbräuche[[#This Row],[2019]]*Emissionsfaktoren[[#This Row],[2019]]/1000, 0)</f>
        <v>0</v>
      </c>
      <c r="K154" s="14">
        <f>IF(ISNUMBER(Refsz_Verbräuche[[#This Row],[2020]]), Refsz_Verbräuche[[#This Row],[2020]]*Emissionsfaktoren[[#This Row],[2020]]/1000, 0)</f>
        <v>0</v>
      </c>
      <c r="L154" s="14">
        <f>IF(ISNUMBER(Refsz_Verbräuche[[#This Row],[2021]]), Refsz_Verbräuche[[#This Row],[2021]]*Emissionsfaktoren[[#This Row],[2021]]/1000, 0)</f>
        <v>0</v>
      </c>
      <c r="M154" s="14">
        <f>IF(ISNUMBER(Refsz_Verbräuche[[#This Row],[2022]]), Refsz_Verbräuche[[#This Row],[2022]]*Emissionsfaktoren[[#This Row],[2022]]/1000, 0)</f>
        <v>0</v>
      </c>
      <c r="N154" s="14">
        <f>IF(ISNUMBER(Refsz_Verbräuche[[#This Row],[2023]]), Refsz_Verbräuche[[#This Row],[2023]]*Emissionsfaktoren[[#This Row],[2023]]/1000, 0)</f>
        <v>0</v>
      </c>
      <c r="O154" s="14">
        <f>IF(ISNUMBER(Refsz_Verbräuche[[#This Row],[2024]]), Refsz_Verbräuche[[#This Row],[2024]]*Emissionsfaktoren[[#This Row],[2024]]/1000, 0)</f>
        <v>0</v>
      </c>
      <c r="P154" s="14">
        <f>IF(ISNUMBER(Refsz_Verbräuche[[#This Row],[2025]]), Refsz_Verbräuche[[#This Row],[2025]]*Emissionsfaktoren[[#This Row],[2025]]/1000, 0)</f>
        <v>0</v>
      </c>
      <c r="Q154" s="14">
        <f>IF(ISNUMBER(Refsz_Verbräuche[[#This Row],[2026]]), Refsz_Verbräuche[[#This Row],[2026]]*Emissionsfaktoren[[#This Row],[2026]]/1000, 0)</f>
        <v>0</v>
      </c>
      <c r="R154" s="14">
        <f>IF(ISNUMBER(Refsz_Verbräuche[[#This Row],[2027]]), Refsz_Verbräuche[[#This Row],[2027]]*Emissionsfaktoren[[#This Row],[2027]]/1000, 0)</f>
        <v>0</v>
      </c>
      <c r="S154" s="14">
        <f>IF(ISNUMBER(Refsz_Verbräuche[[#This Row],[2028]]), Refsz_Verbräuche[[#This Row],[2028]]*Emissionsfaktoren[[#This Row],[2028]]/1000, 0)</f>
        <v>0</v>
      </c>
      <c r="T154" s="14">
        <f>IF(ISNUMBER(Refsz_Verbräuche[[#This Row],[2029]]), Refsz_Verbräuche[[#This Row],[2029]]*Emissionsfaktoren[[#This Row],[2029]]/1000, 0)</f>
        <v>0</v>
      </c>
      <c r="U154" s="14">
        <f>IF(ISNUMBER(Refsz_Verbräuche[[#This Row],[2030]]), Refsz_Verbräuche[[#This Row],[2030]]*Emissionsfaktoren[[#This Row],[2030]]/1000, 0)</f>
        <v>0</v>
      </c>
      <c r="V154" s="14">
        <f>IF(ISNUMBER(Refsz_Verbräuche[[#This Row],[2035]]), Refsz_Verbräuche[[#This Row],[2035]]*Emissionsfaktoren[[#This Row],[2035]]/1000, 0)</f>
        <v>0</v>
      </c>
      <c r="W154" s="14">
        <f>IF(ISNUMBER(Refsz_Verbräuche[[#This Row],[2040]]), Refsz_Verbräuche[[#This Row],[2040]]*Emissionsfaktoren[[#This Row],[2040]]/1000, 0)</f>
        <v>0</v>
      </c>
      <c r="X154" s="14">
        <f>IF(ISNUMBER(Refsz_Verbräuche[[#This Row],[2045]]), Refsz_Verbräuche[[#This Row],[2045]]*Emissionsfaktoren[[#This Row],[2045]]/1000, 0)</f>
        <v>0</v>
      </c>
      <c r="Y154" s="14">
        <f>IF(ISNUMBER(Refsz_Verbräuche[[#This Row],[2050]]), Refsz_Verbräuche[[#This Row],[2050]]*Emissionsfaktoren[[#This Row],[2050]]/1000, 0)</f>
        <v>0</v>
      </c>
    </row>
    <row r="155" spans="2:25" ht="16.5">
      <c r="B155" s="14">
        <v>138</v>
      </c>
      <c r="C155" s="14" t="str">
        <f>Refsz_Verbräuche[[#This Row],[Handlungsfeld]]</f>
        <v>Baugüter</v>
      </c>
      <c r="D155" s="19" t="str">
        <f>Refsz_Verbräuche[[#This Row],[Datenpunkt]]</f>
        <v>Spanplatte</v>
      </c>
      <c r="E155" t="s">
        <v>195</v>
      </c>
      <c r="F155" s="14">
        <f>IF(ISNUMBER(Refsz_Verbräuche[[#This Row],[2015]]), Refsz_Verbräuche[[#This Row],[2015]]*Emissionsfaktoren[[#This Row],[2015]]/1000, 0)</f>
        <v>0</v>
      </c>
      <c r="G155" s="14">
        <f>IF(ISNUMBER(Refsz_Verbräuche[[#This Row],[2016]]), Refsz_Verbräuche[[#This Row],[2016]]*Emissionsfaktoren[[#This Row],[2016]]/1000, 0)</f>
        <v>0</v>
      </c>
      <c r="H155" s="14">
        <f>IF(ISNUMBER(Refsz_Verbräuche[[#This Row],[2017]]), Refsz_Verbräuche[[#This Row],[2017]]*Emissionsfaktoren[[#This Row],[2017]]/1000, 0)</f>
        <v>0</v>
      </c>
      <c r="I155" s="14">
        <f>IF(ISNUMBER(Refsz_Verbräuche[[#This Row],[2018]]), Refsz_Verbräuche[[#This Row],[2018]]*Emissionsfaktoren[[#This Row],[2018]]/1000, 0)</f>
        <v>0</v>
      </c>
      <c r="J155" s="14">
        <f>IF(ISNUMBER(Refsz_Verbräuche[[#This Row],[2019]]), Refsz_Verbräuche[[#This Row],[2019]]*Emissionsfaktoren[[#This Row],[2019]]/1000, 0)</f>
        <v>0</v>
      </c>
      <c r="K155" s="14">
        <f>IF(ISNUMBER(Refsz_Verbräuche[[#This Row],[2020]]), Refsz_Verbräuche[[#This Row],[2020]]*Emissionsfaktoren[[#This Row],[2020]]/1000, 0)</f>
        <v>0</v>
      </c>
      <c r="L155" s="14">
        <f>IF(ISNUMBER(Refsz_Verbräuche[[#This Row],[2021]]), Refsz_Verbräuche[[#This Row],[2021]]*Emissionsfaktoren[[#This Row],[2021]]/1000, 0)</f>
        <v>0</v>
      </c>
      <c r="M155" s="14">
        <f>IF(ISNUMBER(Refsz_Verbräuche[[#This Row],[2022]]), Refsz_Verbräuche[[#This Row],[2022]]*Emissionsfaktoren[[#This Row],[2022]]/1000, 0)</f>
        <v>0</v>
      </c>
      <c r="N155" s="14">
        <f>IF(ISNUMBER(Refsz_Verbräuche[[#This Row],[2023]]), Refsz_Verbräuche[[#This Row],[2023]]*Emissionsfaktoren[[#This Row],[2023]]/1000, 0)</f>
        <v>0</v>
      </c>
      <c r="O155" s="14">
        <f>IF(ISNUMBER(Refsz_Verbräuche[[#This Row],[2024]]), Refsz_Verbräuche[[#This Row],[2024]]*Emissionsfaktoren[[#This Row],[2024]]/1000, 0)</f>
        <v>0</v>
      </c>
      <c r="P155" s="14">
        <f>IF(ISNUMBER(Refsz_Verbräuche[[#This Row],[2025]]), Refsz_Verbräuche[[#This Row],[2025]]*Emissionsfaktoren[[#This Row],[2025]]/1000, 0)</f>
        <v>0</v>
      </c>
      <c r="Q155" s="14">
        <f>IF(ISNUMBER(Refsz_Verbräuche[[#This Row],[2026]]), Refsz_Verbräuche[[#This Row],[2026]]*Emissionsfaktoren[[#This Row],[2026]]/1000, 0)</f>
        <v>0</v>
      </c>
      <c r="R155" s="14">
        <f>IF(ISNUMBER(Refsz_Verbräuche[[#This Row],[2027]]), Refsz_Verbräuche[[#This Row],[2027]]*Emissionsfaktoren[[#This Row],[2027]]/1000, 0)</f>
        <v>0</v>
      </c>
      <c r="S155" s="14">
        <f>IF(ISNUMBER(Refsz_Verbräuche[[#This Row],[2028]]), Refsz_Verbräuche[[#This Row],[2028]]*Emissionsfaktoren[[#This Row],[2028]]/1000, 0)</f>
        <v>0</v>
      </c>
      <c r="T155" s="14">
        <f>IF(ISNUMBER(Refsz_Verbräuche[[#This Row],[2029]]), Refsz_Verbräuche[[#This Row],[2029]]*Emissionsfaktoren[[#This Row],[2029]]/1000, 0)</f>
        <v>0</v>
      </c>
      <c r="U155" s="14">
        <f>IF(ISNUMBER(Refsz_Verbräuche[[#This Row],[2030]]), Refsz_Verbräuche[[#This Row],[2030]]*Emissionsfaktoren[[#This Row],[2030]]/1000, 0)</f>
        <v>0</v>
      </c>
      <c r="V155" s="14">
        <f>IF(ISNUMBER(Refsz_Verbräuche[[#This Row],[2035]]), Refsz_Verbräuche[[#This Row],[2035]]*Emissionsfaktoren[[#This Row],[2035]]/1000, 0)</f>
        <v>0</v>
      </c>
      <c r="W155" s="14">
        <f>IF(ISNUMBER(Refsz_Verbräuche[[#This Row],[2040]]), Refsz_Verbräuche[[#This Row],[2040]]*Emissionsfaktoren[[#This Row],[2040]]/1000, 0)</f>
        <v>0</v>
      </c>
      <c r="X155" s="14">
        <f>IF(ISNUMBER(Refsz_Verbräuche[[#This Row],[2045]]), Refsz_Verbräuche[[#This Row],[2045]]*Emissionsfaktoren[[#This Row],[2045]]/1000, 0)</f>
        <v>0</v>
      </c>
      <c r="Y155" s="14">
        <f>IF(ISNUMBER(Refsz_Verbräuche[[#This Row],[2050]]), Refsz_Verbräuche[[#This Row],[2050]]*Emissionsfaktoren[[#This Row],[2050]]/1000, 0)</f>
        <v>0</v>
      </c>
    </row>
    <row r="156" spans="2:25" ht="16.5">
      <c r="B156" s="14">
        <v>139</v>
      </c>
      <c r="C156" s="14" t="str">
        <f>Refsz_Verbräuche[[#This Row],[Handlungsfeld]]</f>
        <v>Baugüter</v>
      </c>
      <c r="D156" s="19" t="str">
        <f>Refsz_Verbräuche[[#This Row],[Datenpunkt]]</f>
        <v>Perlit</v>
      </c>
      <c r="E156" t="s">
        <v>195</v>
      </c>
      <c r="F156" s="14">
        <f>IF(ISNUMBER(Refsz_Verbräuche[[#This Row],[2015]]), Refsz_Verbräuche[[#This Row],[2015]]*Emissionsfaktoren[[#This Row],[2015]]/1000, 0)</f>
        <v>0</v>
      </c>
      <c r="G156" s="14">
        <f>IF(ISNUMBER(Refsz_Verbräuche[[#This Row],[2016]]), Refsz_Verbräuche[[#This Row],[2016]]*Emissionsfaktoren[[#This Row],[2016]]/1000, 0)</f>
        <v>0</v>
      </c>
      <c r="H156" s="14">
        <f>IF(ISNUMBER(Refsz_Verbräuche[[#This Row],[2017]]), Refsz_Verbräuche[[#This Row],[2017]]*Emissionsfaktoren[[#This Row],[2017]]/1000, 0)</f>
        <v>0</v>
      </c>
      <c r="I156" s="14">
        <f>IF(ISNUMBER(Refsz_Verbräuche[[#This Row],[2018]]), Refsz_Verbräuche[[#This Row],[2018]]*Emissionsfaktoren[[#This Row],[2018]]/1000, 0)</f>
        <v>0</v>
      </c>
      <c r="J156" s="14">
        <f>IF(ISNUMBER(Refsz_Verbräuche[[#This Row],[2019]]), Refsz_Verbräuche[[#This Row],[2019]]*Emissionsfaktoren[[#This Row],[2019]]/1000, 0)</f>
        <v>0</v>
      </c>
      <c r="K156" s="14">
        <f>IF(ISNUMBER(Refsz_Verbräuche[[#This Row],[2020]]), Refsz_Verbräuche[[#This Row],[2020]]*Emissionsfaktoren[[#This Row],[2020]]/1000, 0)</f>
        <v>0</v>
      </c>
      <c r="L156" s="14">
        <f>IF(ISNUMBER(Refsz_Verbräuche[[#This Row],[2021]]), Refsz_Verbräuche[[#This Row],[2021]]*Emissionsfaktoren[[#This Row],[2021]]/1000, 0)</f>
        <v>0</v>
      </c>
      <c r="M156" s="14">
        <f>IF(ISNUMBER(Refsz_Verbräuche[[#This Row],[2022]]), Refsz_Verbräuche[[#This Row],[2022]]*Emissionsfaktoren[[#This Row],[2022]]/1000, 0)</f>
        <v>0</v>
      </c>
      <c r="N156" s="14">
        <f>IF(ISNUMBER(Refsz_Verbräuche[[#This Row],[2023]]), Refsz_Verbräuche[[#This Row],[2023]]*Emissionsfaktoren[[#This Row],[2023]]/1000, 0)</f>
        <v>0</v>
      </c>
      <c r="O156" s="14">
        <f>IF(ISNUMBER(Refsz_Verbräuche[[#This Row],[2024]]), Refsz_Verbräuche[[#This Row],[2024]]*Emissionsfaktoren[[#This Row],[2024]]/1000, 0)</f>
        <v>0</v>
      </c>
      <c r="P156" s="14">
        <f>IF(ISNUMBER(Refsz_Verbräuche[[#This Row],[2025]]), Refsz_Verbräuche[[#This Row],[2025]]*Emissionsfaktoren[[#This Row],[2025]]/1000, 0)</f>
        <v>0</v>
      </c>
      <c r="Q156" s="14">
        <f>IF(ISNUMBER(Refsz_Verbräuche[[#This Row],[2026]]), Refsz_Verbräuche[[#This Row],[2026]]*Emissionsfaktoren[[#This Row],[2026]]/1000, 0)</f>
        <v>0</v>
      </c>
      <c r="R156" s="14">
        <f>IF(ISNUMBER(Refsz_Verbräuche[[#This Row],[2027]]), Refsz_Verbräuche[[#This Row],[2027]]*Emissionsfaktoren[[#This Row],[2027]]/1000, 0)</f>
        <v>0</v>
      </c>
      <c r="S156" s="14">
        <f>IF(ISNUMBER(Refsz_Verbräuche[[#This Row],[2028]]), Refsz_Verbräuche[[#This Row],[2028]]*Emissionsfaktoren[[#This Row],[2028]]/1000, 0)</f>
        <v>0</v>
      </c>
      <c r="T156" s="14">
        <f>IF(ISNUMBER(Refsz_Verbräuche[[#This Row],[2029]]), Refsz_Verbräuche[[#This Row],[2029]]*Emissionsfaktoren[[#This Row],[2029]]/1000, 0)</f>
        <v>0</v>
      </c>
      <c r="U156" s="14">
        <f>IF(ISNUMBER(Refsz_Verbräuche[[#This Row],[2030]]), Refsz_Verbräuche[[#This Row],[2030]]*Emissionsfaktoren[[#This Row],[2030]]/1000, 0)</f>
        <v>0</v>
      </c>
      <c r="V156" s="14">
        <f>IF(ISNUMBER(Refsz_Verbräuche[[#This Row],[2035]]), Refsz_Verbräuche[[#This Row],[2035]]*Emissionsfaktoren[[#This Row],[2035]]/1000, 0)</f>
        <v>0</v>
      </c>
      <c r="W156" s="14">
        <f>IF(ISNUMBER(Refsz_Verbräuche[[#This Row],[2040]]), Refsz_Verbräuche[[#This Row],[2040]]*Emissionsfaktoren[[#This Row],[2040]]/1000, 0)</f>
        <v>0</v>
      </c>
      <c r="X156" s="14">
        <f>IF(ISNUMBER(Refsz_Verbräuche[[#This Row],[2045]]), Refsz_Verbräuche[[#This Row],[2045]]*Emissionsfaktoren[[#This Row],[2045]]/1000, 0)</f>
        <v>0</v>
      </c>
      <c r="Y156" s="14">
        <f>IF(ISNUMBER(Refsz_Verbräuche[[#This Row],[2050]]), Refsz_Verbräuche[[#This Row],[2050]]*Emissionsfaktoren[[#This Row],[2050]]/1000, 0)</f>
        <v>0</v>
      </c>
    </row>
    <row r="157" spans="2:25" ht="16.5">
      <c r="B157" s="14">
        <v>140</v>
      </c>
      <c r="C157" s="14" t="str">
        <f>Refsz_Verbräuche[[#This Row],[Handlungsfeld]]</f>
        <v>Baugüter</v>
      </c>
      <c r="D157" s="19" t="str">
        <f>Refsz_Verbräuche[[#This Row],[Datenpunkt]]</f>
        <v>Stahlbeton Fertigteil Decke (20cm Dicke)</v>
      </c>
      <c r="E157" t="s">
        <v>195</v>
      </c>
      <c r="F157" s="14">
        <f>IF(ISNUMBER(Refsz_Verbräuche[[#This Row],[2015]]), Refsz_Verbräuche[[#This Row],[2015]]*Emissionsfaktoren[[#This Row],[2015]]/1000, 0)</f>
        <v>0</v>
      </c>
      <c r="G157" s="14">
        <f>IF(ISNUMBER(Refsz_Verbräuche[[#This Row],[2016]]), Refsz_Verbräuche[[#This Row],[2016]]*Emissionsfaktoren[[#This Row],[2016]]/1000, 0)</f>
        <v>0</v>
      </c>
      <c r="H157" s="14">
        <f>IF(ISNUMBER(Refsz_Verbräuche[[#This Row],[2017]]), Refsz_Verbräuche[[#This Row],[2017]]*Emissionsfaktoren[[#This Row],[2017]]/1000, 0)</f>
        <v>0</v>
      </c>
      <c r="I157" s="14">
        <f>IF(ISNUMBER(Refsz_Verbräuche[[#This Row],[2018]]), Refsz_Verbräuche[[#This Row],[2018]]*Emissionsfaktoren[[#This Row],[2018]]/1000, 0)</f>
        <v>0</v>
      </c>
      <c r="J157" s="14">
        <f>IF(ISNUMBER(Refsz_Verbräuche[[#This Row],[2019]]), Refsz_Verbräuche[[#This Row],[2019]]*Emissionsfaktoren[[#This Row],[2019]]/1000, 0)</f>
        <v>0</v>
      </c>
      <c r="K157" s="14">
        <f>IF(ISNUMBER(Refsz_Verbräuche[[#This Row],[2020]]), Refsz_Verbräuche[[#This Row],[2020]]*Emissionsfaktoren[[#This Row],[2020]]/1000, 0)</f>
        <v>0</v>
      </c>
      <c r="L157" s="14">
        <f>IF(ISNUMBER(Refsz_Verbräuche[[#This Row],[2021]]), Refsz_Verbräuche[[#This Row],[2021]]*Emissionsfaktoren[[#This Row],[2021]]/1000, 0)</f>
        <v>0</v>
      </c>
      <c r="M157" s="14">
        <f>IF(ISNUMBER(Refsz_Verbräuche[[#This Row],[2022]]), Refsz_Verbräuche[[#This Row],[2022]]*Emissionsfaktoren[[#This Row],[2022]]/1000, 0)</f>
        <v>0</v>
      </c>
      <c r="N157" s="14">
        <f>IF(ISNUMBER(Refsz_Verbräuche[[#This Row],[2023]]), Refsz_Verbräuche[[#This Row],[2023]]*Emissionsfaktoren[[#This Row],[2023]]/1000, 0)</f>
        <v>0</v>
      </c>
      <c r="O157" s="14">
        <f>IF(ISNUMBER(Refsz_Verbräuche[[#This Row],[2024]]), Refsz_Verbräuche[[#This Row],[2024]]*Emissionsfaktoren[[#This Row],[2024]]/1000, 0)</f>
        <v>0</v>
      </c>
      <c r="P157" s="14">
        <f>IF(ISNUMBER(Refsz_Verbräuche[[#This Row],[2025]]), Refsz_Verbräuche[[#This Row],[2025]]*Emissionsfaktoren[[#This Row],[2025]]/1000, 0)</f>
        <v>0</v>
      </c>
      <c r="Q157" s="14">
        <f>IF(ISNUMBER(Refsz_Verbräuche[[#This Row],[2026]]), Refsz_Verbräuche[[#This Row],[2026]]*Emissionsfaktoren[[#This Row],[2026]]/1000, 0)</f>
        <v>0</v>
      </c>
      <c r="R157" s="14">
        <f>IF(ISNUMBER(Refsz_Verbräuche[[#This Row],[2027]]), Refsz_Verbräuche[[#This Row],[2027]]*Emissionsfaktoren[[#This Row],[2027]]/1000, 0)</f>
        <v>0</v>
      </c>
      <c r="S157" s="14">
        <f>IF(ISNUMBER(Refsz_Verbräuche[[#This Row],[2028]]), Refsz_Verbräuche[[#This Row],[2028]]*Emissionsfaktoren[[#This Row],[2028]]/1000, 0)</f>
        <v>0</v>
      </c>
      <c r="T157" s="14">
        <f>IF(ISNUMBER(Refsz_Verbräuche[[#This Row],[2029]]), Refsz_Verbräuche[[#This Row],[2029]]*Emissionsfaktoren[[#This Row],[2029]]/1000, 0)</f>
        <v>0</v>
      </c>
      <c r="U157" s="14">
        <f>IF(ISNUMBER(Refsz_Verbräuche[[#This Row],[2030]]), Refsz_Verbräuche[[#This Row],[2030]]*Emissionsfaktoren[[#This Row],[2030]]/1000, 0)</f>
        <v>0</v>
      </c>
      <c r="V157" s="14">
        <f>IF(ISNUMBER(Refsz_Verbräuche[[#This Row],[2035]]), Refsz_Verbräuche[[#This Row],[2035]]*Emissionsfaktoren[[#This Row],[2035]]/1000, 0)</f>
        <v>0</v>
      </c>
      <c r="W157" s="14">
        <f>IF(ISNUMBER(Refsz_Verbräuche[[#This Row],[2040]]), Refsz_Verbräuche[[#This Row],[2040]]*Emissionsfaktoren[[#This Row],[2040]]/1000, 0)</f>
        <v>0</v>
      </c>
      <c r="X157" s="14">
        <f>IF(ISNUMBER(Refsz_Verbräuche[[#This Row],[2045]]), Refsz_Verbräuche[[#This Row],[2045]]*Emissionsfaktoren[[#This Row],[2045]]/1000, 0)</f>
        <v>0</v>
      </c>
      <c r="Y157" s="14">
        <f>IF(ISNUMBER(Refsz_Verbräuche[[#This Row],[2050]]), Refsz_Verbräuche[[#This Row],[2050]]*Emissionsfaktoren[[#This Row],[2050]]/1000, 0)</f>
        <v>0</v>
      </c>
    </row>
    <row r="158" spans="2:25" ht="16.5">
      <c r="B158" s="14">
        <v>141</v>
      </c>
      <c r="C158" s="14" t="str">
        <f>Refsz_Verbräuche[[#This Row],[Handlungsfeld]]</f>
        <v>Baugüter</v>
      </c>
      <c r="D158" s="19" t="str">
        <f>Refsz_Verbräuche[[#This Row],[Datenpunkt]]</f>
        <v>Stahlbeton Fertigteil Wand (12cm Dicke)</v>
      </c>
      <c r="E158" t="s">
        <v>195</v>
      </c>
      <c r="F158" s="14">
        <f>IF(ISNUMBER(Refsz_Verbräuche[[#This Row],[2015]]), Refsz_Verbräuche[[#This Row],[2015]]*Emissionsfaktoren[[#This Row],[2015]]/1000, 0)</f>
        <v>0</v>
      </c>
      <c r="G158" s="14">
        <f>IF(ISNUMBER(Refsz_Verbräuche[[#This Row],[2016]]), Refsz_Verbräuche[[#This Row],[2016]]*Emissionsfaktoren[[#This Row],[2016]]/1000, 0)</f>
        <v>0</v>
      </c>
      <c r="H158" s="14">
        <f>IF(ISNUMBER(Refsz_Verbräuche[[#This Row],[2017]]), Refsz_Verbräuche[[#This Row],[2017]]*Emissionsfaktoren[[#This Row],[2017]]/1000, 0)</f>
        <v>0</v>
      </c>
      <c r="I158" s="14">
        <f>IF(ISNUMBER(Refsz_Verbräuche[[#This Row],[2018]]), Refsz_Verbräuche[[#This Row],[2018]]*Emissionsfaktoren[[#This Row],[2018]]/1000, 0)</f>
        <v>0</v>
      </c>
      <c r="J158" s="14">
        <f>IF(ISNUMBER(Refsz_Verbräuche[[#This Row],[2019]]), Refsz_Verbräuche[[#This Row],[2019]]*Emissionsfaktoren[[#This Row],[2019]]/1000, 0)</f>
        <v>0</v>
      </c>
      <c r="K158" s="14">
        <f>IF(ISNUMBER(Refsz_Verbräuche[[#This Row],[2020]]), Refsz_Verbräuche[[#This Row],[2020]]*Emissionsfaktoren[[#This Row],[2020]]/1000, 0)</f>
        <v>0</v>
      </c>
      <c r="L158" s="14">
        <f>IF(ISNUMBER(Refsz_Verbräuche[[#This Row],[2021]]), Refsz_Verbräuche[[#This Row],[2021]]*Emissionsfaktoren[[#This Row],[2021]]/1000, 0)</f>
        <v>0</v>
      </c>
      <c r="M158" s="14">
        <f>IF(ISNUMBER(Refsz_Verbräuche[[#This Row],[2022]]), Refsz_Verbräuche[[#This Row],[2022]]*Emissionsfaktoren[[#This Row],[2022]]/1000, 0)</f>
        <v>0</v>
      </c>
      <c r="N158" s="14">
        <f>IF(ISNUMBER(Refsz_Verbräuche[[#This Row],[2023]]), Refsz_Verbräuche[[#This Row],[2023]]*Emissionsfaktoren[[#This Row],[2023]]/1000, 0)</f>
        <v>0</v>
      </c>
      <c r="O158" s="14">
        <f>IF(ISNUMBER(Refsz_Verbräuche[[#This Row],[2024]]), Refsz_Verbräuche[[#This Row],[2024]]*Emissionsfaktoren[[#This Row],[2024]]/1000, 0)</f>
        <v>0</v>
      </c>
      <c r="P158" s="14">
        <f>IF(ISNUMBER(Refsz_Verbräuche[[#This Row],[2025]]), Refsz_Verbräuche[[#This Row],[2025]]*Emissionsfaktoren[[#This Row],[2025]]/1000, 0)</f>
        <v>0</v>
      </c>
      <c r="Q158" s="14">
        <f>IF(ISNUMBER(Refsz_Verbräuche[[#This Row],[2026]]), Refsz_Verbräuche[[#This Row],[2026]]*Emissionsfaktoren[[#This Row],[2026]]/1000, 0)</f>
        <v>0</v>
      </c>
      <c r="R158" s="14">
        <f>IF(ISNUMBER(Refsz_Verbräuche[[#This Row],[2027]]), Refsz_Verbräuche[[#This Row],[2027]]*Emissionsfaktoren[[#This Row],[2027]]/1000, 0)</f>
        <v>0</v>
      </c>
      <c r="S158" s="14">
        <f>IF(ISNUMBER(Refsz_Verbräuche[[#This Row],[2028]]), Refsz_Verbräuche[[#This Row],[2028]]*Emissionsfaktoren[[#This Row],[2028]]/1000, 0)</f>
        <v>0</v>
      </c>
      <c r="T158" s="14">
        <f>IF(ISNUMBER(Refsz_Verbräuche[[#This Row],[2029]]), Refsz_Verbräuche[[#This Row],[2029]]*Emissionsfaktoren[[#This Row],[2029]]/1000, 0)</f>
        <v>0</v>
      </c>
      <c r="U158" s="14">
        <f>IF(ISNUMBER(Refsz_Verbräuche[[#This Row],[2030]]), Refsz_Verbräuche[[#This Row],[2030]]*Emissionsfaktoren[[#This Row],[2030]]/1000, 0)</f>
        <v>0</v>
      </c>
      <c r="V158" s="14">
        <f>IF(ISNUMBER(Refsz_Verbräuche[[#This Row],[2035]]), Refsz_Verbräuche[[#This Row],[2035]]*Emissionsfaktoren[[#This Row],[2035]]/1000, 0)</f>
        <v>0</v>
      </c>
      <c r="W158" s="14">
        <f>IF(ISNUMBER(Refsz_Verbräuche[[#This Row],[2040]]), Refsz_Verbräuche[[#This Row],[2040]]*Emissionsfaktoren[[#This Row],[2040]]/1000, 0)</f>
        <v>0</v>
      </c>
      <c r="X158" s="14">
        <f>IF(ISNUMBER(Refsz_Verbräuche[[#This Row],[2045]]), Refsz_Verbräuche[[#This Row],[2045]]*Emissionsfaktoren[[#This Row],[2045]]/1000, 0)</f>
        <v>0</v>
      </c>
      <c r="Y158" s="14">
        <f>IF(ISNUMBER(Refsz_Verbräuche[[#This Row],[2050]]), Refsz_Verbräuche[[#This Row],[2050]]*Emissionsfaktoren[[#This Row],[2050]]/1000, 0)</f>
        <v>0</v>
      </c>
    </row>
    <row r="159" spans="2:25" ht="16.5">
      <c r="B159" s="14">
        <v>142</v>
      </c>
      <c r="C159" s="14" t="str">
        <f>Refsz_Verbräuche[[#This Row],[Handlungsfeld]]</f>
        <v>Baugüter</v>
      </c>
      <c r="D159" s="19" t="str">
        <f>Refsz_Verbräuche[[#This Row],[Datenpunkt]]</f>
        <v xml:space="preserve">Stahlbeton Fertigteil Treppe (1,1 m Breite, 9 Stufen a 16 cm) </v>
      </c>
      <c r="E159" t="s">
        <v>195</v>
      </c>
      <c r="F159" s="14">
        <f>IF(ISNUMBER(Refsz_Verbräuche[[#This Row],[2015]]), Refsz_Verbräuche[[#This Row],[2015]]*Emissionsfaktoren[[#This Row],[2015]]/1000, 0)</f>
        <v>0</v>
      </c>
      <c r="G159" s="14">
        <f>IF(ISNUMBER(Refsz_Verbräuche[[#This Row],[2016]]), Refsz_Verbräuche[[#This Row],[2016]]*Emissionsfaktoren[[#This Row],[2016]]/1000, 0)</f>
        <v>0</v>
      </c>
      <c r="H159" s="14">
        <f>IF(ISNUMBER(Refsz_Verbräuche[[#This Row],[2017]]), Refsz_Verbräuche[[#This Row],[2017]]*Emissionsfaktoren[[#This Row],[2017]]/1000, 0)</f>
        <v>0</v>
      </c>
      <c r="I159" s="14">
        <f>IF(ISNUMBER(Refsz_Verbräuche[[#This Row],[2018]]), Refsz_Verbräuche[[#This Row],[2018]]*Emissionsfaktoren[[#This Row],[2018]]/1000, 0)</f>
        <v>0</v>
      </c>
      <c r="J159" s="14">
        <f>IF(ISNUMBER(Refsz_Verbräuche[[#This Row],[2019]]), Refsz_Verbräuche[[#This Row],[2019]]*Emissionsfaktoren[[#This Row],[2019]]/1000, 0)</f>
        <v>0</v>
      </c>
      <c r="K159" s="14">
        <f>IF(ISNUMBER(Refsz_Verbräuche[[#This Row],[2020]]), Refsz_Verbräuche[[#This Row],[2020]]*Emissionsfaktoren[[#This Row],[2020]]/1000, 0)</f>
        <v>0</v>
      </c>
      <c r="L159" s="14">
        <f>IF(ISNUMBER(Refsz_Verbräuche[[#This Row],[2021]]), Refsz_Verbräuche[[#This Row],[2021]]*Emissionsfaktoren[[#This Row],[2021]]/1000, 0)</f>
        <v>0</v>
      </c>
      <c r="M159" s="14">
        <f>IF(ISNUMBER(Refsz_Verbräuche[[#This Row],[2022]]), Refsz_Verbräuche[[#This Row],[2022]]*Emissionsfaktoren[[#This Row],[2022]]/1000, 0)</f>
        <v>0</v>
      </c>
      <c r="N159" s="14">
        <f>IF(ISNUMBER(Refsz_Verbräuche[[#This Row],[2023]]), Refsz_Verbräuche[[#This Row],[2023]]*Emissionsfaktoren[[#This Row],[2023]]/1000, 0)</f>
        <v>0</v>
      </c>
      <c r="O159" s="14">
        <f>IF(ISNUMBER(Refsz_Verbräuche[[#This Row],[2024]]), Refsz_Verbräuche[[#This Row],[2024]]*Emissionsfaktoren[[#This Row],[2024]]/1000, 0)</f>
        <v>0</v>
      </c>
      <c r="P159" s="14">
        <f>IF(ISNUMBER(Refsz_Verbräuche[[#This Row],[2025]]), Refsz_Verbräuche[[#This Row],[2025]]*Emissionsfaktoren[[#This Row],[2025]]/1000, 0)</f>
        <v>0</v>
      </c>
      <c r="Q159" s="14">
        <f>IF(ISNUMBER(Refsz_Verbräuche[[#This Row],[2026]]), Refsz_Verbräuche[[#This Row],[2026]]*Emissionsfaktoren[[#This Row],[2026]]/1000, 0)</f>
        <v>0</v>
      </c>
      <c r="R159" s="14">
        <f>IF(ISNUMBER(Refsz_Verbräuche[[#This Row],[2027]]), Refsz_Verbräuche[[#This Row],[2027]]*Emissionsfaktoren[[#This Row],[2027]]/1000, 0)</f>
        <v>0</v>
      </c>
      <c r="S159" s="14">
        <f>IF(ISNUMBER(Refsz_Verbräuche[[#This Row],[2028]]), Refsz_Verbräuche[[#This Row],[2028]]*Emissionsfaktoren[[#This Row],[2028]]/1000, 0)</f>
        <v>0</v>
      </c>
      <c r="T159" s="14">
        <f>IF(ISNUMBER(Refsz_Verbräuche[[#This Row],[2029]]), Refsz_Verbräuche[[#This Row],[2029]]*Emissionsfaktoren[[#This Row],[2029]]/1000, 0)</f>
        <v>0</v>
      </c>
      <c r="U159" s="14">
        <f>IF(ISNUMBER(Refsz_Verbräuche[[#This Row],[2030]]), Refsz_Verbräuche[[#This Row],[2030]]*Emissionsfaktoren[[#This Row],[2030]]/1000, 0)</f>
        <v>0</v>
      </c>
      <c r="V159" s="14">
        <f>IF(ISNUMBER(Refsz_Verbräuche[[#This Row],[2035]]), Refsz_Verbräuche[[#This Row],[2035]]*Emissionsfaktoren[[#This Row],[2035]]/1000, 0)</f>
        <v>0</v>
      </c>
      <c r="W159" s="14">
        <f>IF(ISNUMBER(Refsz_Verbräuche[[#This Row],[2040]]), Refsz_Verbräuche[[#This Row],[2040]]*Emissionsfaktoren[[#This Row],[2040]]/1000, 0)</f>
        <v>0</v>
      </c>
      <c r="X159" s="14">
        <f>IF(ISNUMBER(Refsz_Verbräuche[[#This Row],[2045]]), Refsz_Verbräuche[[#This Row],[2045]]*Emissionsfaktoren[[#This Row],[2045]]/1000, 0)</f>
        <v>0</v>
      </c>
      <c r="Y159" s="14">
        <f>IF(ISNUMBER(Refsz_Verbräuche[[#This Row],[2050]]), Refsz_Verbräuche[[#This Row],[2050]]*Emissionsfaktoren[[#This Row],[2050]]/1000, 0)</f>
        <v>0</v>
      </c>
    </row>
    <row r="160" spans="2:25" ht="16.5">
      <c r="B160" s="14">
        <v>143</v>
      </c>
      <c r="C160" s="14" t="str">
        <f>Refsz_Verbräuche[[#This Row],[Handlungsfeld]]</f>
        <v>Baugüter</v>
      </c>
      <c r="D160" s="19" t="str">
        <f>Refsz_Verbräuche[[#This Row],[Datenpunkt]]</f>
        <v>Mineralwolle</v>
      </c>
      <c r="E160" t="s">
        <v>195</v>
      </c>
      <c r="F160" s="14">
        <f>IF(ISNUMBER(Refsz_Verbräuche[[#This Row],[2015]]), Refsz_Verbräuche[[#This Row],[2015]]*Emissionsfaktoren[[#This Row],[2015]]/1000, 0)</f>
        <v>0</v>
      </c>
      <c r="G160" s="14">
        <f>IF(ISNUMBER(Refsz_Verbräuche[[#This Row],[2016]]), Refsz_Verbräuche[[#This Row],[2016]]*Emissionsfaktoren[[#This Row],[2016]]/1000, 0)</f>
        <v>0</v>
      </c>
      <c r="H160" s="14">
        <f>IF(ISNUMBER(Refsz_Verbräuche[[#This Row],[2017]]), Refsz_Verbräuche[[#This Row],[2017]]*Emissionsfaktoren[[#This Row],[2017]]/1000, 0)</f>
        <v>0</v>
      </c>
      <c r="I160" s="14">
        <f>IF(ISNUMBER(Refsz_Verbräuche[[#This Row],[2018]]), Refsz_Verbräuche[[#This Row],[2018]]*Emissionsfaktoren[[#This Row],[2018]]/1000, 0)</f>
        <v>0</v>
      </c>
      <c r="J160" s="14">
        <f>IF(ISNUMBER(Refsz_Verbräuche[[#This Row],[2019]]), Refsz_Verbräuche[[#This Row],[2019]]*Emissionsfaktoren[[#This Row],[2019]]/1000, 0)</f>
        <v>0</v>
      </c>
      <c r="K160" s="14">
        <f>IF(ISNUMBER(Refsz_Verbräuche[[#This Row],[2020]]), Refsz_Verbräuche[[#This Row],[2020]]*Emissionsfaktoren[[#This Row],[2020]]/1000, 0)</f>
        <v>0</v>
      </c>
      <c r="L160" s="14">
        <f>IF(ISNUMBER(Refsz_Verbräuche[[#This Row],[2021]]), Refsz_Verbräuche[[#This Row],[2021]]*Emissionsfaktoren[[#This Row],[2021]]/1000, 0)</f>
        <v>0</v>
      </c>
      <c r="M160" s="14">
        <f>IF(ISNUMBER(Refsz_Verbräuche[[#This Row],[2022]]), Refsz_Verbräuche[[#This Row],[2022]]*Emissionsfaktoren[[#This Row],[2022]]/1000, 0)</f>
        <v>0</v>
      </c>
      <c r="N160" s="14">
        <f>IF(ISNUMBER(Refsz_Verbräuche[[#This Row],[2023]]), Refsz_Verbräuche[[#This Row],[2023]]*Emissionsfaktoren[[#This Row],[2023]]/1000, 0)</f>
        <v>0</v>
      </c>
      <c r="O160" s="14">
        <f>IF(ISNUMBER(Refsz_Verbräuche[[#This Row],[2024]]), Refsz_Verbräuche[[#This Row],[2024]]*Emissionsfaktoren[[#This Row],[2024]]/1000, 0)</f>
        <v>0</v>
      </c>
      <c r="P160" s="14">
        <f>IF(ISNUMBER(Refsz_Verbräuche[[#This Row],[2025]]), Refsz_Verbräuche[[#This Row],[2025]]*Emissionsfaktoren[[#This Row],[2025]]/1000, 0)</f>
        <v>0</v>
      </c>
      <c r="Q160" s="14">
        <f>IF(ISNUMBER(Refsz_Verbräuche[[#This Row],[2026]]), Refsz_Verbräuche[[#This Row],[2026]]*Emissionsfaktoren[[#This Row],[2026]]/1000, 0)</f>
        <v>0</v>
      </c>
      <c r="R160" s="14">
        <f>IF(ISNUMBER(Refsz_Verbräuche[[#This Row],[2027]]), Refsz_Verbräuche[[#This Row],[2027]]*Emissionsfaktoren[[#This Row],[2027]]/1000, 0)</f>
        <v>0</v>
      </c>
      <c r="S160" s="14">
        <f>IF(ISNUMBER(Refsz_Verbräuche[[#This Row],[2028]]), Refsz_Verbräuche[[#This Row],[2028]]*Emissionsfaktoren[[#This Row],[2028]]/1000, 0)</f>
        <v>0</v>
      </c>
      <c r="T160" s="14">
        <f>IF(ISNUMBER(Refsz_Verbräuche[[#This Row],[2029]]), Refsz_Verbräuche[[#This Row],[2029]]*Emissionsfaktoren[[#This Row],[2029]]/1000, 0)</f>
        <v>0</v>
      </c>
      <c r="U160" s="14">
        <f>IF(ISNUMBER(Refsz_Verbräuche[[#This Row],[2030]]), Refsz_Verbräuche[[#This Row],[2030]]*Emissionsfaktoren[[#This Row],[2030]]/1000, 0)</f>
        <v>0</v>
      </c>
      <c r="V160" s="14">
        <f>IF(ISNUMBER(Refsz_Verbräuche[[#This Row],[2035]]), Refsz_Verbräuche[[#This Row],[2035]]*Emissionsfaktoren[[#This Row],[2035]]/1000, 0)</f>
        <v>0</v>
      </c>
      <c r="W160" s="14">
        <f>IF(ISNUMBER(Refsz_Verbräuche[[#This Row],[2040]]), Refsz_Verbräuche[[#This Row],[2040]]*Emissionsfaktoren[[#This Row],[2040]]/1000, 0)</f>
        <v>0</v>
      </c>
      <c r="X160" s="14">
        <f>IF(ISNUMBER(Refsz_Verbräuche[[#This Row],[2045]]), Refsz_Verbräuche[[#This Row],[2045]]*Emissionsfaktoren[[#This Row],[2045]]/1000, 0)</f>
        <v>0</v>
      </c>
      <c r="Y160" s="14">
        <f>IF(ISNUMBER(Refsz_Verbräuche[[#This Row],[2050]]), Refsz_Verbräuche[[#This Row],[2050]]*Emissionsfaktoren[[#This Row],[2050]]/1000, 0)</f>
        <v>0</v>
      </c>
    </row>
    <row r="161" spans="2:25" ht="16.5">
      <c r="B161" s="14">
        <v>144</v>
      </c>
      <c r="C161" s="14" t="str">
        <f>Refsz_Verbräuche[[#This Row],[Handlungsfeld]]</f>
        <v>Baugüter</v>
      </c>
      <c r="D161" s="19" t="str">
        <f>Refsz_Verbräuche[[#This Row],[Datenpunkt]]</f>
        <v>Mauerziegel (ungefüllt)</v>
      </c>
      <c r="E161" t="s">
        <v>195</v>
      </c>
      <c r="F161" s="14">
        <f>IF(ISNUMBER(Refsz_Verbräuche[[#This Row],[2015]]), Refsz_Verbräuche[[#This Row],[2015]]*Emissionsfaktoren[[#This Row],[2015]]/1000, 0)</f>
        <v>0</v>
      </c>
      <c r="G161" s="14">
        <f>IF(ISNUMBER(Refsz_Verbräuche[[#This Row],[2016]]), Refsz_Verbräuche[[#This Row],[2016]]*Emissionsfaktoren[[#This Row],[2016]]/1000, 0)</f>
        <v>0</v>
      </c>
      <c r="H161" s="14">
        <f>IF(ISNUMBER(Refsz_Verbräuche[[#This Row],[2017]]), Refsz_Verbräuche[[#This Row],[2017]]*Emissionsfaktoren[[#This Row],[2017]]/1000, 0)</f>
        <v>0</v>
      </c>
      <c r="I161" s="14">
        <f>IF(ISNUMBER(Refsz_Verbräuche[[#This Row],[2018]]), Refsz_Verbräuche[[#This Row],[2018]]*Emissionsfaktoren[[#This Row],[2018]]/1000, 0)</f>
        <v>0</v>
      </c>
      <c r="J161" s="14">
        <f>IF(ISNUMBER(Refsz_Verbräuche[[#This Row],[2019]]), Refsz_Verbräuche[[#This Row],[2019]]*Emissionsfaktoren[[#This Row],[2019]]/1000, 0)</f>
        <v>0</v>
      </c>
      <c r="K161" s="14">
        <f>IF(ISNUMBER(Refsz_Verbräuche[[#This Row],[2020]]), Refsz_Verbräuche[[#This Row],[2020]]*Emissionsfaktoren[[#This Row],[2020]]/1000, 0)</f>
        <v>0</v>
      </c>
      <c r="L161" s="14">
        <f>IF(ISNUMBER(Refsz_Verbräuche[[#This Row],[2021]]), Refsz_Verbräuche[[#This Row],[2021]]*Emissionsfaktoren[[#This Row],[2021]]/1000, 0)</f>
        <v>0</v>
      </c>
      <c r="M161" s="14">
        <f>IF(ISNUMBER(Refsz_Verbräuche[[#This Row],[2022]]), Refsz_Verbräuche[[#This Row],[2022]]*Emissionsfaktoren[[#This Row],[2022]]/1000, 0)</f>
        <v>0</v>
      </c>
      <c r="N161" s="14">
        <f>IF(ISNUMBER(Refsz_Verbräuche[[#This Row],[2023]]), Refsz_Verbräuche[[#This Row],[2023]]*Emissionsfaktoren[[#This Row],[2023]]/1000, 0)</f>
        <v>0</v>
      </c>
      <c r="O161" s="14">
        <f>IF(ISNUMBER(Refsz_Verbräuche[[#This Row],[2024]]), Refsz_Verbräuche[[#This Row],[2024]]*Emissionsfaktoren[[#This Row],[2024]]/1000, 0)</f>
        <v>0</v>
      </c>
      <c r="P161" s="14">
        <f>IF(ISNUMBER(Refsz_Verbräuche[[#This Row],[2025]]), Refsz_Verbräuche[[#This Row],[2025]]*Emissionsfaktoren[[#This Row],[2025]]/1000, 0)</f>
        <v>0</v>
      </c>
      <c r="Q161" s="14">
        <f>IF(ISNUMBER(Refsz_Verbräuche[[#This Row],[2026]]), Refsz_Verbräuche[[#This Row],[2026]]*Emissionsfaktoren[[#This Row],[2026]]/1000, 0)</f>
        <v>0</v>
      </c>
      <c r="R161" s="14">
        <f>IF(ISNUMBER(Refsz_Verbräuche[[#This Row],[2027]]), Refsz_Verbräuche[[#This Row],[2027]]*Emissionsfaktoren[[#This Row],[2027]]/1000, 0)</f>
        <v>0</v>
      </c>
      <c r="S161" s="14">
        <f>IF(ISNUMBER(Refsz_Verbräuche[[#This Row],[2028]]), Refsz_Verbräuche[[#This Row],[2028]]*Emissionsfaktoren[[#This Row],[2028]]/1000, 0)</f>
        <v>0</v>
      </c>
      <c r="T161" s="14">
        <f>IF(ISNUMBER(Refsz_Verbräuche[[#This Row],[2029]]), Refsz_Verbräuche[[#This Row],[2029]]*Emissionsfaktoren[[#This Row],[2029]]/1000, 0)</f>
        <v>0</v>
      </c>
      <c r="U161" s="14">
        <f>IF(ISNUMBER(Refsz_Verbräuche[[#This Row],[2030]]), Refsz_Verbräuche[[#This Row],[2030]]*Emissionsfaktoren[[#This Row],[2030]]/1000, 0)</f>
        <v>0</v>
      </c>
      <c r="V161" s="14">
        <f>IF(ISNUMBER(Refsz_Verbräuche[[#This Row],[2035]]), Refsz_Verbräuche[[#This Row],[2035]]*Emissionsfaktoren[[#This Row],[2035]]/1000, 0)</f>
        <v>0</v>
      </c>
      <c r="W161" s="14">
        <f>IF(ISNUMBER(Refsz_Verbräuche[[#This Row],[2040]]), Refsz_Verbräuche[[#This Row],[2040]]*Emissionsfaktoren[[#This Row],[2040]]/1000, 0)</f>
        <v>0</v>
      </c>
      <c r="X161" s="14">
        <f>IF(ISNUMBER(Refsz_Verbräuche[[#This Row],[2045]]), Refsz_Verbräuche[[#This Row],[2045]]*Emissionsfaktoren[[#This Row],[2045]]/1000, 0)</f>
        <v>0</v>
      </c>
      <c r="Y161" s="14">
        <f>IF(ISNUMBER(Refsz_Verbräuche[[#This Row],[2050]]), Refsz_Verbräuche[[#This Row],[2050]]*Emissionsfaktoren[[#This Row],[2050]]/1000, 0)</f>
        <v>0</v>
      </c>
    </row>
    <row r="162" spans="2:25" ht="16.5">
      <c r="B162" s="14">
        <v>145</v>
      </c>
      <c r="C162" s="14">
        <f>Refsz_Verbräuche[[#This Row],[Handlungsfeld]]</f>
        <v>0</v>
      </c>
      <c r="D162" s="19">
        <f>Refsz_Verbräuche[[#This Row],[Datenpunkt]]</f>
        <v>0</v>
      </c>
      <c r="E162" t="s">
        <v>195</v>
      </c>
      <c r="F162" s="14">
        <f>IF(ISNUMBER(Refsz_Verbräuche[[#This Row],[2015]]), Refsz_Verbräuche[[#This Row],[2015]]*Emissionsfaktoren[[#This Row],[2015]]/1000, 0)</f>
        <v>0</v>
      </c>
      <c r="G162" s="14">
        <f>IF(ISNUMBER(Refsz_Verbräuche[[#This Row],[2016]]), Refsz_Verbräuche[[#This Row],[2016]]*Emissionsfaktoren[[#This Row],[2016]]/1000, 0)</f>
        <v>0</v>
      </c>
      <c r="H162" s="14">
        <f>IF(ISNUMBER(Refsz_Verbräuche[[#This Row],[2017]]), Refsz_Verbräuche[[#This Row],[2017]]*Emissionsfaktoren[[#This Row],[2017]]/1000, 0)</f>
        <v>0</v>
      </c>
      <c r="I162" s="14">
        <f>IF(ISNUMBER(Refsz_Verbräuche[[#This Row],[2018]]), Refsz_Verbräuche[[#This Row],[2018]]*Emissionsfaktoren[[#This Row],[2018]]/1000, 0)</f>
        <v>0</v>
      </c>
      <c r="J162" s="14">
        <f>IF(ISNUMBER(Refsz_Verbräuche[[#This Row],[2019]]), Refsz_Verbräuche[[#This Row],[2019]]*Emissionsfaktoren[[#This Row],[2019]]/1000, 0)</f>
        <v>0</v>
      </c>
      <c r="K162" s="14">
        <f>IF(ISNUMBER(Refsz_Verbräuche[[#This Row],[2020]]), Refsz_Verbräuche[[#This Row],[2020]]*Emissionsfaktoren[[#This Row],[2020]]/1000, 0)</f>
        <v>0</v>
      </c>
      <c r="L162" s="14">
        <f>IF(ISNUMBER(Refsz_Verbräuche[[#This Row],[2021]]), Refsz_Verbräuche[[#This Row],[2021]]*Emissionsfaktoren[[#This Row],[2021]]/1000, 0)</f>
        <v>0</v>
      </c>
      <c r="M162" s="14">
        <f>IF(ISNUMBER(Refsz_Verbräuche[[#This Row],[2022]]), Refsz_Verbräuche[[#This Row],[2022]]*Emissionsfaktoren[[#This Row],[2022]]/1000, 0)</f>
        <v>0</v>
      </c>
      <c r="N162" s="14">
        <f>IF(ISNUMBER(Refsz_Verbräuche[[#This Row],[2023]]), Refsz_Verbräuche[[#This Row],[2023]]*Emissionsfaktoren[[#This Row],[2023]]/1000, 0)</f>
        <v>0</v>
      </c>
      <c r="O162" s="14">
        <f>IF(ISNUMBER(Refsz_Verbräuche[[#This Row],[2024]]), Refsz_Verbräuche[[#This Row],[2024]]*Emissionsfaktoren[[#This Row],[2024]]/1000, 0)</f>
        <v>0</v>
      </c>
      <c r="P162" s="14">
        <f>IF(ISNUMBER(Refsz_Verbräuche[[#This Row],[2025]]), Refsz_Verbräuche[[#This Row],[2025]]*Emissionsfaktoren[[#This Row],[2025]]/1000, 0)</f>
        <v>0</v>
      </c>
      <c r="Q162" s="14">
        <f>IF(ISNUMBER(Refsz_Verbräuche[[#This Row],[2026]]), Refsz_Verbräuche[[#This Row],[2026]]*Emissionsfaktoren[[#This Row],[2026]]/1000, 0)</f>
        <v>0</v>
      </c>
      <c r="R162" s="14">
        <f>IF(ISNUMBER(Refsz_Verbräuche[[#This Row],[2027]]), Refsz_Verbräuche[[#This Row],[2027]]*Emissionsfaktoren[[#This Row],[2027]]/1000, 0)</f>
        <v>0</v>
      </c>
      <c r="S162" s="14">
        <f>IF(ISNUMBER(Refsz_Verbräuche[[#This Row],[2028]]), Refsz_Verbräuche[[#This Row],[2028]]*Emissionsfaktoren[[#This Row],[2028]]/1000, 0)</f>
        <v>0</v>
      </c>
      <c r="T162" s="14">
        <f>IF(ISNUMBER(Refsz_Verbräuche[[#This Row],[2029]]), Refsz_Verbräuche[[#This Row],[2029]]*Emissionsfaktoren[[#This Row],[2029]]/1000, 0)</f>
        <v>0</v>
      </c>
      <c r="U162" s="14">
        <f>IF(ISNUMBER(Refsz_Verbräuche[[#This Row],[2030]]), Refsz_Verbräuche[[#This Row],[2030]]*Emissionsfaktoren[[#This Row],[2030]]/1000, 0)</f>
        <v>0</v>
      </c>
      <c r="V162" s="14">
        <f>IF(ISNUMBER(Refsz_Verbräuche[[#This Row],[2035]]), Refsz_Verbräuche[[#This Row],[2035]]*Emissionsfaktoren[[#This Row],[2035]]/1000, 0)</f>
        <v>0</v>
      </c>
      <c r="W162" s="14">
        <f>IF(ISNUMBER(Refsz_Verbräuche[[#This Row],[2040]]), Refsz_Verbräuche[[#This Row],[2040]]*Emissionsfaktoren[[#This Row],[2040]]/1000, 0)</f>
        <v>0</v>
      </c>
      <c r="X162" s="14">
        <f>IF(ISNUMBER(Refsz_Verbräuche[[#This Row],[2045]]), Refsz_Verbräuche[[#This Row],[2045]]*Emissionsfaktoren[[#This Row],[2045]]/1000, 0)</f>
        <v>0</v>
      </c>
      <c r="Y162" s="14">
        <f>IF(ISNUMBER(Refsz_Verbräuche[[#This Row],[2050]]), Refsz_Verbräuche[[#This Row],[2050]]*Emissionsfaktoren[[#This Row],[2050]]/1000, 0)</f>
        <v>0</v>
      </c>
    </row>
    <row r="163" spans="2:25" ht="16.5">
      <c r="B163" s="14">
        <v>146</v>
      </c>
      <c r="C163" s="14" t="str">
        <f>Refsz_Verbräuche[[#This Row],[Handlungsfeld]]</f>
        <v>Waren mit negativem GWP total</v>
      </c>
      <c r="D163" s="19" t="str">
        <f>Refsz_Verbräuche[[#This Row],[Datenpunkt]]</f>
        <v>Holzfaserdämmpatte (flexibe Matte)</v>
      </c>
      <c r="E163" t="s">
        <v>195</v>
      </c>
      <c r="F163" s="14">
        <f>IF(ISNUMBER(Refsz_Verbräuche[[#This Row],[2015]]), Refsz_Verbräuche[[#This Row],[2015]]*Emissionsfaktoren[[#This Row],[2015]]/1000, 0)</f>
        <v>0</v>
      </c>
      <c r="G163" s="14">
        <f>IF(ISNUMBER(Refsz_Verbräuche[[#This Row],[2016]]), Refsz_Verbräuche[[#This Row],[2016]]*Emissionsfaktoren[[#This Row],[2016]]/1000, 0)</f>
        <v>0</v>
      </c>
      <c r="H163" s="14">
        <f>IF(ISNUMBER(Refsz_Verbräuche[[#This Row],[2017]]), Refsz_Verbräuche[[#This Row],[2017]]*Emissionsfaktoren[[#This Row],[2017]]/1000, 0)</f>
        <v>0</v>
      </c>
      <c r="I163" s="14">
        <f>IF(ISNUMBER(Refsz_Verbräuche[[#This Row],[2018]]), Refsz_Verbräuche[[#This Row],[2018]]*Emissionsfaktoren[[#This Row],[2018]]/1000, 0)</f>
        <v>0</v>
      </c>
      <c r="J163" s="14">
        <f>IF(ISNUMBER(Refsz_Verbräuche[[#This Row],[2019]]), Refsz_Verbräuche[[#This Row],[2019]]*Emissionsfaktoren[[#This Row],[2019]]/1000, 0)</f>
        <v>0</v>
      </c>
      <c r="K163" s="14">
        <f>IF(ISNUMBER(Refsz_Verbräuche[[#This Row],[2020]]), Refsz_Verbräuche[[#This Row],[2020]]*Emissionsfaktoren[[#This Row],[2020]]/1000, 0)</f>
        <v>0</v>
      </c>
      <c r="L163" s="14">
        <f>IF(ISNUMBER(Refsz_Verbräuche[[#This Row],[2021]]), Refsz_Verbräuche[[#This Row],[2021]]*Emissionsfaktoren[[#This Row],[2021]]/1000, 0)</f>
        <v>0</v>
      </c>
      <c r="M163" s="14">
        <f>IF(ISNUMBER(Refsz_Verbräuche[[#This Row],[2022]]), Refsz_Verbräuche[[#This Row],[2022]]*Emissionsfaktoren[[#This Row],[2022]]/1000, 0)</f>
        <v>0</v>
      </c>
      <c r="N163" s="14">
        <f>IF(ISNUMBER(Refsz_Verbräuche[[#This Row],[2023]]), Refsz_Verbräuche[[#This Row],[2023]]*Emissionsfaktoren[[#This Row],[2023]]/1000, 0)</f>
        <v>0</v>
      </c>
      <c r="O163" s="14">
        <f>IF(ISNUMBER(Refsz_Verbräuche[[#This Row],[2024]]), Refsz_Verbräuche[[#This Row],[2024]]*Emissionsfaktoren[[#This Row],[2024]]/1000, 0)</f>
        <v>0</v>
      </c>
      <c r="P163" s="14">
        <f>IF(ISNUMBER(Refsz_Verbräuche[[#This Row],[2025]]), Refsz_Verbräuche[[#This Row],[2025]]*Emissionsfaktoren[[#This Row],[2025]]/1000, 0)</f>
        <v>0</v>
      </c>
      <c r="Q163" s="14">
        <f>IF(ISNUMBER(Refsz_Verbräuche[[#This Row],[2026]]), Refsz_Verbräuche[[#This Row],[2026]]*Emissionsfaktoren[[#This Row],[2026]]/1000, 0)</f>
        <v>0</v>
      </c>
      <c r="R163" s="14">
        <f>IF(ISNUMBER(Refsz_Verbräuche[[#This Row],[2027]]), Refsz_Verbräuche[[#This Row],[2027]]*Emissionsfaktoren[[#This Row],[2027]]/1000, 0)</f>
        <v>0</v>
      </c>
      <c r="S163" s="14">
        <f>IF(ISNUMBER(Refsz_Verbräuche[[#This Row],[2028]]), Refsz_Verbräuche[[#This Row],[2028]]*Emissionsfaktoren[[#This Row],[2028]]/1000, 0)</f>
        <v>0</v>
      </c>
      <c r="T163" s="14">
        <f>IF(ISNUMBER(Refsz_Verbräuche[[#This Row],[2029]]), Refsz_Verbräuche[[#This Row],[2029]]*Emissionsfaktoren[[#This Row],[2029]]/1000, 0)</f>
        <v>0</v>
      </c>
      <c r="U163" s="14">
        <f>IF(ISNUMBER(Refsz_Verbräuche[[#This Row],[2030]]), Refsz_Verbräuche[[#This Row],[2030]]*Emissionsfaktoren[[#This Row],[2030]]/1000, 0)</f>
        <v>0</v>
      </c>
      <c r="V163" s="14">
        <f>IF(ISNUMBER(Refsz_Verbräuche[[#This Row],[2035]]), Refsz_Verbräuche[[#This Row],[2035]]*Emissionsfaktoren[[#This Row],[2035]]/1000, 0)</f>
        <v>0</v>
      </c>
      <c r="W163" s="14">
        <f>IF(ISNUMBER(Refsz_Verbräuche[[#This Row],[2040]]), Refsz_Verbräuche[[#This Row],[2040]]*Emissionsfaktoren[[#This Row],[2040]]/1000, 0)</f>
        <v>0</v>
      </c>
      <c r="X163" s="14">
        <f>IF(ISNUMBER(Refsz_Verbräuche[[#This Row],[2045]]), Refsz_Verbräuche[[#This Row],[2045]]*Emissionsfaktoren[[#This Row],[2045]]/1000, 0)</f>
        <v>0</v>
      </c>
      <c r="Y163" s="14">
        <f>IF(ISNUMBER(Refsz_Verbräuche[[#This Row],[2050]]), Refsz_Verbräuche[[#This Row],[2050]]*Emissionsfaktoren[[#This Row],[2050]]/1000, 0)</f>
        <v>0</v>
      </c>
    </row>
    <row r="164" spans="2:25" ht="16.5">
      <c r="B164" s="14">
        <v>147</v>
      </c>
      <c r="C164" s="14">
        <f>Refsz_Verbräuche[[#This Row],[Handlungsfeld]]</f>
        <v>0</v>
      </c>
      <c r="D164" s="19">
        <f>Refsz_Verbräuche[[#This Row],[Datenpunkt]]</f>
        <v>0</v>
      </c>
      <c r="E164" t="s">
        <v>195</v>
      </c>
      <c r="F164" s="14">
        <f>IF(ISNUMBER(Refsz_Verbräuche[[#This Row],[2015]]), Refsz_Verbräuche[[#This Row],[2015]]*Emissionsfaktoren[[#This Row],[2015]]/1000, 0)</f>
        <v>0</v>
      </c>
      <c r="G164" s="14">
        <f>IF(ISNUMBER(Refsz_Verbräuche[[#This Row],[2016]]), Refsz_Verbräuche[[#This Row],[2016]]*Emissionsfaktoren[[#This Row],[2016]]/1000, 0)</f>
        <v>0</v>
      </c>
      <c r="H164" s="14">
        <f>IF(ISNUMBER(Refsz_Verbräuche[[#This Row],[2017]]), Refsz_Verbräuche[[#This Row],[2017]]*Emissionsfaktoren[[#This Row],[2017]]/1000, 0)</f>
        <v>0</v>
      </c>
      <c r="I164" s="14">
        <f>IF(ISNUMBER(Refsz_Verbräuche[[#This Row],[2018]]), Refsz_Verbräuche[[#This Row],[2018]]*Emissionsfaktoren[[#This Row],[2018]]/1000, 0)</f>
        <v>0</v>
      </c>
      <c r="J164" s="14">
        <f>IF(ISNUMBER(Refsz_Verbräuche[[#This Row],[2019]]), Refsz_Verbräuche[[#This Row],[2019]]*Emissionsfaktoren[[#This Row],[2019]]/1000, 0)</f>
        <v>0</v>
      </c>
      <c r="K164" s="14">
        <f>IF(ISNUMBER(Refsz_Verbräuche[[#This Row],[2020]]), Refsz_Verbräuche[[#This Row],[2020]]*Emissionsfaktoren[[#This Row],[2020]]/1000, 0)</f>
        <v>0</v>
      </c>
      <c r="L164" s="14">
        <f>IF(ISNUMBER(Refsz_Verbräuche[[#This Row],[2021]]), Refsz_Verbräuche[[#This Row],[2021]]*Emissionsfaktoren[[#This Row],[2021]]/1000, 0)</f>
        <v>0</v>
      </c>
      <c r="M164" s="14">
        <f>IF(ISNUMBER(Refsz_Verbräuche[[#This Row],[2022]]), Refsz_Verbräuche[[#This Row],[2022]]*Emissionsfaktoren[[#This Row],[2022]]/1000, 0)</f>
        <v>0</v>
      </c>
      <c r="N164" s="14">
        <f>IF(ISNUMBER(Refsz_Verbräuche[[#This Row],[2023]]), Refsz_Verbräuche[[#This Row],[2023]]*Emissionsfaktoren[[#This Row],[2023]]/1000, 0)</f>
        <v>0</v>
      </c>
      <c r="O164" s="14">
        <f>IF(ISNUMBER(Refsz_Verbräuche[[#This Row],[2024]]), Refsz_Verbräuche[[#This Row],[2024]]*Emissionsfaktoren[[#This Row],[2024]]/1000, 0)</f>
        <v>0</v>
      </c>
      <c r="P164" s="14">
        <f>IF(ISNUMBER(Refsz_Verbräuche[[#This Row],[2025]]), Refsz_Verbräuche[[#This Row],[2025]]*Emissionsfaktoren[[#This Row],[2025]]/1000, 0)</f>
        <v>0</v>
      </c>
      <c r="Q164" s="14">
        <f>IF(ISNUMBER(Refsz_Verbräuche[[#This Row],[2026]]), Refsz_Verbräuche[[#This Row],[2026]]*Emissionsfaktoren[[#This Row],[2026]]/1000, 0)</f>
        <v>0</v>
      </c>
      <c r="R164" s="14">
        <f>IF(ISNUMBER(Refsz_Verbräuche[[#This Row],[2027]]), Refsz_Verbräuche[[#This Row],[2027]]*Emissionsfaktoren[[#This Row],[2027]]/1000, 0)</f>
        <v>0</v>
      </c>
      <c r="S164" s="14">
        <f>IF(ISNUMBER(Refsz_Verbräuche[[#This Row],[2028]]), Refsz_Verbräuche[[#This Row],[2028]]*Emissionsfaktoren[[#This Row],[2028]]/1000, 0)</f>
        <v>0</v>
      </c>
      <c r="T164" s="14">
        <f>IF(ISNUMBER(Refsz_Verbräuche[[#This Row],[2029]]), Refsz_Verbräuche[[#This Row],[2029]]*Emissionsfaktoren[[#This Row],[2029]]/1000, 0)</f>
        <v>0</v>
      </c>
      <c r="U164" s="14">
        <f>IF(ISNUMBER(Refsz_Verbräuche[[#This Row],[2030]]), Refsz_Verbräuche[[#This Row],[2030]]*Emissionsfaktoren[[#This Row],[2030]]/1000, 0)</f>
        <v>0</v>
      </c>
      <c r="V164" s="14">
        <f>IF(ISNUMBER(Refsz_Verbräuche[[#This Row],[2035]]), Refsz_Verbräuche[[#This Row],[2035]]*Emissionsfaktoren[[#This Row],[2035]]/1000, 0)</f>
        <v>0</v>
      </c>
      <c r="W164" s="14">
        <f>IF(ISNUMBER(Refsz_Verbräuche[[#This Row],[2040]]), Refsz_Verbräuche[[#This Row],[2040]]*Emissionsfaktoren[[#This Row],[2040]]/1000, 0)</f>
        <v>0</v>
      </c>
      <c r="X164" s="14">
        <f>IF(ISNUMBER(Refsz_Verbräuche[[#This Row],[2045]]), Refsz_Verbräuche[[#This Row],[2045]]*Emissionsfaktoren[[#This Row],[2045]]/1000, 0)</f>
        <v>0</v>
      </c>
      <c r="Y164" s="14">
        <f>IF(ISNUMBER(Refsz_Verbräuche[[#This Row],[2050]]), Refsz_Verbräuche[[#This Row],[2050]]*Emissionsfaktoren[[#This Row],[2050]]/1000, 0)</f>
        <v>0</v>
      </c>
    </row>
    <row r="165" spans="2:25" ht="16.5">
      <c r="B165" s="14">
        <v>148</v>
      </c>
      <c r="C165" s="14" t="str">
        <f>Refsz_Verbräuche[[#This Row],[Handlungsfeld]]</f>
        <v>Kompensation</v>
      </c>
      <c r="D165" s="19" t="str">
        <f>Refsz_Verbräuche[[#This Row],[Datenpunkt]]</f>
        <v>Kompensation</v>
      </c>
      <c r="E165" t="s">
        <v>195</v>
      </c>
      <c r="F165" s="14">
        <f>IF(ISNUMBER(Refsz_Verbräuche[[#This Row],[2015]]), Refsz_Verbräuche[[#This Row],[2015]]*Emissionsfaktoren[[#This Row],[2015]]/1000, 0)</f>
        <v>0</v>
      </c>
      <c r="G165" s="14">
        <f>IF(ISNUMBER(Refsz_Verbräuche[[#This Row],[2016]]), Refsz_Verbräuche[[#This Row],[2016]]*Emissionsfaktoren[[#This Row],[2016]]/1000, 0)</f>
        <v>0</v>
      </c>
      <c r="H165" s="14">
        <f>IF(ISNUMBER(Refsz_Verbräuche[[#This Row],[2017]]), Refsz_Verbräuche[[#This Row],[2017]]*Emissionsfaktoren[[#This Row],[2017]]/1000, 0)</f>
        <v>0</v>
      </c>
      <c r="I165" s="14">
        <f>IF(ISNUMBER(Refsz_Verbräuche[[#This Row],[2018]]), Refsz_Verbräuche[[#This Row],[2018]]*Emissionsfaktoren[[#This Row],[2018]]/1000, 0)</f>
        <v>0</v>
      </c>
      <c r="J165" s="14">
        <f>IF(ISNUMBER(Refsz_Verbräuche[[#This Row],[2019]]), Refsz_Verbräuche[[#This Row],[2019]]*Emissionsfaktoren[[#This Row],[2019]]/1000, 0)</f>
        <v>0</v>
      </c>
      <c r="K165" s="14">
        <f>IF(ISNUMBER(Refsz_Verbräuche[[#This Row],[2020]]), Refsz_Verbräuche[[#This Row],[2020]]*Emissionsfaktoren[[#This Row],[2020]]/1000, 0)</f>
        <v>0</v>
      </c>
      <c r="L165" s="14">
        <f>IF(ISNUMBER(Refsz_Verbräuche[[#This Row],[2021]]), Refsz_Verbräuche[[#This Row],[2021]]*Emissionsfaktoren[[#This Row],[2021]]/1000, 0)</f>
        <v>0</v>
      </c>
      <c r="M165" s="14">
        <f>IF(ISNUMBER(Refsz_Verbräuche[[#This Row],[2022]]), Refsz_Verbräuche[[#This Row],[2022]]*Emissionsfaktoren[[#This Row],[2022]]/1000, 0)</f>
        <v>0</v>
      </c>
      <c r="N165" s="14">
        <f>IF(ISNUMBER(Refsz_Verbräuche[[#This Row],[2023]]), Refsz_Verbräuche[[#This Row],[2023]]*Emissionsfaktoren[[#This Row],[2023]]/1000, 0)</f>
        <v>0</v>
      </c>
      <c r="O165" s="14">
        <f>IF(ISNUMBER(Refsz_Verbräuche[[#This Row],[2024]]), Refsz_Verbräuche[[#This Row],[2024]]*Emissionsfaktoren[[#This Row],[2024]]/1000, 0)</f>
        <v>0</v>
      </c>
      <c r="P165" s="14">
        <f>IF(ISNUMBER(Refsz_Verbräuche[[#This Row],[2025]]), Refsz_Verbräuche[[#This Row],[2025]]*Emissionsfaktoren[[#This Row],[2025]]/1000, 0)</f>
        <v>0</v>
      </c>
      <c r="Q165" s="14">
        <f>IF(ISNUMBER(Refsz_Verbräuche[[#This Row],[2026]]), Refsz_Verbräuche[[#This Row],[2026]]*Emissionsfaktoren[[#This Row],[2026]]/1000, 0)</f>
        <v>0</v>
      </c>
      <c r="R165" s="14">
        <f>IF(ISNUMBER(Refsz_Verbräuche[[#This Row],[2027]]), Refsz_Verbräuche[[#This Row],[2027]]*Emissionsfaktoren[[#This Row],[2027]]/1000, 0)</f>
        <v>0</v>
      </c>
      <c r="S165" s="14">
        <f>IF(ISNUMBER(Refsz_Verbräuche[[#This Row],[2028]]), Refsz_Verbräuche[[#This Row],[2028]]*Emissionsfaktoren[[#This Row],[2028]]/1000, 0)</f>
        <v>0</v>
      </c>
      <c r="T165" s="14">
        <f>IF(ISNUMBER(Refsz_Verbräuche[[#This Row],[2029]]), Refsz_Verbräuche[[#This Row],[2029]]*Emissionsfaktoren[[#This Row],[2029]]/1000, 0)</f>
        <v>0</v>
      </c>
      <c r="U165" s="14">
        <f>IF(ISNUMBER(Refsz_Verbräuche[[#This Row],[2030]]), Refsz_Verbräuche[[#This Row],[2030]]*Emissionsfaktoren[[#This Row],[2030]]/1000, 0)</f>
        <v>0</v>
      </c>
      <c r="V165" s="14">
        <f>IF(ISNUMBER(Refsz_Verbräuche[[#This Row],[2035]]), Refsz_Verbräuche[[#This Row],[2035]]*Emissionsfaktoren[[#This Row],[2035]]/1000, 0)</f>
        <v>0</v>
      </c>
      <c r="W165" s="14">
        <f>IF(ISNUMBER(Refsz_Verbräuche[[#This Row],[2040]]), Refsz_Verbräuche[[#This Row],[2040]]*Emissionsfaktoren[[#This Row],[2040]]/1000, 0)</f>
        <v>0</v>
      </c>
      <c r="X165" s="14">
        <f>IF(ISNUMBER(Refsz_Verbräuche[[#This Row],[2045]]), Refsz_Verbräuche[[#This Row],[2045]]*Emissionsfaktoren[[#This Row],[2045]]/1000, 0)</f>
        <v>0</v>
      </c>
      <c r="Y165" s="14">
        <f>IF(ISNUMBER(Refsz_Verbräuche[[#This Row],[2050]]), Refsz_Verbräuche[[#This Row],[2050]]*Emissionsfaktoren[[#This Row],[2050]]/1000, 0)</f>
        <v>0</v>
      </c>
    </row>
    <row r="166" spans="2:25" ht="16.5">
      <c r="B166" s="14">
        <v>149</v>
      </c>
      <c r="C166" s="14">
        <f>Refsz_Verbräuche[[#This Row],[Handlungsfeld]]</f>
        <v>0</v>
      </c>
      <c r="D166" s="19">
        <f>Refsz_Verbräuche[[#This Row],[Datenpunkt]]</f>
        <v>0</v>
      </c>
      <c r="E166" t="s">
        <v>195</v>
      </c>
      <c r="F166" s="14">
        <f>IF(ISNUMBER(Refsz_Verbräuche[[#This Row],[2015]]), Refsz_Verbräuche[[#This Row],[2015]]*Emissionsfaktoren[[#This Row],[2015]]/1000, 0)</f>
        <v>0</v>
      </c>
      <c r="G166" s="14">
        <f>IF(ISNUMBER(Refsz_Verbräuche[[#This Row],[2016]]), Refsz_Verbräuche[[#This Row],[2016]]*Emissionsfaktoren[[#This Row],[2016]]/1000, 0)</f>
        <v>0</v>
      </c>
      <c r="H166" s="14">
        <f>IF(ISNUMBER(Refsz_Verbräuche[[#This Row],[2017]]), Refsz_Verbräuche[[#This Row],[2017]]*Emissionsfaktoren[[#This Row],[2017]]/1000, 0)</f>
        <v>0</v>
      </c>
      <c r="I166" s="14">
        <f>IF(ISNUMBER(Refsz_Verbräuche[[#This Row],[2018]]), Refsz_Verbräuche[[#This Row],[2018]]*Emissionsfaktoren[[#This Row],[2018]]/1000, 0)</f>
        <v>0</v>
      </c>
      <c r="J166" s="14">
        <f>IF(ISNUMBER(Refsz_Verbräuche[[#This Row],[2019]]), Refsz_Verbräuche[[#This Row],[2019]]*Emissionsfaktoren[[#This Row],[2019]]/1000, 0)</f>
        <v>0</v>
      </c>
      <c r="K166" s="14">
        <f>IF(ISNUMBER(Refsz_Verbräuche[[#This Row],[2020]]), Refsz_Verbräuche[[#This Row],[2020]]*Emissionsfaktoren[[#This Row],[2020]]/1000, 0)</f>
        <v>0</v>
      </c>
      <c r="L166" s="14">
        <f>IF(ISNUMBER(Refsz_Verbräuche[[#This Row],[2021]]), Refsz_Verbräuche[[#This Row],[2021]]*Emissionsfaktoren[[#This Row],[2021]]/1000, 0)</f>
        <v>0</v>
      </c>
      <c r="M166" s="14">
        <f>IF(ISNUMBER(Refsz_Verbräuche[[#This Row],[2022]]), Refsz_Verbräuche[[#This Row],[2022]]*Emissionsfaktoren[[#This Row],[2022]]/1000, 0)</f>
        <v>0</v>
      </c>
      <c r="N166" s="14">
        <f>IF(ISNUMBER(Refsz_Verbräuche[[#This Row],[2023]]), Refsz_Verbräuche[[#This Row],[2023]]*Emissionsfaktoren[[#This Row],[2023]]/1000, 0)</f>
        <v>0</v>
      </c>
      <c r="O166" s="14">
        <f>IF(ISNUMBER(Refsz_Verbräuche[[#This Row],[2024]]), Refsz_Verbräuche[[#This Row],[2024]]*Emissionsfaktoren[[#This Row],[2024]]/1000, 0)</f>
        <v>0</v>
      </c>
      <c r="P166" s="14">
        <f>IF(ISNUMBER(Refsz_Verbräuche[[#This Row],[2025]]), Refsz_Verbräuche[[#This Row],[2025]]*Emissionsfaktoren[[#This Row],[2025]]/1000, 0)</f>
        <v>0</v>
      </c>
      <c r="Q166" s="14">
        <f>IF(ISNUMBER(Refsz_Verbräuche[[#This Row],[2026]]), Refsz_Verbräuche[[#This Row],[2026]]*Emissionsfaktoren[[#This Row],[2026]]/1000, 0)</f>
        <v>0</v>
      </c>
      <c r="R166" s="14">
        <f>IF(ISNUMBER(Refsz_Verbräuche[[#This Row],[2027]]), Refsz_Verbräuche[[#This Row],[2027]]*Emissionsfaktoren[[#This Row],[2027]]/1000, 0)</f>
        <v>0</v>
      </c>
      <c r="S166" s="14">
        <f>IF(ISNUMBER(Refsz_Verbräuche[[#This Row],[2028]]), Refsz_Verbräuche[[#This Row],[2028]]*Emissionsfaktoren[[#This Row],[2028]]/1000, 0)</f>
        <v>0</v>
      </c>
      <c r="T166" s="14">
        <f>IF(ISNUMBER(Refsz_Verbräuche[[#This Row],[2029]]), Refsz_Verbräuche[[#This Row],[2029]]*Emissionsfaktoren[[#This Row],[2029]]/1000, 0)</f>
        <v>0</v>
      </c>
      <c r="U166" s="14">
        <f>IF(ISNUMBER(Refsz_Verbräuche[[#This Row],[2030]]), Refsz_Verbräuche[[#This Row],[2030]]*Emissionsfaktoren[[#This Row],[2030]]/1000, 0)</f>
        <v>0</v>
      </c>
      <c r="V166" s="14">
        <f>IF(ISNUMBER(Refsz_Verbräuche[[#This Row],[2035]]), Refsz_Verbräuche[[#This Row],[2035]]*Emissionsfaktoren[[#This Row],[2035]]/1000, 0)</f>
        <v>0</v>
      </c>
      <c r="W166" s="14">
        <f>IF(ISNUMBER(Refsz_Verbräuche[[#This Row],[2040]]), Refsz_Verbräuche[[#This Row],[2040]]*Emissionsfaktoren[[#This Row],[2040]]/1000, 0)</f>
        <v>0</v>
      </c>
      <c r="X166" s="14">
        <f>IF(ISNUMBER(Refsz_Verbräuche[[#This Row],[2045]]), Refsz_Verbräuche[[#This Row],[2045]]*Emissionsfaktoren[[#This Row],[2045]]/1000, 0)</f>
        <v>0</v>
      </c>
      <c r="Y166" s="14">
        <f>IF(ISNUMBER(Refsz_Verbräuche[[#This Row],[2050]]), Refsz_Verbräuche[[#This Row],[2050]]*Emissionsfaktoren[[#This Row],[2050]]/1000, 0)</f>
        <v>0</v>
      </c>
    </row>
    <row r="167" spans="2:25" ht="16.5">
      <c r="B167" s="14">
        <v>150</v>
      </c>
      <c r="C167" s="14">
        <f>Refsz_Verbräuche[[#This Row],[Handlungsfeld]]</f>
        <v>0</v>
      </c>
      <c r="D167" s="19">
        <f>Refsz_Verbräuche[[#This Row],[Datenpunkt]]</f>
        <v>0</v>
      </c>
      <c r="E167" t="s">
        <v>195</v>
      </c>
      <c r="F167" s="14">
        <f>IF(ISNUMBER(Refsz_Verbräuche[[#This Row],[2015]]), Refsz_Verbräuche[[#This Row],[2015]]*Emissionsfaktoren[[#This Row],[2015]]/1000, 0)</f>
        <v>0</v>
      </c>
      <c r="G167" s="14">
        <f>IF(ISNUMBER(Refsz_Verbräuche[[#This Row],[2016]]), Refsz_Verbräuche[[#This Row],[2016]]*Emissionsfaktoren[[#This Row],[2016]]/1000, 0)</f>
        <v>0</v>
      </c>
      <c r="H167" s="14">
        <f>IF(ISNUMBER(Refsz_Verbräuche[[#This Row],[2017]]), Refsz_Verbräuche[[#This Row],[2017]]*Emissionsfaktoren[[#This Row],[2017]]/1000, 0)</f>
        <v>0</v>
      </c>
      <c r="I167" s="14">
        <f>IF(ISNUMBER(Refsz_Verbräuche[[#This Row],[2018]]), Refsz_Verbräuche[[#This Row],[2018]]*Emissionsfaktoren[[#This Row],[2018]]/1000, 0)</f>
        <v>0</v>
      </c>
      <c r="J167" s="14">
        <f>IF(ISNUMBER(Refsz_Verbräuche[[#This Row],[2019]]), Refsz_Verbräuche[[#This Row],[2019]]*Emissionsfaktoren[[#This Row],[2019]]/1000, 0)</f>
        <v>0</v>
      </c>
      <c r="K167" s="14">
        <f>IF(ISNUMBER(Refsz_Verbräuche[[#This Row],[2020]]), Refsz_Verbräuche[[#This Row],[2020]]*Emissionsfaktoren[[#This Row],[2020]]/1000, 0)</f>
        <v>0</v>
      </c>
      <c r="L167" s="14">
        <f>IF(ISNUMBER(Refsz_Verbräuche[[#This Row],[2021]]), Refsz_Verbräuche[[#This Row],[2021]]*Emissionsfaktoren[[#This Row],[2021]]/1000, 0)</f>
        <v>0</v>
      </c>
      <c r="M167" s="14">
        <f>IF(ISNUMBER(Refsz_Verbräuche[[#This Row],[2022]]), Refsz_Verbräuche[[#This Row],[2022]]*Emissionsfaktoren[[#This Row],[2022]]/1000, 0)</f>
        <v>0</v>
      </c>
      <c r="N167" s="14">
        <f>IF(ISNUMBER(Refsz_Verbräuche[[#This Row],[2023]]), Refsz_Verbräuche[[#This Row],[2023]]*Emissionsfaktoren[[#This Row],[2023]]/1000, 0)</f>
        <v>0</v>
      </c>
      <c r="O167" s="14">
        <f>IF(ISNUMBER(Refsz_Verbräuche[[#This Row],[2024]]), Refsz_Verbräuche[[#This Row],[2024]]*Emissionsfaktoren[[#This Row],[2024]]/1000, 0)</f>
        <v>0</v>
      </c>
      <c r="P167" s="14">
        <f>IF(ISNUMBER(Refsz_Verbräuche[[#This Row],[2025]]), Refsz_Verbräuche[[#This Row],[2025]]*Emissionsfaktoren[[#This Row],[2025]]/1000, 0)</f>
        <v>0</v>
      </c>
      <c r="Q167" s="14">
        <f>IF(ISNUMBER(Refsz_Verbräuche[[#This Row],[2026]]), Refsz_Verbräuche[[#This Row],[2026]]*Emissionsfaktoren[[#This Row],[2026]]/1000, 0)</f>
        <v>0</v>
      </c>
      <c r="R167" s="14">
        <f>IF(ISNUMBER(Refsz_Verbräuche[[#This Row],[2027]]), Refsz_Verbräuche[[#This Row],[2027]]*Emissionsfaktoren[[#This Row],[2027]]/1000, 0)</f>
        <v>0</v>
      </c>
      <c r="S167" s="14">
        <f>IF(ISNUMBER(Refsz_Verbräuche[[#This Row],[2028]]), Refsz_Verbräuche[[#This Row],[2028]]*Emissionsfaktoren[[#This Row],[2028]]/1000, 0)</f>
        <v>0</v>
      </c>
      <c r="T167" s="14">
        <f>IF(ISNUMBER(Refsz_Verbräuche[[#This Row],[2029]]), Refsz_Verbräuche[[#This Row],[2029]]*Emissionsfaktoren[[#This Row],[2029]]/1000, 0)</f>
        <v>0</v>
      </c>
      <c r="U167" s="14">
        <f>IF(ISNUMBER(Refsz_Verbräuche[[#This Row],[2030]]), Refsz_Verbräuche[[#This Row],[2030]]*Emissionsfaktoren[[#This Row],[2030]]/1000, 0)</f>
        <v>0</v>
      </c>
      <c r="V167" s="14">
        <f>IF(ISNUMBER(Refsz_Verbräuche[[#This Row],[2035]]), Refsz_Verbräuche[[#This Row],[2035]]*Emissionsfaktoren[[#This Row],[2035]]/1000, 0)</f>
        <v>0</v>
      </c>
      <c r="W167" s="14">
        <f>IF(ISNUMBER(Refsz_Verbräuche[[#This Row],[2040]]), Refsz_Verbräuche[[#This Row],[2040]]*Emissionsfaktoren[[#This Row],[2040]]/1000, 0)</f>
        <v>0</v>
      </c>
      <c r="X167" s="14">
        <f>IF(ISNUMBER(Refsz_Verbräuche[[#This Row],[2045]]), Refsz_Verbräuche[[#This Row],[2045]]*Emissionsfaktoren[[#This Row],[2045]]/1000, 0)</f>
        <v>0</v>
      </c>
      <c r="Y167" s="14">
        <f>IF(ISNUMBER(Refsz_Verbräuche[[#This Row],[2050]]), Refsz_Verbräuche[[#This Row],[2050]]*Emissionsfaktoren[[#This Row],[2050]]/1000, 0)</f>
        <v>0</v>
      </c>
    </row>
    <row r="168" spans="2:25" ht="16.5">
      <c r="B168" s="14">
        <v>151</v>
      </c>
      <c r="C168" s="14">
        <f>Refsz_Verbräuche[[#This Row],[Handlungsfeld]]</f>
        <v>0</v>
      </c>
      <c r="D168" s="19">
        <f>Refsz_Verbräuche[[#This Row],[Datenpunkt]]</f>
        <v>0</v>
      </c>
      <c r="E168" t="s">
        <v>195</v>
      </c>
      <c r="F168" s="14">
        <f>IF(ISNUMBER(Refsz_Verbräuche[[#This Row],[2015]]), Refsz_Verbräuche[[#This Row],[2015]]*Emissionsfaktoren[[#This Row],[2015]]/1000, 0)</f>
        <v>0</v>
      </c>
      <c r="G168" s="14">
        <f>IF(ISNUMBER(Refsz_Verbräuche[[#This Row],[2016]]), Refsz_Verbräuche[[#This Row],[2016]]*Emissionsfaktoren[[#This Row],[2016]]/1000, 0)</f>
        <v>0</v>
      </c>
      <c r="H168" s="14">
        <f>IF(ISNUMBER(Refsz_Verbräuche[[#This Row],[2017]]), Refsz_Verbräuche[[#This Row],[2017]]*Emissionsfaktoren[[#This Row],[2017]]/1000, 0)</f>
        <v>0</v>
      </c>
      <c r="I168" s="14">
        <f>IF(ISNUMBER(Refsz_Verbräuche[[#This Row],[2018]]), Refsz_Verbräuche[[#This Row],[2018]]*Emissionsfaktoren[[#This Row],[2018]]/1000, 0)</f>
        <v>0</v>
      </c>
      <c r="J168" s="14">
        <f>IF(ISNUMBER(Refsz_Verbräuche[[#This Row],[2019]]), Refsz_Verbräuche[[#This Row],[2019]]*Emissionsfaktoren[[#This Row],[2019]]/1000, 0)</f>
        <v>0</v>
      </c>
      <c r="K168" s="14">
        <f>IF(ISNUMBER(Refsz_Verbräuche[[#This Row],[2020]]), Refsz_Verbräuche[[#This Row],[2020]]*Emissionsfaktoren[[#This Row],[2020]]/1000, 0)</f>
        <v>0</v>
      </c>
      <c r="L168" s="14">
        <f>IF(ISNUMBER(Refsz_Verbräuche[[#This Row],[2021]]), Refsz_Verbräuche[[#This Row],[2021]]*Emissionsfaktoren[[#This Row],[2021]]/1000, 0)</f>
        <v>0</v>
      </c>
      <c r="M168" s="14">
        <f>IF(ISNUMBER(Refsz_Verbräuche[[#This Row],[2022]]), Refsz_Verbräuche[[#This Row],[2022]]*Emissionsfaktoren[[#This Row],[2022]]/1000, 0)</f>
        <v>0</v>
      </c>
      <c r="N168" s="14">
        <f>IF(ISNUMBER(Refsz_Verbräuche[[#This Row],[2023]]), Refsz_Verbräuche[[#This Row],[2023]]*Emissionsfaktoren[[#This Row],[2023]]/1000, 0)</f>
        <v>0</v>
      </c>
      <c r="O168" s="14">
        <f>IF(ISNUMBER(Refsz_Verbräuche[[#This Row],[2024]]), Refsz_Verbräuche[[#This Row],[2024]]*Emissionsfaktoren[[#This Row],[2024]]/1000, 0)</f>
        <v>0</v>
      </c>
      <c r="P168" s="14">
        <f>IF(ISNUMBER(Refsz_Verbräuche[[#This Row],[2025]]), Refsz_Verbräuche[[#This Row],[2025]]*Emissionsfaktoren[[#This Row],[2025]]/1000, 0)</f>
        <v>0</v>
      </c>
      <c r="Q168" s="14">
        <f>IF(ISNUMBER(Refsz_Verbräuche[[#This Row],[2026]]), Refsz_Verbräuche[[#This Row],[2026]]*Emissionsfaktoren[[#This Row],[2026]]/1000, 0)</f>
        <v>0</v>
      </c>
      <c r="R168" s="14">
        <f>IF(ISNUMBER(Refsz_Verbräuche[[#This Row],[2027]]), Refsz_Verbräuche[[#This Row],[2027]]*Emissionsfaktoren[[#This Row],[2027]]/1000, 0)</f>
        <v>0</v>
      </c>
      <c r="S168" s="14">
        <f>IF(ISNUMBER(Refsz_Verbräuche[[#This Row],[2028]]), Refsz_Verbräuche[[#This Row],[2028]]*Emissionsfaktoren[[#This Row],[2028]]/1000, 0)</f>
        <v>0</v>
      </c>
      <c r="T168" s="14">
        <f>IF(ISNUMBER(Refsz_Verbräuche[[#This Row],[2029]]), Refsz_Verbräuche[[#This Row],[2029]]*Emissionsfaktoren[[#This Row],[2029]]/1000, 0)</f>
        <v>0</v>
      </c>
      <c r="U168" s="14">
        <f>IF(ISNUMBER(Refsz_Verbräuche[[#This Row],[2030]]), Refsz_Verbräuche[[#This Row],[2030]]*Emissionsfaktoren[[#This Row],[2030]]/1000, 0)</f>
        <v>0</v>
      </c>
      <c r="V168" s="14">
        <f>IF(ISNUMBER(Refsz_Verbräuche[[#This Row],[2035]]), Refsz_Verbräuche[[#This Row],[2035]]*Emissionsfaktoren[[#This Row],[2035]]/1000, 0)</f>
        <v>0</v>
      </c>
      <c r="W168" s="14">
        <f>IF(ISNUMBER(Refsz_Verbräuche[[#This Row],[2040]]), Refsz_Verbräuche[[#This Row],[2040]]*Emissionsfaktoren[[#This Row],[2040]]/1000, 0)</f>
        <v>0</v>
      </c>
      <c r="X168" s="14">
        <f>IF(ISNUMBER(Refsz_Verbräuche[[#This Row],[2045]]), Refsz_Verbräuche[[#This Row],[2045]]*Emissionsfaktoren[[#This Row],[2045]]/1000, 0)</f>
        <v>0</v>
      </c>
      <c r="Y168" s="14">
        <f>IF(ISNUMBER(Refsz_Verbräuche[[#This Row],[2050]]), Refsz_Verbräuche[[#This Row],[2050]]*Emissionsfaktoren[[#This Row],[2050]]/1000, 0)</f>
        <v>0</v>
      </c>
    </row>
    <row r="169" spans="2:25" ht="16.5">
      <c r="B169" s="14">
        <v>152</v>
      </c>
      <c r="C169" s="14">
        <f>Refsz_Verbräuche[[#This Row],[Handlungsfeld]]</f>
        <v>0</v>
      </c>
      <c r="D169" s="19">
        <f>Refsz_Verbräuche[[#This Row],[Datenpunkt]]</f>
        <v>0</v>
      </c>
      <c r="E169" t="s">
        <v>195</v>
      </c>
      <c r="F169" s="14">
        <f>IF(ISNUMBER(Refsz_Verbräuche[[#This Row],[2015]]), Refsz_Verbräuche[[#This Row],[2015]]*Emissionsfaktoren[[#This Row],[2015]]/1000, 0)</f>
        <v>0</v>
      </c>
      <c r="G169" s="14">
        <f>IF(ISNUMBER(Refsz_Verbräuche[[#This Row],[2016]]), Refsz_Verbräuche[[#This Row],[2016]]*Emissionsfaktoren[[#This Row],[2016]]/1000, 0)</f>
        <v>0</v>
      </c>
      <c r="H169" s="14">
        <f>IF(ISNUMBER(Refsz_Verbräuche[[#This Row],[2017]]), Refsz_Verbräuche[[#This Row],[2017]]*Emissionsfaktoren[[#This Row],[2017]]/1000, 0)</f>
        <v>0</v>
      </c>
      <c r="I169" s="14">
        <f>IF(ISNUMBER(Refsz_Verbräuche[[#This Row],[2018]]), Refsz_Verbräuche[[#This Row],[2018]]*Emissionsfaktoren[[#This Row],[2018]]/1000, 0)</f>
        <v>0</v>
      </c>
      <c r="J169" s="14">
        <f>IF(ISNUMBER(Refsz_Verbräuche[[#This Row],[2019]]), Refsz_Verbräuche[[#This Row],[2019]]*Emissionsfaktoren[[#This Row],[2019]]/1000, 0)</f>
        <v>0</v>
      </c>
      <c r="K169" s="14">
        <f>IF(ISNUMBER(Refsz_Verbräuche[[#This Row],[2020]]), Refsz_Verbräuche[[#This Row],[2020]]*Emissionsfaktoren[[#This Row],[2020]]/1000, 0)</f>
        <v>0</v>
      </c>
      <c r="L169" s="14">
        <f>IF(ISNUMBER(Refsz_Verbräuche[[#This Row],[2021]]), Refsz_Verbräuche[[#This Row],[2021]]*Emissionsfaktoren[[#This Row],[2021]]/1000, 0)</f>
        <v>0</v>
      </c>
      <c r="M169" s="14">
        <f>IF(ISNUMBER(Refsz_Verbräuche[[#This Row],[2022]]), Refsz_Verbräuche[[#This Row],[2022]]*Emissionsfaktoren[[#This Row],[2022]]/1000, 0)</f>
        <v>0</v>
      </c>
      <c r="N169" s="14">
        <f>IF(ISNUMBER(Refsz_Verbräuche[[#This Row],[2023]]), Refsz_Verbräuche[[#This Row],[2023]]*Emissionsfaktoren[[#This Row],[2023]]/1000, 0)</f>
        <v>0</v>
      </c>
      <c r="O169" s="14">
        <f>IF(ISNUMBER(Refsz_Verbräuche[[#This Row],[2024]]), Refsz_Verbräuche[[#This Row],[2024]]*Emissionsfaktoren[[#This Row],[2024]]/1000, 0)</f>
        <v>0</v>
      </c>
      <c r="P169" s="14">
        <f>IF(ISNUMBER(Refsz_Verbräuche[[#This Row],[2025]]), Refsz_Verbräuche[[#This Row],[2025]]*Emissionsfaktoren[[#This Row],[2025]]/1000, 0)</f>
        <v>0</v>
      </c>
      <c r="Q169" s="14">
        <f>IF(ISNUMBER(Refsz_Verbräuche[[#This Row],[2026]]), Refsz_Verbräuche[[#This Row],[2026]]*Emissionsfaktoren[[#This Row],[2026]]/1000, 0)</f>
        <v>0</v>
      </c>
      <c r="R169" s="14">
        <f>IF(ISNUMBER(Refsz_Verbräuche[[#This Row],[2027]]), Refsz_Verbräuche[[#This Row],[2027]]*Emissionsfaktoren[[#This Row],[2027]]/1000, 0)</f>
        <v>0</v>
      </c>
      <c r="S169" s="14">
        <f>IF(ISNUMBER(Refsz_Verbräuche[[#This Row],[2028]]), Refsz_Verbräuche[[#This Row],[2028]]*Emissionsfaktoren[[#This Row],[2028]]/1000, 0)</f>
        <v>0</v>
      </c>
      <c r="T169" s="14">
        <f>IF(ISNUMBER(Refsz_Verbräuche[[#This Row],[2029]]), Refsz_Verbräuche[[#This Row],[2029]]*Emissionsfaktoren[[#This Row],[2029]]/1000, 0)</f>
        <v>0</v>
      </c>
      <c r="U169" s="14">
        <f>IF(ISNUMBER(Refsz_Verbräuche[[#This Row],[2030]]), Refsz_Verbräuche[[#This Row],[2030]]*Emissionsfaktoren[[#This Row],[2030]]/1000, 0)</f>
        <v>0</v>
      </c>
      <c r="V169" s="14">
        <f>IF(ISNUMBER(Refsz_Verbräuche[[#This Row],[2035]]), Refsz_Verbräuche[[#This Row],[2035]]*Emissionsfaktoren[[#This Row],[2035]]/1000, 0)</f>
        <v>0</v>
      </c>
      <c r="W169" s="14">
        <f>IF(ISNUMBER(Refsz_Verbräuche[[#This Row],[2040]]), Refsz_Verbräuche[[#This Row],[2040]]*Emissionsfaktoren[[#This Row],[2040]]/1000, 0)</f>
        <v>0</v>
      </c>
      <c r="X169" s="14">
        <f>IF(ISNUMBER(Refsz_Verbräuche[[#This Row],[2045]]), Refsz_Verbräuche[[#This Row],[2045]]*Emissionsfaktoren[[#This Row],[2045]]/1000, 0)</f>
        <v>0</v>
      </c>
      <c r="Y169" s="14">
        <f>IF(ISNUMBER(Refsz_Verbräuche[[#This Row],[2050]]), Refsz_Verbräuche[[#This Row],[2050]]*Emissionsfaktoren[[#This Row],[2050]]/1000, 0)</f>
        <v>0</v>
      </c>
    </row>
    <row r="170" spans="2:25" ht="16.5">
      <c r="B170" s="14">
        <v>153</v>
      </c>
      <c r="C170" s="14">
        <f>Refsz_Verbräuche[[#This Row],[Handlungsfeld]]</f>
        <v>0</v>
      </c>
      <c r="D170" s="19">
        <f>Refsz_Verbräuche[[#This Row],[Datenpunkt]]</f>
        <v>0</v>
      </c>
      <c r="E170" t="s">
        <v>195</v>
      </c>
      <c r="F170" s="14">
        <f>IF(ISNUMBER(Refsz_Verbräuche[[#This Row],[2015]]), Refsz_Verbräuche[[#This Row],[2015]]*Emissionsfaktoren[[#This Row],[2015]]/1000, 0)</f>
        <v>0</v>
      </c>
      <c r="G170" s="14">
        <f>IF(ISNUMBER(Refsz_Verbräuche[[#This Row],[2016]]), Refsz_Verbräuche[[#This Row],[2016]]*Emissionsfaktoren[[#This Row],[2016]]/1000, 0)</f>
        <v>0</v>
      </c>
      <c r="H170" s="14">
        <f>IF(ISNUMBER(Refsz_Verbräuche[[#This Row],[2017]]), Refsz_Verbräuche[[#This Row],[2017]]*Emissionsfaktoren[[#This Row],[2017]]/1000, 0)</f>
        <v>0</v>
      </c>
      <c r="I170" s="14">
        <f>IF(ISNUMBER(Refsz_Verbräuche[[#This Row],[2018]]), Refsz_Verbräuche[[#This Row],[2018]]*Emissionsfaktoren[[#This Row],[2018]]/1000, 0)</f>
        <v>0</v>
      </c>
      <c r="J170" s="14">
        <f>IF(ISNUMBER(Refsz_Verbräuche[[#This Row],[2019]]), Refsz_Verbräuche[[#This Row],[2019]]*Emissionsfaktoren[[#This Row],[2019]]/1000, 0)</f>
        <v>0</v>
      </c>
      <c r="K170" s="14">
        <f>IF(ISNUMBER(Refsz_Verbräuche[[#This Row],[2020]]), Refsz_Verbräuche[[#This Row],[2020]]*Emissionsfaktoren[[#This Row],[2020]]/1000, 0)</f>
        <v>0</v>
      </c>
      <c r="L170" s="14">
        <f>IF(ISNUMBER(Refsz_Verbräuche[[#This Row],[2021]]), Refsz_Verbräuche[[#This Row],[2021]]*Emissionsfaktoren[[#This Row],[2021]]/1000, 0)</f>
        <v>0</v>
      </c>
      <c r="M170" s="14">
        <f>IF(ISNUMBER(Refsz_Verbräuche[[#This Row],[2022]]), Refsz_Verbräuche[[#This Row],[2022]]*Emissionsfaktoren[[#This Row],[2022]]/1000, 0)</f>
        <v>0</v>
      </c>
      <c r="N170" s="14">
        <f>IF(ISNUMBER(Refsz_Verbräuche[[#This Row],[2023]]), Refsz_Verbräuche[[#This Row],[2023]]*Emissionsfaktoren[[#This Row],[2023]]/1000, 0)</f>
        <v>0</v>
      </c>
      <c r="O170" s="14">
        <f>IF(ISNUMBER(Refsz_Verbräuche[[#This Row],[2024]]), Refsz_Verbräuche[[#This Row],[2024]]*Emissionsfaktoren[[#This Row],[2024]]/1000, 0)</f>
        <v>0</v>
      </c>
      <c r="P170" s="14">
        <f>IF(ISNUMBER(Refsz_Verbräuche[[#This Row],[2025]]), Refsz_Verbräuche[[#This Row],[2025]]*Emissionsfaktoren[[#This Row],[2025]]/1000, 0)</f>
        <v>0</v>
      </c>
      <c r="Q170" s="14">
        <f>IF(ISNUMBER(Refsz_Verbräuche[[#This Row],[2026]]), Refsz_Verbräuche[[#This Row],[2026]]*Emissionsfaktoren[[#This Row],[2026]]/1000, 0)</f>
        <v>0</v>
      </c>
      <c r="R170" s="14">
        <f>IF(ISNUMBER(Refsz_Verbräuche[[#This Row],[2027]]), Refsz_Verbräuche[[#This Row],[2027]]*Emissionsfaktoren[[#This Row],[2027]]/1000, 0)</f>
        <v>0</v>
      </c>
      <c r="S170" s="14">
        <f>IF(ISNUMBER(Refsz_Verbräuche[[#This Row],[2028]]), Refsz_Verbräuche[[#This Row],[2028]]*Emissionsfaktoren[[#This Row],[2028]]/1000, 0)</f>
        <v>0</v>
      </c>
      <c r="T170" s="14">
        <f>IF(ISNUMBER(Refsz_Verbräuche[[#This Row],[2029]]), Refsz_Verbräuche[[#This Row],[2029]]*Emissionsfaktoren[[#This Row],[2029]]/1000, 0)</f>
        <v>0</v>
      </c>
      <c r="U170" s="14">
        <f>IF(ISNUMBER(Refsz_Verbräuche[[#This Row],[2030]]), Refsz_Verbräuche[[#This Row],[2030]]*Emissionsfaktoren[[#This Row],[2030]]/1000, 0)</f>
        <v>0</v>
      </c>
      <c r="V170" s="14">
        <f>IF(ISNUMBER(Refsz_Verbräuche[[#This Row],[2035]]), Refsz_Verbräuche[[#This Row],[2035]]*Emissionsfaktoren[[#This Row],[2035]]/1000, 0)</f>
        <v>0</v>
      </c>
      <c r="W170" s="14">
        <f>IF(ISNUMBER(Refsz_Verbräuche[[#This Row],[2040]]), Refsz_Verbräuche[[#This Row],[2040]]*Emissionsfaktoren[[#This Row],[2040]]/1000, 0)</f>
        <v>0</v>
      </c>
      <c r="X170" s="14">
        <f>IF(ISNUMBER(Refsz_Verbräuche[[#This Row],[2045]]), Refsz_Verbräuche[[#This Row],[2045]]*Emissionsfaktoren[[#This Row],[2045]]/1000, 0)</f>
        <v>0</v>
      </c>
      <c r="Y170" s="14">
        <f>IF(ISNUMBER(Refsz_Verbräuche[[#This Row],[2050]]), Refsz_Verbräuche[[#This Row],[2050]]*Emissionsfaktoren[[#This Row],[2050]]/1000, 0)</f>
        <v>0</v>
      </c>
    </row>
    <row r="171" spans="2:25" ht="16.5">
      <c r="B171" s="14">
        <v>154</v>
      </c>
      <c r="C171" s="14">
        <f>Refsz_Verbräuche[[#This Row],[Handlungsfeld]]</f>
        <v>0</v>
      </c>
      <c r="D171" s="19">
        <f>Refsz_Verbräuche[[#This Row],[Datenpunkt]]</f>
        <v>0</v>
      </c>
      <c r="E171" t="s">
        <v>195</v>
      </c>
      <c r="F171" s="14">
        <f>IF(ISNUMBER(Refsz_Verbräuche[[#This Row],[2015]]), Refsz_Verbräuche[[#This Row],[2015]]*Emissionsfaktoren[[#This Row],[2015]]/1000, 0)</f>
        <v>0</v>
      </c>
      <c r="G171" s="14">
        <f>IF(ISNUMBER(Refsz_Verbräuche[[#This Row],[2016]]), Refsz_Verbräuche[[#This Row],[2016]]*Emissionsfaktoren[[#This Row],[2016]]/1000, 0)</f>
        <v>0</v>
      </c>
      <c r="H171" s="14">
        <f>IF(ISNUMBER(Refsz_Verbräuche[[#This Row],[2017]]), Refsz_Verbräuche[[#This Row],[2017]]*Emissionsfaktoren[[#This Row],[2017]]/1000, 0)</f>
        <v>0</v>
      </c>
      <c r="I171" s="14">
        <f>IF(ISNUMBER(Refsz_Verbräuche[[#This Row],[2018]]), Refsz_Verbräuche[[#This Row],[2018]]*Emissionsfaktoren[[#This Row],[2018]]/1000, 0)</f>
        <v>0</v>
      </c>
      <c r="J171" s="14">
        <f>IF(ISNUMBER(Refsz_Verbräuche[[#This Row],[2019]]), Refsz_Verbräuche[[#This Row],[2019]]*Emissionsfaktoren[[#This Row],[2019]]/1000, 0)</f>
        <v>0</v>
      </c>
      <c r="K171" s="14">
        <f>IF(ISNUMBER(Refsz_Verbräuche[[#This Row],[2020]]), Refsz_Verbräuche[[#This Row],[2020]]*Emissionsfaktoren[[#This Row],[2020]]/1000, 0)</f>
        <v>0</v>
      </c>
      <c r="L171" s="14">
        <f>IF(ISNUMBER(Refsz_Verbräuche[[#This Row],[2021]]), Refsz_Verbräuche[[#This Row],[2021]]*Emissionsfaktoren[[#This Row],[2021]]/1000, 0)</f>
        <v>0</v>
      </c>
      <c r="M171" s="14">
        <f>IF(ISNUMBER(Refsz_Verbräuche[[#This Row],[2022]]), Refsz_Verbräuche[[#This Row],[2022]]*Emissionsfaktoren[[#This Row],[2022]]/1000, 0)</f>
        <v>0</v>
      </c>
      <c r="N171" s="14">
        <f>IF(ISNUMBER(Refsz_Verbräuche[[#This Row],[2023]]), Refsz_Verbräuche[[#This Row],[2023]]*Emissionsfaktoren[[#This Row],[2023]]/1000, 0)</f>
        <v>0</v>
      </c>
      <c r="O171" s="14">
        <f>IF(ISNUMBER(Refsz_Verbräuche[[#This Row],[2024]]), Refsz_Verbräuche[[#This Row],[2024]]*Emissionsfaktoren[[#This Row],[2024]]/1000, 0)</f>
        <v>0</v>
      </c>
      <c r="P171" s="14">
        <f>IF(ISNUMBER(Refsz_Verbräuche[[#This Row],[2025]]), Refsz_Verbräuche[[#This Row],[2025]]*Emissionsfaktoren[[#This Row],[2025]]/1000, 0)</f>
        <v>0</v>
      </c>
      <c r="Q171" s="14">
        <f>IF(ISNUMBER(Refsz_Verbräuche[[#This Row],[2026]]), Refsz_Verbräuche[[#This Row],[2026]]*Emissionsfaktoren[[#This Row],[2026]]/1000, 0)</f>
        <v>0</v>
      </c>
      <c r="R171" s="14">
        <f>IF(ISNUMBER(Refsz_Verbräuche[[#This Row],[2027]]), Refsz_Verbräuche[[#This Row],[2027]]*Emissionsfaktoren[[#This Row],[2027]]/1000, 0)</f>
        <v>0</v>
      </c>
      <c r="S171" s="14">
        <f>IF(ISNUMBER(Refsz_Verbräuche[[#This Row],[2028]]), Refsz_Verbräuche[[#This Row],[2028]]*Emissionsfaktoren[[#This Row],[2028]]/1000, 0)</f>
        <v>0</v>
      </c>
      <c r="T171" s="14">
        <f>IF(ISNUMBER(Refsz_Verbräuche[[#This Row],[2029]]), Refsz_Verbräuche[[#This Row],[2029]]*Emissionsfaktoren[[#This Row],[2029]]/1000, 0)</f>
        <v>0</v>
      </c>
      <c r="U171" s="14">
        <f>IF(ISNUMBER(Refsz_Verbräuche[[#This Row],[2030]]), Refsz_Verbräuche[[#This Row],[2030]]*Emissionsfaktoren[[#This Row],[2030]]/1000, 0)</f>
        <v>0</v>
      </c>
      <c r="V171" s="14">
        <f>IF(ISNUMBER(Refsz_Verbräuche[[#This Row],[2035]]), Refsz_Verbräuche[[#This Row],[2035]]*Emissionsfaktoren[[#This Row],[2035]]/1000, 0)</f>
        <v>0</v>
      </c>
      <c r="W171" s="14">
        <f>IF(ISNUMBER(Refsz_Verbräuche[[#This Row],[2040]]), Refsz_Verbräuche[[#This Row],[2040]]*Emissionsfaktoren[[#This Row],[2040]]/1000, 0)</f>
        <v>0</v>
      </c>
      <c r="X171" s="14">
        <f>IF(ISNUMBER(Refsz_Verbräuche[[#This Row],[2045]]), Refsz_Verbräuche[[#This Row],[2045]]*Emissionsfaktoren[[#This Row],[2045]]/1000, 0)</f>
        <v>0</v>
      </c>
      <c r="Y171" s="14">
        <f>IF(ISNUMBER(Refsz_Verbräuche[[#This Row],[2050]]), Refsz_Verbräuche[[#This Row],[2050]]*Emissionsfaktoren[[#This Row],[2050]]/1000, 0)</f>
        <v>0</v>
      </c>
    </row>
    <row r="172" spans="2:25" ht="16.5">
      <c r="B172" s="14">
        <v>155</v>
      </c>
      <c r="C172" s="14">
        <f>Refsz_Verbräuche[[#This Row],[Handlungsfeld]]</f>
        <v>0</v>
      </c>
      <c r="D172" s="19">
        <f>Refsz_Verbräuche[[#This Row],[Datenpunkt]]</f>
        <v>0</v>
      </c>
      <c r="E172" t="s">
        <v>195</v>
      </c>
      <c r="F172" s="14">
        <f>IF(ISNUMBER(Refsz_Verbräuche[[#This Row],[2015]]), Refsz_Verbräuche[[#This Row],[2015]]*Emissionsfaktoren[[#This Row],[2015]]/1000, 0)</f>
        <v>0</v>
      </c>
      <c r="G172" s="14">
        <f>IF(ISNUMBER(Refsz_Verbräuche[[#This Row],[2016]]), Refsz_Verbräuche[[#This Row],[2016]]*Emissionsfaktoren[[#This Row],[2016]]/1000, 0)</f>
        <v>0</v>
      </c>
      <c r="H172" s="14">
        <f>IF(ISNUMBER(Refsz_Verbräuche[[#This Row],[2017]]), Refsz_Verbräuche[[#This Row],[2017]]*Emissionsfaktoren[[#This Row],[2017]]/1000, 0)</f>
        <v>0</v>
      </c>
      <c r="I172" s="14">
        <f>IF(ISNUMBER(Refsz_Verbräuche[[#This Row],[2018]]), Refsz_Verbräuche[[#This Row],[2018]]*Emissionsfaktoren[[#This Row],[2018]]/1000, 0)</f>
        <v>0</v>
      </c>
      <c r="J172" s="14">
        <f>IF(ISNUMBER(Refsz_Verbräuche[[#This Row],[2019]]), Refsz_Verbräuche[[#This Row],[2019]]*Emissionsfaktoren[[#This Row],[2019]]/1000, 0)</f>
        <v>0</v>
      </c>
      <c r="K172" s="14">
        <f>IF(ISNUMBER(Refsz_Verbräuche[[#This Row],[2020]]), Refsz_Verbräuche[[#This Row],[2020]]*Emissionsfaktoren[[#This Row],[2020]]/1000, 0)</f>
        <v>0</v>
      </c>
      <c r="L172" s="14">
        <f>IF(ISNUMBER(Refsz_Verbräuche[[#This Row],[2021]]), Refsz_Verbräuche[[#This Row],[2021]]*Emissionsfaktoren[[#This Row],[2021]]/1000, 0)</f>
        <v>0</v>
      </c>
      <c r="M172" s="14">
        <f>IF(ISNUMBER(Refsz_Verbräuche[[#This Row],[2022]]), Refsz_Verbräuche[[#This Row],[2022]]*Emissionsfaktoren[[#This Row],[2022]]/1000, 0)</f>
        <v>0</v>
      </c>
      <c r="N172" s="14">
        <f>IF(ISNUMBER(Refsz_Verbräuche[[#This Row],[2023]]), Refsz_Verbräuche[[#This Row],[2023]]*Emissionsfaktoren[[#This Row],[2023]]/1000, 0)</f>
        <v>0</v>
      </c>
      <c r="O172" s="14">
        <f>IF(ISNUMBER(Refsz_Verbräuche[[#This Row],[2024]]), Refsz_Verbräuche[[#This Row],[2024]]*Emissionsfaktoren[[#This Row],[2024]]/1000, 0)</f>
        <v>0</v>
      </c>
      <c r="P172" s="14">
        <f>IF(ISNUMBER(Refsz_Verbräuche[[#This Row],[2025]]), Refsz_Verbräuche[[#This Row],[2025]]*Emissionsfaktoren[[#This Row],[2025]]/1000, 0)</f>
        <v>0</v>
      </c>
      <c r="Q172" s="14">
        <f>IF(ISNUMBER(Refsz_Verbräuche[[#This Row],[2026]]), Refsz_Verbräuche[[#This Row],[2026]]*Emissionsfaktoren[[#This Row],[2026]]/1000, 0)</f>
        <v>0</v>
      </c>
      <c r="R172" s="14">
        <f>IF(ISNUMBER(Refsz_Verbräuche[[#This Row],[2027]]), Refsz_Verbräuche[[#This Row],[2027]]*Emissionsfaktoren[[#This Row],[2027]]/1000, 0)</f>
        <v>0</v>
      </c>
      <c r="S172" s="14">
        <f>IF(ISNUMBER(Refsz_Verbräuche[[#This Row],[2028]]), Refsz_Verbräuche[[#This Row],[2028]]*Emissionsfaktoren[[#This Row],[2028]]/1000, 0)</f>
        <v>0</v>
      </c>
      <c r="T172" s="14">
        <f>IF(ISNUMBER(Refsz_Verbräuche[[#This Row],[2029]]), Refsz_Verbräuche[[#This Row],[2029]]*Emissionsfaktoren[[#This Row],[2029]]/1000, 0)</f>
        <v>0</v>
      </c>
      <c r="U172" s="14">
        <f>IF(ISNUMBER(Refsz_Verbräuche[[#This Row],[2030]]), Refsz_Verbräuche[[#This Row],[2030]]*Emissionsfaktoren[[#This Row],[2030]]/1000, 0)</f>
        <v>0</v>
      </c>
      <c r="V172" s="14">
        <f>IF(ISNUMBER(Refsz_Verbräuche[[#This Row],[2035]]), Refsz_Verbräuche[[#This Row],[2035]]*Emissionsfaktoren[[#This Row],[2035]]/1000, 0)</f>
        <v>0</v>
      </c>
      <c r="W172" s="14">
        <f>IF(ISNUMBER(Refsz_Verbräuche[[#This Row],[2040]]), Refsz_Verbräuche[[#This Row],[2040]]*Emissionsfaktoren[[#This Row],[2040]]/1000, 0)</f>
        <v>0</v>
      </c>
      <c r="X172" s="14">
        <f>IF(ISNUMBER(Refsz_Verbräuche[[#This Row],[2045]]), Refsz_Verbräuche[[#This Row],[2045]]*Emissionsfaktoren[[#This Row],[2045]]/1000, 0)</f>
        <v>0</v>
      </c>
      <c r="Y172" s="14">
        <f>IF(ISNUMBER(Refsz_Verbräuche[[#This Row],[2050]]), Refsz_Verbräuche[[#This Row],[2050]]*Emissionsfaktoren[[#This Row],[2050]]/1000, 0)</f>
        <v>0</v>
      </c>
    </row>
    <row r="173" spans="2:25" ht="16.5">
      <c r="B173" s="14">
        <v>156</v>
      </c>
      <c r="C173" s="14">
        <f>Refsz_Verbräuche[[#This Row],[Handlungsfeld]]</f>
        <v>0</v>
      </c>
      <c r="D173" s="19">
        <f>Refsz_Verbräuche[[#This Row],[Datenpunkt]]</f>
        <v>0</v>
      </c>
      <c r="E173" t="s">
        <v>195</v>
      </c>
      <c r="F173" s="14">
        <f>IF(ISNUMBER(Refsz_Verbräuche[[#This Row],[2015]]), Refsz_Verbräuche[[#This Row],[2015]]*Emissionsfaktoren[[#This Row],[2015]]/1000, 0)</f>
        <v>0</v>
      </c>
      <c r="G173" s="14">
        <f>IF(ISNUMBER(Refsz_Verbräuche[[#This Row],[2016]]), Refsz_Verbräuche[[#This Row],[2016]]*Emissionsfaktoren[[#This Row],[2016]]/1000, 0)</f>
        <v>0</v>
      </c>
      <c r="H173" s="14">
        <f>IF(ISNUMBER(Refsz_Verbräuche[[#This Row],[2017]]), Refsz_Verbräuche[[#This Row],[2017]]*Emissionsfaktoren[[#This Row],[2017]]/1000, 0)</f>
        <v>0</v>
      </c>
      <c r="I173" s="14">
        <f>IF(ISNUMBER(Refsz_Verbräuche[[#This Row],[2018]]), Refsz_Verbräuche[[#This Row],[2018]]*Emissionsfaktoren[[#This Row],[2018]]/1000, 0)</f>
        <v>0</v>
      </c>
      <c r="J173" s="14">
        <f>IF(ISNUMBER(Refsz_Verbräuche[[#This Row],[2019]]), Refsz_Verbräuche[[#This Row],[2019]]*Emissionsfaktoren[[#This Row],[2019]]/1000, 0)</f>
        <v>0</v>
      </c>
      <c r="K173" s="14">
        <f>IF(ISNUMBER(Refsz_Verbräuche[[#This Row],[2020]]), Refsz_Verbräuche[[#This Row],[2020]]*Emissionsfaktoren[[#This Row],[2020]]/1000, 0)</f>
        <v>0</v>
      </c>
      <c r="L173" s="14">
        <f>IF(ISNUMBER(Refsz_Verbräuche[[#This Row],[2021]]), Refsz_Verbräuche[[#This Row],[2021]]*Emissionsfaktoren[[#This Row],[2021]]/1000, 0)</f>
        <v>0</v>
      </c>
      <c r="M173" s="14">
        <f>IF(ISNUMBER(Refsz_Verbräuche[[#This Row],[2022]]), Refsz_Verbräuche[[#This Row],[2022]]*Emissionsfaktoren[[#This Row],[2022]]/1000, 0)</f>
        <v>0</v>
      </c>
      <c r="N173" s="14">
        <f>IF(ISNUMBER(Refsz_Verbräuche[[#This Row],[2023]]), Refsz_Verbräuche[[#This Row],[2023]]*Emissionsfaktoren[[#This Row],[2023]]/1000, 0)</f>
        <v>0</v>
      </c>
      <c r="O173" s="14">
        <f>IF(ISNUMBER(Refsz_Verbräuche[[#This Row],[2024]]), Refsz_Verbräuche[[#This Row],[2024]]*Emissionsfaktoren[[#This Row],[2024]]/1000, 0)</f>
        <v>0</v>
      </c>
      <c r="P173" s="14">
        <f>IF(ISNUMBER(Refsz_Verbräuche[[#This Row],[2025]]), Refsz_Verbräuche[[#This Row],[2025]]*Emissionsfaktoren[[#This Row],[2025]]/1000, 0)</f>
        <v>0</v>
      </c>
      <c r="Q173" s="14">
        <f>IF(ISNUMBER(Refsz_Verbräuche[[#This Row],[2026]]), Refsz_Verbräuche[[#This Row],[2026]]*Emissionsfaktoren[[#This Row],[2026]]/1000, 0)</f>
        <v>0</v>
      </c>
      <c r="R173" s="14">
        <f>IF(ISNUMBER(Refsz_Verbräuche[[#This Row],[2027]]), Refsz_Verbräuche[[#This Row],[2027]]*Emissionsfaktoren[[#This Row],[2027]]/1000, 0)</f>
        <v>0</v>
      </c>
      <c r="S173" s="14">
        <f>IF(ISNUMBER(Refsz_Verbräuche[[#This Row],[2028]]), Refsz_Verbräuche[[#This Row],[2028]]*Emissionsfaktoren[[#This Row],[2028]]/1000, 0)</f>
        <v>0</v>
      </c>
      <c r="T173" s="14">
        <f>IF(ISNUMBER(Refsz_Verbräuche[[#This Row],[2029]]), Refsz_Verbräuche[[#This Row],[2029]]*Emissionsfaktoren[[#This Row],[2029]]/1000, 0)</f>
        <v>0</v>
      </c>
      <c r="U173" s="14">
        <f>IF(ISNUMBER(Refsz_Verbräuche[[#This Row],[2030]]), Refsz_Verbräuche[[#This Row],[2030]]*Emissionsfaktoren[[#This Row],[2030]]/1000, 0)</f>
        <v>0</v>
      </c>
      <c r="V173" s="14">
        <f>IF(ISNUMBER(Refsz_Verbräuche[[#This Row],[2035]]), Refsz_Verbräuche[[#This Row],[2035]]*Emissionsfaktoren[[#This Row],[2035]]/1000, 0)</f>
        <v>0</v>
      </c>
      <c r="W173" s="14">
        <f>IF(ISNUMBER(Refsz_Verbräuche[[#This Row],[2040]]), Refsz_Verbräuche[[#This Row],[2040]]*Emissionsfaktoren[[#This Row],[2040]]/1000, 0)</f>
        <v>0</v>
      </c>
      <c r="X173" s="14">
        <f>IF(ISNUMBER(Refsz_Verbräuche[[#This Row],[2045]]), Refsz_Verbräuche[[#This Row],[2045]]*Emissionsfaktoren[[#This Row],[2045]]/1000, 0)</f>
        <v>0</v>
      </c>
      <c r="Y173" s="14">
        <f>IF(ISNUMBER(Refsz_Verbräuche[[#This Row],[2050]]), Refsz_Verbräuche[[#This Row],[2050]]*Emissionsfaktoren[[#This Row],[2050]]/1000, 0)</f>
        <v>0</v>
      </c>
    </row>
    <row r="174" spans="2:25" ht="16.5">
      <c r="B174" s="14">
        <v>157</v>
      </c>
      <c r="C174" s="14">
        <f>Refsz_Verbräuche[[#This Row],[Handlungsfeld]]</f>
        <v>0</v>
      </c>
      <c r="D174" s="19">
        <f>Refsz_Verbräuche[[#This Row],[Datenpunkt]]</f>
        <v>0</v>
      </c>
      <c r="E174" t="s">
        <v>195</v>
      </c>
      <c r="F174" s="14">
        <f>IF(ISNUMBER(Refsz_Verbräuche[[#This Row],[2015]]), Refsz_Verbräuche[[#This Row],[2015]]*Emissionsfaktoren[[#This Row],[2015]]/1000, 0)</f>
        <v>0</v>
      </c>
      <c r="G174" s="14">
        <f>IF(ISNUMBER(Refsz_Verbräuche[[#This Row],[2016]]), Refsz_Verbräuche[[#This Row],[2016]]*Emissionsfaktoren[[#This Row],[2016]]/1000, 0)</f>
        <v>0</v>
      </c>
      <c r="H174" s="14">
        <f>IF(ISNUMBER(Refsz_Verbräuche[[#This Row],[2017]]), Refsz_Verbräuche[[#This Row],[2017]]*Emissionsfaktoren[[#This Row],[2017]]/1000, 0)</f>
        <v>0</v>
      </c>
      <c r="I174" s="14">
        <f>IF(ISNUMBER(Refsz_Verbräuche[[#This Row],[2018]]), Refsz_Verbräuche[[#This Row],[2018]]*Emissionsfaktoren[[#This Row],[2018]]/1000, 0)</f>
        <v>0</v>
      </c>
      <c r="J174" s="14">
        <f>IF(ISNUMBER(Refsz_Verbräuche[[#This Row],[2019]]), Refsz_Verbräuche[[#This Row],[2019]]*Emissionsfaktoren[[#This Row],[2019]]/1000, 0)</f>
        <v>0</v>
      </c>
      <c r="K174" s="14">
        <f>IF(ISNUMBER(Refsz_Verbräuche[[#This Row],[2020]]), Refsz_Verbräuche[[#This Row],[2020]]*Emissionsfaktoren[[#This Row],[2020]]/1000, 0)</f>
        <v>0</v>
      </c>
      <c r="L174" s="14">
        <f>IF(ISNUMBER(Refsz_Verbräuche[[#This Row],[2021]]), Refsz_Verbräuche[[#This Row],[2021]]*Emissionsfaktoren[[#This Row],[2021]]/1000, 0)</f>
        <v>0</v>
      </c>
      <c r="M174" s="14">
        <f>IF(ISNUMBER(Refsz_Verbräuche[[#This Row],[2022]]), Refsz_Verbräuche[[#This Row],[2022]]*Emissionsfaktoren[[#This Row],[2022]]/1000, 0)</f>
        <v>0</v>
      </c>
      <c r="N174" s="14">
        <f>IF(ISNUMBER(Refsz_Verbräuche[[#This Row],[2023]]), Refsz_Verbräuche[[#This Row],[2023]]*Emissionsfaktoren[[#This Row],[2023]]/1000, 0)</f>
        <v>0</v>
      </c>
      <c r="O174" s="14">
        <f>IF(ISNUMBER(Refsz_Verbräuche[[#This Row],[2024]]), Refsz_Verbräuche[[#This Row],[2024]]*Emissionsfaktoren[[#This Row],[2024]]/1000, 0)</f>
        <v>0</v>
      </c>
      <c r="P174" s="14">
        <f>IF(ISNUMBER(Refsz_Verbräuche[[#This Row],[2025]]), Refsz_Verbräuche[[#This Row],[2025]]*Emissionsfaktoren[[#This Row],[2025]]/1000, 0)</f>
        <v>0</v>
      </c>
      <c r="Q174" s="14">
        <f>IF(ISNUMBER(Refsz_Verbräuche[[#This Row],[2026]]), Refsz_Verbräuche[[#This Row],[2026]]*Emissionsfaktoren[[#This Row],[2026]]/1000, 0)</f>
        <v>0</v>
      </c>
      <c r="R174" s="14">
        <f>IF(ISNUMBER(Refsz_Verbräuche[[#This Row],[2027]]), Refsz_Verbräuche[[#This Row],[2027]]*Emissionsfaktoren[[#This Row],[2027]]/1000, 0)</f>
        <v>0</v>
      </c>
      <c r="S174" s="14">
        <f>IF(ISNUMBER(Refsz_Verbräuche[[#This Row],[2028]]), Refsz_Verbräuche[[#This Row],[2028]]*Emissionsfaktoren[[#This Row],[2028]]/1000, 0)</f>
        <v>0</v>
      </c>
      <c r="T174" s="14">
        <f>IF(ISNUMBER(Refsz_Verbräuche[[#This Row],[2029]]), Refsz_Verbräuche[[#This Row],[2029]]*Emissionsfaktoren[[#This Row],[2029]]/1000, 0)</f>
        <v>0</v>
      </c>
      <c r="U174" s="14">
        <f>IF(ISNUMBER(Refsz_Verbräuche[[#This Row],[2030]]), Refsz_Verbräuche[[#This Row],[2030]]*Emissionsfaktoren[[#This Row],[2030]]/1000, 0)</f>
        <v>0</v>
      </c>
      <c r="V174" s="14">
        <f>IF(ISNUMBER(Refsz_Verbräuche[[#This Row],[2035]]), Refsz_Verbräuche[[#This Row],[2035]]*Emissionsfaktoren[[#This Row],[2035]]/1000, 0)</f>
        <v>0</v>
      </c>
      <c r="W174" s="14">
        <f>IF(ISNUMBER(Refsz_Verbräuche[[#This Row],[2040]]), Refsz_Verbräuche[[#This Row],[2040]]*Emissionsfaktoren[[#This Row],[2040]]/1000, 0)</f>
        <v>0</v>
      </c>
      <c r="X174" s="14">
        <f>IF(ISNUMBER(Refsz_Verbräuche[[#This Row],[2045]]), Refsz_Verbräuche[[#This Row],[2045]]*Emissionsfaktoren[[#This Row],[2045]]/1000, 0)</f>
        <v>0</v>
      </c>
      <c r="Y174" s="14">
        <f>IF(ISNUMBER(Refsz_Verbräuche[[#This Row],[2050]]), Refsz_Verbräuche[[#This Row],[2050]]*Emissionsfaktoren[[#This Row],[2050]]/1000, 0)</f>
        <v>0</v>
      </c>
    </row>
    <row r="175" spans="2:25" ht="16.5">
      <c r="B175" s="14">
        <v>158</v>
      </c>
      <c r="C175" s="14">
        <f>Refsz_Verbräuche[[#This Row],[Handlungsfeld]]</f>
        <v>0</v>
      </c>
      <c r="D175" s="19">
        <f>Refsz_Verbräuche[[#This Row],[Datenpunkt]]</f>
        <v>0</v>
      </c>
      <c r="E175" t="s">
        <v>195</v>
      </c>
      <c r="F175" s="14">
        <f>IF(ISNUMBER(Refsz_Verbräuche[[#This Row],[2015]]), Refsz_Verbräuche[[#This Row],[2015]]*Emissionsfaktoren[[#This Row],[2015]]/1000, 0)</f>
        <v>0</v>
      </c>
      <c r="G175" s="14">
        <f>IF(ISNUMBER(Refsz_Verbräuche[[#This Row],[2016]]), Refsz_Verbräuche[[#This Row],[2016]]*Emissionsfaktoren[[#This Row],[2016]]/1000, 0)</f>
        <v>0</v>
      </c>
      <c r="H175" s="14">
        <f>IF(ISNUMBER(Refsz_Verbräuche[[#This Row],[2017]]), Refsz_Verbräuche[[#This Row],[2017]]*Emissionsfaktoren[[#This Row],[2017]]/1000, 0)</f>
        <v>0</v>
      </c>
      <c r="I175" s="14">
        <f>IF(ISNUMBER(Refsz_Verbräuche[[#This Row],[2018]]), Refsz_Verbräuche[[#This Row],[2018]]*Emissionsfaktoren[[#This Row],[2018]]/1000, 0)</f>
        <v>0</v>
      </c>
      <c r="J175" s="14">
        <f>IF(ISNUMBER(Refsz_Verbräuche[[#This Row],[2019]]), Refsz_Verbräuche[[#This Row],[2019]]*Emissionsfaktoren[[#This Row],[2019]]/1000, 0)</f>
        <v>0</v>
      </c>
      <c r="K175" s="14">
        <f>IF(ISNUMBER(Refsz_Verbräuche[[#This Row],[2020]]), Refsz_Verbräuche[[#This Row],[2020]]*Emissionsfaktoren[[#This Row],[2020]]/1000, 0)</f>
        <v>0</v>
      </c>
      <c r="L175" s="14">
        <f>IF(ISNUMBER(Refsz_Verbräuche[[#This Row],[2021]]), Refsz_Verbräuche[[#This Row],[2021]]*Emissionsfaktoren[[#This Row],[2021]]/1000, 0)</f>
        <v>0</v>
      </c>
      <c r="M175" s="14">
        <f>IF(ISNUMBER(Refsz_Verbräuche[[#This Row],[2022]]), Refsz_Verbräuche[[#This Row],[2022]]*Emissionsfaktoren[[#This Row],[2022]]/1000, 0)</f>
        <v>0</v>
      </c>
      <c r="N175" s="14">
        <f>IF(ISNUMBER(Refsz_Verbräuche[[#This Row],[2023]]), Refsz_Verbräuche[[#This Row],[2023]]*Emissionsfaktoren[[#This Row],[2023]]/1000, 0)</f>
        <v>0</v>
      </c>
      <c r="O175" s="14">
        <f>IF(ISNUMBER(Refsz_Verbräuche[[#This Row],[2024]]), Refsz_Verbräuche[[#This Row],[2024]]*Emissionsfaktoren[[#This Row],[2024]]/1000, 0)</f>
        <v>0</v>
      </c>
      <c r="P175" s="14">
        <f>IF(ISNUMBER(Refsz_Verbräuche[[#This Row],[2025]]), Refsz_Verbräuche[[#This Row],[2025]]*Emissionsfaktoren[[#This Row],[2025]]/1000, 0)</f>
        <v>0</v>
      </c>
      <c r="Q175" s="14">
        <f>IF(ISNUMBER(Refsz_Verbräuche[[#This Row],[2026]]), Refsz_Verbräuche[[#This Row],[2026]]*Emissionsfaktoren[[#This Row],[2026]]/1000, 0)</f>
        <v>0</v>
      </c>
      <c r="R175" s="14">
        <f>IF(ISNUMBER(Refsz_Verbräuche[[#This Row],[2027]]), Refsz_Verbräuche[[#This Row],[2027]]*Emissionsfaktoren[[#This Row],[2027]]/1000, 0)</f>
        <v>0</v>
      </c>
      <c r="S175" s="14">
        <f>IF(ISNUMBER(Refsz_Verbräuche[[#This Row],[2028]]), Refsz_Verbräuche[[#This Row],[2028]]*Emissionsfaktoren[[#This Row],[2028]]/1000, 0)</f>
        <v>0</v>
      </c>
      <c r="T175" s="14">
        <f>IF(ISNUMBER(Refsz_Verbräuche[[#This Row],[2029]]), Refsz_Verbräuche[[#This Row],[2029]]*Emissionsfaktoren[[#This Row],[2029]]/1000, 0)</f>
        <v>0</v>
      </c>
      <c r="U175" s="14">
        <f>IF(ISNUMBER(Refsz_Verbräuche[[#This Row],[2030]]), Refsz_Verbräuche[[#This Row],[2030]]*Emissionsfaktoren[[#This Row],[2030]]/1000, 0)</f>
        <v>0</v>
      </c>
      <c r="V175" s="14">
        <f>IF(ISNUMBER(Refsz_Verbräuche[[#This Row],[2035]]), Refsz_Verbräuche[[#This Row],[2035]]*Emissionsfaktoren[[#This Row],[2035]]/1000, 0)</f>
        <v>0</v>
      </c>
      <c r="W175" s="14">
        <f>IF(ISNUMBER(Refsz_Verbräuche[[#This Row],[2040]]), Refsz_Verbräuche[[#This Row],[2040]]*Emissionsfaktoren[[#This Row],[2040]]/1000, 0)</f>
        <v>0</v>
      </c>
      <c r="X175" s="14">
        <f>IF(ISNUMBER(Refsz_Verbräuche[[#This Row],[2045]]), Refsz_Verbräuche[[#This Row],[2045]]*Emissionsfaktoren[[#This Row],[2045]]/1000, 0)</f>
        <v>0</v>
      </c>
      <c r="Y175" s="14">
        <f>IF(ISNUMBER(Refsz_Verbräuche[[#This Row],[2050]]), Refsz_Verbräuche[[#This Row],[2050]]*Emissionsfaktoren[[#This Row],[2050]]/1000, 0)</f>
        <v>0</v>
      </c>
    </row>
    <row r="176" spans="2:25" ht="16.5">
      <c r="B176" s="14">
        <v>159</v>
      </c>
      <c r="C176" s="14">
        <f>Refsz_Verbräuche[[#This Row],[Handlungsfeld]]</f>
        <v>0</v>
      </c>
      <c r="D176" s="19">
        <f>Refsz_Verbräuche[[#This Row],[Datenpunkt]]</f>
        <v>0</v>
      </c>
      <c r="E176" t="s">
        <v>195</v>
      </c>
      <c r="F176" s="14">
        <f>IF(ISNUMBER(Refsz_Verbräuche[[#This Row],[2015]]), Refsz_Verbräuche[[#This Row],[2015]]*Emissionsfaktoren[[#This Row],[2015]]/1000, 0)</f>
        <v>0</v>
      </c>
      <c r="G176" s="14">
        <f>IF(ISNUMBER(Refsz_Verbräuche[[#This Row],[2016]]), Refsz_Verbräuche[[#This Row],[2016]]*Emissionsfaktoren[[#This Row],[2016]]/1000, 0)</f>
        <v>0</v>
      </c>
      <c r="H176" s="14">
        <f>IF(ISNUMBER(Refsz_Verbräuche[[#This Row],[2017]]), Refsz_Verbräuche[[#This Row],[2017]]*Emissionsfaktoren[[#This Row],[2017]]/1000, 0)</f>
        <v>0</v>
      </c>
      <c r="I176" s="14">
        <f>IF(ISNUMBER(Refsz_Verbräuche[[#This Row],[2018]]), Refsz_Verbräuche[[#This Row],[2018]]*Emissionsfaktoren[[#This Row],[2018]]/1000, 0)</f>
        <v>0</v>
      </c>
      <c r="J176" s="14">
        <f>IF(ISNUMBER(Refsz_Verbräuche[[#This Row],[2019]]), Refsz_Verbräuche[[#This Row],[2019]]*Emissionsfaktoren[[#This Row],[2019]]/1000, 0)</f>
        <v>0</v>
      </c>
      <c r="K176" s="14">
        <f>IF(ISNUMBER(Refsz_Verbräuche[[#This Row],[2020]]), Refsz_Verbräuche[[#This Row],[2020]]*Emissionsfaktoren[[#This Row],[2020]]/1000, 0)</f>
        <v>0</v>
      </c>
      <c r="L176" s="14">
        <f>IF(ISNUMBER(Refsz_Verbräuche[[#This Row],[2021]]), Refsz_Verbräuche[[#This Row],[2021]]*Emissionsfaktoren[[#This Row],[2021]]/1000, 0)</f>
        <v>0</v>
      </c>
      <c r="M176" s="14">
        <f>IF(ISNUMBER(Refsz_Verbräuche[[#This Row],[2022]]), Refsz_Verbräuche[[#This Row],[2022]]*Emissionsfaktoren[[#This Row],[2022]]/1000, 0)</f>
        <v>0</v>
      </c>
      <c r="N176" s="14">
        <f>IF(ISNUMBER(Refsz_Verbräuche[[#This Row],[2023]]), Refsz_Verbräuche[[#This Row],[2023]]*Emissionsfaktoren[[#This Row],[2023]]/1000, 0)</f>
        <v>0</v>
      </c>
      <c r="O176" s="14">
        <f>IF(ISNUMBER(Refsz_Verbräuche[[#This Row],[2024]]), Refsz_Verbräuche[[#This Row],[2024]]*Emissionsfaktoren[[#This Row],[2024]]/1000, 0)</f>
        <v>0</v>
      </c>
      <c r="P176" s="14">
        <f>IF(ISNUMBER(Refsz_Verbräuche[[#This Row],[2025]]), Refsz_Verbräuche[[#This Row],[2025]]*Emissionsfaktoren[[#This Row],[2025]]/1000, 0)</f>
        <v>0</v>
      </c>
      <c r="Q176" s="14">
        <f>IF(ISNUMBER(Refsz_Verbräuche[[#This Row],[2026]]), Refsz_Verbräuche[[#This Row],[2026]]*Emissionsfaktoren[[#This Row],[2026]]/1000, 0)</f>
        <v>0</v>
      </c>
      <c r="R176" s="14">
        <f>IF(ISNUMBER(Refsz_Verbräuche[[#This Row],[2027]]), Refsz_Verbräuche[[#This Row],[2027]]*Emissionsfaktoren[[#This Row],[2027]]/1000, 0)</f>
        <v>0</v>
      </c>
      <c r="S176" s="14">
        <f>IF(ISNUMBER(Refsz_Verbräuche[[#This Row],[2028]]), Refsz_Verbräuche[[#This Row],[2028]]*Emissionsfaktoren[[#This Row],[2028]]/1000, 0)</f>
        <v>0</v>
      </c>
      <c r="T176" s="14">
        <f>IF(ISNUMBER(Refsz_Verbräuche[[#This Row],[2029]]), Refsz_Verbräuche[[#This Row],[2029]]*Emissionsfaktoren[[#This Row],[2029]]/1000, 0)</f>
        <v>0</v>
      </c>
      <c r="U176" s="14">
        <f>IF(ISNUMBER(Refsz_Verbräuche[[#This Row],[2030]]), Refsz_Verbräuche[[#This Row],[2030]]*Emissionsfaktoren[[#This Row],[2030]]/1000, 0)</f>
        <v>0</v>
      </c>
      <c r="V176" s="14">
        <f>IF(ISNUMBER(Refsz_Verbräuche[[#This Row],[2035]]), Refsz_Verbräuche[[#This Row],[2035]]*Emissionsfaktoren[[#This Row],[2035]]/1000, 0)</f>
        <v>0</v>
      </c>
      <c r="W176" s="14">
        <f>IF(ISNUMBER(Refsz_Verbräuche[[#This Row],[2040]]), Refsz_Verbräuche[[#This Row],[2040]]*Emissionsfaktoren[[#This Row],[2040]]/1000, 0)</f>
        <v>0</v>
      </c>
      <c r="X176" s="14">
        <f>IF(ISNUMBER(Refsz_Verbräuche[[#This Row],[2045]]), Refsz_Verbräuche[[#This Row],[2045]]*Emissionsfaktoren[[#This Row],[2045]]/1000, 0)</f>
        <v>0</v>
      </c>
      <c r="Y176" s="14">
        <f>IF(ISNUMBER(Refsz_Verbräuche[[#This Row],[2050]]), Refsz_Verbräuche[[#This Row],[2050]]*Emissionsfaktoren[[#This Row],[2050]]/1000, 0)</f>
        <v>0</v>
      </c>
    </row>
    <row r="177" spans="2:26" ht="16.5">
      <c r="B177" s="14">
        <v>160</v>
      </c>
      <c r="C177" s="14">
        <f>Refsz_Verbräuche[[#This Row],[Handlungsfeld]]</f>
        <v>0</v>
      </c>
      <c r="D177" s="19">
        <f>Refsz_Verbräuche[[#This Row],[Datenpunkt]]</f>
        <v>0</v>
      </c>
      <c r="E177" t="s">
        <v>195</v>
      </c>
      <c r="F177" s="14">
        <f>IF(ISNUMBER(Refsz_Verbräuche[[#This Row],[2015]]), Refsz_Verbräuche[[#This Row],[2015]]*Emissionsfaktoren[[#This Row],[2015]]/1000, 0)</f>
        <v>0</v>
      </c>
      <c r="G177" s="14">
        <f>IF(ISNUMBER(Refsz_Verbräuche[[#This Row],[2016]]), Refsz_Verbräuche[[#This Row],[2016]]*Emissionsfaktoren[[#This Row],[2016]]/1000, 0)</f>
        <v>0</v>
      </c>
      <c r="H177" s="14">
        <f>IF(ISNUMBER(Refsz_Verbräuche[[#This Row],[2017]]), Refsz_Verbräuche[[#This Row],[2017]]*Emissionsfaktoren[[#This Row],[2017]]/1000, 0)</f>
        <v>0</v>
      </c>
      <c r="I177" s="14">
        <f>IF(ISNUMBER(Refsz_Verbräuche[[#This Row],[2018]]), Refsz_Verbräuche[[#This Row],[2018]]*Emissionsfaktoren[[#This Row],[2018]]/1000, 0)</f>
        <v>0</v>
      </c>
      <c r="J177" s="14">
        <f>IF(ISNUMBER(Refsz_Verbräuche[[#This Row],[2019]]), Refsz_Verbräuche[[#This Row],[2019]]*Emissionsfaktoren[[#This Row],[2019]]/1000, 0)</f>
        <v>0</v>
      </c>
      <c r="K177" s="14">
        <f>IF(ISNUMBER(Refsz_Verbräuche[[#This Row],[2020]]), Refsz_Verbräuche[[#This Row],[2020]]*Emissionsfaktoren[[#This Row],[2020]]/1000, 0)</f>
        <v>0</v>
      </c>
      <c r="L177" s="14">
        <f>IF(ISNUMBER(Refsz_Verbräuche[[#This Row],[2021]]), Refsz_Verbräuche[[#This Row],[2021]]*Emissionsfaktoren[[#This Row],[2021]]/1000, 0)</f>
        <v>0</v>
      </c>
      <c r="M177" s="14">
        <f>IF(ISNUMBER(Refsz_Verbräuche[[#This Row],[2022]]), Refsz_Verbräuche[[#This Row],[2022]]*Emissionsfaktoren[[#This Row],[2022]]/1000, 0)</f>
        <v>0</v>
      </c>
      <c r="N177" s="14">
        <f>IF(ISNUMBER(Refsz_Verbräuche[[#This Row],[2023]]), Refsz_Verbräuche[[#This Row],[2023]]*Emissionsfaktoren[[#This Row],[2023]]/1000, 0)</f>
        <v>0</v>
      </c>
      <c r="O177" s="14">
        <f>IF(ISNUMBER(Refsz_Verbräuche[[#This Row],[2024]]), Refsz_Verbräuche[[#This Row],[2024]]*Emissionsfaktoren[[#This Row],[2024]]/1000, 0)</f>
        <v>0</v>
      </c>
      <c r="P177" s="14">
        <f>IF(ISNUMBER(Refsz_Verbräuche[[#This Row],[2025]]), Refsz_Verbräuche[[#This Row],[2025]]*Emissionsfaktoren[[#This Row],[2025]]/1000, 0)</f>
        <v>0</v>
      </c>
      <c r="Q177" s="14">
        <f>IF(ISNUMBER(Refsz_Verbräuche[[#This Row],[2026]]), Refsz_Verbräuche[[#This Row],[2026]]*Emissionsfaktoren[[#This Row],[2026]]/1000, 0)</f>
        <v>0</v>
      </c>
      <c r="R177" s="14">
        <f>IF(ISNUMBER(Refsz_Verbräuche[[#This Row],[2027]]), Refsz_Verbräuche[[#This Row],[2027]]*Emissionsfaktoren[[#This Row],[2027]]/1000, 0)</f>
        <v>0</v>
      </c>
      <c r="S177" s="14">
        <f>IF(ISNUMBER(Refsz_Verbräuche[[#This Row],[2028]]), Refsz_Verbräuche[[#This Row],[2028]]*Emissionsfaktoren[[#This Row],[2028]]/1000, 0)</f>
        <v>0</v>
      </c>
      <c r="T177" s="14">
        <f>IF(ISNUMBER(Refsz_Verbräuche[[#This Row],[2029]]), Refsz_Verbräuche[[#This Row],[2029]]*Emissionsfaktoren[[#This Row],[2029]]/1000, 0)</f>
        <v>0</v>
      </c>
      <c r="U177" s="14">
        <f>IF(ISNUMBER(Refsz_Verbräuche[[#This Row],[2030]]), Refsz_Verbräuche[[#This Row],[2030]]*Emissionsfaktoren[[#This Row],[2030]]/1000, 0)</f>
        <v>0</v>
      </c>
      <c r="V177" s="14">
        <f>IF(ISNUMBER(Refsz_Verbräuche[[#This Row],[2035]]), Refsz_Verbräuche[[#This Row],[2035]]*Emissionsfaktoren[[#This Row],[2035]]/1000, 0)</f>
        <v>0</v>
      </c>
      <c r="W177" s="14">
        <f>IF(ISNUMBER(Refsz_Verbräuche[[#This Row],[2040]]), Refsz_Verbräuche[[#This Row],[2040]]*Emissionsfaktoren[[#This Row],[2040]]/1000, 0)</f>
        <v>0</v>
      </c>
      <c r="X177" s="14">
        <f>IF(ISNUMBER(Refsz_Verbräuche[[#This Row],[2045]]), Refsz_Verbräuche[[#This Row],[2045]]*Emissionsfaktoren[[#This Row],[2045]]/1000, 0)</f>
        <v>0</v>
      </c>
      <c r="Y177" s="14">
        <f>IF(ISNUMBER(Refsz_Verbräuche[[#This Row],[2050]]), Refsz_Verbräuche[[#This Row],[2050]]*Emissionsfaktoren[[#This Row],[2050]]/1000, 0)</f>
        <v>0</v>
      </c>
    </row>
    <row r="178" spans="2:26" ht="16.5">
      <c r="B178" s="14">
        <v>161</v>
      </c>
      <c r="C178" s="14">
        <f>Refsz_Verbräuche[[#This Row],[Handlungsfeld]]</f>
        <v>0</v>
      </c>
      <c r="D178" s="19">
        <f>Refsz_Verbräuche[[#This Row],[Datenpunkt]]</f>
        <v>0</v>
      </c>
      <c r="E178" t="s">
        <v>195</v>
      </c>
      <c r="F178" s="14">
        <f>IF(ISNUMBER(Refsz_Verbräuche[[#This Row],[2015]]), Refsz_Verbräuche[[#This Row],[2015]]*Emissionsfaktoren[[#This Row],[2015]]/1000, 0)</f>
        <v>0</v>
      </c>
      <c r="G178" s="14">
        <f>IF(ISNUMBER(Refsz_Verbräuche[[#This Row],[2016]]), Refsz_Verbräuche[[#This Row],[2016]]*Emissionsfaktoren[[#This Row],[2016]]/1000, 0)</f>
        <v>0</v>
      </c>
      <c r="H178" s="14">
        <f>IF(ISNUMBER(Refsz_Verbräuche[[#This Row],[2017]]), Refsz_Verbräuche[[#This Row],[2017]]*Emissionsfaktoren[[#This Row],[2017]]/1000, 0)</f>
        <v>0</v>
      </c>
      <c r="I178" s="14">
        <f>IF(ISNUMBER(Refsz_Verbräuche[[#This Row],[2018]]), Refsz_Verbräuche[[#This Row],[2018]]*Emissionsfaktoren[[#This Row],[2018]]/1000, 0)</f>
        <v>0</v>
      </c>
      <c r="J178" s="14">
        <f>IF(ISNUMBER(Refsz_Verbräuche[[#This Row],[2019]]), Refsz_Verbräuche[[#This Row],[2019]]*Emissionsfaktoren[[#This Row],[2019]]/1000, 0)</f>
        <v>0</v>
      </c>
      <c r="K178" s="14">
        <f>IF(ISNUMBER(Refsz_Verbräuche[[#This Row],[2020]]), Refsz_Verbräuche[[#This Row],[2020]]*Emissionsfaktoren[[#This Row],[2020]]/1000, 0)</f>
        <v>0</v>
      </c>
      <c r="L178" s="14">
        <f>IF(ISNUMBER(Refsz_Verbräuche[[#This Row],[2021]]), Refsz_Verbräuche[[#This Row],[2021]]*Emissionsfaktoren[[#This Row],[2021]]/1000, 0)</f>
        <v>0</v>
      </c>
      <c r="M178" s="14">
        <f>IF(ISNUMBER(Refsz_Verbräuche[[#This Row],[2022]]), Refsz_Verbräuche[[#This Row],[2022]]*Emissionsfaktoren[[#This Row],[2022]]/1000, 0)</f>
        <v>0</v>
      </c>
      <c r="N178" s="14">
        <f>IF(ISNUMBER(Refsz_Verbräuche[[#This Row],[2023]]), Refsz_Verbräuche[[#This Row],[2023]]*Emissionsfaktoren[[#This Row],[2023]]/1000, 0)</f>
        <v>0</v>
      </c>
      <c r="O178" s="14">
        <f>IF(ISNUMBER(Refsz_Verbräuche[[#This Row],[2024]]), Refsz_Verbräuche[[#This Row],[2024]]*Emissionsfaktoren[[#This Row],[2024]]/1000, 0)</f>
        <v>0</v>
      </c>
      <c r="P178" s="14">
        <f>IF(ISNUMBER(Refsz_Verbräuche[[#This Row],[2025]]), Refsz_Verbräuche[[#This Row],[2025]]*Emissionsfaktoren[[#This Row],[2025]]/1000, 0)</f>
        <v>0</v>
      </c>
      <c r="Q178" s="14">
        <f>IF(ISNUMBER(Refsz_Verbräuche[[#This Row],[2026]]), Refsz_Verbräuche[[#This Row],[2026]]*Emissionsfaktoren[[#This Row],[2026]]/1000, 0)</f>
        <v>0</v>
      </c>
      <c r="R178" s="14">
        <f>IF(ISNUMBER(Refsz_Verbräuche[[#This Row],[2027]]), Refsz_Verbräuche[[#This Row],[2027]]*Emissionsfaktoren[[#This Row],[2027]]/1000, 0)</f>
        <v>0</v>
      </c>
      <c r="S178" s="14">
        <f>IF(ISNUMBER(Refsz_Verbräuche[[#This Row],[2028]]), Refsz_Verbräuche[[#This Row],[2028]]*Emissionsfaktoren[[#This Row],[2028]]/1000, 0)</f>
        <v>0</v>
      </c>
      <c r="T178" s="14">
        <f>IF(ISNUMBER(Refsz_Verbräuche[[#This Row],[2029]]), Refsz_Verbräuche[[#This Row],[2029]]*Emissionsfaktoren[[#This Row],[2029]]/1000, 0)</f>
        <v>0</v>
      </c>
      <c r="U178" s="14">
        <f>IF(ISNUMBER(Refsz_Verbräuche[[#This Row],[2030]]), Refsz_Verbräuche[[#This Row],[2030]]*Emissionsfaktoren[[#This Row],[2030]]/1000, 0)</f>
        <v>0</v>
      </c>
      <c r="V178" s="14">
        <f>IF(ISNUMBER(Refsz_Verbräuche[[#This Row],[2035]]), Refsz_Verbräuche[[#This Row],[2035]]*Emissionsfaktoren[[#This Row],[2035]]/1000, 0)</f>
        <v>0</v>
      </c>
      <c r="W178" s="14">
        <f>IF(ISNUMBER(Refsz_Verbräuche[[#This Row],[2040]]), Refsz_Verbräuche[[#This Row],[2040]]*Emissionsfaktoren[[#This Row],[2040]]/1000, 0)</f>
        <v>0</v>
      </c>
      <c r="X178" s="14">
        <f>IF(ISNUMBER(Refsz_Verbräuche[[#This Row],[2045]]), Refsz_Verbräuche[[#This Row],[2045]]*Emissionsfaktoren[[#This Row],[2045]]/1000, 0)</f>
        <v>0</v>
      </c>
      <c r="Y178" s="14">
        <f>IF(ISNUMBER(Refsz_Verbräuche[[#This Row],[2050]]), Refsz_Verbräuche[[#This Row],[2050]]*Emissionsfaktoren[[#This Row],[2050]]/1000, 0)</f>
        <v>0</v>
      </c>
    </row>
    <row r="181" spans="2:26" ht="15.5">
      <c r="B181" s="6" t="s">
        <v>416</v>
      </c>
      <c r="E181" s="13"/>
    </row>
    <row r="182" spans="2:26">
      <c r="B182" t="s">
        <v>38</v>
      </c>
      <c r="C182" t="s">
        <v>28</v>
      </c>
      <c r="D182" s="14" t="s">
        <v>435</v>
      </c>
      <c r="E182" t="s">
        <v>2</v>
      </c>
      <c r="F182" t="s">
        <v>3</v>
      </c>
      <c r="G182" t="s">
        <v>4</v>
      </c>
      <c r="H182" t="s">
        <v>5</v>
      </c>
      <c r="I182" t="s">
        <v>6</v>
      </c>
      <c r="J182" t="s">
        <v>7</v>
      </c>
      <c r="K182" t="s">
        <v>8</v>
      </c>
      <c r="L182" t="s">
        <v>9</v>
      </c>
      <c r="M182" t="s">
        <v>10</v>
      </c>
      <c r="N182" t="s">
        <v>11</v>
      </c>
      <c r="O182" t="s">
        <v>12</v>
      </c>
      <c r="P182" t="s">
        <v>13</v>
      </c>
      <c r="Q182" t="s">
        <v>14</v>
      </c>
      <c r="R182" t="s">
        <v>216</v>
      </c>
      <c r="S182" t="s">
        <v>217</v>
      </c>
      <c r="T182" t="s">
        <v>218</v>
      </c>
      <c r="U182" t="s">
        <v>15</v>
      </c>
      <c r="V182" t="s">
        <v>16</v>
      </c>
      <c r="W182" t="s">
        <v>17</v>
      </c>
      <c r="X182" t="s">
        <v>18</v>
      </c>
      <c r="Y182" t="s">
        <v>19</v>
      </c>
      <c r="Z182" t="s">
        <v>45</v>
      </c>
    </row>
    <row r="183" spans="2:26" ht="16.5">
      <c r="B183" s="14">
        <v>1</v>
      </c>
      <c r="C183" s="14" t="str">
        <f>'Refsz-Verbräuche'!C18</f>
        <v>Elektrischer Strom</v>
      </c>
      <c r="D183" s="19" t="str">
        <f>'Refsz-Verbräuche'!D18</f>
        <v>Bundesmix</v>
      </c>
      <c r="E183" t="s">
        <v>195</v>
      </c>
      <c r="F183" s="14">
        <f>IF(ISNUMBER('Refsz-Verbräuche'!F18), 'Refsz-Verbräuche'!F18*Emissionsfaktoren!E18/1000, 0)</f>
        <v>0</v>
      </c>
      <c r="G183" s="14">
        <f>IF(ISNUMBER('Refsz-Verbräuche'!G18), 'Refsz-Verbräuche'!G18*Emissionsfaktoren!F18/1000, 0)</f>
        <v>0</v>
      </c>
      <c r="H183" s="14">
        <f>IF(ISNUMBER('Refsz-Verbräuche'!H18), 'Refsz-Verbräuche'!H18*Emissionsfaktoren!G18/1000, 0)</f>
        <v>0</v>
      </c>
      <c r="I183" s="14">
        <f>IF(ISNUMBER('Refsz-Verbräuche'!I18), 'Refsz-Verbräuche'!I18*Emissionsfaktoren!H18/1000, 0)</f>
        <v>0</v>
      </c>
      <c r="J183" s="14">
        <f>IF(ISNUMBER('Refsz-Verbräuche'!J18), 'Refsz-Verbräuche'!J18*Emissionsfaktoren!I18/1000, 0)</f>
        <v>0</v>
      </c>
      <c r="K183" s="14">
        <f>IF(ISNUMBER('Refsz-Verbräuche'!K18), 'Refsz-Verbräuche'!K18*Emissionsfaktoren!J18/1000, 0)</f>
        <v>0</v>
      </c>
      <c r="L183" s="14">
        <f>IF(ISNUMBER('Refsz-Verbräuche'!L18), 'Refsz-Verbräuche'!L18*Emissionsfaktoren!K18/1000, 0)</f>
        <v>0</v>
      </c>
      <c r="M183" s="14">
        <f>IF(ISNUMBER('Refsz-Verbräuche'!M18), 'Refsz-Verbräuche'!M18*Emissionsfaktoren!L18/1000, 0)</f>
        <v>0</v>
      </c>
      <c r="N183" s="14">
        <f>IF(ISNUMBER('Refsz-Verbräuche'!N18), 'Refsz-Verbräuche'!N18*Emissionsfaktoren!M18/1000, 0)</f>
        <v>0</v>
      </c>
      <c r="O183" s="14">
        <f>IF(ISNUMBER('Refsz-Verbräuche'!O18), 'Refsz-Verbräuche'!O18*Emissionsfaktoren!N18/1000, 0)</f>
        <v>0</v>
      </c>
      <c r="P183" s="14">
        <f>IF(ISNUMBER('Refsz-Verbräuche'!P18), 'Refsz-Verbräuche'!P18*Emissionsfaktoren!O18/1000, 0)</f>
        <v>0</v>
      </c>
      <c r="Q183" s="14">
        <f>IF(ISNUMBER('Refsz-Verbräuche'!Q18), 'Refsz-Verbräuche'!Q18*Emissionsfaktoren!P18/1000, 0)</f>
        <v>0</v>
      </c>
      <c r="R183" s="14">
        <f>IF(ISNUMBER('Refsz-Verbräuche'!R18), 'Refsz-Verbräuche'!R18*Emissionsfaktoren!Q18/1000, 0)</f>
        <v>0</v>
      </c>
      <c r="S183" s="14">
        <f>IF(ISNUMBER('Refsz-Verbräuche'!S18), 'Refsz-Verbräuche'!S18*Emissionsfaktoren!R18/1000, 0)</f>
        <v>0</v>
      </c>
      <c r="T183" s="14">
        <f>IF(ISNUMBER('Refsz-Verbräuche'!T18), 'Refsz-Verbräuche'!T18*Emissionsfaktoren!S18/1000, 0)</f>
        <v>0</v>
      </c>
      <c r="U183" s="14">
        <f>IF(ISNUMBER('Refsz-Verbräuche'!U18), 'Refsz-Verbräuche'!U18*Emissionsfaktoren!T18/1000, 0)</f>
        <v>0</v>
      </c>
      <c r="V183" s="14">
        <f>IF(ISNUMBER('Refsz-Verbräuche'!V18), 'Refsz-Verbräuche'!V18*Emissionsfaktoren!U18/1000, 0)</f>
        <v>0</v>
      </c>
      <c r="W183" s="14">
        <f>IF(ISNUMBER('Refsz-Verbräuche'!W18), 'Refsz-Verbräuche'!W18*Emissionsfaktoren!V18/1000, 0)</f>
        <v>0</v>
      </c>
      <c r="X183" s="14">
        <f>IF(ISNUMBER('Refsz-Verbräuche'!X18), 'Refsz-Verbräuche'!X18*Emissionsfaktoren!W18/1000, 0)</f>
        <v>0</v>
      </c>
      <c r="Y183" s="14">
        <f>IF(ISNUMBER('Refsz-Verbräuche'!Y18), 'Refsz-Verbräuche'!Y18*Emissionsfaktoren!X18/1000, 0)</f>
        <v>0</v>
      </c>
    </row>
    <row r="184" spans="2:26" ht="16.5">
      <c r="B184" s="14">
        <v>2</v>
      </c>
      <c r="C184" s="14" t="str">
        <f>'Refsz-Verbräuche'!C19</f>
        <v>Elektrischer Strom</v>
      </c>
      <c r="D184" s="19" t="str">
        <f>'Refsz-Verbräuche'!D19</f>
        <v>Bundesmix KS80</v>
      </c>
      <c r="E184" t="s">
        <v>195</v>
      </c>
      <c r="F184" s="14">
        <f>IF(ISNUMBER('Refsz-Verbräuche'!F19), 'Refsz-Verbräuche'!F19*Emissionsfaktoren!E19/1000, 0)</f>
        <v>0</v>
      </c>
      <c r="G184" s="14">
        <f>IF(ISNUMBER('Refsz-Verbräuche'!G19), 'Refsz-Verbräuche'!G19*Emissionsfaktoren!F19/1000, 0)</f>
        <v>0</v>
      </c>
      <c r="H184" s="14">
        <f>IF(ISNUMBER('Refsz-Verbräuche'!H19), 'Refsz-Verbräuche'!H19*Emissionsfaktoren!G19/1000, 0)</f>
        <v>0</v>
      </c>
      <c r="I184" s="14">
        <f>IF(ISNUMBER('Refsz-Verbräuche'!I19), 'Refsz-Verbräuche'!I19*Emissionsfaktoren!H19/1000, 0)</f>
        <v>0</v>
      </c>
      <c r="J184" s="14">
        <f>IF(ISNUMBER('Refsz-Verbräuche'!J19), 'Refsz-Verbräuche'!J19*Emissionsfaktoren!I19/1000, 0)</f>
        <v>0</v>
      </c>
      <c r="K184" s="14">
        <f>IF(ISNUMBER('Refsz-Verbräuche'!K19), 'Refsz-Verbräuche'!K19*Emissionsfaktoren!J19/1000, 0)</f>
        <v>0</v>
      </c>
      <c r="L184" s="14">
        <f>IF(ISNUMBER('Refsz-Verbräuche'!L19), 'Refsz-Verbräuche'!L19*Emissionsfaktoren!K19/1000, 0)</f>
        <v>0</v>
      </c>
      <c r="M184" s="14">
        <f>IF(ISNUMBER('Refsz-Verbräuche'!M19), 'Refsz-Verbräuche'!M19*Emissionsfaktoren!L19/1000, 0)</f>
        <v>0</v>
      </c>
      <c r="N184" s="14">
        <f>IF(ISNUMBER('Refsz-Verbräuche'!N19), 'Refsz-Verbräuche'!N19*Emissionsfaktoren!M19/1000, 0)</f>
        <v>0</v>
      </c>
      <c r="O184" s="14">
        <f>IF(ISNUMBER('Refsz-Verbräuche'!O19), 'Refsz-Verbräuche'!O19*Emissionsfaktoren!N19/1000, 0)</f>
        <v>0</v>
      </c>
      <c r="P184" s="14">
        <f>IF(ISNUMBER('Refsz-Verbräuche'!P19), 'Refsz-Verbräuche'!P19*Emissionsfaktoren!O19/1000, 0)</f>
        <v>0</v>
      </c>
      <c r="Q184" s="14">
        <f>IF(ISNUMBER('Refsz-Verbräuche'!Q19), 'Refsz-Verbräuche'!Q19*Emissionsfaktoren!P19/1000, 0)</f>
        <v>0</v>
      </c>
      <c r="R184" s="14">
        <f>IF(ISNUMBER('Refsz-Verbräuche'!R19), 'Refsz-Verbräuche'!R19*Emissionsfaktoren!Q19/1000, 0)</f>
        <v>0</v>
      </c>
      <c r="S184" s="14">
        <f>IF(ISNUMBER('Refsz-Verbräuche'!S19), 'Refsz-Verbräuche'!S19*Emissionsfaktoren!R19/1000, 0)</f>
        <v>0</v>
      </c>
      <c r="T184" s="14">
        <f>IF(ISNUMBER('Refsz-Verbräuche'!T19), 'Refsz-Verbräuche'!T19*Emissionsfaktoren!S19/1000, 0)</f>
        <v>0</v>
      </c>
      <c r="U184" s="14">
        <f>IF(ISNUMBER('Refsz-Verbräuche'!U19), 'Refsz-Verbräuche'!U19*Emissionsfaktoren!T19/1000, 0)</f>
        <v>0</v>
      </c>
      <c r="V184" s="14">
        <f>IF(ISNUMBER('Refsz-Verbräuche'!V19), 'Refsz-Verbräuche'!V19*Emissionsfaktoren!U19/1000, 0)</f>
        <v>0</v>
      </c>
      <c r="W184" s="14">
        <f>IF(ISNUMBER('Refsz-Verbräuche'!W19), 'Refsz-Verbräuche'!W19*Emissionsfaktoren!V19/1000, 0)</f>
        <v>0</v>
      </c>
      <c r="X184" s="14">
        <f>IF(ISNUMBER('Refsz-Verbräuche'!X19), 'Refsz-Verbräuche'!X19*Emissionsfaktoren!W19/1000, 0)</f>
        <v>0</v>
      </c>
      <c r="Y184" s="14">
        <f>IF(ISNUMBER('Refsz-Verbräuche'!Y19), 'Refsz-Verbräuche'!Y19*Emissionsfaktoren!X19/1000, 0)</f>
        <v>0</v>
      </c>
    </row>
    <row r="185" spans="2:26" ht="16.5">
      <c r="B185" s="14">
        <v>3</v>
      </c>
      <c r="C185" s="14" t="str">
        <f>'Refsz-Verbräuche'!C20</f>
        <v>Elektrischer Strom</v>
      </c>
      <c r="D185" s="19" t="str">
        <f>'Refsz-Verbräuche'!D20</f>
        <v>Individueller Strommix Einrichtung 1</v>
      </c>
      <c r="E185" t="s">
        <v>195</v>
      </c>
      <c r="F185" s="14">
        <f>IF(ISNUMBER('Refsz-Verbräuche'!F20), 'Refsz-Verbräuche'!F20*Emissionsfaktoren!E20/1000, 0)</f>
        <v>0</v>
      </c>
      <c r="G185" s="14">
        <f>IF(ISNUMBER('Refsz-Verbräuche'!G20), 'Refsz-Verbräuche'!G20*Emissionsfaktoren!F20/1000, 0)</f>
        <v>0</v>
      </c>
      <c r="H185" s="14">
        <f>IF(ISNUMBER('Refsz-Verbräuche'!H20), 'Refsz-Verbräuche'!H20*Emissionsfaktoren!G20/1000, 0)</f>
        <v>0</v>
      </c>
      <c r="I185" s="14">
        <f>IF(ISNUMBER('Refsz-Verbräuche'!I20), 'Refsz-Verbräuche'!I20*Emissionsfaktoren!H20/1000, 0)</f>
        <v>0</v>
      </c>
      <c r="J185" s="14">
        <f>IF(ISNUMBER('Refsz-Verbräuche'!J20), 'Refsz-Verbräuche'!J20*Emissionsfaktoren!I20/1000, 0)</f>
        <v>0</v>
      </c>
      <c r="K185" s="14">
        <f>IF(ISNUMBER('Refsz-Verbräuche'!K20), 'Refsz-Verbräuche'!K20*Emissionsfaktoren!J20/1000, 0)</f>
        <v>0</v>
      </c>
      <c r="L185" s="14">
        <f>IF(ISNUMBER('Refsz-Verbräuche'!L20), 'Refsz-Verbräuche'!L20*Emissionsfaktoren!K20/1000, 0)</f>
        <v>0</v>
      </c>
      <c r="M185" s="14">
        <f>IF(ISNUMBER('Refsz-Verbräuche'!M20), 'Refsz-Verbräuche'!M20*Emissionsfaktoren!L20/1000, 0)</f>
        <v>0</v>
      </c>
      <c r="N185" s="14">
        <f>IF(ISNUMBER('Refsz-Verbräuche'!N20), 'Refsz-Verbräuche'!N20*Emissionsfaktoren!M20/1000, 0)</f>
        <v>0</v>
      </c>
      <c r="O185" s="14">
        <f>IF(ISNUMBER('Refsz-Verbräuche'!O20), 'Refsz-Verbräuche'!O20*Emissionsfaktoren!N20/1000, 0)</f>
        <v>0</v>
      </c>
      <c r="P185" s="14">
        <f>IF(ISNUMBER('Refsz-Verbräuche'!P20), 'Refsz-Verbräuche'!P20*Emissionsfaktoren!O20/1000, 0)</f>
        <v>0</v>
      </c>
      <c r="Q185" s="14">
        <f>IF(ISNUMBER('Refsz-Verbräuche'!Q20), 'Refsz-Verbräuche'!Q20*Emissionsfaktoren!P20/1000, 0)</f>
        <v>0</v>
      </c>
      <c r="R185" s="14">
        <f>IF(ISNUMBER('Refsz-Verbräuche'!R20), 'Refsz-Verbräuche'!R20*Emissionsfaktoren!Q20/1000, 0)</f>
        <v>0</v>
      </c>
      <c r="S185" s="14">
        <f>IF(ISNUMBER('Refsz-Verbräuche'!S20), 'Refsz-Verbräuche'!S20*Emissionsfaktoren!R20/1000, 0)</f>
        <v>0</v>
      </c>
      <c r="T185" s="14">
        <f>IF(ISNUMBER('Refsz-Verbräuche'!T20), 'Refsz-Verbräuche'!T20*Emissionsfaktoren!S20/1000, 0)</f>
        <v>0</v>
      </c>
      <c r="U185" s="14">
        <f>IF(ISNUMBER('Refsz-Verbräuche'!U20), 'Refsz-Verbräuche'!U20*Emissionsfaktoren!T20/1000, 0)</f>
        <v>0</v>
      </c>
      <c r="V185" s="14">
        <f>IF(ISNUMBER('Refsz-Verbräuche'!V20), 'Refsz-Verbräuche'!V20*Emissionsfaktoren!U20/1000, 0)</f>
        <v>0</v>
      </c>
      <c r="W185" s="14">
        <f>IF(ISNUMBER('Refsz-Verbräuche'!W20), 'Refsz-Verbräuche'!W20*Emissionsfaktoren!V20/1000, 0)</f>
        <v>0</v>
      </c>
      <c r="X185" s="14">
        <f>IF(ISNUMBER('Refsz-Verbräuche'!X20), 'Refsz-Verbräuche'!X20*Emissionsfaktoren!W20/1000, 0)</f>
        <v>0</v>
      </c>
      <c r="Y185" s="14">
        <f>IF(ISNUMBER('Refsz-Verbräuche'!Y20), 'Refsz-Verbräuche'!Y20*Emissionsfaktoren!X20/1000, 0)</f>
        <v>0</v>
      </c>
    </row>
    <row r="186" spans="2:26" ht="16.5">
      <c r="B186" s="14">
        <v>4</v>
      </c>
      <c r="C186" s="14" t="str">
        <f>'Refsz-Verbräuche'!C21</f>
        <v>Elektrischer Strom</v>
      </c>
      <c r="D186" s="19" t="str">
        <f>'Refsz-Verbräuche'!D21</f>
        <v>Individueller Strommix Einrichtung 2</v>
      </c>
      <c r="E186" t="s">
        <v>195</v>
      </c>
      <c r="F186" s="14">
        <f>IF(ISNUMBER('Refsz-Verbräuche'!F21), 'Refsz-Verbräuche'!F21*Emissionsfaktoren!E21/1000, 0)</f>
        <v>0</v>
      </c>
      <c r="G186" s="14">
        <f>IF(ISNUMBER('Refsz-Verbräuche'!G21), 'Refsz-Verbräuche'!G21*Emissionsfaktoren!F21/1000, 0)</f>
        <v>0</v>
      </c>
      <c r="H186" s="14">
        <f>IF(ISNUMBER('Refsz-Verbräuche'!H21), 'Refsz-Verbräuche'!H21*Emissionsfaktoren!G21/1000, 0)</f>
        <v>0</v>
      </c>
      <c r="I186" s="14">
        <f>IF(ISNUMBER('Refsz-Verbräuche'!I21), 'Refsz-Verbräuche'!I21*Emissionsfaktoren!H21/1000, 0)</f>
        <v>0</v>
      </c>
      <c r="J186" s="14">
        <f>IF(ISNUMBER('Refsz-Verbräuche'!J21), 'Refsz-Verbräuche'!J21*Emissionsfaktoren!I21/1000, 0)</f>
        <v>0</v>
      </c>
      <c r="K186" s="14">
        <f>IF(ISNUMBER('Refsz-Verbräuche'!K21), 'Refsz-Verbräuche'!K21*Emissionsfaktoren!J21/1000, 0)</f>
        <v>0</v>
      </c>
      <c r="L186" s="14">
        <f>IF(ISNUMBER('Refsz-Verbräuche'!L21), 'Refsz-Verbräuche'!L21*Emissionsfaktoren!K21/1000, 0)</f>
        <v>0</v>
      </c>
      <c r="M186" s="14">
        <f>IF(ISNUMBER('Refsz-Verbräuche'!M21), 'Refsz-Verbräuche'!M21*Emissionsfaktoren!L21/1000, 0)</f>
        <v>0</v>
      </c>
      <c r="N186" s="14">
        <f>IF(ISNUMBER('Refsz-Verbräuche'!N21), 'Refsz-Verbräuche'!N21*Emissionsfaktoren!M21/1000, 0)</f>
        <v>0</v>
      </c>
      <c r="O186" s="14">
        <f>IF(ISNUMBER('Refsz-Verbräuche'!O21), 'Refsz-Verbräuche'!O21*Emissionsfaktoren!N21/1000, 0)</f>
        <v>0</v>
      </c>
      <c r="P186" s="14">
        <f>IF(ISNUMBER('Refsz-Verbräuche'!P21), 'Refsz-Verbräuche'!P21*Emissionsfaktoren!O21/1000, 0)</f>
        <v>0</v>
      </c>
      <c r="Q186" s="14">
        <f>IF(ISNUMBER('Refsz-Verbräuche'!Q21), 'Refsz-Verbräuche'!Q21*Emissionsfaktoren!P21/1000, 0)</f>
        <v>0</v>
      </c>
      <c r="R186" s="14">
        <f>IF(ISNUMBER('Refsz-Verbräuche'!R21), 'Refsz-Verbräuche'!R21*Emissionsfaktoren!Q21/1000, 0)</f>
        <v>0</v>
      </c>
      <c r="S186" s="14">
        <f>IF(ISNUMBER('Refsz-Verbräuche'!S21), 'Refsz-Verbräuche'!S21*Emissionsfaktoren!R21/1000, 0)</f>
        <v>0</v>
      </c>
      <c r="T186" s="14">
        <f>IF(ISNUMBER('Refsz-Verbräuche'!T21), 'Refsz-Verbräuche'!T21*Emissionsfaktoren!S21/1000, 0)</f>
        <v>0</v>
      </c>
      <c r="U186" s="14">
        <f>IF(ISNUMBER('Refsz-Verbräuche'!U21), 'Refsz-Verbräuche'!U21*Emissionsfaktoren!T21/1000, 0)</f>
        <v>0</v>
      </c>
      <c r="V186" s="14">
        <f>IF(ISNUMBER('Refsz-Verbräuche'!V21), 'Refsz-Verbräuche'!V21*Emissionsfaktoren!U21/1000, 0)</f>
        <v>0</v>
      </c>
      <c r="W186" s="14">
        <f>IF(ISNUMBER('Refsz-Verbräuche'!W21), 'Refsz-Verbräuche'!W21*Emissionsfaktoren!V21/1000, 0)</f>
        <v>0</v>
      </c>
      <c r="X186" s="14">
        <f>IF(ISNUMBER('Refsz-Verbräuche'!X21), 'Refsz-Verbräuche'!X21*Emissionsfaktoren!W21/1000, 0)</f>
        <v>0</v>
      </c>
      <c r="Y186" s="14">
        <f>IF(ISNUMBER('Refsz-Verbräuche'!Y21), 'Refsz-Verbräuche'!Y21*Emissionsfaktoren!X21/1000, 0)</f>
        <v>0</v>
      </c>
    </row>
    <row r="187" spans="2:26" ht="16.5">
      <c r="B187" s="14">
        <v>5</v>
      </c>
      <c r="C187" s="14" t="str">
        <f>'Refsz-Verbräuche'!C22</f>
        <v>Elektrischer Strom</v>
      </c>
      <c r="D187" s="19" t="str">
        <f>'Refsz-Verbräuche'!D22</f>
        <v>Individueller Strommix Einrichtung 3</v>
      </c>
      <c r="E187" t="s">
        <v>195</v>
      </c>
      <c r="F187" s="14">
        <f>IF(ISNUMBER('Refsz-Verbräuche'!F22), 'Refsz-Verbräuche'!F22*Emissionsfaktoren!E22/1000, 0)</f>
        <v>0</v>
      </c>
      <c r="G187" s="14">
        <f>IF(ISNUMBER('Refsz-Verbräuche'!G22), 'Refsz-Verbräuche'!G22*Emissionsfaktoren!F22/1000, 0)</f>
        <v>0</v>
      </c>
      <c r="H187" s="14">
        <f>IF(ISNUMBER('Refsz-Verbräuche'!H22), 'Refsz-Verbräuche'!H22*Emissionsfaktoren!G22/1000, 0)</f>
        <v>0</v>
      </c>
      <c r="I187" s="14">
        <f>IF(ISNUMBER('Refsz-Verbräuche'!I22), 'Refsz-Verbräuche'!I22*Emissionsfaktoren!H22/1000, 0)</f>
        <v>0</v>
      </c>
      <c r="J187" s="14">
        <f>IF(ISNUMBER('Refsz-Verbräuche'!J22), 'Refsz-Verbräuche'!J22*Emissionsfaktoren!I22/1000, 0)</f>
        <v>0</v>
      </c>
      <c r="K187" s="14">
        <f>IF(ISNUMBER('Refsz-Verbräuche'!K22), 'Refsz-Verbräuche'!K22*Emissionsfaktoren!J22/1000, 0)</f>
        <v>0</v>
      </c>
      <c r="L187" s="14">
        <f>IF(ISNUMBER('Refsz-Verbräuche'!L22), 'Refsz-Verbräuche'!L22*Emissionsfaktoren!K22/1000, 0)</f>
        <v>0</v>
      </c>
      <c r="M187" s="14">
        <f>IF(ISNUMBER('Refsz-Verbräuche'!M22), 'Refsz-Verbräuche'!M22*Emissionsfaktoren!L22/1000, 0)</f>
        <v>0</v>
      </c>
      <c r="N187" s="14">
        <f>IF(ISNUMBER('Refsz-Verbräuche'!N22), 'Refsz-Verbräuche'!N22*Emissionsfaktoren!M22/1000, 0)</f>
        <v>0</v>
      </c>
      <c r="O187" s="14">
        <f>IF(ISNUMBER('Refsz-Verbräuche'!O22), 'Refsz-Verbräuche'!O22*Emissionsfaktoren!N22/1000, 0)</f>
        <v>0</v>
      </c>
      <c r="P187" s="14">
        <f>IF(ISNUMBER('Refsz-Verbräuche'!P22), 'Refsz-Verbräuche'!P22*Emissionsfaktoren!O22/1000, 0)</f>
        <v>0</v>
      </c>
      <c r="Q187" s="14">
        <f>IF(ISNUMBER('Refsz-Verbräuche'!Q22), 'Refsz-Verbräuche'!Q22*Emissionsfaktoren!P22/1000, 0)</f>
        <v>0</v>
      </c>
      <c r="R187" s="14">
        <f>IF(ISNUMBER('Refsz-Verbräuche'!R22), 'Refsz-Verbräuche'!R22*Emissionsfaktoren!Q22/1000, 0)</f>
        <v>0</v>
      </c>
      <c r="S187" s="14">
        <f>IF(ISNUMBER('Refsz-Verbräuche'!S22), 'Refsz-Verbräuche'!S22*Emissionsfaktoren!R22/1000, 0)</f>
        <v>0</v>
      </c>
      <c r="T187" s="14">
        <f>IF(ISNUMBER('Refsz-Verbräuche'!T22), 'Refsz-Verbräuche'!T22*Emissionsfaktoren!S22/1000, 0)</f>
        <v>0</v>
      </c>
      <c r="U187" s="14">
        <f>IF(ISNUMBER('Refsz-Verbräuche'!U22), 'Refsz-Verbräuche'!U22*Emissionsfaktoren!T22/1000, 0)</f>
        <v>0</v>
      </c>
      <c r="V187" s="14">
        <f>IF(ISNUMBER('Refsz-Verbräuche'!V22), 'Refsz-Verbräuche'!V22*Emissionsfaktoren!U22/1000, 0)</f>
        <v>0</v>
      </c>
      <c r="W187" s="14">
        <f>IF(ISNUMBER('Refsz-Verbräuche'!W22), 'Refsz-Verbräuche'!W22*Emissionsfaktoren!V22/1000, 0)</f>
        <v>0</v>
      </c>
      <c r="X187" s="14">
        <f>IF(ISNUMBER('Refsz-Verbräuche'!X22), 'Refsz-Verbräuche'!X22*Emissionsfaktoren!W22/1000, 0)</f>
        <v>0</v>
      </c>
      <c r="Y187" s="14">
        <f>IF(ISNUMBER('Refsz-Verbräuche'!Y22), 'Refsz-Verbräuche'!Y22*Emissionsfaktoren!X22/1000, 0)</f>
        <v>0</v>
      </c>
    </row>
    <row r="188" spans="2:26" ht="16.5">
      <c r="B188" s="14">
        <v>6</v>
      </c>
      <c r="C188" s="14" t="str">
        <f>'Refsz-Verbräuche'!C23</f>
        <v>Elektrischer Strom</v>
      </c>
      <c r="D188" s="19" t="str">
        <f>'Refsz-Verbräuche'!D23</f>
        <v>Individueller Strommix Einrichtung 4</v>
      </c>
      <c r="E188" t="s">
        <v>195</v>
      </c>
      <c r="F188" s="14">
        <f>IF(ISNUMBER('Refsz-Verbräuche'!F23), 'Refsz-Verbräuche'!F23*Emissionsfaktoren!E23/1000, 0)</f>
        <v>0</v>
      </c>
      <c r="G188" s="14">
        <f>IF(ISNUMBER('Refsz-Verbräuche'!G23), 'Refsz-Verbräuche'!G23*Emissionsfaktoren!F23/1000, 0)</f>
        <v>0</v>
      </c>
      <c r="H188" s="14">
        <f>IF(ISNUMBER('Refsz-Verbräuche'!H23), 'Refsz-Verbräuche'!H23*Emissionsfaktoren!G23/1000, 0)</f>
        <v>0</v>
      </c>
      <c r="I188" s="14">
        <f>IF(ISNUMBER('Refsz-Verbräuche'!I23), 'Refsz-Verbräuche'!I23*Emissionsfaktoren!H23/1000, 0)</f>
        <v>0</v>
      </c>
      <c r="J188" s="14">
        <f>IF(ISNUMBER('Refsz-Verbräuche'!J23), 'Refsz-Verbräuche'!J23*Emissionsfaktoren!I23/1000, 0)</f>
        <v>0</v>
      </c>
      <c r="K188" s="14">
        <f>IF(ISNUMBER('Refsz-Verbräuche'!K23), 'Refsz-Verbräuche'!K23*Emissionsfaktoren!J23/1000, 0)</f>
        <v>0</v>
      </c>
      <c r="L188" s="14">
        <f>IF(ISNUMBER('Refsz-Verbräuche'!L23), 'Refsz-Verbräuche'!L23*Emissionsfaktoren!K23/1000, 0)</f>
        <v>0</v>
      </c>
      <c r="M188" s="14">
        <f>IF(ISNUMBER('Refsz-Verbräuche'!M23), 'Refsz-Verbräuche'!M23*Emissionsfaktoren!L23/1000, 0)</f>
        <v>0</v>
      </c>
      <c r="N188" s="14">
        <f>IF(ISNUMBER('Refsz-Verbräuche'!N23), 'Refsz-Verbräuche'!N23*Emissionsfaktoren!M23/1000, 0)</f>
        <v>0</v>
      </c>
      <c r="O188" s="14">
        <f>IF(ISNUMBER('Refsz-Verbräuche'!O23), 'Refsz-Verbräuche'!O23*Emissionsfaktoren!N23/1000, 0)</f>
        <v>0</v>
      </c>
      <c r="P188" s="14">
        <f>IF(ISNUMBER('Refsz-Verbräuche'!P23), 'Refsz-Verbräuche'!P23*Emissionsfaktoren!O23/1000, 0)</f>
        <v>0</v>
      </c>
      <c r="Q188" s="14">
        <f>IF(ISNUMBER('Refsz-Verbräuche'!Q23), 'Refsz-Verbräuche'!Q23*Emissionsfaktoren!P23/1000, 0)</f>
        <v>0</v>
      </c>
      <c r="R188" s="14">
        <f>IF(ISNUMBER('Refsz-Verbräuche'!R23), 'Refsz-Verbräuche'!R23*Emissionsfaktoren!Q23/1000, 0)</f>
        <v>0</v>
      </c>
      <c r="S188" s="14">
        <f>IF(ISNUMBER('Refsz-Verbräuche'!S23), 'Refsz-Verbräuche'!S23*Emissionsfaktoren!R23/1000, 0)</f>
        <v>0</v>
      </c>
      <c r="T188" s="14">
        <f>IF(ISNUMBER('Refsz-Verbräuche'!T23), 'Refsz-Verbräuche'!T23*Emissionsfaktoren!S23/1000, 0)</f>
        <v>0</v>
      </c>
      <c r="U188" s="14">
        <f>IF(ISNUMBER('Refsz-Verbräuche'!U23), 'Refsz-Verbräuche'!U23*Emissionsfaktoren!T23/1000, 0)</f>
        <v>0</v>
      </c>
      <c r="V188" s="14">
        <f>IF(ISNUMBER('Refsz-Verbräuche'!V23), 'Refsz-Verbräuche'!V23*Emissionsfaktoren!U23/1000, 0)</f>
        <v>0</v>
      </c>
      <c r="W188" s="14">
        <f>IF(ISNUMBER('Refsz-Verbräuche'!W23), 'Refsz-Verbräuche'!W23*Emissionsfaktoren!V23/1000, 0)</f>
        <v>0</v>
      </c>
      <c r="X188" s="14">
        <f>IF(ISNUMBER('Refsz-Verbräuche'!X23), 'Refsz-Verbräuche'!X23*Emissionsfaktoren!W23/1000, 0)</f>
        <v>0</v>
      </c>
      <c r="Y188" s="14">
        <f>IF(ISNUMBER('Refsz-Verbräuche'!Y23), 'Refsz-Verbräuche'!Y23*Emissionsfaktoren!X23/1000, 0)</f>
        <v>0</v>
      </c>
    </row>
    <row r="189" spans="2:26" ht="16.5">
      <c r="B189" s="14">
        <v>7</v>
      </c>
      <c r="C189" s="14" t="str">
        <f>'Refsz-Verbräuche'!C24</f>
        <v>Elektrischer Strom</v>
      </c>
      <c r="D189" s="19" t="str">
        <f>'Refsz-Verbräuche'!D24</f>
        <v>Individueller Strommix Einrichtung 5</v>
      </c>
      <c r="E189" t="s">
        <v>195</v>
      </c>
      <c r="F189" s="14">
        <f>IF(ISNUMBER('Refsz-Verbräuche'!F24), 'Refsz-Verbräuche'!F24*Emissionsfaktoren!E24/1000, 0)</f>
        <v>0</v>
      </c>
      <c r="G189" s="14">
        <f>IF(ISNUMBER('Refsz-Verbräuche'!G24), 'Refsz-Verbräuche'!G24*Emissionsfaktoren!F24/1000, 0)</f>
        <v>0</v>
      </c>
      <c r="H189" s="14">
        <f>IF(ISNUMBER('Refsz-Verbräuche'!H24), 'Refsz-Verbräuche'!H24*Emissionsfaktoren!G24/1000, 0)</f>
        <v>0</v>
      </c>
      <c r="I189" s="14">
        <f>IF(ISNUMBER('Refsz-Verbräuche'!I24), 'Refsz-Verbräuche'!I24*Emissionsfaktoren!H24/1000, 0)</f>
        <v>0</v>
      </c>
      <c r="J189" s="14">
        <f>IF(ISNUMBER('Refsz-Verbräuche'!J24), 'Refsz-Verbräuche'!J24*Emissionsfaktoren!I24/1000, 0)</f>
        <v>0</v>
      </c>
      <c r="K189" s="14">
        <f>IF(ISNUMBER('Refsz-Verbräuche'!K24), 'Refsz-Verbräuche'!K24*Emissionsfaktoren!J24/1000, 0)</f>
        <v>0</v>
      </c>
      <c r="L189" s="14">
        <f>IF(ISNUMBER('Refsz-Verbräuche'!L24), 'Refsz-Verbräuche'!L24*Emissionsfaktoren!K24/1000, 0)</f>
        <v>0</v>
      </c>
      <c r="M189" s="14">
        <f>IF(ISNUMBER('Refsz-Verbräuche'!M24), 'Refsz-Verbräuche'!M24*Emissionsfaktoren!L24/1000, 0)</f>
        <v>0</v>
      </c>
      <c r="N189" s="14">
        <f>IF(ISNUMBER('Refsz-Verbräuche'!N24), 'Refsz-Verbräuche'!N24*Emissionsfaktoren!M24/1000, 0)</f>
        <v>0</v>
      </c>
      <c r="O189" s="14">
        <f>IF(ISNUMBER('Refsz-Verbräuche'!O24), 'Refsz-Verbräuche'!O24*Emissionsfaktoren!N24/1000, 0)</f>
        <v>0</v>
      </c>
      <c r="P189" s="14">
        <f>IF(ISNUMBER('Refsz-Verbräuche'!P24), 'Refsz-Verbräuche'!P24*Emissionsfaktoren!O24/1000, 0)</f>
        <v>0</v>
      </c>
      <c r="Q189" s="14">
        <f>IF(ISNUMBER('Refsz-Verbräuche'!Q24), 'Refsz-Verbräuche'!Q24*Emissionsfaktoren!P24/1000, 0)</f>
        <v>0</v>
      </c>
      <c r="R189" s="14">
        <f>IF(ISNUMBER('Refsz-Verbräuche'!R24), 'Refsz-Verbräuche'!R24*Emissionsfaktoren!Q24/1000, 0)</f>
        <v>0</v>
      </c>
      <c r="S189" s="14">
        <f>IF(ISNUMBER('Refsz-Verbräuche'!S24), 'Refsz-Verbräuche'!S24*Emissionsfaktoren!R24/1000, 0)</f>
        <v>0</v>
      </c>
      <c r="T189" s="14">
        <f>IF(ISNUMBER('Refsz-Verbräuche'!T24), 'Refsz-Verbräuche'!T24*Emissionsfaktoren!S24/1000, 0)</f>
        <v>0</v>
      </c>
      <c r="U189" s="14">
        <f>IF(ISNUMBER('Refsz-Verbräuche'!U24), 'Refsz-Verbräuche'!U24*Emissionsfaktoren!T24/1000, 0)</f>
        <v>0</v>
      </c>
      <c r="V189" s="14">
        <f>IF(ISNUMBER('Refsz-Verbräuche'!V24), 'Refsz-Verbräuche'!V24*Emissionsfaktoren!U24/1000, 0)</f>
        <v>0</v>
      </c>
      <c r="W189" s="14">
        <f>IF(ISNUMBER('Refsz-Verbräuche'!W24), 'Refsz-Verbräuche'!W24*Emissionsfaktoren!V24/1000, 0)</f>
        <v>0</v>
      </c>
      <c r="X189" s="14">
        <f>IF(ISNUMBER('Refsz-Verbräuche'!X24), 'Refsz-Verbräuche'!X24*Emissionsfaktoren!W24/1000, 0)</f>
        <v>0</v>
      </c>
      <c r="Y189" s="14">
        <f>IF(ISNUMBER('Refsz-Verbräuche'!Y24), 'Refsz-Verbräuche'!Y24*Emissionsfaktoren!X24/1000, 0)</f>
        <v>0</v>
      </c>
    </row>
    <row r="190" spans="2:26" ht="16.5">
      <c r="B190" s="14">
        <v>8</v>
      </c>
      <c r="C190" s="14" t="str">
        <f>'Refsz-Verbräuche'!C25</f>
        <v>Elektrischer Strom</v>
      </c>
      <c r="D190" s="19" t="str">
        <f>'Refsz-Verbräuche'!D25</f>
        <v>Individueller Strommix Einrichtung 6</v>
      </c>
      <c r="E190" t="s">
        <v>195</v>
      </c>
      <c r="F190" s="14">
        <f>IF(ISNUMBER('Refsz-Verbräuche'!F25), 'Refsz-Verbräuche'!F25*Emissionsfaktoren!E25/1000, 0)</f>
        <v>0</v>
      </c>
      <c r="G190" s="14">
        <f>IF(ISNUMBER('Refsz-Verbräuche'!G25), 'Refsz-Verbräuche'!G25*Emissionsfaktoren!F25/1000, 0)</f>
        <v>0</v>
      </c>
      <c r="H190" s="14">
        <f>IF(ISNUMBER('Refsz-Verbräuche'!H25), 'Refsz-Verbräuche'!H25*Emissionsfaktoren!G25/1000, 0)</f>
        <v>0</v>
      </c>
      <c r="I190" s="14">
        <f>IF(ISNUMBER('Refsz-Verbräuche'!I25), 'Refsz-Verbräuche'!I25*Emissionsfaktoren!H25/1000, 0)</f>
        <v>0</v>
      </c>
      <c r="J190" s="14">
        <f>IF(ISNUMBER('Refsz-Verbräuche'!J25), 'Refsz-Verbräuche'!J25*Emissionsfaktoren!I25/1000, 0)</f>
        <v>0</v>
      </c>
      <c r="K190" s="14">
        <f>IF(ISNUMBER('Refsz-Verbräuche'!K25), 'Refsz-Verbräuche'!K25*Emissionsfaktoren!J25/1000, 0)</f>
        <v>0</v>
      </c>
      <c r="L190" s="14">
        <f>IF(ISNUMBER('Refsz-Verbräuche'!L25), 'Refsz-Verbräuche'!L25*Emissionsfaktoren!K25/1000, 0)</f>
        <v>0</v>
      </c>
      <c r="M190" s="14">
        <f>IF(ISNUMBER('Refsz-Verbräuche'!M25), 'Refsz-Verbräuche'!M25*Emissionsfaktoren!L25/1000, 0)</f>
        <v>0</v>
      </c>
      <c r="N190" s="14">
        <f>IF(ISNUMBER('Refsz-Verbräuche'!N25), 'Refsz-Verbräuche'!N25*Emissionsfaktoren!M25/1000, 0)</f>
        <v>0</v>
      </c>
      <c r="O190" s="14">
        <f>IF(ISNUMBER('Refsz-Verbräuche'!O25), 'Refsz-Verbräuche'!O25*Emissionsfaktoren!N25/1000, 0)</f>
        <v>0</v>
      </c>
      <c r="P190" s="14">
        <f>IF(ISNUMBER('Refsz-Verbräuche'!P25), 'Refsz-Verbräuche'!P25*Emissionsfaktoren!O25/1000, 0)</f>
        <v>0</v>
      </c>
      <c r="Q190" s="14">
        <f>IF(ISNUMBER('Refsz-Verbräuche'!Q25), 'Refsz-Verbräuche'!Q25*Emissionsfaktoren!P25/1000, 0)</f>
        <v>0</v>
      </c>
      <c r="R190" s="14">
        <f>IF(ISNUMBER('Refsz-Verbräuche'!R25), 'Refsz-Verbräuche'!R25*Emissionsfaktoren!Q25/1000, 0)</f>
        <v>0</v>
      </c>
      <c r="S190" s="14">
        <f>IF(ISNUMBER('Refsz-Verbräuche'!S25), 'Refsz-Verbräuche'!S25*Emissionsfaktoren!R25/1000, 0)</f>
        <v>0</v>
      </c>
      <c r="T190" s="14">
        <f>IF(ISNUMBER('Refsz-Verbräuche'!T25), 'Refsz-Verbräuche'!T25*Emissionsfaktoren!S25/1000, 0)</f>
        <v>0</v>
      </c>
      <c r="U190" s="14">
        <f>IF(ISNUMBER('Refsz-Verbräuche'!U25), 'Refsz-Verbräuche'!U25*Emissionsfaktoren!T25/1000, 0)</f>
        <v>0</v>
      </c>
      <c r="V190" s="14">
        <f>IF(ISNUMBER('Refsz-Verbräuche'!V25), 'Refsz-Verbräuche'!V25*Emissionsfaktoren!U25/1000, 0)</f>
        <v>0</v>
      </c>
      <c r="W190" s="14">
        <f>IF(ISNUMBER('Refsz-Verbräuche'!W25), 'Refsz-Verbräuche'!W25*Emissionsfaktoren!V25/1000, 0)</f>
        <v>0</v>
      </c>
      <c r="X190" s="14">
        <f>IF(ISNUMBER('Refsz-Verbräuche'!X25), 'Refsz-Verbräuche'!X25*Emissionsfaktoren!W25/1000, 0)</f>
        <v>0</v>
      </c>
      <c r="Y190" s="14">
        <f>IF(ISNUMBER('Refsz-Verbräuche'!Y25), 'Refsz-Verbräuche'!Y25*Emissionsfaktoren!X25/1000, 0)</f>
        <v>0</v>
      </c>
    </row>
    <row r="191" spans="2:26" ht="16.5">
      <c r="B191" s="14">
        <v>9</v>
      </c>
      <c r="C191" s="14" t="str">
        <f>'Refsz-Verbräuche'!C26</f>
        <v>Elektrischer Strom</v>
      </c>
      <c r="D191" s="19" t="str">
        <f>'Refsz-Verbräuche'!D26</f>
        <v>BHKW</v>
      </c>
      <c r="E191" t="s">
        <v>195</v>
      </c>
      <c r="F191" s="14">
        <f>'Strommix &amp; BHKW'!D203+'Strommix &amp; BHKW'!D209+'Strommix &amp; BHKW'!D215+'Strommix &amp; BHKW'!D187</f>
        <v>0</v>
      </c>
      <c r="G191" s="14">
        <f>'Strommix &amp; BHKW'!E203+'Strommix &amp; BHKW'!E209+'Strommix &amp; BHKW'!E215+'Strommix &amp; BHKW'!E187</f>
        <v>0</v>
      </c>
      <c r="H191" s="14">
        <f>'Strommix &amp; BHKW'!F203+'Strommix &amp; BHKW'!F209+'Strommix &amp; BHKW'!F215+'Strommix &amp; BHKW'!F187</f>
        <v>0</v>
      </c>
      <c r="I191" s="14">
        <f>'Strommix &amp; BHKW'!G203+'Strommix &amp; BHKW'!G209+'Strommix &amp; BHKW'!G215+'Strommix &amp; BHKW'!G187</f>
        <v>0</v>
      </c>
      <c r="J191" s="14">
        <f>'Strommix &amp; BHKW'!H203+'Strommix &amp; BHKW'!H209+'Strommix &amp; BHKW'!H215+'Strommix &amp; BHKW'!H187</f>
        <v>0</v>
      </c>
      <c r="K191" s="14">
        <f>'Strommix &amp; BHKW'!I203+'Strommix &amp; BHKW'!I209+'Strommix &amp; BHKW'!I215+'Strommix &amp; BHKW'!I187</f>
        <v>0</v>
      </c>
      <c r="L191" s="14">
        <f>'Strommix &amp; BHKW'!J203+'Strommix &amp; BHKW'!J209+'Strommix &amp; BHKW'!J215+'Strommix &amp; BHKW'!J187</f>
        <v>0</v>
      </c>
      <c r="M191" s="14">
        <f>'Strommix &amp; BHKW'!K203+'Strommix &amp; BHKW'!K209+'Strommix &amp; BHKW'!K215+'Strommix &amp; BHKW'!K187</f>
        <v>0</v>
      </c>
      <c r="N191" s="14">
        <f>'Strommix &amp; BHKW'!L203+'Strommix &amp; BHKW'!L209+'Strommix &amp; BHKW'!L215+'Strommix &amp; BHKW'!L187</f>
        <v>0</v>
      </c>
      <c r="O191" s="14">
        <f>'Strommix &amp; BHKW'!M203+'Strommix &amp; BHKW'!M209+'Strommix &amp; BHKW'!M215+'Strommix &amp; BHKW'!M187</f>
        <v>0</v>
      </c>
      <c r="P191" s="14">
        <f>'Strommix &amp; BHKW'!N203+'Strommix &amp; BHKW'!N209+'Strommix &amp; BHKW'!N215+'Strommix &amp; BHKW'!N187</f>
        <v>0</v>
      </c>
      <c r="Q191" s="14">
        <f>'Strommix &amp; BHKW'!O203+'Strommix &amp; BHKW'!O209+'Strommix &amp; BHKW'!O215+'Strommix &amp; BHKW'!O187</f>
        <v>0</v>
      </c>
      <c r="R191" s="14">
        <f>'Strommix &amp; BHKW'!P203+'Strommix &amp; BHKW'!P209+'Strommix &amp; BHKW'!P215+'Strommix &amp; BHKW'!P187</f>
        <v>0</v>
      </c>
      <c r="S191" s="14">
        <f>'Strommix &amp; BHKW'!Q203+'Strommix &amp; BHKW'!Q209+'Strommix &amp; BHKW'!Q215+'Strommix &amp; BHKW'!Q187</f>
        <v>0</v>
      </c>
      <c r="T191" s="14">
        <f>'Strommix &amp; BHKW'!R203+'Strommix &amp; BHKW'!R209+'Strommix &amp; BHKW'!R215+'Strommix &amp; BHKW'!R187</f>
        <v>0</v>
      </c>
      <c r="U191" s="14">
        <f>'Strommix &amp; BHKW'!S203+'Strommix &amp; BHKW'!S209+'Strommix &amp; BHKW'!S215+'Strommix &amp; BHKW'!S187</f>
        <v>0</v>
      </c>
      <c r="V191" s="14">
        <f>'Strommix &amp; BHKW'!T203+'Strommix &amp; BHKW'!T209+'Strommix &amp; BHKW'!T215+'Strommix &amp; BHKW'!T187</f>
        <v>0</v>
      </c>
      <c r="W191" s="14">
        <f>'Strommix &amp; BHKW'!U203+'Strommix &amp; BHKW'!U209+'Strommix &amp; BHKW'!U215+'Strommix &amp; BHKW'!U187</f>
        <v>0</v>
      </c>
      <c r="X191" s="14">
        <f>'Strommix &amp; BHKW'!V203+'Strommix &amp; BHKW'!V209+'Strommix &amp; BHKW'!V215+'Strommix &amp; BHKW'!V187</f>
        <v>0</v>
      </c>
      <c r="Y191" s="14">
        <f>'Strommix &amp; BHKW'!W203+'Strommix &amp; BHKW'!W209+'Strommix &amp; BHKW'!W215+'Strommix &amp; BHKW'!W187</f>
        <v>0</v>
      </c>
    </row>
    <row r="192" spans="2:26" ht="16.5">
      <c r="B192" s="14">
        <v>10</v>
      </c>
      <c r="C192" s="14" t="str">
        <f>'Refsz-Verbräuche'!C27</f>
        <v>Elektrischer Strom</v>
      </c>
      <c r="D192" s="19" t="str">
        <f>'Refsz-Verbräuche'!D27</f>
        <v>Ökostrom</v>
      </c>
      <c r="E192" t="s">
        <v>195</v>
      </c>
      <c r="F192" s="14">
        <f>IF(ISNUMBER('Refsz-Verbräuche'!F27), 'Refsz-Verbräuche'!F27*Emissionsfaktoren!E27/1000, 0)</f>
        <v>0</v>
      </c>
      <c r="G192" s="14">
        <f>IF(ISNUMBER('Refsz-Verbräuche'!G27), 'Refsz-Verbräuche'!G27*Emissionsfaktoren!F27/1000, 0)</f>
        <v>0</v>
      </c>
      <c r="H192" s="14">
        <f>IF(ISNUMBER('Refsz-Verbräuche'!H27), 'Refsz-Verbräuche'!H27*Emissionsfaktoren!G27/1000, 0)</f>
        <v>0</v>
      </c>
      <c r="I192" s="14">
        <f>IF(ISNUMBER('Refsz-Verbräuche'!I27), 'Refsz-Verbräuche'!I27*Emissionsfaktoren!H27/1000, 0)</f>
        <v>0</v>
      </c>
      <c r="J192" s="14">
        <f>IF(ISNUMBER('Refsz-Verbräuche'!J27), 'Refsz-Verbräuche'!J27*Emissionsfaktoren!I27/1000, 0)</f>
        <v>0</v>
      </c>
      <c r="K192" s="14">
        <f>IF(ISNUMBER('Refsz-Verbräuche'!K27), 'Refsz-Verbräuche'!K27*Emissionsfaktoren!J27/1000, 0)</f>
        <v>0</v>
      </c>
      <c r="L192" s="14">
        <f>IF(ISNUMBER('Refsz-Verbräuche'!L27), 'Refsz-Verbräuche'!L27*Emissionsfaktoren!K27/1000, 0)</f>
        <v>0</v>
      </c>
      <c r="M192" s="14">
        <f>IF(ISNUMBER('Refsz-Verbräuche'!M27), 'Refsz-Verbräuche'!M27*Emissionsfaktoren!L27/1000, 0)</f>
        <v>0</v>
      </c>
      <c r="N192" s="14">
        <f>IF(ISNUMBER('Refsz-Verbräuche'!N27), 'Refsz-Verbräuche'!N27*Emissionsfaktoren!M27/1000, 0)</f>
        <v>0</v>
      </c>
      <c r="O192" s="14">
        <f>IF(ISNUMBER('Refsz-Verbräuche'!O27), 'Refsz-Verbräuche'!O27*Emissionsfaktoren!N27/1000, 0)</f>
        <v>0</v>
      </c>
      <c r="P192" s="14">
        <f>IF(ISNUMBER('Refsz-Verbräuche'!P27), 'Refsz-Verbräuche'!P27*Emissionsfaktoren!O27/1000, 0)</f>
        <v>0</v>
      </c>
      <c r="Q192" s="14">
        <f>IF(ISNUMBER('Refsz-Verbräuche'!Q27), 'Refsz-Verbräuche'!Q27*Emissionsfaktoren!P27/1000, 0)</f>
        <v>0</v>
      </c>
      <c r="R192" s="14">
        <f>IF(ISNUMBER('Refsz-Verbräuche'!R27), 'Refsz-Verbräuche'!R27*Emissionsfaktoren!Q27/1000, 0)</f>
        <v>0</v>
      </c>
      <c r="S192" s="14">
        <f>IF(ISNUMBER('Refsz-Verbräuche'!S27), 'Refsz-Verbräuche'!S27*Emissionsfaktoren!R27/1000, 0)</f>
        <v>0</v>
      </c>
      <c r="T192" s="14">
        <f>IF(ISNUMBER('Refsz-Verbräuche'!T27), 'Refsz-Verbräuche'!T27*Emissionsfaktoren!S27/1000, 0)</f>
        <v>0</v>
      </c>
      <c r="U192" s="14">
        <f>IF(ISNUMBER('Refsz-Verbräuche'!U27), 'Refsz-Verbräuche'!U27*Emissionsfaktoren!T27/1000, 0)</f>
        <v>0</v>
      </c>
      <c r="V192" s="14">
        <f>IF(ISNUMBER('Refsz-Verbräuche'!V27), 'Refsz-Verbräuche'!V27*Emissionsfaktoren!U27/1000, 0)</f>
        <v>0</v>
      </c>
      <c r="W192" s="14">
        <f>IF(ISNUMBER('Refsz-Verbräuche'!W27), 'Refsz-Verbräuche'!W27*Emissionsfaktoren!V27/1000, 0)</f>
        <v>0</v>
      </c>
      <c r="X192" s="14">
        <f>IF(ISNUMBER('Refsz-Verbräuche'!X27), 'Refsz-Verbräuche'!X27*Emissionsfaktoren!W27/1000, 0)</f>
        <v>0</v>
      </c>
      <c r="Y192" s="14">
        <f>IF(ISNUMBER('Refsz-Verbräuche'!Y27), 'Refsz-Verbräuche'!Y27*Emissionsfaktoren!X27/1000, 0)</f>
        <v>0</v>
      </c>
    </row>
    <row r="193" spans="2:25" ht="16.5">
      <c r="B193" s="14">
        <v>11</v>
      </c>
      <c r="C193" s="14" t="str">
        <f>'Refsz-Verbräuche'!C28</f>
        <v>Elektrischer Strom</v>
      </c>
      <c r="D193" s="19" t="str">
        <f>'Refsz-Verbräuche'!D28</f>
        <v>PV-Eigennutzung</v>
      </c>
      <c r="E193" t="s">
        <v>195</v>
      </c>
      <c r="F193" s="14">
        <f>IF(ISNUMBER('Refsz-Verbräuche'!F28), 'Refsz-Verbräuche'!F28*Emissionsfaktoren!E28/1000, 0)</f>
        <v>0</v>
      </c>
      <c r="G193" s="14">
        <f>IF(ISNUMBER('Refsz-Verbräuche'!G28), 'Refsz-Verbräuche'!G28*Emissionsfaktoren!F28/1000, 0)</f>
        <v>0</v>
      </c>
      <c r="H193" s="14">
        <f>IF(ISNUMBER('Refsz-Verbräuche'!H28), 'Refsz-Verbräuche'!H28*Emissionsfaktoren!G28/1000, 0)</f>
        <v>0</v>
      </c>
      <c r="I193" s="14">
        <f>IF(ISNUMBER('Refsz-Verbräuche'!I28), 'Refsz-Verbräuche'!I28*Emissionsfaktoren!H28/1000, 0)</f>
        <v>0</v>
      </c>
      <c r="J193" s="14">
        <f>IF(ISNUMBER('Refsz-Verbräuche'!J28), 'Refsz-Verbräuche'!J28*Emissionsfaktoren!I28/1000, 0)</f>
        <v>0</v>
      </c>
      <c r="K193" s="14">
        <f>IF(ISNUMBER('Refsz-Verbräuche'!K28), 'Refsz-Verbräuche'!K28*Emissionsfaktoren!J28/1000, 0)</f>
        <v>0</v>
      </c>
      <c r="L193" s="14">
        <f>IF(ISNUMBER('Refsz-Verbräuche'!L28), 'Refsz-Verbräuche'!L28*Emissionsfaktoren!K28/1000, 0)</f>
        <v>0</v>
      </c>
      <c r="M193" s="14">
        <f>IF(ISNUMBER('Refsz-Verbräuche'!M28), 'Refsz-Verbräuche'!M28*Emissionsfaktoren!L28/1000, 0)</f>
        <v>0</v>
      </c>
      <c r="N193" s="14">
        <f>IF(ISNUMBER('Refsz-Verbräuche'!N28), 'Refsz-Verbräuche'!N28*Emissionsfaktoren!M28/1000, 0)</f>
        <v>0</v>
      </c>
      <c r="O193" s="14">
        <f>IF(ISNUMBER('Refsz-Verbräuche'!O28), 'Refsz-Verbräuche'!O28*Emissionsfaktoren!N28/1000, 0)</f>
        <v>0</v>
      </c>
      <c r="P193" s="14">
        <f>IF(ISNUMBER('Refsz-Verbräuche'!P28), 'Refsz-Verbräuche'!P28*Emissionsfaktoren!O28/1000, 0)</f>
        <v>0</v>
      </c>
      <c r="Q193" s="14">
        <f>IF(ISNUMBER('Refsz-Verbräuche'!Q28), 'Refsz-Verbräuche'!Q28*Emissionsfaktoren!P28/1000, 0)</f>
        <v>0</v>
      </c>
      <c r="R193" s="14">
        <f>IF(ISNUMBER('Refsz-Verbräuche'!R28), 'Refsz-Verbräuche'!R28*Emissionsfaktoren!Q28/1000, 0)</f>
        <v>0</v>
      </c>
      <c r="S193" s="14">
        <f>IF(ISNUMBER('Refsz-Verbräuche'!S28), 'Refsz-Verbräuche'!S28*Emissionsfaktoren!R28/1000, 0)</f>
        <v>0</v>
      </c>
      <c r="T193" s="14">
        <f>IF(ISNUMBER('Refsz-Verbräuche'!T28), 'Refsz-Verbräuche'!T28*Emissionsfaktoren!S28/1000, 0)</f>
        <v>0</v>
      </c>
      <c r="U193" s="14">
        <f>IF(ISNUMBER('Refsz-Verbräuche'!U28), 'Refsz-Verbräuche'!U28*Emissionsfaktoren!T28/1000, 0)</f>
        <v>0</v>
      </c>
      <c r="V193" s="14">
        <f>IF(ISNUMBER('Refsz-Verbräuche'!V28), 'Refsz-Verbräuche'!V28*Emissionsfaktoren!U28/1000, 0)</f>
        <v>0</v>
      </c>
      <c r="W193" s="14">
        <f>IF(ISNUMBER('Refsz-Verbräuche'!W28), 'Refsz-Verbräuche'!W28*Emissionsfaktoren!V28/1000, 0)</f>
        <v>0</v>
      </c>
      <c r="X193" s="14">
        <f>IF(ISNUMBER('Refsz-Verbräuche'!X28), 'Refsz-Verbräuche'!X28*Emissionsfaktoren!W28/1000, 0)</f>
        <v>0</v>
      </c>
      <c r="Y193" s="14">
        <f>IF(ISNUMBER('Refsz-Verbräuche'!Y28), 'Refsz-Verbräuche'!Y28*Emissionsfaktoren!X28/1000, 0)</f>
        <v>0</v>
      </c>
    </row>
    <row r="194" spans="2:25" ht="16.5">
      <c r="B194" s="14">
        <v>12</v>
      </c>
      <c r="C194" s="14" t="str">
        <f>'Refsz-Verbräuche'!C29</f>
        <v>Wärme</v>
      </c>
      <c r="D194" s="19" t="str">
        <f>'Refsz-Verbräuche'!D29</f>
        <v>Erdgas</v>
      </c>
      <c r="E194" t="s">
        <v>195</v>
      </c>
      <c r="F194" s="14">
        <f>IF(ISNUMBER('Refsz-Verbräuche'!F29), 'Refsz-Verbräuche'!F29*Emissionsfaktoren!E29/1000, 0)</f>
        <v>0</v>
      </c>
      <c r="G194" s="14">
        <f>IF(ISNUMBER('Refsz-Verbräuche'!G29), 'Refsz-Verbräuche'!G29*Emissionsfaktoren!F29/1000, 0)</f>
        <v>0</v>
      </c>
      <c r="H194" s="14">
        <f>IF(ISNUMBER('Refsz-Verbräuche'!H29), 'Refsz-Verbräuche'!H29*Emissionsfaktoren!G29/1000, 0)</f>
        <v>0</v>
      </c>
      <c r="I194" s="14">
        <f>IF(ISNUMBER('Refsz-Verbräuche'!I29), 'Refsz-Verbräuche'!I29*Emissionsfaktoren!H29/1000, 0)</f>
        <v>0</v>
      </c>
      <c r="J194" s="14">
        <f>IF(ISNUMBER('Refsz-Verbräuche'!J29), 'Refsz-Verbräuche'!J29*Emissionsfaktoren!I29/1000, 0)</f>
        <v>0</v>
      </c>
      <c r="K194" s="14">
        <f>IF(ISNUMBER('Refsz-Verbräuche'!K29), 'Refsz-Verbräuche'!K29*Emissionsfaktoren!J29/1000, 0)</f>
        <v>0</v>
      </c>
      <c r="L194" s="14">
        <f>IF(ISNUMBER('Refsz-Verbräuche'!L29), 'Refsz-Verbräuche'!L29*Emissionsfaktoren!K29/1000, 0)</f>
        <v>0</v>
      </c>
      <c r="M194" s="14">
        <f>IF(ISNUMBER('Refsz-Verbräuche'!M29), 'Refsz-Verbräuche'!M29*Emissionsfaktoren!L29/1000, 0)</f>
        <v>0</v>
      </c>
      <c r="N194" s="14">
        <f>IF(ISNUMBER('Refsz-Verbräuche'!N29), 'Refsz-Verbräuche'!N29*Emissionsfaktoren!M29/1000, 0)</f>
        <v>0</v>
      </c>
      <c r="O194" s="14">
        <f>IF(ISNUMBER('Refsz-Verbräuche'!O29), 'Refsz-Verbräuche'!O29*Emissionsfaktoren!N29/1000, 0)</f>
        <v>0</v>
      </c>
      <c r="P194" s="14">
        <f>IF(ISNUMBER('Refsz-Verbräuche'!P29), 'Refsz-Verbräuche'!P29*Emissionsfaktoren!O29/1000, 0)</f>
        <v>0</v>
      </c>
      <c r="Q194" s="14">
        <f>IF(ISNUMBER('Refsz-Verbräuche'!Q29), 'Refsz-Verbräuche'!Q29*Emissionsfaktoren!P29/1000, 0)</f>
        <v>0</v>
      </c>
      <c r="R194" s="14">
        <f>IF(ISNUMBER('Refsz-Verbräuche'!R29), 'Refsz-Verbräuche'!R29*Emissionsfaktoren!Q29/1000, 0)</f>
        <v>0</v>
      </c>
      <c r="S194" s="14">
        <f>IF(ISNUMBER('Refsz-Verbräuche'!S29), 'Refsz-Verbräuche'!S29*Emissionsfaktoren!R29/1000, 0)</f>
        <v>0</v>
      </c>
      <c r="T194" s="14">
        <f>IF(ISNUMBER('Refsz-Verbräuche'!T29), 'Refsz-Verbräuche'!T29*Emissionsfaktoren!S29/1000, 0)</f>
        <v>0</v>
      </c>
      <c r="U194" s="14">
        <f>IF(ISNUMBER('Refsz-Verbräuche'!U29), 'Refsz-Verbräuche'!U29*Emissionsfaktoren!T29/1000, 0)</f>
        <v>0</v>
      </c>
      <c r="V194" s="14">
        <f>IF(ISNUMBER('Refsz-Verbräuche'!V29), 'Refsz-Verbräuche'!V29*Emissionsfaktoren!U29/1000, 0)</f>
        <v>0</v>
      </c>
      <c r="W194" s="14">
        <f>IF(ISNUMBER('Refsz-Verbräuche'!W29), 'Refsz-Verbräuche'!W29*Emissionsfaktoren!V29/1000, 0)</f>
        <v>0</v>
      </c>
      <c r="X194" s="14">
        <f>IF(ISNUMBER('Refsz-Verbräuche'!X29), 'Refsz-Verbräuche'!X29*Emissionsfaktoren!W29/1000, 0)</f>
        <v>0</v>
      </c>
      <c r="Y194" s="14">
        <f>IF(ISNUMBER('Refsz-Verbräuche'!Y29), 'Refsz-Verbräuche'!Y29*Emissionsfaktoren!X29/1000, 0)</f>
        <v>0</v>
      </c>
    </row>
    <row r="195" spans="2:25" ht="16.5">
      <c r="B195" s="14">
        <v>13</v>
      </c>
      <c r="C195" s="14" t="str">
        <f>'Refsz-Verbräuche'!C30</f>
        <v>Wärme</v>
      </c>
      <c r="D195" s="19" t="str">
        <f>'Refsz-Verbräuche'!D30</f>
        <v>BHKW</v>
      </c>
      <c r="E195" t="s">
        <v>195</v>
      </c>
      <c r="F195" s="14">
        <f>'Strommix &amp; BHKW'!D186+'Strommix &amp; BHKW'!D204+'Strommix &amp; BHKW'!D210+'Strommix &amp; BHKW'!D216</f>
        <v>0</v>
      </c>
      <c r="G195" s="14">
        <f>'Strommix &amp; BHKW'!E186+'Strommix &amp; BHKW'!E204+'Strommix &amp; BHKW'!E210+'Strommix &amp; BHKW'!E216</f>
        <v>0</v>
      </c>
      <c r="H195" s="14">
        <f>'Strommix &amp; BHKW'!F186+'Strommix &amp; BHKW'!F204+'Strommix &amp; BHKW'!F210+'Strommix &amp; BHKW'!F216</f>
        <v>0</v>
      </c>
      <c r="I195" s="14">
        <f>'Strommix &amp; BHKW'!G186+'Strommix &amp; BHKW'!G204+'Strommix &amp; BHKW'!G210+'Strommix &amp; BHKW'!G216</f>
        <v>0</v>
      </c>
      <c r="J195" s="14">
        <f>'Strommix &amp; BHKW'!H186+'Strommix &amp; BHKW'!H204+'Strommix &amp; BHKW'!H210+'Strommix &amp; BHKW'!H216</f>
        <v>0</v>
      </c>
      <c r="K195" s="14">
        <f>'Strommix &amp; BHKW'!I186+'Strommix &amp; BHKW'!I204+'Strommix &amp; BHKW'!I210+'Strommix &amp; BHKW'!I216</f>
        <v>0</v>
      </c>
      <c r="L195" s="14">
        <f>'Strommix &amp; BHKW'!J186+'Strommix &amp; BHKW'!J204+'Strommix &amp; BHKW'!J210+'Strommix &amp; BHKW'!J216</f>
        <v>0</v>
      </c>
      <c r="M195" s="14">
        <f>'Strommix &amp; BHKW'!K186+'Strommix &amp; BHKW'!K204+'Strommix &amp; BHKW'!K210+'Strommix &amp; BHKW'!K216</f>
        <v>0</v>
      </c>
      <c r="N195" s="14">
        <f>'Strommix &amp; BHKW'!L186+'Strommix &amp; BHKW'!L204+'Strommix &amp; BHKW'!L210+'Strommix &amp; BHKW'!L216</f>
        <v>0</v>
      </c>
      <c r="O195" s="14">
        <f>'Strommix &amp; BHKW'!M186+'Strommix &amp; BHKW'!M204+'Strommix &amp; BHKW'!M210+'Strommix &amp; BHKW'!M216</f>
        <v>0</v>
      </c>
      <c r="P195" s="14">
        <f>'Strommix &amp; BHKW'!N186+'Strommix &amp; BHKW'!N204+'Strommix &amp; BHKW'!N210+'Strommix &amp; BHKW'!N216</f>
        <v>0</v>
      </c>
      <c r="Q195" s="14">
        <f>'Strommix &amp; BHKW'!O186+'Strommix &amp; BHKW'!O204+'Strommix &amp; BHKW'!O210+'Strommix &amp; BHKW'!O216</f>
        <v>0</v>
      </c>
      <c r="R195" s="14">
        <f>'Strommix &amp; BHKW'!P186+'Strommix &amp; BHKW'!P204+'Strommix &amp; BHKW'!P210+'Strommix &amp; BHKW'!P216</f>
        <v>0</v>
      </c>
      <c r="S195" s="14">
        <f>'Strommix &amp; BHKW'!Q186+'Strommix &amp; BHKW'!Q204+'Strommix &amp; BHKW'!Q210+'Strommix &amp; BHKW'!Q216</f>
        <v>0</v>
      </c>
      <c r="T195" s="14">
        <f>'Strommix &amp; BHKW'!R186+'Strommix &amp; BHKW'!R204+'Strommix &amp; BHKW'!R210+'Strommix &amp; BHKW'!R216</f>
        <v>0</v>
      </c>
      <c r="U195" s="14">
        <f>'Strommix &amp; BHKW'!S186+'Strommix &amp; BHKW'!S204+'Strommix &amp; BHKW'!S210+'Strommix &amp; BHKW'!S216</f>
        <v>0</v>
      </c>
      <c r="V195" s="14">
        <f>'Strommix &amp; BHKW'!T186+'Strommix &amp; BHKW'!T204+'Strommix &amp; BHKW'!T210+'Strommix &amp; BHKW'!T216</f>
        <v>0</v>
      </c>
      <c r="W195" s="14">
        <f>'Strommix &amp; BHKW'!U186+'Strommix &amp; BHKW'!U204+'Strommix &amp; BHKW'!U210+'Strommix &amp; BHKW'!U216</f>
        <v>0</v>
      </c>
      <c r="X195" s="14">
        <f>'Strommix &amp; BHKW'!V186+'Strommix &amp; BHKW'!V204+'Strommix &amp; BHKW'!V210+'Strommix &amp; BHKW'!V216</f>
        <v>0</v>
      </c>
      <c r="Y195" s="14">
        <f>'Strommix &amp; BHKW'!W186+'Strommix &amp; BHKW'!W204+'Strommix &amp; BHKW'!W210+'Strommix &amp; BHKW'!W216</f>
        <v>0</v>
      </c>
    </row>
    <row r="196" spans="2:25" ht="16.5">
      <c r="B196" s="14">
        <v>14</v>
      </c>
      <c r="C196" s="14" t="str">
        <f>'Refsz-Verbräuche'!C31</f>
        <v>Wärme</v>
      </c>
      <c r="D196" s="19" t="str">
        <f>'Refsz-Verbräuche'!D31</f>
        <v>Biogas</v>
      </c>
      <c r="E196" t="s">
        <v>195</v>
      </c>
      <c r="F196" s="14">
        <f>IF(ISNUMBER('Refsz-Verbräuche'!F31), 'Refsz-Verbräuche'!F31*Emissionsfaktoren!E31/1000, 0)</f>
        <v>0</v>
      </c>
      <c r="G196" s="14">
        <f>IF(ISNUMBER('Refsz-Verbräuche'!G31), 'Refsz-Verbräuche'!G31*Emissionsfaktoren!F31/1000, 0)</f>
        <v>0</v>
      </c>
      <c r="H196" s="14">
        <f>IF(ISNUMBER('Refsz-Verbräuche'!H31), 'Refsz-Verbräuche'!H31*Emissionsfaktoren!G31/1000, 0)</f>
        <v>0</v>
      </c>
      <c r="I196" s="14">
        <f>IF(ISNUMBER('Refsz-Verbräuche'!I31), 'Refsz-Verbräuche'!I31*Emissionsfaktoren!H31/1000, 0)</f>
        <v>0</v>
      </c>
      <c r="J196" s="14">
        <f>IF(ISNUMBER('Refsz-Verbräuche'!J31), 'Refsz-Verbräuche'!J31*Emissionsfaktoren!I31/1000, 0)</f>
        <v>0</v>
      </c>
      <c r="K196" s="14">
        <f>IF(ISNUMBER('Refsz-Verbräuche'!K31), 'Refsz-Verbräuche'!K31*Emissionsfaktoren!J31/1000, 0)</f>
        <v>0</v>
      </c>
      <c r="L196" s="14">
        <f>IF(ISNUMBER('Refsz-Verbräuche'!L31), 'Refsz-Verbräuche'!L31*Emissionsfaktoren!K31/1000, 0)</f>
        <v>0</v>
      </c>
      <c r="M196" s="14">
        <f>IF(ISNUMBER('Refsz-Verbräuche'!M31), 'Refsz-Verbräuche'!M31*Emissionsfaktoren!L31/1000, 0)</f>
        <v>0</v>
      </c>
      <c r="N196" s="14">
        <f>IF(ISNUMBER('Refsz-Verbräuche'!N31), 'Refsz-Verbräuche'!N31*Emissionsfaktoren!M31/1000, 0)</f>
        <v>0</v>
      </c>
      <c r="O196" s="14">
        <f>IF(ISNUMBER('Refsz-Verbräuche'!O31), 'Refsz-Verbräuche'!O31*Emissionsfaktoren!N31/1000, 0)</f>
        <v>0</v>
      </c>
      <c r="P196" s="14">
        <f>IF(ISNUMBER('Refsz-Verbräuche'!P31), 'Refsz-Verbräuche'!P31*Emissionsfaktoren!O31/1000, 0)</f>
        <v>0</v>
      </c>
      <c r="Q196" s="14">
        <f>IF(ISNUMBER('Refsz-Verbräuche'!Q31), 'Refsz-Verbräuche'!Q31*Emissionsfaktoren!P31/1000, 0)</f>
        <v>0</v>
      </c>
      <c r="R196" s="14">
        <f>IF(ISNUMBER('Refsz-Verbräuche'!R31), 'Refsz-Verbräuche'!R31*Emissionsfaktoren!Q31/1000, 0)</f>
        <v>0</v>
      </c>
      <c r="S196" s="14">
        <f>IF(ISNUMBER('Refsz-Verbräuche'!S31), 'Refsz-Verbräuche'!S31*Emissionsfaktoren!R31/1000, 0)</f>
        <v>0</v>
      </c>
      <c r="T196" s="14">
        <f>IF(ISNUMBER('Refsz-Verbräuche'!T31), 'Refsz-Verbräuche'!T31*Emissionsfaktoren!S31/1000, 0)</f>
        <v>0</v>
      </c>
      <c r="U196" s="14">
        <f>IF(ISNUMBER('Refsz-Verbräuche'!U31), 'Refsz-Verbräuche'!U31*Emissionsfaktoren!T31/1000, 0)</f>
        <v>0</v>
      </c>
      <c r="V196" s="14">
        <f>IF(ISNUMBER('Refsz-Verbräuche'!V31), 'Refsz-Verbräuche'!V31*Emissionsfaktoren!U31/1000, 0)</f>
        <v>0</v>
      </c>
      <c r="W196" s="14">
        <f>IF(ISNUMBER('Refsz-Verbräuche'!W31), 'Refsz-Verbräuche'!W31*Emissionsfaktoren!V31/1000, 0)</f>
        <v>0</v>
      </c>
      <c r="X196" s="14">
        <f>IF(ISNUMBER('Refsz-Verbräuche'!X31), 'Refsz-Verbräuche'!X31*Emissionsfaktoren!W31/1000, 0)</f>
        <v>0</v>
      </c>
      <c r="Y196" s="14">
        <f>IF(ISNUMBER('Refsz-Verbräuche'!Y31), 'Refsz-Verbräuche'!Y31*Emissionsfaktoren!X31/1000, 0)</f>
        <v>0</v>
      </c>
    </row>
    <row r="197" spans="2:25" ht="16.5">
      <c r="B197" s="14">
        <v>15</v>
      </c>
      <c r="C197" s="14" t="str">
        <f>'Refsz-Verbräuche'!C32</f>
        <v>Wärme</v>
      </c>
      <c r="D197" s="19" t="str">
        <f>'Refsz-Verbräuche'!D32</f>
        <v>Individueller Emissionsfaktor</v>
      </c>
      <c r="E197" t="s">
        <v>195</v>
      </c>
      <c r="F197" s="14">
        <f>IF(ISNUMBER('Refsz-Verbräuche'!F32), 'Refsz-Verbräuche'!F32*Emissionsfaktoren!E32/1000, 0)</f>
        <v>0</v>
      </c>
      <c r="G197" s="14">
        <f>IF(ISNUMBER('Refsz-Verbräuche'!G32), 'Refsz-Verbräuche'!G32*Emissionsfaktoren!F32/1000, 0)</f>
        <v>0</v>
      </c>
      <c r="H197" s="14">
        <f>IF(ISNUMBER('Refsz-Verbräuche'!H32), 'Refsz-Verbräuche'!H32*Emissionsfaktoren!G32/1000, 0)</f>
        <v>0</v>
      </c>
      <c r="I197" s="14">
        <f>IF(ISNUMBER('Refsz-Verbräuche'!I32), 'Refsz-Verbräuche'!I32*Emissionsfaktoren!H32/1000, 0)</f>
        <v>0</v>
      </c>
      <c r="J197" s="14">
        <f>IF(ISNUMBER('Refsz-Verbräuche'!J32), 'Refsz-Verbräuche'!J32*Emissionsfaktoren!I32/1000, 0)</f>
        <v>0</v>
      </c>
      <c r="K197" s="14">
        <f>IF(ISNUMBER('Refsz-Verbräuche'!K32), 'Refsz-Verbräuche'!K32*Emissionsfaktoren!J32/1000, 0)</f>
        <v>0</v>
      </c>
      <c r="L197" s="14">
        <f>IF(ISNUMBER('Refsz-Verbräuche'!L32), 'Refsz-Verbräuche'!L32*Emissionsfaktoren!K32/1000, 0)</f>
        <v>0</v>
      </c>
      <c r="M197" s="14">
        <f>IF(ISNUMBER('Refsz-Verbräuche'!M32), 'Refsz-Verbräuche'!M32*Emissionsfaktoren!L32/1000, 0)</f>
        <v>0</v>
      </c>
      <c r="N197" s="14">
        <f>IF(ISNUMBER('Refsz-Verbräuche'!N32), 'Refsz-Verbräuche'!N32*Emissionsfaktoren!M32/1000, 0)</f>
        <v>0</v>
      </c>
      <c r="O197" s="14">
        <f>IF(ISNUMBER('Refsz-Verbräuche'!O32), 'Refsz-Verbräuche'!O32*Emissionsfaktoren!N32/1000, 0)</f>
        <v>0</v>
      </c>
      <c r="P197" s="14">
        <f>IF(ISNUMBER('Refsz-Verbräuche'!P32), 'Refsz-Verbräuche'!P32*Emissionsfaktoren!O32/1000, 0)</f>
        <v>0</v>
      </c>
      <c r="Q197" s="14">
        <f>IF(ISNUMBER('Refsz-Verbräuche'!Q32), 'Refsz-Verbräuche'!Q32*Emissionsfaktoren!P32/1000, 0)</f>
        <v>0</v>
      </c>
      <c r="R197" s="14">
        <f>IF(ISNUMBER('Refsz-Verbräuche'!R32), 'Refsz-Verbräuche'!R32*Emissionsfaktoren!Q32/1000, 0)</f>
        <v>0</v>
      </c>
      <c r="S197" s="14">
        <f>IF(ISNUMBER('Refsz-Verbräuche'!S32), 'Refsz-Verbräuche'!S32*Emissionsfaktoren!R32/1000, 0)</f>
        <v>0</v>
      </c>
      <c r="T197" s="14">
        <f>IF(ISNUMBER('Refsz-Verbräuche'!T32), 'Refsz-Verbräuche'!T32*Emissionsfaktoren!S32/1000, 0)</f>
        <v>0</v>
      </c>
      <c r="U197" s="14">
        <f>IF(ISNUMBER('Refsz-Verbräuche'!U32), 'Refsz-Verbräuche'!U32*Emissionsfaktoren!T32/1000, 0)</f>
        <v>0</v>
      </c>
      <c r="V197" s="14">
        <f>IF(ISNUMBER('Refsz-Verbräuche'!V32), 'Refsz-Verbräuche'!V32*Emissionsfaktoren!U32/1000, 0)</f>
        <v>0</v>
      </c>
      <c r="W197" s="14">
        <f>IF(ISNUMBER('Refsz-Verbräuche'!W32), 'Refsz-Verbräuche'!W32*Emissionsfaktoren!V32/1000, 0)</f>
        <v>0</v>
      </c>
      <c r="X197" s="14">
        <f>IF(ISNUMBER('Refsz-Verbräuche'!X32), 'Refsz-Verbräuche'!X32*Emissionsfaktoren!W32/1000, 0)</f>
        <v>0</v>
      </c>
      <c r="Y197" s="14">
        <f>IF(ISNUMBER('Refsz-Verbräuche'!Y32), 'Refsz-Verbräuche'!Y32*Emissionsfaktoren!X32/1000, 0)</f>
        <v>0</v>
      </c>
    </row>
    <row r="198" spans="2:25" ht="16.5">
      <c r="B198" s="14">
        <v>16</v>
      </c>
      <c r="C198" s="14" t="str">
        <f>'Refsz-Verbräuche'!C33</f>
        <v>Wärme</v>
      </c>
      <c r="D198" s="19" t="str">
        <f>'Refsz-Verbräuche'!D33</f>
        <v>Holzhackschnitzel</v>
      </c>
      <c r="E198" t="s">
        <v>195</v>
      </c>
      <c r="F198" s="14">
        <f>IF(ISNUMBER('Refsz-Verbräuche'!F33), 'Refsz-Verbräuche'!F33*Emissionsfaktoren!E33/1000, 0)</f>
        <v>0</v>
      </c>
      <c r="G198" s="14">
        <f>IF(ISNUMBER('Refsz-Verbräuche'!G33), 'Refsz-Verbräuche'!G33*Emissionsfaktoren!F33/1000, 0)</f>
        <v>0</v>
      </c>
      <c r="H198" s="14">
        <f>IF(ISNUMBER('Refsz-Verbräuche'!H33), 'Refsz-Verbräuche'!H33*Emissionsfaktoren!G33/1000, 0)</f>
        <v>0</v>
      </c>
      <c r="I198" s="14">
        <f>IF(ISNUMBER('Refsz-Verbräuche'!I33), 'Refsz-Verbräuche'!I33*Emissionsfaktoren!H33/1000, 0)</f>
        <v>0</v>
      </c>
      <c r="J198" s="14">
        <f>IF(ISNUMBER('Refsz-Verbräuche'!J33), 'Refsz-Verbräuche'!J33*Emissionsfaktoren!I33/1000, 0)</f>
        <v>0</v>
      </c>
      <c r="K198" s="14">
        <f>IF(ISNUMBER('Refsz-Verbräuche'!K33), 'Refsz-Verbräuche'!K33*Emissionsfaktoren!J33/1000, 0)</f>
        <v>0</v>
      </c>
      <c r="L198" s="14">
        <f>IF(ISNUMBER('Refsz-Verbräuche'!L33), 'Refsz-Verbräuche'!L33*Emissionsfaktoren!K33/1000, 0)</f>
        <v>0</v>
      </c>
      <c r="M198" s="14">
        <f>IF(ISNUMBER('Refsz-Verbräuche'!M33), 'Refsz-Verbräuche'!M33*Emissionsfaktoren!L33/1000, 0)</f>
        <v>0</v>
      </c>
      <c r="N198" s="14">
        <f>IF(ISNUMBER('Refsz-Verbräuche'!N33), 'Refsz-Verbräuche'!N33*Emissionsfaktoren!M33/1000, 0)</f>
        <v>0</v>
      </c>
      <c r="O198" s="14">
        <f>IF(ISNUMBER('Refsz-Verbräuche'!O33), 'Refsz-Verbräuche'!O33*Emissionsfaktoren!N33/1000, 0)</f>
        <v>0</v>
      </c>
      <c r="P198" s="14">
        <f>IF(ISNUMBER('Refsz-Verbräuche'!P33), 'Refsz-Verbräuche'!P33*Emissionsfaktoren!O33/1000, 0)</f>
        <v>0</v>
      </c>
      <c r="Q198" s="14">
        <f>IF(ISNUMBER('Refsz-Verbräuche'!Q33), 'Refsz-Verbräuche'!Q33*Emissionsfaktoren!P33/1000, 0)</f>
        <v>0</v>
      </c>
      <c r="R198" s="14">
        <f>IF(ISNUMBER('Refsz-Verbräuche'!R33), 'Refsz-Verbräuche'!R33*Emissionsfaktoren!Q33/1000, 0)</f>
        <v>0</v>
      </c>
      <c r="S198" s="14">
        <f>IF(ISNUMBER('Refsz-Verbräuche'!S33), 'Refsz-Verbräuche'!S33*Emissionsfaktoren!R33/1000, 0)</f>
        <v>0</v>
      </c>
      <c r="T198" s="14">
        <f>IF(ISNUMBER('Refsz-Verbräuche'!T33), 'Refsz-Verbräuche'!T33*Emissionsfaktoren!S33/1000, 0)</f>
        <v>0</v>
      </c>
      <c r="U198" s="14">
        <f>IF(ISNUMBER('Refsz-Verbräuche'!U33), 'Refsz-Verbräuche'!U33*Emissionsfaktoren!T33/1000, 0)</f>
        <v>0</v>
      </c>
      <c r="V198" s="14">
        <f>IF(ISNUMBER('Refsz-Verbräuche'!V33), 'Refsz-Verbräuche'!V33*Emissionsfaktoren!U33/1000, 0)</f>
        <v>0</v>
      </c>
      <c r="W198" s="14">
        <f>IF(ISNUMBER('Refsz-Verbräuche'!W33), 'Refsz-Verbräuche'!W33*Emissionsfaktoren!V33/1000, 0)</f>
        <v>0</v>
      </c>
      <c r="X198" s="14">
        <f>IF(ISNUMBER('Refsz-Verbräuche'!X33), 'Refsz-Verbräuche'!X33*Emissionsfaktoren!W33/1000, 0)</f>
        <v>0</v>
      </c>
      <c r="Y198" s="14">
        <f>IF(ISNUMBER('Refsz-Verbräuche'!Y33), 'Refsz-Verbräuche'!Y33*Emissionsfaktoren!X33/1000, 0)</f>
        <v>0</v>
      </c>
    </row>
    <row r="199" spans="2:25" ht="16.5">
      <c r="B199" s="14">
        <v>17</v>
      </c>
      <c r="C199" s="14" t="str">
        <f>'Refsz-Verbräuche'!C34</f>
        <v>Wärme</v>
      </c>
      <c r="D199" s="19" t="str">
        <f>'Refsz-Verbräuche'!D34</f>
        <v>Holzpellets, 10kW/kleinere Zentralheizung</v>
      </c>
      <c r="E199" t="s">
        <v>195</v>
      </c>
      <c r="F199" s="14">
        <f>IF(ISNUMBER('Refsz-Verbräuche'!F34), 'Refsz-Verbräuche'!F34*Emissionsfaktoren!E34/1000, 0)</f>
        <v>0</v>
      </c>
      <c r="G199" s="14">
        <f>IF(ISNUMBER('Refsz-Verbräuche'!G34), 'Refsz-Verbräuche'!G34*Emissionsfaktoren!F34/1000, 0)</f>
        <v>0</v>
      </c>
      <c r="H199" s="14">
        <f>IF(ISNUMBER('Refsz-Verbräuche'!H34), 'Refsz-Verbräuche'!H34*Emissionsfaktoren!G34/1000, 0)</f>
        <v>0</v>
      </c>
      <c r="I199" s="14">
        <f>IF(ISNUMBER('Refsz-Verbräuche'!I34), 'Refsz-Verbräuche'!I34*Emissionsfaktoren!H34/1000, 0)</f>
        <v>0</v>
      </c>
      <c r="J199" s="14">
        <f>IF(ISNUMBER('Refsz-Verbräuche'!J34), 'Refsz-Verbräuche'!J34*Emissionsfaktoren!I34/1000, 0)</f>
        <v>0</v>
      </c>
      <c r="K199" s="14">
        <f>IF(ISNUMBER('Refsz-Verbräuche'!K34), 'Refsz-Verbräuche'!K34*Emissionsfaktoren!J34/1000, 0)</f>
        <v>0</v>
      </c>
      <c r="L199" s="14">
        <f>IF(ISNUMBER('Refsz-Verbräuche'!L34), 'Refsz-Verbräuche'!L34*Emissionsfaktoren!K34/1000, 0)</f>
        <v>0</v>
      </c>
      <c r="M199" s="14">
        <f>IF(ISNUMBER('Refsz-Verbräuche'!M34), 'Refsz-Verbräuche'!M34*Emissionsfaktoren!L34/1000, 0)</f>
        <v>0</v>
      </c>
      <c r="N199" s="14">
        <f>IF(ISNUMBER('Refsz-Verbräuche'!N34), 'Refsz-Verbräuche'!N34*Emissionsfaktoren!M34/1000, 0)</f>
        <v>0</v>
      </c>
      <c r="O199" s="14">
        <f>IF(ISNUMBER('Refsz-Verbräuche'!O34), 'Refsz-Verbräuche'!O34*Emissionsfaktoren!N34/1000, 0)</f>
        <v>0</v>
      </c>
      <c r="P199" s="14">
        <f>IF(ISNUMBER('Refsz-Verbräuche'!P34), 'Refsz-Verbräuche'!P34*Emissionsfaktoren!O34/1000, 0)</f>
        <v>0</v>
      </c>
      <c r="Q199" s="14">
        <f>IF(ISNUMBER('Refsz-Verbräuche'!Q34), 'Refsz-Verbräuche'!Q34*Emissionsfaktoren!P34/1000, 0)</f>
        <v>0</v>
      </c>
      <c r="R199" s="14">
        <f>IF(ISNUMBER('Refsz-Verbräuche'!R34), 'Refsz-Verbräuche'!R34*Emissionsfaktoren!Q34/1000, 0)</f>
        <v>0</v>
      </c>
      <c r="S199" s="14">
        <f>IF(ISNUMBER('Refsz-Verbräuche'!S34), 'Refsz-Verbräuche'!S34*Emissionsfaktoren!R34/1000, 0)</f>
        <v>0</v>
      </c>
      <c r="T199" s="14">
        <f>IF(ISNUMBER('Refsz-Verbräuche'!T34), 'Refsz-Verbräuche'!T34*Emissionsfaktoren!S34/1000, 0)</f>
        <v>0</v>
      </c>
      <c r="U199" s="14">
        <f>IF(ISNUMBER('Refsz-Verbräuche'!U34), 'Refsz-Verbräuche'!U34*Emissionsfaktoren!T34/1000, 0)</f>
        <v>0</v>
      </c>
      <c r="V199" s="14">
        <f>IF(ISNUMBER('Refsz-Verbräuche'!V34), 'Refsz-Verbräuche'!V34*Emissionsfaktoren!U34/1000, 0)</f>
        <v>0</v>
      </c>
      <c r="W199" s="14">
        <f>IF(ISNUMBER('Refsz-Verbräuche'!W34), 'Refsz-Verbräuche'!W34*Emissionsfaktoren!V34/1000, 0)</f>
        <v>0</v>
      </c>
      <c r="X199" s="14">
        <f>IF(ISNUMBER('Refsz-Verbräuche'!X34), 'Refsz-Verbräuche'!X34*Emissionsfaktoren!W34/1000, 0)</f>
        <v>0</v>
      </c>
      <c r="Y199" s="14">
        <f>IF(ISNUMBER('Refsz-Verbräuche'!Y34), 'Refsz-Verbräuche'!Y34*Emissionsfaktoren!X34/1000, 0)</f>
        <v>0</v>
      </c>
    </row>
    <row r="200" spans="2:25" ht="16.5">
      <c r="B200" s="14">
        <v>18</v>
      </c>
      <c r="C200" s="14" t="str">
        <f>'Refsz-Verbräuche'!C35</f>
        <v>Wärme</v>
      </c>
      <c r="D200" s="19" t="str">
        <f>'Refsz-Verbräuche'!D35</f>
        <v>Holzpellets, 50kW/größere Zentralheizung</v>
      </c>
      <c r="E200" t="s">
        <v>195</v>
      </c>
      <c r="F200" s="14">
        <f>IF(ISNUMBER('Refsz-Verbräuche'!F35), 'Refsz-Verbräuche'!F35*Emissionsfaktoren!E35/1000, 0)</f>
        <v>0</v>
      </c>
      <c r="G200" s="14">
        <f>IF(ISNUMBER('Refsz-Verbräuche'!G35), 'Refsz-Verbräuche'!G35*Emissionsfaktoren!F35/1000, 0)</f>
        <v>0</v>
      </c>
      <c r="H200" s="14">
        <f>IF(ISNUMBER('Refsz-Verbräuche'!H35), 'Refsz-Verbräuche'!H35*Emissionsfaktoren!G35/1000, 0)</f>
        <v>0</v>
      </c>
      <c r="I200" s="14">
        <f>IF(ISNUMBER('Refsz-Verbräuche'!I35), 'Refsz-Verbräuche'!I35*Emissionsfaktoren!H35/1000, 0)</f>
        <v>0</v>
      </c>
      <c r="J200" s="14">
        <f>IF(ISNUMBER('Refsz-Verbräuche'!J35), 'Refsz-Verbräuche'!J35*Emissionsfaktoren!I35/1000, 0)</f>
        <v>0</v>
      </c>
      <c r="K200" s="14">
        <f>IF(ISNUMBER('Refsz-Verbräuche'!K35), 'Refsz-Verbräuche'!K35*Emissionsfaktoren!J35/1000, 0)</f>
        <v>0</v>
      </c>
      <c r="L200" s="14">
        <f>IF(ISNUMBER('Refsz-Verbräuche'!L35), 'Refsz-Verbräuche'!L35*Emissionsfaktoren!K35/1000, 0)</f>
        <v>0</v>
      </c>
      <c r="M200" s="14">
        <f>IF(ISNUMBER('Refsz-Verbräuche'!M35), 'Refsz-Verbräuche'!M35*Emissionsfaktoren!L35/1000, 0)</f>
        <v>0</v>
      </c>
      <c r="N200" s="14">
        <f>IF(ISNUMBER('Refsz-Verbräuche'!N35), 'Refsz-Verbräuche'!N35*Emissionsfaktoren!M35/1000, 0)</f>
        <v>0</v>
      </c>
      <c r="O200" s="14">
        <f>IF(ISNUMBER('Refsz-Verbräuche'!O35), 'Refsz-Verbräuche'!O35*Emissionsfaktoren!N35/1000, 0)</f>
        <v>0</v>
      </c>
      <c r="P200" s="14">
        <f>IF(ISNUMBER('Refsz-Verbräuche'!P35), 'Refsz-Verbräuche'!P35*Emissionsfaktoren!O35/1000, 0)</f>
        <v>0</v>
      </c>
      <c r="Q200" s="14">
        <f>IF(ISNUMBER('Refsz-Verbräuche'!Q35), 'Refsz-Verbräuche'!Q35*Emissionsfaktoren!P35/1000, 0)</f>
        <v>0</v>
      </c>
      <c r="R200" s="14">
        <f>IF(ISNUMBER('Refsz-Verbräuche'!R35), 'Refsz-Verbräuche'!R35*Emissionsfaktoren!Q35/1000, 0)</f>
        <v>0</v>
      </c>
      <c r="S200" s="14">
        <f>IF(ISNUMBER('Refsz-Verbräuche'!S35), 'Refsz-Verbräuche'!S35*Emissionsfaktoren!R35/1000, 0)</f>
        <v>0</v>
      </c>
      <c r="T200" s="14">
        <f>IF(ISNUMBER('Refsz-Verbräuche'!T35), 'Refsz-Verbräuche'!T35*Emissionsfaktoren!S35/1000, 0)</f>
        <v>0</v>
      </c>
      <c r="U200" s="14">
        <f>IF(ISNUMBER('Refsz-Verbräuche'!U35), 'Refsz-Verbräuche'!U35*Emissionsfaktoren!T35/1000, 0)</f>
        <v>0</v>
      </c>
      <c r="V200" s="14">
        <f>IF(ISNUMBER('Refsz-Verbräuche'!V35), 'Refsz-Verbräuche'!V35*Emissionsfaktoren!U35/1000, 0)</f>
        <v>0</v>
      </c>
      <c r="W200" s="14">
        <f>IF(ISNUMBER('Refsz-Verbräuche'!W35), 'Refsz-Verbräuche'!W35*Emissionsfaktoren!V35/1000, 0)</f>
        <v>0</v>
      </c>
      <c r="X200" s="14">
        <f>IF(ISNUMBER('Refsz-Verbräuche'!X35), 'Refsz-Verbräuche'!X35*Emissionsfaktoren!W35/1000, 0)</f>
        <v>0</v>
      </c>
      <c r="Y200" s="14">
        <f>IF(ISNUMBER('Refsz-Verbräuche'!Y35), 'Refsz-Verbräuche'!Y35*Emissionsfaktoren!X35/1000, 0)</f>
        <v>0</v>
      </c>
    </row>
    <row r="201" spans="2:25" ht="16.5">
      <c r="B201" s="14">
        <v>19</v>
      </c>
      <c r="C201" s="14" t="str">
        <f>'Refsz-Verbräuche'!C36</f>
        <v>Wärme</v>
      </c>
      <c r="D201" s="19" t="str">
        <f>'Refsz-Verbräuche'!D36</f>
        <v>Fernwärme Mix</v>
      </c>
      <c r="E201" t="s">
        <v>195</v>
      </c>
      <c r="F201" s="14">
        <f>IF(ISNUMBER('Refsz-Verbräuche'!F36), 'Refsz-Verbräuche'!F36*Emissionsfaktoren!E36/1000, 0)</f>
        <v>0</v>
      </c>
      <c r="G201" s="14">
        <f>IF(ISNUMBER('Refsz-Verbräuche'!G36), 'Refsz-Verbräuche'!G36*Emissionsfaktoren!F36/1000, 0)</f>
        <v>0</v>
      </c>
      <c r="H201" s="14">
        <f>IF(ISNUMBER('Refsz-Verbräuche'!H36), 'Refsz-Verbräuche'!H36*Emissionsfaktoren!G36/1000, 0)</f>
        <v>0</v>
      </c>
      <c r="I201" s="14">
        <f>IF(ISNUMBER('Refsz-Verbräuche'!I36), 'Refsz-Verbräuche'!I36*Emissionsfaktoren!H36/1000, 0)</f>
        <v>0</v>
      </c>
      <c r="J201" s="14">
        <f>IF(ISNUMBER('Refsz-Verbräuche'!J36), 'Refsz-Verbräuche'!J36*Emissionsfaktoren!I36/1000, 0)</f>
        <v>0</v>
      </c>
      <c r="K201" s="14">
        <f>IF(ISNUMBER('Refsz-Verbräuche'!K36), 'Refsz-Verbräuche'!K36*Emissionsfaktoren!J36/1000, 0)</f>
        <v>0</v>
      </c>
      <c r="L201" s="14">
        <f>IF(ISNUMBER('Refsz-Verbräuche'!L36), 'Refsz-Verbräuche'!L36*Emissionsfaktoren!K36/1000, 0)</f>
        <v>0</v>
      </c>
      <c r="M201" s="14">
        <f>IF(ISNUMBER('Refsz-Verbräuche'!M36), 'Refsz-Verbräuche'!M36*Emissionsfaktoren!L36/1000, 0)</f>
        <v>0</v>
      </c>
      <c r="N201" s="14">
        <f>IF(ISNUMBER('Refsz-Verbräuche'!N36), 'Refsz-Verbräuche'!N36*Emissionsfaktoren!M36/1000, 0)</f>
        <v>0</v>
      </c>
      <c r="O201" s="14">
        <f>IF(ISNUMBER('Refsz-Verbräuche'!O36), 'Refsz-Verbräuche'!O36*Emissionsfaktoren!N36/1000, 0)</f>
        <v>0</v>
      </c>
      <c r="P201" s="14">
        <f>IF(ISNUMBER('Refsz-Verbräuche'!P36), 'Refsz-Verbräuche'!P36*Emissionsfaktoren!O36/1000, 0)</f>
        <v>0</v>
      </c>
      <c r="Q201" s="14">
        <f>IF(ISNUMBER('Refsz-Verbräuche'!Q36), 'Refsz-Verbräuche'!Q36*Emissionsfaktoren!P36/1000, 0)</f>
        <v>0</v>
      </c>
      <c r="R201" s="14">
        <f>IF(ISNUMBER('Refsz-Verbräuche'!R36), 'Refsz-Verbräuche'!R36*Emissionsfaktoren!Q36/1000, 0)</f>
        <v>0</v>
      </c>
      <c r="S201" s="14">
        <f>IF(ISNUMBER('Refsz-Verbräuche'!S36), 'Refsz-Verbräuche'!S36*Emissionsfaktoren!R36/1000, 0)</f>
        <v>0</v>
      </c>
      <c r="T201" s="14">
        <f>IF(ISNUMBER('Refsz-Verbräuche'!T36), 'Refsz-Verbräuche'!T36*Emissionsfaktoren!S36/1000, 0)</f>
        <v>0</v>
      </c>
      <c r="U201" s="14">
        <f>IF(ISNUMBER('Refsz-Verbräuche'!U36), 'Refsz-Verbräuche'!U36*Emissionsfaktoren!T36/1000, 0)</f>
        <v>0</v>
      </c>
      <c r="V201" s="14">
        <f>IF(ISNUMBER('Refsz-Verbräuche'!V36), 'Refsz-Verbräuche'!V36*Emissionsfaktoren!U36/1000, 0)</f>
        <v>0</v>
      </c>
      <c r="W201" s="14">
        <f>IF(ISNUMBER('Refsz-Verbräuche'!W36), 'Refsz-Verbräuche'!W36*Emissionsfaktoren!V36/1000, 0)</f>
        <v>0</v>
      </c>
      <c r="X201" s="14">
        <f>IF(ISNUMBER('Refsz-Verbräuche'!X36), 'Refsz-Verbräuche'!X36*Emissionsfaktoren!W36/1000, 0)</f>
        <v>0</v>
      </c>
      <c r="Y201" s="14">
        <f>IF(ISNUMBER('Refsz-Verbräuche'!Y36), 'Refsz-Verbräuche'!Y36*Emissionsfaktoren!X36/1000, 0)</f>
        <v>0</v>
      </c>
    </row>
    <row r="202" spans="2:25" ht="16.5">
      <c r="B202" s="14">
        <v>20</v>
      </c>
      <c r="C202" s="14" t="str">
        <f>'Refsz-Verbräuche'!C37</f>
        <v>Wärme</v>
      </c>
      <c r="D202" s="19" t="str">
        <f>'Refsz-Verbräuche'!D37</f>
        <v>Fernwärme Abfall</v>
      </c>
      <c r="E202" t="s">
        <v>195</v>
      </c>
      <c r="F202" s="14">
        <f>IF(ISNUMBER('Refsz-Verbräuche'!F37), 'Refsz-Verbräuche'!F37*Emissionsfaktoren!E37/1000, 0)</f>
        <v>0</v>
      </c>
      <c r="G202" s="14"/>
      <c r="H202" s="14"/>
      <c r="I202" s="14"/>
      <c r="J202" s="14"/>
      <c r="K202" s="14"/>
      <c r="L202" s="14"/>
      <c r="M202" s="14"/>
      <c r="N202" s="14"/>
      <c r="O202" s="14"/>
      <c r="P202" s="14"/>
      <c r="Q202" s="14"/>
      <c r="R202" s="14"/>
      <c r="S202" s="14"/>
      <c r="T202" s="14"/>
      <c r="U202" s="14"/>
      <c r="V202" s="14"/>
      <c r="W202" s="14"/>
      <c r="X202" s="14"/>
      <c r="Y202" s="14"/>
    </row>
    <row r="203" spans="2:25" ht="16.5">
      <c r="B203" s="14">
        <v>21</v>
      </c>
      <c r="C203" s="14" t="str">
        <f>'Refsz-Verbräuche'!C38</f>
        <v>Wärme</v>
      </c>
      <c r="D203" s="19" t="str">
        <f>'Refsz-Verbräuche'!D38</f>
        <v>Heizöl</v>
      </c>
      <c r="E203" t="s">
        <v>195</v>
      </c>
      <c r="F203" s="14">
        <f>IF(ISNUMBER('Refsz-Verbräuche'!F38), 'Refsz-Verbräuche'!F38*Emissionsfaktoren!E38/1000, 0)</f>
        <v>0</v>
      </c>
      <c r="G203" s="14">
        <f>IF(ISNUMBER('Refsz-Verbräuche'!G38), 'Refsz-Verbräuche'!G38*Emissionsfaktoren!F38/1000, 0)</f>
        <v>0</v>
      </c>
      <c r="H203" s="14">
        <f>IF(ISNUMBER('Refsz-Verbräuche'!H38), 'Refsz-Verbräuche'!H38*Emissionsfaktoren!G38/1000, 0)</f>
        <v>0</v>
      </c>
      <c r="I203" s="14">
        <f>IF(ISNUMBER('Refsz-Verbräuche'!I38), 'Refsz-Verbräuche'!I38*Emissionsfaktoren!H38/1000, 0)</f>
        <v>0</v>
      </c>
      <c r="J203" s="14">
        <f>IF(ISNUMBER('Refsz-Verbräuche'!J38), 'Refsz-Verbräuche'!J38*Emissionsfaktoren!I38/1000, 0)</f>
        <v>0</v>
      </c>
      <c r="K203" s="14">
        <f>IF(ISNUMBER('Refsz-Verbräuche'!K38), 'Refsz-Verbräuche'!K38*Emissionsfaktoren!J38/1000, 0)</f>
        <v>0</v>
      </c>
      <c r="L203" s="14">
        <f>IF(ISNUMBER('Refsz-Verbräuche'!L38), 'Refsz-Verbräuche'!L38*Emissionsfaktoren!K38/1000, 0)</f>
        <v>0</v>
      </c>
      <c r="M203" s="14">
        <f>IF(ISNUMBER('Refsz-Verbräuche'!M38), 'Refsz-Verbräuche'!M38*Emissionsfaktoren!L38/1000, 0)</f>
        <v>0</v>
      </c>
      <c r="N203" s="14">
        <f>IF(ISNUMBER('Refsz-Verbräuche'!N38), 'Refsz-Verbräuche'!N38*Emissionsfaktoren!M38/1000, 0)</f>
        <v>0</v>
      </c>
      <c r="O203" s="14">
        <f>IF(ISNUMBER('Refsz-Verbräuche'!O38), 'Refsz-Verbräuche'!O38*Emissionsfaktoren!N38/1000, 0)</f>
        <v>0</v>
      </c>
      <c r="P203" s="14">
        <f>IF(ISNUMBER('Refsz-Verbräuche'!P38), 'Refsz-Verbräuche'!P38*Emissionsfaktoren!O38/1000, 0)</f>
        <v>0</v>
      </c>
      <c r="Q203" s="14">
        <f>IF(ISNUMBER('Refsz-Verbräuche'!Q38), 'Refsz-Verbräuche'!Q38*Emissionsfaktoren!P38/1000, 0)</f>
        <v>0</v>
      </c>
      <c r="R203" s="14">
        <f>IF(ISNUMBER('Refsz-Verbräuche'!R38), 'Refsz-Verbräuche'!R38*Emissionsfaktoren!Q38/1000, 0)</f>
        <v>0</v>
      </c>
      <c r="S203" s="14">
        <f>IF(ISNUMBER('Refsz-Verbräuche'!S38), 'Refsz-Verbräuche'!S38*Emissionsfaktoren!R38/1000, 0)</f>
        <v>0</v>
      </c>
      <c r="T203" s="14">
        <f>IF(ISNUMBER('Refsz-Verbräuche'!T38), 'Refsz-Verbräuche'!T38*Emissionsfaktoren!S38/1000, 0)</f>
        <v>0</v>
      </c>
      <c r="U203" s="14">
        <f>IF(ISNUMBER('Refsz-Verbräuche'!U38), 'Refsz-Verbräuche'!U38*Emissionsfaktoren!T38/1000, 0)</f>
        <v>0</v>
      </c>
      <c r="V203" s="14">
        <f>IF(ISNUMBER('Refsz-Verbräuche'!V38), 'Refsz-Verbräuche'!V38*Emissionsfaktoren!U38/1000, 0)</f>
        <v>0</v>
      </c>
      <c r="W203" s="14">
        <f>IF(ISNUMBER('Refsz-Verbräuche'!W38), 'Refsz-Verbräuche'!W38*Emissionsfaktoren!V38/1000, 0)</f>
        <v>0</v>
      </c>
      <c r="X203" s="14">
        <f>IF(ISNUMBER('Refsz-Verbräuche'!X38), 'Refsz-Verbräuche'!X38*Emissionsfaktoren!W38/1000, 0)</f>
        <v>0</v>
      </c>
      <c r="Y203" s="14">
        <f>IF(ISNUMBER('Refsz-Verbräuche'!Y38), 'Refsz-Verbräuche'!Y38*Emissionsfaktoren!X38/1000, 0)</f>
        <v>0</v>
      </c>
    </row>
    <row r="204" spans="2:25" ht="16.5">
      <c r="B204" s="14">
        <v>22</v>
      </c>
      <c r="C204" s="14" t="str">
        <f>'Refsz-Verbräuche'!C39</f>
        <v>Wärme</v>
      </c>
      <c r="D204" s="19" t="str">
        <f>'Refsz-Verbräuche'!D39</f>
        <v>Solarthermie</v>
      </c>
      <c r="E204" t="s">
        <v>195</v>
      </c>
      <c r="F204" s="14">
        <f>IF(ISNUMBER('Refsz-Verbräuche'!F39), 'Refsz-Verbräuche'!F39*Emissionsfaktoren!E39/1000, 0)</f>
        <v>0</v>
      </c>
      <c r="G204" s="14">
        <f>IF(ISNUMBER('Refsz-Verbräuche'!G39), 'Refsz-Verbräuche'!G39*Emissionsfaktoren!F39/1000, 0)</f>
        <v>0</v>
      </c>
      <c r="H204" s="14">
        <f>IF(ISNUMBER('Refsz-Verbräuche'!H39), 'Refsz-Verbräuche'!H39*Emissionsfaktoren!G39/1000, 0)</f>
        <v>0</v>
      </c>
      <c r="I204" s="14">
        <f>IF(ISNUMBER('Refsz-Verbräuche'!I39), 'Refsz-Verbräuche'!I39*Emissionsfaktoren!H39/1000, 0)</f>
        <v>0</v>
      </c>
      <c r="J204" s="14">
        <f>IF(ISNUMBER('Refsz-Verbräuche'!J39), 'Refsz-Verbräuche'!J39*Emissionsfaktoren!I39/1000, 0)</f>
        <v>0</v>
      </c>
      <c r="K204" s="14">
        <f>IF(ISNUMBER('Refsz-Verbräuche'!K39), 'Refsz-Verbräuche'!K39*Emissionsfaktoren!J39/1000, 0)</f>
        <v>0</v>
      </c>
      <c r="L204" s="14">
        <f>IF(ISNUMBER('Refsz-Verbräuche'!L39), 'Refsz-Verbräuche'!L39*Emissionsfaktoren!K39/1000, 0)</f>
        <v>0</v>
      </c>
      <c r="M204" s="14">
        <f>IF(ISNUMBER('Refsz-Verbräuche'!M39), 'Refsz-Verbräuche'!M39*Emissionsfaktoren!L39/1000, 0)</f>
        <v>0</v>
      </c>
      <c r="N204" s="14">
        <f>IF(ISNUMBER('Refsz-Verbräuche'!N39), 'Refsz-Verbräuche'!N39*Emissionsfaktoren!M39/1000, 0)</f>
        <v>0</v>
      </c>
      <c r="O204" s="14">
        <f>IF(ISNUMBER('Refsz-Verbräuche'!O39), 'Refsz-Verbräuche'!O39*Emissionsfaktoren!N39/1000, 0)</f>
        <v>0</v>
      </c>
      <c r="P204" s="14">
        <f>IF(ISNUMBER('Refsz-Verbräuche'!P39), 'Refsz-Verbräuche'!P39*Emissionsfaktoren!O39/1000, 0)</f>
        <v>0</v>
      </c>
      <c r="Q204" s="14">
        <f>IF(ISNUMBER('Refsz-Verbräuche'!Q39), 'Refsz-Verbräuche'!Q39*Emissionsfaktoren!P39/1000, 0)</f>
        <v>0</v>
      </c>
      <c r="R204" s="14">
        <f>IF(ISNUMBER('Refsz-Verbräuche'!R39), 'Refsz-Verbräuche'!R39*Emissionsfaktoren!Q39/1000, 0)</f>
        <v>0</v>
      </c>
      <c r="S204" s="14">
        <f>IF(ISNUMBER('Refsz-Verbräuche'!S39), 'Refsz-Verbräuche'!S39*Emissionsfaktoren!R39/1000, 0)</f>
        <v>0</v>
      </c>
      <c r="T204" s="14">
        <f>IF(ISNUMBER('Refsz-Verbräuche'!T39), 'Refsz-Verbräuche'!T39*Emissionsfaktoren!S39/1000, 0)</f>
        <v>0</v>
      </c>
      <c r="U204" s="14">
        <f>IF(ISNUMBER('Refsz-Verbräuche'!U39), 'Refsz-Verbräuche'!U39*Emissionsfaktoren!T39/1000, 0)</f>
        <v>0</v>
      </c>
      <c r="V204" s="14">
        <f>IF(ISNUMBER('Refsz-Verbräuche'!V39), 'Refsz-Verbräuche'!V39*Emissionsfaktoren!U39/1000, 0)</f>
        <v>0</v>
      </c>
      <c r="W204" s="14">
        <f>IF(ISNUMBER('Refsz-Verbräuche'!W39), 'Refsz-Verbräuche'!W39*Emissionsfaktoren!V39/1000, 0)</f>
        <v>0</v>
      </c>
      <c r="X204" s="14">
        <f>IF(ISNUMBER('Refsz-Verbräuche'!X39), 'Refsz-Verbräuche'!X39*Emissionsfaktoren!W39/1000, 0)</f>
        <v>0</v>
      </c>
      <c r="Y204" s="14">
        <f>IF(ISNUMBER('Refsz-Verbräuche'!Y39), 'Refsz-Verbräuche'!Y39*Emissionsfaktoren!X39/1000, 0)</f>
        <v>0</v>
      </c>
    </row>
    <row r="205" spans="2:25" ht="16.5">
      <c r="B205" s="14">
        <v>23</v>
      </c>
      <c r="C205" s="14" t="str">
        <f>'Refsz-Verbräuche'!C40</f>
        <v>Wärme</v>
      </c>
      <c r="D205" s="19" t="str">
        <f>'Refsz-Verbräuche'!D40</f>
        <v>Sole-Wasser-Wärmepumpe; Bundesstrommix</v>
      </c>
      <c r="E205" t="s">
        <v>195</v>
      </c>
      <c r="F205" s="14">
        <f>IF(ISNUMBER('Refsz-Verbräuche'!F40), 'Refsz-Verbräuche'!F40*Emissionsfaktoren!E40/1000, 0)</f>
        <v>0</v>
      </c>
      <c r="G205" s="14">
        <f>IF(ISNUMBER('Refsz-Verbräuche'!G40), 'Refsz-Verbräuche'!G40*Emissionsfaktoren!F40/1000, 0)</f>
        <v>0</v>
      </c>
      <c r="H205" s="14">
        <f>IF(ISNUMBER('Refsz-Verbräuche'!H40), 'Refsz-Verbräuche'!H40*Emissionsfaktoren!G40/1000, 0)</f>
        <v>0</v>
      </c>
      <c r="I205" s="14">
        <f>IF(ISNUMBER('Refsz-Verbräuche'!I40), 'Refsz-Verbräuche'!I40*Emissionsfaktoren!H40/1000, 0)</f>
        <v>0</v>
      </c>
      <c r="J205" s="14">
        <f>IF(ISNUMBER('Refsz-Verbräuche'!J40), 'Refsz-Verbräuche'!J40*Emissionsfaktoren!I40/1000, 0)</f>
        <v>0</v>
      </c>
      <c r="K205" s="14">
        <f>IF(ISNUMBER('Refsz-Verbräuche'!K40), 'Refsz-Verbräuche'!K40*Emissionsfaktoren!J40/1000, 0)</f>
        <v>0</v>
      </c>
      <c r="L205" s="14">
        <f>IF(ISNUMBER('Refsz-Verbräuche'!L40), 'Refsz-Verbräuche'!L40*Emissionsfaktoren!K40/1000, 0)</f>
        <v>0</v>
      </c>
      <c r="M205" s="14">
        <f>IF(ISNUMBER('Refsz-Verbräuche'!M40), 'Refsz-Verbräuche'!M40*Emissionsfaktoren!L40/1000, 0)</f>
        <v>0</v>
      </c>
      <c r="N205" s="14">
        <f>IF(ISNUMBER('Refsz-Verbräuche'!N40), 'Refsz-Verbräuche'!N40*Emissionsfaktoren!M40/1000, 0)</f>
        <v>0</v>
      </c>
      <c r="O205" s="14">
        <f>IF(ISNUMBER('Refsz-Verbräuche'!O40), 'Refsz-Verbräuche'!O40*Emissionsfaktoren!N40/1000, 0)</f>
        <v>0</v>
      </c>
      <c r="P205" s="14">
        <f>IF(ISNUMBER('Refsz-Verbräuche'!P40), 'Refsz-Verbräuche'!P40*Emissionsfaktoren!O40/1000, 0)</f>
        <v>0</v>
      </c>
      <c r="Q205" s="14">
        <f>IF(ISNUMBER('Refsz-Verbräuche'!Q40), 'Refsz-Verbräuche'!Q40*Emissionsfaktoren!P40/1000, 0)</f>
        <v>0</v>
      </c>
      <c r="R205" s="14">
        <f>IF(ISNUMBER('Refsz-Verbräuche'!R40), 'Refsz-Verbräuche'!R40*Emissionsfaktoren!Q40/1000, 0)</f>
        <v>0</v>
      </c>
      <c r="S205" s="14">
        <f>IF(ISNUMBER('Refsz-Verbräuche'!S40), 'Refsz-Verbräuche'!S40*Emissionsfaktoren!R40/1000, 0)</f>
        <v>0</v>
      </c>
      <c r="T205" s="14">
        <f>IF(ISNUMBER('Refsz-Verbräuche'!T40), 'Refsz-Verbräuche'!T40*Emissionsfaktoren!S40/1000, 0)</f>
        <v>0</v>
      </c>
      <c r="U205" s="14">
        <f>IF(ISNUMBER('Refsz-Verbräuche'!U40), 'Refsz-Verbräuche'!U40*Emissionsfaktoren!T40/1000, 0)</f>
        <v>0</v>
      </c>
      <c r="V205" s="14">
        <f>IF(ISNUMBER('Refsz-Verbräuche'!V40), 'Refsz-Verbräuche'!V40*Emissionsfaktoren!U40/1000, 0)</f>
        <v>0</v>
      </c>
      <c r="W205" s="14">
        <f>IF(ISNUMBER('Refsz-Verbräuche'!W40), 'Refsz-Verbräuche'!W40*Emissionsfaktoren!V40/1000, 0)</f>
        <v>0</v>
      </c>
      <c r="X205" s="14">
        <f>IF(ISNUMBER('Refsz-Verbräuche'!X40), 'Refsz-Verbräuche'!X40*Emissionsfaktoren!W40/1000, 0)</f>
        <v>0</v>
      </c>
      <c r="Y205" s="14">
        <f>IF(ISNUMBER('Refsz-Verbräuche'!Y40), 'Refsz-Verbräuche'!Y40*Emissionsfaktoren!X40/1000, 0)</f>
        <v>0</v>
      </c>
    </row>
    <row r="206" spans="2:25" ht="16.5">
      <c r="B206" s="14">
        <v>24</v>
      </c>
      <c r="C206" s="14" t="str">
        <f>'Refsz-Verbräuche'!C41</f>
        <v>Wärme</v>
      </c>
      <c r="D206" s="19" t="str">
        <f>'Refsz-Verbräuche'!D41</f>
        <v>Sole-Wasser-Wärmepumpe; Ökostrom</v>
      </c>
      <c r="E206" t="s">
        <v>195</v>
      </c>
      <c r="F206" s="14">
        <f>IF(ISNUMBER('Refsz-Verbräuche'!F41), 'Refsz-Verbräuche'!F41*Emissionsfaktoren!E41/1000, 0)</f>
        <v>0</v>
      </c>
      <c r="G206" s="14">
        <f>IF(ISNUMBER('Refsz-Verbräuche'!G41), 'Refsz-Verbräuche'!G41*Emissionsfaktoren!F41/1000, 0)</f>
        <v>0</v>
      </c>
      <c r="H206" s="14">
        <f>IF(ISNUMBER('Refsz-Verbräuche'!H41), 'Refsz-Verbräuche'!H41*Emissionsfaktoren!G41/1000, 0)</f>
        <v>0</v>
      </c>
      <c r="I206" s="14">
        <f>IF(ISNUMBER('Refsz-Verbräuche'!I41), 'Refsz-Verbräuche'!I41*Emissionsfaktoren!H41/1000, 0)</f>
        <v>0</v>
      </c>
      <c r="J206" s="14">
        <f>IF(ISNUMBER('Refsz-Verbräuche'!J41), 'Refsz-Verbräuche'!J41*Emissionsfaktoren!I41/1000, 0)</f>
        <v>0</v>
      </c>
      <c r="K206" s="14">
        <f>IF(ISNUMBER('Refsz-Verbräuche'!K41), 'Refsz-Verbräuche'!K41*Emissionsfaktoren!J41/1000, 0)</f>
        <v>0</v>
      </c>
      <c r="L206" s="14">
        <f>IF(ISNUMBER('Refsz-Verbräuche'!L41), 'Refsz-Verbräuche'!L41*Emissionsfaktoren!K41/1000, 0)</f>
        <v>0</v>
      </c>
      <c r="M206" s="14">
        <f>IF(ISNUMBER('Refsz-Verbräuche'!M41), 'Refsz-Verbräuche'!M41*Emissionsfaktoren!L41/1000, 0)</f>
        <v>0</v>
      </c>
      <c r="N206" s="14">
        <f>IF(ISNUMBER('Refsz-Verbräuche'!N41), 'Refsz-Verbräuche'!N41*Emissionsfaktoren!M41/1000, 0)</f>
        <v>0</v>
      </c>
      <c r="O206" s="14">
        <f>IF(ISNUMBER('Refsz-Verbräuche'!O41), 'Refsz-Verbräuche'!O41*Emissionsfaktoren!N41/1000, 0)</f>
        <v>0</v>
      </c>
      <c r="P206" s="14">
        <f>IF(ISNUMBER('Refsz-Verbräuche'!P41), 'Refsz-Verbräuche'!P41*Emissionsfaktoren!O41/1000, 0)</f>
        <v>0</v>
      </c>
      <c r="Q206" s="14">
        <f>IF(ISNUMBER('Refsz-Verbräuche'!Q41), 'Refsz-Verbräuche'!Q41*Emissionsfaktoren!P41/1000, 0)</f>
        <v>0</v>
      </c>
      <c r="R206" s="14">
        <f>IF(ISNUMBER('Refsz-Verbräuche'!R41), 'Refsz-Verbräuche'!R41*Emissionsfaktoren!Q41/1000, 0)</f>
        <v>0</v>
      </c>
      <c r="S206" s="14">
        <f>IF(ISNUMBER('Refsz-Verbräuche'!S41), 'Refsz-Verbräuche'!S41*Emissionsfaktoren!R41/1000, 0)</f>
        <v>0</v>
      </c>
      <c r="T206" s="14">
        <f>IF(ISNUMBER('Refsz-Verbräuche'!T41), 'Refsz-Verbräuche'!T41*Emissionsfaktoren!S41/1000, 0)</f>
        <v>0</v>
      </c>
      <c r="U206" s="14">
        <f>IF(ISNUMBER('Refsz-Verbräuche'!U41), 'Refsz-Verbräuche'!U41*Emissionsfaktoren!T41/1000, 0)</f>
        <v>0</v>
      </c>
      <c r="V206" s="14">
        <f>IF(ISNUMBER('Refsz-Verbräuche'!V41), 'Refsz-Verbräuche'!V41*Emissionsfaktoren!U41/1000, 0)</f>
        <v>0</v>
      </c>
      <c r="W206" s="14">
        <f>IF(ISNUMBER('Refsz-Verbräuche'!W41), 'Refsz-Verbräuche'!W41*Emissionsfaktoren!V41/1000, 0)</f>
        <v>0</v>
      </c>
      <c r="X206" s="14">
        <f>IF(ISNUMBER('Refsz-Verbräuche'!X41), 'Refsz-Verbräuche'!X41*Emissionsfaktoren!W41/1000, 0)</f>
        <v>0</v>
      </c>
      <c r="Y206" s="14">
        <f>IF(ISNUMBER('Refsz-Verbräuche'!Y41), 'Refsz-Verbräuche'!Y41*Emissionsfaktoren!X41/1000, 0)</f>
        <v>0</v>
      </c>
    </row>
    <row r="207" spans="2:25" ht="16.5">
      <c r="B207" s="14">
        <v>25</v>
      </c>
      <c r="C207" s="14" t="str">
        <f>'Refsz-Verbräuche'!C42</f>
        <v>Wärme</v>
      </c>
      <c r="D207" s="19" t="str">
        <f>'Refsz-Verbräuche'!D42</f>
        <v>Individuelle Wärmepumpe</v>
      </c>
      <c r="E207" t="s">
        <v>195</v>
      </c>
      <c r="F207" s="14">
        <f>IF(ISNUMBER('Refsz-Verbräuche'!F42), 'Refsz-Verbräuche'!F42*Emissionsfaktoren!E42/1000, 0)</f>
        <v>0</v>
      </c>
      <c r="G207" s="14">
        <f>IF(ISNUMBER('Refsz-Verbräuche'!G42), 'Refsz-Verbräuche'!G42*Emissionsfaktoren!F42/1000, 0)</f>
        <v>0</v>
      </c>
      <c r="H207" s="14">
        <f>IF(ISNUMBER('Refsz-Verbräuche'!H42), 'Refsz-Verbräuche'!H42*Emissionsfaktoren!G42/1000, 0)</f>
        <v>0</v>
      </c>
      <c r="I207" s="14">
        <f>IF(ISNUMBER('Refsz-Verbräuche'!I42), 'Refsz-Verbräuche'!I42*Emissionsfaktoren!H42/1000, 0)</f>
        <v>0</v>
      </c>
      <c r="J207" s="14">
        <f>IF(ISNUMBER('Refsz-Verbräuche'!J42), 'Refsz-Verbräuche'!J42*Emissionsfaktoren!I42/1000, 0)</f>
        <v>0</v>
      </c>
      <c r="K207" s="14">
        <f>IF(ISNUMBER('Refsz-Verbräuche'!K42), 'Refsz-Verbräuche'!K42*Emissionsfaktoren!J42/1000, 0)</f>
        <v>0</v>
      </c>
      <c r="L207" s="14">
        <f>IF(ISNUMBER('Refsz-Verbräuche'!L42), 'Refsz-Verbräuche'!L42*Emissionsfaktoren!K42/1000, 0)</f>
        <v>0</v>
      </c>
      <c r="M207" s="14">
        <f>IF(ISNUMBER('Refsz-Verbräuche'!M42), 'Refsz-Verbräuche'!M42*Emissionsfaktoren!L42/1000, 0)</f>
        <v>0</v>
      </c>
      <c r="N207" s="14">
        <f>IF(ISNUMBER('Refsz-Verbräuche'!N42), 'Refsz-Verbräuche'!N42*Emissionsfaktoren!M42/1000, 0)</f>
        <v>0</v>
      </c>
      <c r="O207" s="14">
        <f>IF(ISNUMBER('Refsz-Verbräuche'!O42), 'Refsz-Verbräuche'!O42*Emissionsfaktoren!N42/1000, 0)</f>
        <v>0</v>
      </c>
      <c r="P207" s="14">
        <f>IF(ISNUMBER('Refsz-Verbräuche'!P42), 'Refsz-Verbräuche'!P42*Emissionsfaktoren!O42/1000, 0)</f>
        <v>0</v>
      </c>
      <c r="Q207" s="14">
        <f>IF(ISNUMBER('Refsz-Verbräuche'!Q42), 'Refsz-Verbräuche'!Q42*Emissionsfaktoren!P42/1000, 0)</f>
        <v>0</v>
      </c>
      <c r="R207" s="14">
        <f>IF(ISNUMBER('Refsz-Verbräuche'!R42), 'Refsz-Verbräuche'!R42*Emissionsfaktoren!Q42/1000, 0)</f>
        <v>0</v>
      </c>
      <c r="S207" s="14">
        <f>IF(ISNUMBER('Refsz-Verbräuche'!S42), 'Refsz-Verbräuche'!S42*Emissionsfaktoren!R42/1000, 0)</f>
        <v>0</v>
      </c>
      <c r="T207" s="14">
        <f>IF(ISNUMBER('Refsz-Verbräuche'!T42), 'Refsz-Verbräuche'!T42*Emissionsfaktoren!S42/1000, 0)</f>
        <v>0</v>
      </c>
      <c r="U207" s="14">
        <f>IF(ISNUMBER('Refsz-Verbräuche'!U42), 'Refsz-Verbräuche'!U42*Emissionsfaktoren!T42/1000, 0)</f>
        <v>0</v>
      </c>
      <c r="V207" s="14">
        <f>IF(ISNUMBER('Refsz-Verbräuche'!V42), 'Refsz-Verbräuche'!V42*Emissionsfaktoren!U42/1000, 0)</f>
        <v>0</v>
      </c>
      <c r="W207" s="14">
        <f>IF(ISNUMBER('Refsz-Verbräuche'!W42), 'Refsz-Verbräuche'!W42*Emissionsfaktoren!V42/1000, 0)</f>
        <v>0</v>
      </c>
      <c r="X207" s="14">
        <f>IF(ISNUMBER('Refsz-Verbräuche'!X42), 'Refsz-Verbräuche'!X42*Emissionsfaktoren!W42/1000, 0)</f>
        <v>0</v>
      </c>
      <c r="Y207" s="14">
        <f>IF(ISNUMBER('Refsz-Verbräuche'!Y42), 'Refsz-Verbräuche'!Y42*Emissionsfaktoren!X42/1000, 0)</f>
        <v>0</v>
      </c>
    </row>
    <row r="208" spans="2:25" ht="16.5">
      <c r="B208" s="14">
        <v>26</v>
      </c>
      <c r="C208" s="14" t="str">
        <f>'Refsz-Verbräuche'!C43</f>
        <v>Kälte</v>
      </c>
      <c r="D208" s="19" t="str">
        <f>'Refsz-Verbräuche'!D43</f>
        <v>Nachfüllmenge Kältemittel (R22)</v>
      </c>
      <c r="E208" t="s">
        <v>195</v>
      </c>
      <c r="F208" s="14">
        <f>IF(ISNUMBER('Refsz-Verbräuche'!F43), 'Refsz-Verbräuche'!F43*Emissionsfaktoren!E43/1000, 0)</f>
        <v>0</v>
      </c>
      <c r="G208" s="14">
        <f>IF(ISNUMBER('Refsz-Verbräuche'!G43), 'Refsz-Verbräuche'!G43*Emissionsfaktoren!F43/1000, 0)</f>
        <v>0</v>
      </c>
      <c r="H208" s="14">
        <f>IF(ISNUMBER('Refsz-Verbräuche'!H43), 'Refsz-Verbräuche'!H43*Emissionsfaktoren!G43/1000, 0)</f>
        <v>0</v>
      </c>
      <c r="I208" s="14">
        <f>IF(ISNUMBER('Refsz-Verbräuche'!I43), 'Refsz-Verbräuche'!I43*Emissionsfaktoren!H43/1000, 0)</f>
        <v>0</v>
      </c>
      <c r="J208" s="14">
        <f>IF(ISNUMBER('Refsz-Verbräuche'!J43), 'Refsz-Verbräuche'!J43*Emissionsfaktoren!I43/1000, 0)</f>
        <v>0</v>
      </c>
      <c r="K208" s="14">
        <f>IF(ISNUMBER('Refsz-Verbräuche'!K43), 'Refsz-Verbräuche'!K43*Emissionsfaktoren!J43/1000, 0)</f>
        <v>0</v>
      </c>
      <c r="L208" s="14">
        <f>IF(ISNUMBER('Refsz-Verbräuche'!L43), 'Refsz-Verbräuche'!L43*Emissionsfaktoren!K43/1000, 0)</f>
        <v>0</v>
      </c>
      <c r="M208" s="14">
        <f>IF(ISNUMBER('Refsz-Verbräuche'!M43), 'Refsz-Verbräuche'!M43*Emissionsfaktoren!L43/1000, 0)</f>
        <v>0</v>
      </c>
      <c r="N208" s="14">
        <f>IF(ISNUMBER('Refsz-Verbräuche'!N43), 'Refsz-Verbräuche'!N43*Emissionsfaktoren!M43/1000, 0)</f>
        <v>0</v>
      </c>
      <c r="O208" s="14">
        <f>IF(ISNUMBER('Refsz-Verbräuche'!O43), 'Refsz-Verbräuche'!O43*Emissionsfaktoren!N43/1000, 0)</f>
        <v>0</v>
      </c>
      <c r="P208" s="14">
        <f>IF(ISNUMBER('Refsz-Verbräuche'!P43), 'Refsz-Verbräuche'!P43*Emissionsfaktoren!O43/1000, 0)</f>
        <v>0</v>
      </c>
      <c r="Q208" s="14">
        <f>IF(ISNUMBER('Refsz-Verbräuche'!Q43), 'Refsz-Verbräuche'!Q43*Emissionsfaktoren!P43/1000, 0)</f>
        <v>0</v>
      </c>
      <c r="R208" s="14">
        <f>IF(ISNUMBER('Refsz-Verbräuche'!R43), 'Refsz-Verbräuche'!R43*Emissionsfaktoren!Q43/1000, 0)</f>
        <v>0</v>
      </c>
      <c r="S208" s="14">
        <f>IF(ISNUMBER('Refsz-Verbräuche'!S43), 'Refsz-Verbräuche'!S43*Emissionsfaktoren!R43/1000, 0)</f>
        <v>0</v>
      </c>
      <c r="T208" s="14">
        <f>IF(ISNUMBER('Refsz-Verbräuche'!T43), 'Refsz-Verbräuche'!T43*Emissionsfaktoren!S43/1000, 0)</f>
        <v>0</v>
      </c>
      <c r="U208" s="14">
        <f>IF(ISNUMBER('Refsz-Verbräuche'!U43), 'Refsz-Verbräuche'!U43*Emissionsfaktoren!T43/1000, 0)</f>
        <v>0</v>
      </c>
      <c r="V208" s="14">
        <f>IF(ISNUMBER('Refsz-Verbräuche'!V43), 'Refsz-Verbräuche'!V43*Emissionsfaktoren!U43/1000, 0)</f>
        <v>0</v>
      </c>
      <c r="W208" s="14">
        <f>IF(ISNUMBER('Refsz-Verbräuche'!W43), 'Refsz-Verbräuche'!W43*Emissionsfaktoren!V43/1000, 0)</f>
        <v>0</v>
      </c>
      <c r="X208" s="14">
        <f>IF(ISNUMBER('Refsz-Verbräuche'!X43), 'Refsz-Verbräuche'!X43*Emissionsfaktoren!W43/1000, 0)</f>
        <v>0</v>
      </c>
      <c r="Y208" s="14">
        <f>IF(ISNUMBER('Refsz-Verbräuche'!Y43), 'Refsz-Verbräuche'!Y43*Emissionsfaktoren!X43/1000, 0)</f>
        <v>0</v>
      </c>
    </row>
    <row r="209" spans="2:25" ht="16.5">
      <c r="B209" s="14">
        <v>27</v>
      </c>
      <c r="C209" s="14" t="str">
        <f>'Refsz-Verbräuche'!C44</f>
        <v>Kälte</v>
      </c>
      <c r="D209" s="19" t="str">
        <f>'Refsz-Verbräuche'!D44</f>
        <v>Nachfüllmenge Kältemittel (R134A)</v>
      </c>
      <c r="E209" t="s">
        <v>195</v>
      </c>
      <c r="F209" s="14">
        <f>IF(ISNUMBER('Refsz-Verbräuche'!F44), 'Refsz-Verbräuche'!F44*Emissionsfaktoren!E44/1000, 0)</f>
        <v>0</v>
      </c>
      <c r="G209" s="14">
        <f>IF(ISNUMBER('Refsz-Verbräuche'!G44), 'Refsz-Verbräuche'!G44*Emissionsfaktoren!F44/1000, 0)</f>
        <v>0</v>
      </c>
      <c r="H209" s="14">
        <f>IF(ISNUMBER('Refsz-Verbräuche'!H44), 'Refsz-Verbräuche'!H44*Emissionsfaktoren!G44/1000, 0)</f>
        <v>0</v>
      </c>
      <c r="I209" s="14">
        <f>IF(ISNUMBER('Refsz-Verbräuche'!I44), 'Refsz-Verbräuche'!I44*Emissionsfaktoren!H44/1000, 0)</f>
        <v>0</v>
      </c>
      <c r="J209" s="14">
        <f>IF(ISNUMBER('Refsz-Verbräuche'!J44), 'Refsz-Verbräuche'!J44*Emissionsfaktoren!I44/1000, 0)</f>
        <v>0</v>
      </c>
      <c r="K209" s="14">
        <f>IF(ISNUMBER('Refsz-Verbräuche'!K44), 'Refsz-Verbräuche'!K44*Emissionsfaktoren!J44/1000, 0)</f>
        <v>0</v>
      </c>
      <c r="L209" s="14">
        <f>IF(ISNUMBER('Refsz-Verbräuche'!L44), 'Refsz-Verbräuche'!L44*Emissionsfaktoren!K44/1000, 0)</f>
        <v>0</v>
      </c>
      <c r="M209" s="14">
        <f>IF(ISNUMBER('Refsz-Verbräuche'!M44), 'Refsz-Verbräuche'!M44*Emissionsfaktoren!L44/1000, 0)</f>
        <v>0</v>
      </c>
      <c r="N209" s="14">
        <f>IF(ISNUMBER('Refsz-Verbräuche'!N44), 'Refsz-Verbräuche'!N44*Emissionsfaktoren!M44/1000, 0)</f>
        <v>0</v>
      </c>
      <c r="O209" s="14">
        <f>IF(ISNUMBER('Refsz-Verbräuche'!O44), 'Refsz-Verbräuche'!O44*Emissionsfaktoren!N44/1000, 0)</f>
        <v>0</v>
      </c>
      <c r="P209" s="14">
        <f>IF(ISNUMBER('Refsz-Verbräuche'!P44), 'Refsz-Verbräuche'!P44*Emissionsfaktoren!O44/1000, 0)</f>
        <v>0</v>
      </c>
      <c r="Q209" s="14">
        <f>IF(ISNUMBER('Refsz-Verbräuche'!Q44), 'Refsz-Verbräuche'!Q44*Emissionsfaktoren!P44/1000, 0)</f>
        <v>0</v>
      </c>
      <c r="R209" s="14">
        <f>IF(ISNUMBER('Refsz-Verbräuche'!R44), 'Refsz-Verbräuche'!R44*Emissionsfaktoren!Q44/1000, 0)</f>
        <v>0</v>
      </c>
      <c r="S209" s="14">
        <f>IF(ISNUMBER('Refsz-Verbräuche'!S44), 'Refsz-Verbräuche'!S44*Emissionsfaktoren!R44/1000, 0)</f>
        <v>0</v>
      </c>
      <c r="T209" s="14">
        <f>IF(ISNUMBER('Refsz-Verbräuche'!T44), 'Refsz-Verbräuche'!T44*Emissionsfaktoren!S44/1000, 0)</f>
        <v>0</v>
      </c>
      <c r="U209" s="14">
        <f>IF(ISNUMBER('Refsz-Verbräuche'!U44), 'Refsz-Verbräuche'!U44*Emissionsfaktoren!T44/1000, 0)</f>
        <v>0</v>
      </c>
      <c r="V209" s="14">
        <f>IF(ISNUMBER('Refsz-Verbräuche'!V44), 'Refsz-Verbräuche'!V44*Emissionsfaktoren!U44/1000, 0)</f>
        <v>0</v>
      </c>
      <c r="W209" s="14">
        <f>IF(ISNUMBER('Refsz-Verbräuche'!W44), 'Refsz-Verbräuche'!W44*Emissionsfaktoren!V44/1000, 0)</f>
        <v>0</v>
      </c>
      <c r="X209" s="14">
        <f>IF(ISNUMBER('Refsz-Verbräuche'!X44), 'Refsz-Verbräuche'!X44*Emissionsfaktoren!W44/1000, 0)</f>
        <v>0</v>
      </c>
      <c r="Y209" s="14">
        <f>IF(ISNUMBER('Refsz-Verbräuche'!Y44), 'Refsz-Verbräuche'!Y44*Emissionsfaktoren!X44/1000, 0)</f>
        <v>0</v>
      </c>
    </row>
    <row r="210" spans="2:25" ht="16.5">
      <c r="B210" s="14">
        <v>28</v>
      </c>
      <c r="C210" s="14" t="str">
        <f>'Refsz-Verbräuche'!C45</f>
        <v>Kälte</v>
      </c>
      <c r="D210" s="19" t="str">
        <f>'Refsz-Verbräuche'!D45</f>
        <v>Nachfüllmenge Kältemittel (R404A)</v>
      </c>
      <c r="E210" t="s">
        <v>195</v>
      </c>
      <c r="F210" s="14">
        <f>IF(ISNUMBER('Refsz-Verbräuche'!F45), 'Refsz-Verbräuche'!F45*Emissionsfaktoren!E45/1000, 0)</f>
        <v>0</v>
      </c>
      <c r="G210" s="14">
        <f>IF(ISNUMBER('Refsz-Verbräuche'!G45), 'Refsz-Verbräuche'!G45*Emissionsfaktoren!F45/1000, 0)</f>
        <v>0</v>
      </c>
      <c r="H210" s="14">
        <f>IF(ISNUMBER('Refsz-Verbräuche'!H45), 'Refsz-Verbräuche'!H45*Emissionsfaktoren!G45/1000, 0)</f>
        <v>0</v>
      </c>
      <c r="I210" s="14">
        <f>IF(ISNUMBER('Refsz-Verbräuche'!I45), 'Refsz-Verbräuche'!I45*Emissionsfaktoren!H45/1000, 0)</f>
        <v>0</v>
      </c>
      <c r="J210" s="14">
        <f>IF(ISNUMBER('Refsz-Verbräuche'!J45), 'Refsz-Verbräuche'!J45*Emissionsfaktoren!I45/1000, 0)</f>
        <v>0</v>
      </c>
      <c r="K210" s="14">
        <f>IF(ISNUMBER('Refsz-Verbräuche'!K45), 'Refsz-Verbräuche'!K45*Emissionsfaktoren!J45/1000, 0)</f>
        <v>0</v>
      </c>
      <c r="L210" s="14">
        <f>IF(ISNUMBER('Refsz-Verbräuche'!L45), 'Refsz-Verbräuche'!L45*Emissionsfaktoren!K45/1000, 0)</f>
        <v>0</v>
      </c>
      <c r="M210" s="14">
        <f>IF(ISNUMBER('Refsz-Verbräuche'!M45), 'Refsz-Verbräuche'!M45*Emissionsfaktoren!L45/1000, 0)</f>
        <v>0</v>
      </c>
      <c r="N210" s="14">
        <f>IF(ISNUMBER('Refsz-Verbräuche'!N45), 'Refsz-Verbräuche'!N45*Emissionsfaktoren!M45/1000, 0)</f>
        <v>0</v>
      </c>
      <c r="O210" s="14">
        <f>IF(ISNUMBER('Refsz-Verbräuche'!O45), 'Refsz-Verbräuche'!O45*Emissionsfaktoren!N45/1000, 0)</f>
        <v>0</v>
      </c>
      <c r="P210" s="14">
        <f>IF(ISNUMBER('Refsz-Verbräuche'!P45), 'Refsz-Verbräuche'!P45*Emissionsfaktoren!O45/1000, 0)</f>
        <v>0</v>
      </c>
      <c r="Q210" s="14">
        <f>IF(ISNUMBER('Refsz-Verbräuche'!Q45), 'Refsz-Verbräuche'!Q45*Emissionsfaktoren!P45/1000, 0)</f>
        <v>0</v>
      </c>
      <c r="R210" s="14">
        <f>IF(ISNUMBER('Refsz-Verbräuche'!R45), 'Refsz-Verbräuche'!R45*Emissionsfaktoren!Q45/1000, 0)</f>
        <v>0</v>
      </c>
      <c r="S210" s="14">
        <f>IF(ISNUMBER('Refsz-Verbräuche'!S45), 'Refsz-Verbräuche'!S45*Emissionsfaktoren!R45/1000, 0)</f>
        <v>0</v>
      </c>
      <c r="T210" s="14">
        <f>IF(ISNUMBER('Refsz-Verbräuche'!T45), 'Refsz-Verbräuche'!T45*Emissionsfaktoren!S45/1000, 0)</f>
        <v>0</v>
      </c>
      <c r="U210" s="14">
        <f>IF(ISNUMBER('Refsz-Verbräuche'!U45), 'Refsz-Verbräuche'!U45*Emissionsfaktoren!T45/1000, 0)</f>
        <v>0</v>
      </c>
      <c r="V210" s="14">
        <f>IF(ISNUMBER('Refsz-Verbräuche'!V45), 'Refsz-Verbräuche'!V45*Emissionsfaktoren!U45/1000, 0)</f>
        <v>0</v>
      </c>
      <c r="W210" s="14">
        <f>IF(ISNUMBER('Refsz-Verbräuche'!W45), 'Refsz-Verbräuche'!W45*Emissionsfaktoren!V45/1000, 0)</f>
        <v>0</v>
      </c>
      <c r="X210" s="14">
        <f>IF(ISNUMBER('Refsz-Verbräuche'!X45), 'Refsz-Verbräuche'!X45*Emissionsfaktoren!W45/1000, 0)</f>
        <v>0</v>
      </c>
      <c r="Y210" s="14">
        <f>IF(ISNUMBER('Refsz-Verbräuche'!Y45), 'Refsz-Verbräuche'!Y45*Emissionsfaktoren!X45/1000, 0)</f>
        <v>0</v>
      </c>
    </row>
    <row r="211" spans="2:25" ht="16.5">
      <c r="B211" s="14">
        <v>29</v>
      </c>
      <c r="C211" s="14" t="str">
        <f>'Refsz-Verbräuche'!C46</f>
        <v>Kälte</v>
      </c>
      <c r="D211" s="19" t="str">
        <f>'Refsz-Verbräuche'!D46</f>
        <v>Nachfüllmenge Kältemittel (R410A)</v>
      </c>
      <c r="E211" t="s">
        <v>195</v>
      </c>
      <c r="F211" s="14">
        <f>IF(ISNUMBER('Refsz-Verbräuche'!F46), 'Refsz-Verbräuche'!F46*Emissionsfaktoren!E46/1000, 0)</f>
        <v>0</v>
      </c>
      <c r="G211" s="14">
        <f>IF(ISNUMBER('Refsz-Verbräuche'!G46), 'Refsz-Verbräuche'!G46*Emissionsfaktoren!F46/1000, 0)</f>
        <v>0</v>
      </c>
      <c r="H211" s="14">
        <f>IF(ISNUMBER('Refsz-Verbräuche'!H46), 'Refsz-Verbräuche'!H46*Emissionsfaktoren!G46/1000, 0)</f>
        <v>0</v>
      </c>
      <c r="I211" s="14">
        <f>IF(ISNUMBER('Refsz-Verbräuche'!I46), 'Refsz-Verbräuche'!I46*Emissionsfaktoren!H46/1000, 0)</f>
        <v>0</v>
      </c>
      <c r="J211" s="14">
        <f>IF(ISNUMBER('Refsz-Verbräuche'!J46), 'Refsz-Verbräuche'!J46*Emissionsfaktoren!I46/1000, 0)</f>
        <v>0</v>
      </c>
      <c r="K211" s="14">
        <f>IF(ISNUMBER('Refsz-Verbräuche'!K46), 'Refsz-Verbräuche'!K46*Emissionsfaktoren!J46/1000, 0)</f>
        <v>0</v>
      </c>
      <c r="L211" s="14">
        <f>IF(ISNUMBER('Refsz-Verbräuche'!L46), 'Refsz-Verbräuche'!L46*Emissionsfaktoren!K46/1000, 0)</f>
        <v>0</v>
      </c>
      <c r="M211" s="14">
        <f>IF(ISNUMBER('Refsz-Verbräuche'!M46), 'Refsz-Verbräuche'!M46*Emissionsfaktoren!L46/1000, 0)</f>
        <v>0</v>
      </c>
      <c r="N211" s="14">
        <f>IF(ISNUMBER('Refsz-Verbräuche'!N46), 'Refsz-Verbräuche'!N46*Emissionsfaktoren!M46/1000, 0)</f>
        <v>0</v>
      </c>
      <c r="O211" s="14">
        <f>IF(ISNUMBER('Refsz-Verbräuche'!O46), 'Refsz-Verbräuche'!O46*Emissionsfaktoren!N46/1000, 0)</f>
        <v>0</v>
      </c>
      <c r="P211" s="14">
        <f>IF(ISNUMBER('Refsz-Verbräuche'!P46), 'Refsz-Verbräuche'!P46*Emissionsfaktoren!O46/1000, 0)</f>
        <v>0</v>
      </c>
      <c r="Q211" s="14">
        <f>IF(ISNUMBER('Refsz-Verbräuche'!Q46), 'Refsz-Verbräuche'!Q46*Emissionsfaktoren!P46/1000, 0)</f>
        <v>0</v>
      </c>
      <c r="R211" s="14">
        <f>IF(ISNUMBER('Refsz-Verbräuche'!R46), 'Refsz-Verbräuche'!R46*Emissionsfaktoren!Q46/1000, 0)</f>
        <v>0</v>
      </c>
      <c r="S211" s="14">
        <f>IF(ISNUMBER('Refsz-Verbräuche'!S46), 'Refsz-Verbräuche'!S46*Emissionsfaktoren!R46/1000, 0)</f>
        <v>0</v>
      </c>
      <c r="T211" s="14">
        <f>IF(ISNUMBER('Refsz-Verbräuche'!T46), 'Refsz-Verbräuche'!T46*Emissionsfaktoren!S46/1000, 0)</f>
        <v>0</v>
      </c>
      <c r="U211" s="14">
        <f>IF(ISNUMBER('Refsz-Verbräuche'!U46), 'Refsz-Verbräuche'!U46*Emissionsfaktoren!T46/1000, 0)</f>
        <v>0</v>
      </c>
      <c r="V211" s="14">
        <f>IF(ISNUMBER('Refsz-Verbräuche'!V46), 'Refsz-Verbräuche'!V46*Emissionsfaktoren!U46/1000, 0)</f>
        <v>0</v>
      </c>
      <c r="W211" s="14">
        <f>IF(ISNUMBER('Refsz-Verbräuche'!W46), 'Refsz-Verbräuche'!W46*Emissionsfaktoren!V46/1000, 0)</f>
        <v>0</v>
      </c>
      <c r="X211" s="14">
        <f>IF(ISNUMBER('Refsz-Verbräuche'!X46), 'Refsz-Verbräuche'!X46*Emissionsfaktoren!W46/1000, 0)</f>
        <v>0</v>
      </c>
      <c r="Y211" s="14">
        <f>IF(ISNUMBER('Refsz-Verbräuche'!Y46), 'Refsz-Verbräuche'!Y46*Emissionsfaktoren!X46/1000, 0)</f>
        <v>0</v>
      </c>
    </row>
    <row r="212" spans="2:25" ht="16.5">
      <c r="B212" s="14">
        <v>30</v>
      </c>
      <c r="C212" s="14">
        <f>'Refsz-Verbräuche'!C47</f>
        <v>0</v>
      </c>
      <c r="D212" s="19">
        <f>'Refsz-Verbräuche'!D47</f>
        <v>0</v>
      </c>
      <c r="E212" t="s">
        <v>195</v>
      </c>
      <c r="F212" s="14">
        <f>IF(ISNUMBER('Refsz-Verbräuche'!F47), 'Refsz-Verbräuche'!F47*Emissionsfaktoren!E47/1000, 0)</f>
        <v>0</v>
      </c>
      <c r="G212" s="14">
        <f>IF(ISNUMBER('Refsz-Verbräuche'!G47), 'Refsz-Verbräuche'!G47*Emissionsfaktoren!F47/1000, 0)</f>
        <v>0</v>
      </c>
      <c r="H212" s="14">
        <f>IF(ISNUMBER('Refsz-Verbräuche'!H47), 'Refsz-Verbräuche'!H47*Emissionsfaktoren!G47/1000, 0)</f>
        <v>0</v>
      </c>
      <c r="I212" s="14">
        <f>IF(ISNUMBER('Refsz-Verbräuche'!I47), 'Refsz-Verbräuche'!I47*Emissionsfaktoren!H47/1000, 0)</f>
        <v>0</v>
      </c>
      <c r="J212" s="14">
        <f>IF(ISNUMBER('Refsz-Verbräuche'!J47), 'Refsz-Verbräuche'!J47*Emissionsfaktoren!I47/1000, 0)</f>
        <v>0</v>
      </c>
      <c r="K212" s="14">
        <f>IF(ISNUMBER('Refsz-Verbräuche'!K47), 'Refsz-Verbräuche'!K47*Emissionsfaktoren!J47/1000, 0)</f>
        <v>0</v>
      </c>
      <c r="L212" s="14">
        <f>IF(ISNUMBER('Refsz-Verbräuche'!L47), 'Refsz-Verbräuche'!L47*Emissionsfaktoren!K47/1000, 0)</f>
        <v>0</v>
      </c>
      <c r="M212" s="14">
        <f>IF(ISNUMBER('Refsz-Verbräuche'!M47), 'Refsz-Verbräuche'!M47*Emissionsfaktoren!L47/1000, 0)</f>
        <v>0</v>
      </c>
      <c r="N212" s="14">
        <f>IF(ISNUMBER('Refsz-Verbräuche'!N47), 'Refsz-Verbräuche'!N47*Emissionsfaktoren!M47/1000, 0)</f>
        <v>0</v>
      </c>
      <c r="O212" s="14">
        <f>IF(ISNUMBER('Refsz-Verbräuche'!O47), 'Refsz-Verbräuche'!O47*Emissionsfaktoren!N47/1000, 0)</f>
        <v>0</v>
      </c>
      <c r="P212" s="14">
        <f>IF(ISNUMBER('Refsz-Verbräuche'!P47), 'Refsz-Verbräuche'!P47*Emissionsfaktoren!O47/1000, 0)</f>
        <v>0</v>
      </c>
      <c r="Q212" s="14">
        <f>IF(ISNUMBER('Refsz-Verbräuche'!Q47), 'Refsz-Verbräuche'!Q47*Emissionsfaktoren!P47/1000, 0)</f>
        <v>0</v>
      </c>
      <c r="R212" s="14">
        <f>IF(ISNUMBER('Refsz-Verbräuche'!R47), 'Refsz-Verbräuche'!R47*Emissionsfaktoren!Q47/1000, 0)</f>
        <v>0</v>
      </c>
      <c r="S212" s="14">
        <f>IF(ISNUMBER('Refsz-Verbräuche'!S47), 'Refsz-Verbräuche'!S47*Emissionsfaktoren!R47/1000, 0)</f>
        <v>0</v>
      </c>
      <c r="T212" s="14">
        <f>IF(ISNUMBER('Refsz-Verbräuche'!T47), 'Refsz-Verbräuche'!T47*Emissionsfaktoren!S47/1000, 0)</f>
        <v>0</v>
      </c>
      <c r="U212" s="14">
        <f>IF(ISNUMBER('Refsz-Verbräuche'!U47), 'Refsz-Verbräuche'!U47*Emissionsfaktoren!T47/1000, 0)</f>
        <v>0</v>
      </c>
      <c r="V212" s="14">
        <f>IF(ISNUMBER('Refsz-Verbräuche'!V47), 'Refsz-Verbräuche'!V47*Emissionsfaktoren!U47/1000, 0)</f>
        <v>0</v>
      </c>
      <c r="W212" s="14">
        <f>IF(ISNUMBER('Refsz-Verbräuche'!W47), 'Refsz-Verbräuche'!W47*Emissionsfaktoren!V47/1000, 0)</f>
        <v>0</v>
      </c>
      <c r="X212" s="14">
        <f>IF(ISNUMBER('Refsz-Verbräuche'!X47), 'Refsz-Verbräuche'!X47*Emissionsfaktoren!W47/1000, 0)</f>
        <v>0</v>
      </c>
      <c r="Y212" s="14">
        <f>IF(ISNUMBER('Refsz-Verbräuche'!Y47), 'Refsz-Verbräuche'!Y47*Emissionsfaktoren!X47/1000, 0)</f>
        <v>0</v>
      </c>
    </row>
    <row r="213" spans="2:25" ht="16.5">
      <c r="B213" s="14">
        <v>31</v>
      </c>
      <c r="C213" s="14" t="str">
        <f>'Refsz-Verbräuche'!C48</f>
        <v>Mobilität 1</v>
      </c>
      <c r="D213" s="19" t="str">
        <f>'Refsz-Verbräuche'!D48</f>
        <v>Fuhrpark (Diesel)</v>
      </c>
      <c r="E213" t="s">
        <v>195</v>
      </c>
      <c r="F213" s="14">
        <f>IF(ISNUMBER('Refsz-Verbräuche'!F48), 'Refsz-Verbräuche'!F48*Emissionsfaktoren!E48/1000, 0)</f>
        <v>0</v>
      </c>
      <c r="G213" s="14">
        <f>IF(ISNUMBER('Refsz-Verbräuche'!G48), 'Refsz-Verbräuche'!G48*Emissionsfaktoren!F48/1000, 0)</f>
        <v>0</v>
      </c>
      <c r="H213" s="14">
        <f>IF(ISNUMBER('Refsz-Verbräuche'!H48), 'Refsz-Verbräuche'!H48*Emissionsfaktoren!G48/1000, 0)</f>
        <v>0</v>
      </c>
      <c r="I213" s="14">
        <f>IF(ISNUMBER('Refsz-Verbräuche'!I48), 'Refsz-Verbräuche'!I48*Emissionsfaktoren!H48/1000, 0)</f>
        <v>0</v>
      </c>
      <c r="J213" s="14">
        <f>IF(ISNUMBER('Refsz-Verbräuche'!J48), 'Refsz-Verbräuche'!J48*Emissionsfaktoren!I48/1000, 0)</f>
        <v>0</v>
      </c>
      <c r="K213" s="14">
        <f>IF(ISNUMBER('Refsz-Verbräuche'!K48), 'Refsz-Verbräuche'!K48*Emissionsfaktoren!J48/1000, 0)</f>
        <v>0</v>
      </c>
      <c r="L213" s="14">
        <f>IF(ISNUMBER('Refsz-Verbräuche'!L48), 'Refsz-Verbräuche'!L48*Emissionsfaktoren!K48/1000, 0)</f>
        <v>0</v>
      </c>
      <c r="M213" s="14">
        <f>IF(ISNUMBER('Refsz-Verbräuche'!M48), 'Refsz-Verbräuche'!M48*Emissionsfaktoren!L48/1000, 0)</f>
        <v>0</v>
      </c>
      <c r="N213" s="14">
        <f>IF(ISNUMBER('Refsz-Verbräuche'!N48), 'Refsz-Verbräuche'!N48*Emissionsfaktoren!M48/1000, 0)</f>
        <v>0</v>
      </c>
      <c r="O213" s="14">
        <f>IF(ISNUMBER('Refsz-Verbräuche'!O48), 'Refsz-Verbräuche'!O48*Emissionsfaktoren!N48/1000, 0)</f>
        <v>0</v>
      </c>
      <c r="P213" s="14">
        <f>IF(ISNUMBER('Refsz-Verbräuche'!P48), 'Refsz-Verbräuche'!P48*Emissionsfaktoren!O48/1000, 0)</f>
        <v>0</v>
      </c>
      <c r="Q213" s="14">
        <f>IF(ISNUMBER('Refsz-Verbräuche'!Q48), 'Refsz-Verbräuche'!Q48*Emissionsfaktoren!P48/1000, 0)</f>
        <v>0</v>
      </c>
      <c r="R213" s="14">
        <f>IF(ISNUMBER('Refsz-Verbräuche'!R48), 'Refsz-Verbräuche'!R48*Emissionsfaktoren!Q48/1000, 0)</f>
        <v>0</v>
      </c>
      <c r="S213" s="14">
        <f>IF(ISNUMBER('Refsz-Verbräuche'!S48), 'Refsz-Verbräuche'!S48*Emissionsfaktoren!R48/1000, 0)</f>
        <v>0</v>
      </c>
      <c r="T213" s="14">
        <f>IF(ISNUMBER('Refsz-Verbräuche'!T48), 'Refsz-Verbräuche'!T48*Emissionsfaktoren!S48/1000, 0)</f>
        <v>0</v>
      </c>
      <c r="U213" s="14">
        <f>IF(ISNUMBER('Refsz-Verbräuche'!U48), 'Refsz-Verbräuche'!U48*Emissionsfaktoren!T48/1000, 0)</f>
        <v>0</v>
      </c>
      <c r="V213" s="14">
        <f>IF(ISNUMBER('Refsz-Verbräuche'!V48), 'Refsz-Verbräuche'!V48*Emissionsfaktoren!U48/1000, 0)</f>
        <v>0</v>
      </c>
      <c r="W213" s="14">
        <f>IF(ISNUMBER('Refsz-Verbräuche'!W48), 'Refsz-Verbräuche'!W48*Emissionsfaktoren!V48/1000, 0)</f>
        <v>0</v>
      </c>
      <c r="X213" s="14">
        <f>IF(ISNUMBER('Refsz-Verbräuche'!X48), 'Refsz-Verbräuche'!X48*Emissionsfaktoren!W48/1000, 0)</f>
        <v>0</v>
      </c>
      <c r="Y213" s="14">
        <f>IF(ISNUMBER('Refsz-Verbräuche'!Y48), 'Refsz-Verbräuche'!Y48*Emissionsfaktoren!X48/1000, 0)</f>
        <v>0</v>
      </c>
    </row>
    <row r="214" spans="2:25" ht="16.5">
      <c r="B214" s="14">
        <v>32</v>
      </c>
      <c r="C214" s="14" t="str">
        <f>'Refsz-Verbräuche'!C49</f>
        <v>Mobilität 1</v>
      </c>
      <c r="D214" s="19" t="str">
        <f>'Refsz-Verbräuche'!D49</f>
        <v>Fuhrpark (Benzin)</v>
      </c>
      <c r="E214" t="s">
        <v>195</v>
      </c>
      <c r="F214" s="14">
        <f>IF(ISNUMBER('Refsz-Verbräuche'!F49), 'Refsz-Verbräuche'!F49*Emissionsfaktoren!E49/1000, 0)</f>
        <v>0</v>
      </c>
      <c r="G214" s="14">
        <f>IF(ISNUMBER('Refsz-Verbräuche'!G49), 'Refsz-Verbräuche'!G49*Emissionsfaktoren!F49/1000, 0)</f>
        <v>0</v>
      </c>
      <c r="H214" s="14">
        <f>IF(ISNUMBER('Refsz-Verbräuche'!H49), 'Refsz-Verbräuche'!H49*Emissionsfaktoren!G49/1000, 0)</f>
        <v>0</v>
      </c>
      <c r="I214" s="14">
        <f>IF(ISNUMBER('Refsz-Verbräuche'!I49), 'Refsz-Verbräuche'!I49*Emissionsfaktoren!H49/1000, 0)</f>
        <v>0</v>
      </c>
      <c r="J214" s="14">
        <f>IF(ISNUMBER('Refsz-Verbräuche'!J49), 'Refsz-Verbräuche'!J49*Emissionsfaktoren!I49/1000, 0)</f>
        <v>0</v>
      </c>
      <c r="K214" s="14">
        <f>IF(ISNUMBER('Refsz-Verbräuche'!K49), 'Refsz-Verbräuche'!K49*Emissionsfaktoren!J49/1000, 0)</f>
        <v>0</v>
      </c>
      <c r="L214" s="14">
        <f>IF(ISNUMBER('Refsz-Verbräuche'!L49), 'Refsz-Verbräuche'!L49*Emissionsfaktoren!K49/1000, 0)</f>
        <v>0</v>
      </c>
      <c r="M214" s="14">
        <f>IF(ISNUMBER('Refsz-Verbräuche'!M49), 'Refsz-Verbräuche'!M49*Emissionsfaktoren!L49/1000, 0)</f>
        <v>0</v>
      </c>
      <c r="N214" s="14">
        <f>IF(ISNUMBER('Refsz-Verbräuche'!N49), 'Refsz-Verbräuche'!N49*Emissionsfaktoren!M49/1000, 0)</f>
        <v>0</v>
      </c>
      <c r="O214" s="14">
        <f>IF(ISNUMBER('Refsz-Verbräuche'!O49), 'Refsz-Verbräuche'!O49*Emissionsfaktoren!N49/1000, 0)</f>
        <v>0</v>
      </c>
      <c r="P214" s="14">
        <f>IF(ISNUMBER('Refsz-Verbräuche'!P49), 'Refsz-Verbräuche'!P49*Emissionsfaktoren!O49/1000, 0)</f>
        <v>0</v>
      </c>
      <c r="Q214" s="14">
        <f>IF(ISNUMBER('Refsz-Verbräuche'!Q49), 'Refsz-Verbräuche'!Q49*Emissionsfaktoren!P49/1000, 0)</f>
        <v>0</v>
      </c>
      <c r="R214" s="14">
        <f>IF(ISNUMBER('Refsz-Verbräuche'!R49), 'Refsz-Verbräuche'!R49*Emissionsfaktoren!Q49/1000, 0)</f>
        <v>0</v>
      </c>
      <c r="S214" s="14">
        <f>IF(ISNUMBER('Refsz-Verbräuche'!S49), 'Refsz-Verbräuche'!S49*Emissionsfaktoren!R49/1000, 0)</f>
        <v>0</v>
      </c>
      <c r="T214" s="14">
        <f>IF(ISNUMBER('Refsz-Verbräuche'!T49), 'Refsz-Verbräuche'!T49*Emissionsfaktoren!S49/1000, 0)</f>
        <v>0</v>
      </c>
      <c r="U214" s="14">
        <f>IF(ISNUMBER('Refsz-Verbräuche'!U49), 'Refsz-Verbräuche'!U49*Emissionsfaktoren!T49/1000, 0)</f>
        <v>0</v>
      </c>
      <c r="V214" s="14">
        <f>IF(ISNUMBER('Refsz-Verbräuche'!V49), 'Refsz-Verbräuche'!V49*Emissionsfaktoren!U49/1000, 0)</f>
        <v>0</v>
      </c>
      <c r="W214" s="14">
        <f>IF(ISNUMBER('Refsz-Verbräuche'!W49), 'Refsz-Verbräuche'!W49*Emissionsfaktoren!V49/1000, 0)</f>
        <v>0</v>
      </c>
      <c r="X214" s="14">
        <f>IF(ISNUMBER('Refsz-Verbräuche'!X49), 'Refsz-Verbräuche'!X49*Emissionsfaktoren!W49/1000, 0)</f>
        <v>0</v>
      </c>
      <c r="Y214" s="14">
        <f>IF(ISNUMBER('Refsz-Verbräuche'!Y49), 'Refsz-Verbräuche'!Y49*Emissionsfaktoren!X49/1000, 0)</f>
        <v>0</v>
      </c>
    </row>
    <row r="215" spans="2:25" ht="16.5">
      <c r="B215" s="14">
        <v>33</v>
      </c>
      <c r="C215" s="14" t="str">
        <f>'Refsz-Verbräuche'!C50</f>
        <v>Mobilität 1</v>
      </c>
      <c r="D215" s="19" t="str">
        <f>'Refsz-Verbräuche'!D50</f>
        <v>Fuhrpark (E-Auto/ BEV)</v>
      </c>
      <c r="E215" t="s">
        <v>195</v>
      </c>
      <c r="F215" s="14">
        <f>IF(ISNUMBER('Refsz-Verbräuche'!F50), 'Refsz-Verbräuche'!F50*Emissionsfaktoren!E50/1000, 0)</f>
        <v>0</v>
      </c>
      <c r="G215" s="14">
        <f>IF(ISNUMBER('Refsz-Verbräuche'!G50), 'Refsz-Verbräuche'!G50*Emissionsfaktoren!F50/1000, 0)</f>
        <v>0</v>
      </c>
      <c r="H215" s="14">
        <f>IF(ISNUMBER('Refsz-Verbräuche'!H50), 'Refsz-Verbräuche'!H50*Emissionsfaktoren!G50/1000, 0)</f>
        <v>0</v>
      </c>
      <c r="I215" s="14">
        <f>IF(ISNUMBER('Refsz-Verbräuche'!I50), 'Refsz-Verbräuche'!I50*Emissionsfaktoren!H50/1000, 0)</f>
        <v>0</v>
      </c>
      <c r="J215" s="14">
        <f>IF(ISNUMBER('Refsz-Verbräuche'!J50), 'Refsz-Verbräuche'!J50*Emissionsfaktoren!I50/1000, 0)</f>
        <v>0</v>
      </c>
      <c r="K215" s="14">
        <f>IF(ISNUMBER('Refsz-Verbräuche'!K50), 'Refsz-Verbräuche'!K50*Emissionsfaktoren!J50/1000, 0)</f>
        <v>0</v>
      </c>
      <c r="L215" s="14">
        <f>IF(ISNUMBER('Refsz-Verbräuche'!L50), 'Refsz-Verbräuche'!L50*Emissionsfaktoren!K50/1000, 0)</f>
        <v>0</v>
      </c>
      <c r="M215" s="14">
        <f>IF(ISNUMBER('Refsz-Verbräuche'!M50), 'Refsz-Verbräuche'!M50*Emissionsfaktoren!L50/1000, 0)</f>
        <v>0</v>
      </c>
      <c r="N215" s="14">
        <f>IF(ISNUMBER('Refsz-Verbräuche'!N50), 'Refsz-Verbräuche'!N50*Emissionsfaktoren!M50/1000, 0)</f>
        <v>0</v>
      </c>
      <c r="O215" s="14">
        <f>IF(ISNUMBER('Refsz-Verbräuche'!O50), 'Refsz-Verbräuche'!O50*Emissionsfaktoren!N50/1000, 0)</f>
        <v>0</v>
      </c>
      <c r="P215" s="14">
        <f>IF(ISNUMBER('Refsz-Verbräuche'!P50), 'Refsz-Verbräuche'!P50*Emissionsfaktoren!O50/1000, 0)</f>
        <v>0</v>
      </c>
      <c r="Q215" s="14">
        <f>IF(ISNUMBER('Refsz-Verbräuche'!Q50), 'Refsz-Verbräuche'!Q50*Emissionsfaktoren!P50/1000, 0)</f>
        <v>0</v>
      </c>
      <c r="R215" s="14">
        <f>IF(ISNUMBER('Refsz-Verbräuche'!R50), 'Refsz-Verbräuche'!R50*Emissionsfaktoren!Q50/1000, 0)</f>
        <v>0</v>
      </c>
      <c r="S215" s="14">
        <f>IF(ISNUMBER('Refsz-Verbräuche'!S50), 'Refsz-Verbräuche'!S50*Emissionsfaktoren!R50/1000, 0)</f>
        <v>0</v>
      </c>
      <c r="T215" s="14">
        <f>IF(ISNUMBER('Refsz-Verbräuche'!T50), 'Refsz-Verbräuche'!T50*Emissionsfaktoren!S50/1000, 0)</f>
        <v>0</v>
      </c>
      <c r="U215" s="14">
        <f>IF(ISNUMBER('Refsz-Verbräuche'!U50), 'Refsz-Verbräuche'!U50*Emissionsfaktoren!T50/1000, 0)</f>
        <v>0</v>
      </c>
      <c r="V215" s="14">
        <f>IF(ISNUMBER('Refsz-Verbräuche'!V50), 'Refsz-Verbräuche'!V50*Emissionsfaktoren!U50/1000, 0)</f>
        <v>0</v>
      </c>
      <c r="W215" s="14">
        <f>IF(ISNUMBER('Refsz-Verbräuche'!W50), 'Refsz-Verbräuche'!W50*Emissionsfaktoren!V50/1000, 0)</f>
        <v>0</v>
      </c>
      <c r="X215" s="14">
        <f>IF(ISNUMBER('Refsz-Verbräuche'!X50), 'Refsz-Verbräuche'!X50*Emissionsfaktoren!W50/1000, 0)</f>
        <v>0</v>
      </c>
      <c r="Y215" s="14">
        <f>IF(ISNUMBER('Refsz-Verbräuche'!Y50), 'Refsz-Verbräuche'!Y50*Emissionsfaktoren!X50/1000, 0)</f>
        <v>0</v>
      </c>
    </row>
    <row r="216" spans="2:25" ht="16.5">
      <c r="B216" s="14">
        <v>34</v>
      </c>
      <c r="C216" s="14" t="str">
        <f>'Refsz-Verbräuche'!C51</f>
        <v>Mobilität 1</v>
      </c>
      <c r="D216" s="19" t="str">
        <f>'Refsz-Verbräuche'!D51</f>
        <v>Fuhrpark (Wasserstoff/ FCEV)</v>
      </c>
      <c r="E216" t="s">
        <v>195</v>
      </c>
      <c r="F216" s="14">
        <f>IF(ISNUMBER('Refsz-Verbräuche'!F51), 'Refsz-Verbräuche'!F51*Emissionsfaktoren!E51/1000, 0)</f>
        <v>0</v>
      </c>
      <c r="G216" s="14">
        <f>IF(ISNUMBER('Refsz-Verbräuche'!G51), 'Refsz-Verbräuche'!G51*Emissionsfaktoren!F51/1000, 0)</f>
        <v>0</v>
      </c>
      <c r="H216" s="14">
        <f>IF(ISNUMBER('Refsz-Verbräuche'!H51), 'Refsz-Verbräuche'!H51*Emissionsfaktoren!G51/1000, 0)</f>
        <v>0</v>
      </c>
      <c r="I216" s="14">
        <f>IF(ISNUMBER('Refsz-Verbräuche'!I51), 'Refsz-Verbräuche'!I51*Emissionsfaktoren!H51/1000, 0)</f>
        <v>0</v>
      </c>
      <c r="J216" s="14">
        <f>IF(ISNUMBER('Refsz-Verbräuche'!J51), 'Refsz-Verbräuche'!J51*Emissionsfaktoren!I51/1000, 0)</f>
        <v>0</v>
      </c>
      <c r="K216" s="14">
        <f>IF(ISNUMBER('Refsz-Verbräuche'!K51), 'Refsz-Verbräuche'!K51*Emissionsfaktoren!J51/1000, 0)</f>
        <v>0</v>
      </c>
      <c r="L216" s="14">
        <f>IF(ISNUMBER('Refsz-Verbräuche'!L51), 'Refsz-Verbräuche'!L51*Emissionsfaktoren!K51/1000, 0)</f>
        <v>0</v>
      </c>
      <c r="M216" s="14">
        <f>IF(ISNUMBER('Refsz-Verbräuche'!M51), 'Refsz-Verbräuche'!M51*Emissionsfaktoren!L51/1000, 0)</f>
        <v>0</v>
      </c>
      <c r="N216" s="14">
        <f>IF(ISNUMBER('Refsz-Verbräuche'!N51), 'Refsz-Verbräuche'!N51*Emissionsfaktoren!M51/1000, 0)</f>
        <v>0</v>
      </c>
      <c r="O216" s="14">
        <f>IF(ISNUMBER('Refsz-Verbräuche'!O51), 'Refsz-Verbräuche'!O51*Emissionsfaktoren!N51/1000, 0)</f>
        <v>0</v>
      </c>
      <c r="P216" s="14">
        <f>IF(ISNUMBER('Refsz-Verbräuche'!P51), 'Refsz-Verbräuche'!P51*Emissionsfaktoren!O51/1000, 0)</f>
        <v>0</v>
      </c>
      <c r="Q216" s="14">
        <f>IF(ISNUMBER('Refsz-Verbräuche'!Q51), 'Refsz-Verbräuche'!Q51*Emissionsfaktoren!P51/1000, 0)</f>
        <v>0</v>
      </c>
      <c r="R216" s="14">
        <f>IF(ISNUMBER('Refsz-Verbräuche'!R51), 'Refsz-Verbräuche'!R51*Emissionsfaktoren!Q51/1000, 0)</f>
        <v>0</v>
      </c>
      <c r="S216" s="14">
        <f>IF(ISNUMBER('Refsz-Verbräuche'!S51), 'Refsz-Verbräuche'!S51*Emissionsfaktoren!R51/1000, 0)</f>
        <v>0</v>
      </c>
      <c r="T216" s="14">
        <f>IF(ISNUMBER('Refsz-Verbräuche'!T51), 'Refsz-Verbräuche'!T51*Emissionsfaktoren!S51/1000, 0)</f>
        <v>0</v>
      </c>
      <c r="U216" s="14">
        <f>IF(ISNUMBER('Refsz-Verbräuche'!U51), 'Refsz-Verbräuche'!U51*Emissionsfaktoren!T51/1000, 0)</f>
        <v>0</v>
      </c>
      <c r="V216" s="14">
        <f>IF(ISNUMBER('Refsz-Verbräuche'!V51), 'Refsz-Verbräuche'!V51*Emissionsfaktoren!U51/1000, 0)</f>
        <v>0</v>
      </c>
      <c r="W216" s="14">
        <f>IF(ISNUMBER('Refsz-Verbräuche'!W51), 'Refsz-Verbräuche'!W51*Emissionsfaktoren!V51/1000, 0)</f>
        <v>0</v>
      </c>
      <c r="X216" s="14">
        <f>IF(ISNUMBER('Refsz-Verbräuche'!X51), 'Refsz-Verbräuche'!X51*Emissionsfaktoren!W51/1000, 0)</f>
        <v>0</v>
      </c>
      <c r="Y216" s="14">
        <f>IF(ISNUMBER('Refsz-Verbräuche'!Y51), 'Refsz-Verbräuche'!Y51*Emissionsfaktoren!X51/1000, 0)</f>
        <v>0</v>
      </c>
    </row>
    <row r="217" spans="2:25" ht="16.5">
      <c r="B217" s="14">
        <v>35</v>
      </c>
      <c r="C217" s="14" t="str">
        <f>'Refsz-Verbräuche'!C52</f>
        <v>Mobilität 1</v>
      </c>
      <c r="D217" s="19" t="str">
        <f>'Refsz-Verbräuche'!D52</f>
        <v>Fuhrpark (CNG)</v>
      </c>
      <c r="E217" t="s">
        <v>195</v>
      </c>
      <c r="F217" s="14">
        <f>IF(ISNUMBER('Refsz-Verbräuche'!F52), 'Refsz-Verbräuche'!F52*Emissionsfaktoren!E52/1000, 0)</f>
        <v>0</v>
      </c>
      <c r="G217" s="14">
        <f>IF(ISNUMBER('Refsz-Verbräuche'!G52), 'Refsz-Verbräuche'!G52*Emissionsfaktoren!F52/1000, 0)</f>
        <v>0</v>
      </c>
      <c r="H217" s="14">
        <f>IF(ISNUMBER('Refsz-Verbräuche'!H52), 'Refsz-Verbräuche'!H52*Emissionsfaktoren!G52/1000, 0)</f>
        <v>0</v>
      </c>
      <c r="I217" s="14">
        <f>IF(ISNUMBER('Refsz-Verbräuche'!I52), 'Refsz-Verbräuche'!I52*Emissionsfaktoren!H52/1000, 0)</f>
        <v>0</v>
      </c>
      <c r="J217" s="14">
        <f>IF(ISNUMBER('Refsz-Verbräuche'!J52), 'Refsz-Verbräuche'!J52*Emissionsfaktoren!I52/1000, 0)</f>
        <v>0</v>
      </c>
      <c r="K217" s="14">
        <f>IF(ISNUMBER('Refsz-Verbräuche'!K52), 'Refsz-Verbräuche'!K52*Emissionsfaktoren!J52/1000, 0)</f>
        <v>0</v>
      </c>
      <c r="L217" s="14">
        <f>IF(ISNUMBER('Refsz-Verbräuche'!L52), 'Refsz-Verbräuche'!L52*Emissionsfaktoren!K52/1000, 0)</f>
        <v>0</v>
      </c>
      <c r="M217" s="14">
        <f>IF(ISNUMBER('Refsz-Verbräuche'!M52), 'Refsz-Verbräuche'!M52*Emissionsfaktoren!L52/1000, 0)</f>
        <v>0</v>
      </c>
      <c r="N217" s="14">
        <f>IF(ISNUMBER('Refsz-Verbräuche'!N52), 'Refsz-Verbräuche'!N52*Emissionsfaktoren!M52/1000, 0)</f>
        <v>0</v>
      </c>
      <c r="O217" s="14">
        <f>IF(ISNUMBER('Refsz-Verbräuche'!O52), 'Refsz-Verbräuche'!O52*Emissionsfaktoren!N52/1000, 0)</f>
        <v>0</v>
      </c>
      <c r="P217" s="14">
        <f>IF(ISNUMBER('Refsz-Verbräuche'!P52), 'Refsz-Verbräuche'!P52*Emissionsfaktoren!O52/1000, 0)</f>
        <v>0</v>
      </c>
      <c r="Q217" s="14">
        <f>IF(ISNUMBER('Refsz-Verbräuche'!Q52), 'Refsz-Verbräuche'!Q52*Emissionsfaktoren!P52/1000, 0)</f>
        <v>0</v>
      </c>
      <c r="R217" s="14">
        <f>IF(ISNUMBER('Refsz-Verbräuche'!R52), 'Refsz-Verbräuche'!R52*Emissionsfaktoren!Q52/1000, 0)</f>
        <v>0</v>
      </c>
      <c r="S217" s="14">
        <f>IF(ISNUMBER('Refsz-Verbräuche'!S52), 'Refsz-Verbräuche'!S52*Emissionsfaktoren!R52/1000, 0)</f>
        <v>0</v>
      </c>
      <c r="T217" s="14">
        <f>IF(ISNUMBER('Refsz-Verbräuche'!T52), 'Refsz-Verbräuche'!T52*Emissionsfaktoren!S52/1000, 0)</f>
        <v>0</v>
      </c>
      <c r="U217" s="14">
        <f>IF(ISNUMBER('Refsz-Verbräuche'!U52), 'Refsz-Verbräuche'!U52*Emissionsfaktoren!T52/1000, 0)</f>
        <v>0</v>
      </c>
      <c r="V217" s="14">
        <f>IF(ISNUMBER('Refsz-Verbräuche'!V52), 'Refsz-Verbräuche'!V52*Emissionsfaktoren!U52/1000, 0)</f>
        <v>0</v>
      </c>
      <c r="W217" s="14">
        <f>IF(ISNUMBER('Refsz-Verbräuche'!W52), 'Refsz-Verbräuche'!W52*Emissionsfaktoren!V52/1000, 0)</f>
        <v>0</v>
      </c>
      <c r="X217" s="14">
        <f>IF(ISNUMBER('Refsz-Verbräuche'!X52), 'Refsz-Verbräuche'!X52*Emissionsfaktoren!W52/1000, 0)</f>
        <v>0</v>
      </c>
      <c r="Y217" s="14">
        <f>IF(ISNUMBER('Refsz-Verbräuche'!Y52), 'Refsz-Verbräuche'!Y52*Emissionsfaktoren!X52/1000, 0)</f>
        <v>0</v>
      </c>
    </row>
    <row r="218" spans="2:25" ht="16.5">
      <c r="B218" s="14">
        <v>36</v>
      </c>
      <c r="C218" s="14" t="str">
        <f>'Refsz-Verbräuche'!C53</f>
        <v>Mobilität 1</v>
      </c>
      <c r="D218" s="19" t="str">
        <f>'Refsz-Verbräuche'!D53</f>
        <v>Fuhrpark (Plug-In-Hybrid, PHEV)</v>
      </c>
      <c r="E218" t="s">
        <v>195</v>
      </c>
      <c r="F218" s="14">
        <f>IF(ISNUMBER('Refsz-Verbräuche'!F53), 'Refsz-Verbräuche'!F53*Emissionsfaktoren!E53/1000, 0)</f>
        <v>0</v>
      </c>
      <c r="G218" s="14">
        <f>IF(ISNUMBER('Refsz-Verbräuche'!G53), 'Refsz-Verbräuche'!G53*Emissionsfaktoren!F53/1000, 0)</f>
        <v>0</v>
      </c>
      <c r="H218" s="14">
        <f>IF(ISNUMBER('Refsz-Verbräuche'!H53), 'Refsz-Verbräuche'!H53*Emissionsfaktoren!G53/1000, 0)</f>
        <v>0</v>
      </c>
      <c r="I218" s="14">
        <f>IF(ISNUMBER('Refsz-Verbräuche'!I53), 'Refsz-Verbräuche'!I53*Emissionsfaktoren!H53/1000, 0)</f>
        <v>0</v>
      </c>
      <c r="J218" s="14">
        <f>IF(ISNUMBER('Refsz-Verbräuche'!J53), 'Refsz-Verbräuche'!J53*Emissionsfaktoren!I53/1000, 0)</f>
        <v>0</v>
      </c>
      <c r="K218" s="14">
        <f>IF(ISNUMBER('Refsz-Verbräuche'!K53), 'Refsz-Verbräuche'!K53*Emissionsfaktoren!J53/1000, 0)</f>
        <v>0</v>
      </c>
      <c r="L218" s="14">
        <f>IF(ISNUMBER('Refsz-Verbräuche'!L53), 'Refsz-Verbräuche'!L53*Emissionsfaktoren!K53/1000, 0)</f>
        <v>0</v>
      </c>
      <c r="M218" s="14">
        <f>IF(ISNUMBER('Refsz-Verbräuche'!M53), 'Refsz-Verbräuche'!M53*Emissionsfaktoren!L53/1000, 0)</f>
        <v>0</v>
      </c>
      <c r="N218" s="14">
        <f>IF(ISNUMBER('Refsz-Verbräuche'!N53), 'Refsz-Verbräuche'!N53*Emissionsfaktoren!M53/1000, 0)</f>
        <v>0</v>
      </c>
      <c r="O218" s="14">
        <f>IF(ISNUMBER('Refsz-Verbräuche'!O53), 'Refsz-Verbräuche'!O53*Emissionsfaktoren!N53/1000, 0)</f>
        <v>0</v>
      </c>
      <c r="P218" s="14">
        <f>IF(ISNUMBER('Refsz-Verbräuche'!P53), 'Refsz-Verbräuche'!P53*Emissionsfaktoren!O53/1000, 0)</f>
        <v>0</v>
      </c>
      <c r="Q218" s="14">
        <f>IF(ISNUMBER('Refsz-Verbräuche'!Q53), 'Refsz-Verbräuche'!Q53*Emissionsfaktoren!P53/1000, 0)</f>
        <v>0</v>
      </c>
      <c r="R218" s="14">
        <f>IF(ISNUMBER('Refsz-Verbräuche'!R53), 'Refsz-Verbräuche'!R53*Emissionsfaktoren!Q53/1000, 0)</f>
        <v>0</v>
      </c>
      <c r="S218" s="14">
        <f>IF(ISNUMBER('Refsz-Verbräuche'!S53), 'Refsz-Verbräuche'!S53*Emissionsfaktoren!R53/1000, 0)</f>
        <v>0</v>
      </c>
      <c r="T218" s="14">
        <f>IF(ISNUMBER('Refsz-Verbräuche'!T53), 'Refsz-Verbräuche'!T53*Emissionsfaktoren!S53/1000, 0)</f>
        <v>0</v>
      </c>
      <c r="U218" s="14">
        <f>IF(ISNUMBER('Refsz-Verbräuche'!U53), 'Refsz-Verbräuche'!U53*Emissionsfaktoren!T53/1000, 0)</f>
        <v>0</v>
      </c>
      <c r="V218" s="14">
        <f>IF(ISNUMBER('Refsz-Verbräuche'!V53), 'Refsz-Verbräuche'!V53*Emissionsfaktoren!U53/1000, 0)</f>
        <v>0</v>
      </c>
      <c r="W218" s="14">
        <f>IF(ISNUMBER('Refsz-Verbräuche'!W53), 'Refsz-Verbräuche'!W53*Emissionsfaktoren!V53/1000, 0)</f>
        <v>0</v>
      </c>
      <c r="X218" s="14">
        <f>IF(ISNUMBER('Refsz-Verbräuche'!X53), 'Refsz-Verbräuche'!X53*Emissionsfaktoren!W53/1000, 0)</f>
        <v>0</v>
      </c>
      <c r="Y218" s="14">
        <f>IF(ISNUMBER('Refsz-Verbräuche'!Y53), 'Refsz-Verbräuche'!Y53*Emissionsfaktoren!X53/1000, 0)</f>
        <v>0</v>
      </c>
    </row>
    <row r="219" spans="2:25" ht="16.5">
      <c r="B219" s="14">
        <v>37</v>
      </c>
      <c r="C219" s="14">
        <f>'Refsz-Verbräuche'!C54</f>
        <v>0</v>
      </c>
      <c r="D219" s="19">
        <f>'Refsz-Verbräuche'!D54</f>
        <v>0</v>
      </c>
      <c r="E219" t="s">
        <v>195</v>
      </c>
      <c r="F219" s="14">
        <f>IF(ISNUMBER('Refsz-Verbräuche'!F54), 'Refsz-Verbräuche'!F54*Emissionsfaktoren!E54/1000, 0)</f>
        <v>0</v>
      </c>
      <c r="G219" s="14">
        <f>IF(ISNUMBER('Refsz-Verbräuche'!G54), 'Refsz-Verbräuche'!G54*Emissionsfaktoren!F54/1000, 0)</f>
        <v>0</v>
      </c>
      <c r="H219" s="14">
        <f>IF(ISNUMBER('Refsz-Verbräuche'!H54), 'Refsz-Verbräuche'!H54*Emissionsfaktoren!G54/1000, 0)</f>
        <v>0</v>
      </c>
      <c r="I219" s="14">
        <f>IF(ISNUMBER('Refsz-Verbräuche'!I54), 'Refsz-Verbräuche'!I54*Emissionsfaktoren!H54/1000, 0)</f>
        <v>0</v>
      </c>
      <c r="J219" s="14">
        <f>IF(ISNUMBER('Refsz-Verbräuche'!J54), 'Refsz-Verbräuche'!J54*Emissionsfaktoren!I54/1000, 0)</f>
        <v>0</v>
      </c>
      <c r="K219" s="14">
        <f>IF(ISNUMBER('Refsz-Verbräuche'!K54), 'Refsz-Verbräuche'!K54*Emissionsfaktoren!J54/1000, 0)</f>
        <v>0</v>
      </c>
      <c r="L219" s="14">
        <f>IF(ISNUMBER('Refsz-Verbräuche'!L54), 'Refsz-Verbräuche'!L54*Emissionsfaktoren!K54/1000, 0)</f>
        <v>0</v>
      </c>
      <c r="M219" s="14">
        <f>IF(ISNUMBER('Refsz-Verbräuche'!M54), 'Refsz-Verbräuche'!M54*Emissionsfaktoren!L54/1000, 0)</f>
        <v>0</v>
      </c>
      <c r="N219" s="14">
        <f>IF(ISNUMBER('Refsz-Verbräuche'!N54), 'Refsz-Verbräuche'!N54*Emissionsfaktoren!M54/1000, 0)</f>
        <v>0</v>
      </c>
      <c r="O219" s="14">
        <f>IF(ISNUMBER('Refsz-Verbräuche'!O54), 'Refsz-Verbräuche'!O54*Emissionsfaktoren!N54/1000, 0)</f>
        <v>0</v>
      </c>
      <c r="P219" s="14">
        <f>IF(ISNUMBER('Refsz-Verbräuche'!P54), 'Refsz-Verbräuche'!P54*Emissionsfaktoren!O54/1000, 0)</f>
        <v>0</v>
      </c>
      <c r="Q219" s="14">
        <f>IF(ISNUMBER('Refsz-Verbräuche'!Q54), 'Refsz-Verbräuche'!Q54*Emissionsfaktoren!P54/1000, 0)</f>
        <v>0</v>
      </c>
      <c r="R219" s="14">
        <f>IF(ISNUMBER('Refsz-Verbräuche'!R54), 'Refsz-Verbräuche'!R54*Emissionsfaktoren!Q54/1000, 0)</f>
        <v>0</v>
      </c>
      <c r="S219" s="14">
        <f>IF(ISNUMBER('Refsz-Verbräuche'!S54), 'Refsz-Verbräuche'!S54*Emissionsfaktoren!R54/1000, 0)</f>
        <v>0</v>
      </c>
      <c r="T219" s="14">
        <f>IF(ISNUMBER('Refsz-Verbräuche'!T54), 'Refsz-Verbräuche'!T54*Emissionsfaktoren!S54/1000, 0)</f>
        <v>0</v>
      </c>
      <c r="U219" s="14">
        <f>IF(ISNUMBER('Refsz-Verbräuche'!U54), 'Refsz-Verbräuche'!U54*Emissionsfaktoren!T54/1000, 0)</f>
        <v>0</v>
      </c>
      <c r="V219" s="14">
        <f>IF(ISNUMBER('Refsz-Verbräuche'!V54), 'Refsz-Verbräuche'!V54*Emissionsfaktoren!U54/1000, 0)</f>
        <v>0</v>
      </c>
      <c r="W219" s="14">
        <f>IF(ISNUMBER('Refsz-Verbräuche'!W54), 'Refsz-Verbräuche'!W54*Emissionsfaktoren!V54/1000, 0)</f>
        <v>0</v>
      </c>
      <c r="X219" s="14">
        <f>IF(ISNUMBER('Refsz-Verbräuche'!X54), 'Refsz-Verbräuche'!X54*Emissionsfaktoren!W54/1000, 0)</f>
        <v>0</v>
      </c>
      <c r="Y219" s="14">
        <f>IF(ISNUMBER('Refsz-Verbräuche'!Y54), 'Refsz-Verbräuche'!Y54*Emissionsfaktoren!X54/1000, 0)</f>
        <v>0</v>
      </c>
    </row>
    <row r="220" spans="2:25" ht="16.5">
      <c r="B220" s="14">
        <v>38</v>
      </c>
      <c r="C220" s="14" t="str">
        <f>'Refsz-Verbräuche'!C55</f>
        <v>Mobilität 1</v>
      </c>
      <c r="D220" s="19" t="str">
        <f>'Refsz-Verbräuche'!D55</f>
        <v>DR - Flugreisen</v>
      </c>
      <c r="E220" t="s">
        <v>195</v>
      </c>
      <c r="F220" s="14">
        <f>IF(ISNUMBER('Refsz-Verbräuche'!F55), 'Refsz-Verbräuche'!F55*Emissionsfaktoren!E55/1000, 0)</f>
        <v>0</v>
      </c>
      <c r="G220" s="14">
        <f>IF(ISNUMBER('Refsz-Verbräuche'!G55), 'Refsz-Verbräuche'!G55*Emissionsfaktoren!F55/1000, 0)</f>
        <v>0</v>
      </c>
      <c r="H220" s="14">
        <f>IF(ISNUMBER('Refsz-Verbräuche'!H55), 'Refsz-Verbräuche'!H55*Emissionsfaktoren!G55/1000, 0)</f>
        <v>0</v>
      </c>
      <c r="I220" s="14">
        <f>IF(ISNUMBER('Refsz-Verbräuche'!I55), 'Refsz-Verbräuche'!I55*Emissionsfaktoren!H55/1000, 0)</f>
        <v>0</v>
      </c>
      <c r="J220" s="14">
        <f>IF(ISNUMBER('Refsz-Verbräuche'!J55), 'Refsz-Verbräuche'!J55*Emissionsfaktoren!I55/1000, 0)</f>
        <v>0</v>
      </c>
      <c r="K220" s="14">
        <f>IF(ISNUMBER('Refsz-Verbräuche'!K55), 'Refsz-Verbräuche'!K55*Emissionsfaktoren!J55/1000, 0)</f>
        <v>0</v>
      </c>
      <c r="L220" s="14">
        <f>IF(ISNUMBER('Refsz-Verbräuche'!L55), 'Refsz-Verbräuche'!L55*Emissionsfaktoren!K55/1000, 0)</f>
        <v>0</v>
      </c>
      <c r="M220" s="14">
        <f>IF(ISNUMBER('Refsz-Verbräuche'!M55), 'Refsz-Verbräuche'!M55*Emissionsfaktoren!L55/1000, 0)</f>
        <v>0</v>
      </c>
      <c r="N220" s="14">
        <f>IF(ISNUMBER('Refsz-Verbräuche'!N55), 'Refsz-Verbräuche'!N55*Emissionsfaktoren!M55/1000, 0)</f>
        <v>0</v>
      </c>
      <c r="O220" s="14">
        <f>IF(ISNUMBER('Refsz-Verbräuche'!O55), 'Refsz-Verbräuche'!O55*Emissionsfaktoren!N55/1000, 0)</f>
        <v>0</v>
      </c>
      <c r="P220" s="14">
        <f>IF(ISNUMBER('Refsz-Verbräuche'!P55), 'Refsz-Verbräuche'!P55*Emissionsfaktoren!O55/1000, 0)</f>
        <v>0</v>
      </c>
      <c r="Q220" s="14">
        <f>IF(ISNUMBER('Refsz-Verbräuche'!Q55), 'Refsz-Verbräuche'!Q55*Emissionsfaktoren!P55/1000, 0)</f>
        <v>0</v>
      </c>
      <c r="R220" s="14">
        <f>IF(ISNUMBER('Refsz-Verbräuche'!R55), 'Refsz-Verbräuche'!R55*Emissionsfaktoren!Q55/1000, 0)</f>
        <v>0</v>
      </c>
      <c r="S220" s="14">
        <f>IF(ISNUMBER('Refsz-Verbräuche'!S55), 'Refsz-Verbräuche'!S55*Emissionsfaktoren!R55/1000, 0)</f>
        <v>0</v>
      </c>
      <c r="T220" s="14">
        <f>IF(ISNUMBER('Refsz-Verbräuche'!T55), 'Refsz-Verbräuche'!T55*Emissionsfaktoren!S55/1000, 0)</f>
        <v>0</v>
      </c>
      <c r="U220" s="14">
        <f>IF(ISNUMBER('Refsz-Verbräuche'!U55), 'Refsz-Verbräuche'!U55*Emissionsfaktoren!T55/1000, 0)</f>
        <v>0</v>
      </c>
      <c r="V220" s="14">
        <f>IF(ISNUMBER('Refsz-Verbräuche'!V55), 'Refsz-Verbräuche'!V55*Emissionsfaktoren!U55/1000, 0)</f>
        <v>0</v>
      </c>
      <c r="W220" s="14">
        <f>IF(ISNUMBER('Refsz-Verbräuche'!W55), 'Refsz-Verbräuche'!W55*Emissionsfaktoren!V55/1000, 0)</f>
        <v>0</v>
      </c>
      <c r="X220" s="14">
        <f>IF(ISNUMBER('Refsz-Verbräuche'!X55), 'Refsz-Verbräuche'!X55*Emissionsfaktoren!W55/1000, 0)</f>
        <v>0</v>
      </c>
      <c r="Y220" s="14">
        <f>IF(ISNUMBER('Refsz-Verbräuche'!Y55), 'Refsz-Verbräuche'!Y55*Emissionsfaktoren!X55/1000, 0)</f>
        <v>0</v>
      </c>
    </row>
    <row r="221" spans="2:25" ht="16.5">
      <c r="B221" s="14">
        <v>39</v>
      </c>
      <c r="C221" s="14" t="str">
        <f>'Refsz-Verbräuche'!C56</f>
        <v>Mobilität 1</v>
      </c>
      <c r="D221" s="19" t="str">
        <f>'Refsz-Verbräuche'!D56</f>
        <v>DR - Eisenbahn (Fernverkehr)</v>
      </c>
      <c r="E221" t="s">
        <v>195</v>
      </c>
      <c r="F221" s="14">
        <f>IF(ISNUMBER('Refsz-Verbräuche'!F56), 'Refsz-Verbräuche'!F56*Emissionsfaktoren!E56/1000, 0)</f>
        <v>0</v>
      </c>
      <c r="G221" s="14">
        <f>IF(ISNUMBER('Refsz-Verbräuche'!G56), 'Refsz-Verbräuche'!G56*Emissionsfaktoren!F56/1000, 0)</f>
        <v>0</v>
      </c>
      <c r="H221" s="14">
        <f>IF(ISNUMBER('Refsz-Verbräuche'!H56), 'Refsz-Verbräuche'!H56*Emissionsfaktoren!G56/1000, 0)</f>
        <v>0</v>
      </c>
      <c r="I221" s="14">
        <f>IF(ISNUMBER('Refsz-Verbräuche'!I56), 'Refsz-Verbräuche'!I56*Emissionsfaktoren!H56/1000, 0)</f>
        <v>0</v>
      </c>
      <c r="J221" s="14">
        <f>IF(ISNUMBER('Refsz-Verbräuche'!J56), 'Refsz-Verbräuche'!J56*Emissionsfaktoren!I56/1000, 0)</f>
        <v>0</v>
      </c>
      <c r="K221" s="14">
        <f>IF(ISNUMBER('Refsz-Verbräuche'!K56), 'Refsz-Verbräuche'!K56*Emissionsfaktoren!J56/1000, 0)</f>
        <v>0</v>
      </c>
      <c r="L221" s="14">
        <f>IF(ISNUMBER('Refsz-Verbräuche'!L56), 'Refsz-Verbräuche'!L56*Emissionsfaktoren!K56/1000, 0)</f>
        <v>0</v>
      </c>
      <c r="M221" s="14">
        <f>IF(ISNUMBER('Refsz-Verbräuche'!M56), 'Refsz-Verbräuche'!M56*Emissionsfaktoren!L56/1000, 0)</f>
        <v>0</v>
      </c>
      <c r="N221" s="14">
        <f>IF(ISNUMBER('Refsz-Verbräuche'!N56), 'Refsz-Verbräuche'!N56*Emissionsfaktoren!M56/1000, 0)</f>
        <v>0</v>
      </c>
      <c r="O221" s="14">
        <f>IF(ISNUMBER('Refsz-Verbräuche'!O56), 'Refsz-Verbräuche'!O56*Emissionsfaktoren!N56/1000, 0)</f>
        <v>0</v>
      </c>
      <c r="P221" s="14">
        <f>IF(ISNUMBER('Refsz-Verbräuche'!P56), 'Refsz-Verbräuche'!P56*Emissionsfaktoren!O56/1000, 0)</f>
        <v>0</v>
      </c>
      <c r="Q221" s="14">
        <f>IF(ISNUMBER('Refsz-Verbräuche'!Q56), 'Refsz-Verbräuche'!Q56*Emissionsfaktoren!P56/1000, 0)</f>
        <v>0</v>
      </c>
      <c r="R221" s="14">
        <f>IF(ISNUMBER('Refsz-Verbräuche'!R56), 'Refsz-Verbräuche'!R56*Emissionsfaktoren!Q56/1000, 0)</f>
        <v>0</v>
      </c>
      <c r="S221" s="14">
        <f>IF(ISNUMBER('Refsz-Verbräuche'!S56), 'Refsz-Verbräuche'!S56*Emissionsfaktoren!R56/1000, 0)</f>
        <v>0</v>
      </c>
      <c r="T221" s="14">
        <f>IF(ISNUMBER('Refsz-Verbräuche'!T56), 'Refsz-Verbräuche'!T56*Emissionsfaktoren!S56/1000, 0)</f>
        <v>0</v>
      </c>
      <c r="U221" s="14">
        <f>IF(ISNUMBER('Refsz-Verbräuche'!U56), 'Refsz-Verbräuche'!U56*Emissionsfaktoren!T56/1000, 0)</f>
        <v>0</v>
      </c>
      <c r="V221" s="14">
        <f>IF(ISNUMBER('Refsz-Verbräuche'!V56), 'Refsz-Verbräuche'!V56*Emissionsfaktoren!U56/1000, 0)</f>
        <v>0</v>
      </c>
      <c r="W221" s="14">
        <f>IF(ISNUMBER('Refsz-Verbräuche'!W56), 'Refsz-Verbräuche'!W56*Emissionsfaktoren!V56/1000, 0)</f>
        <v>0</v>
      </c>
      <c r="X221" s="14">
        <f>IF(ISNUMBER('Refsz-Verbräuche'!X56), 'Refsz-Verbräuche'!X56*Emissionsfaktoren!W56/1000, 0)</f>
        <v>0</v>
      </c>
      <c r="Y221" s="14">
        <f>IF(ISNUMBER('Refsz-Verbräuche'!Y56), 'Refsz-Verbräuche'!Y56*Emissionsfaktoren!X56/1000, 0)</f>
        <v>0</v>
      </c>
    </row>
    <row r="222" spans="2:25" ht="16.5">
      <c r="B222" s="14">
        <v>40</v>
      </c>
      <c r="C222" s="14" t="str">
        <f>'Refsz-Verbräuche'!C57</f>
        <v>Mobilität 1</v>
      </c>
      <c r="D222" s="19" t="str">
        <f>'Refsz-Verbräuche'!D57</f>
        <v>DR - Eisenbahn (Nahverkehr)</v>
      </c>
      <c r="E222" t="s">
        <v>195</v>
      </c>
      <c r="F222" s="14">
        <f>IF(ISNUMBER('Refsz-Verbräuche'!F57), 'Refsz-Verbräuche'!F57*Emissionsfaktoren!E57/1000, 0)</f>
        <v>0</v>
      </c>
      <c r="G222" s="14">
        <f>IF(ISNUMBER('Refsz-Verbräuche'!G57), 'Refsz-Verbräuche'!G57*Emissionsfaktoren!F57/1000, 0)</f>
        <v>0</v>
      </c>
      <c r="H222" s="14">
        <f>IF(ISNUMBER('Refsz-Verbräuche'!H57), 'Refsz-Verbräuche'!H57*Emissionsfaktoren!G57/1000, 0)</f>
        <v>0</v>
      </c>
      <c r="I222" s="14">
        <f>IF(ISNUMBER('Refsz-Verbräuche'!I57), 'Refsz-Verbräuche'!I57*Emissionsfaktoren!H57/1000, 0)</f>
        <v>0</v>
      </c>
      <c r="J222" s="14">
        <f>IF(ISNUMBER('Refsz-Verbräuche'!J57), 'Refsz-Verbräuche'!J57*Emissionsfaktoren!I57/1000, 0)</f>
        <v>0</v>
      </c>
      <c r="K222" s="14">
        <f>IF(ISNUMBER('Refsz-Verbräuche'!K57), 'Refsz-Verbräuche'!K57*Emissionsfaktoren!J57/1000, 0)</f>
        <v>0</v>
      </c>
      <c r="L222" s="14">
        <f>IF(ISNUMBER('Refsz-Verbräuche'!L57), 'Refsz-Verbräuche'!L57*Emissionsfaktoren!K57/1000, 0)</f>
        <v>0</v>
      </c>
      <c r="M222" s="14">
        <f>IF(ISNUMBER('Refsz-Verbräuche'!M57), 'Refsz-Verbräuche'!M57*Emissionsfaktoren!L57/1000, 0)</f>
        <v>0</v>
      </c>
      <c r="N222" s="14">
        <f>IF(ISNUMBER('Refsz-Verbräuche'!N57), 'Refsz-Verbräuche'!N57*Emissionsfaktoren!M57/1000, 0)</f>
        <v>0</v>
      </c>
      <c r="O222" s="14">
        <f>IF(ISNUMBER('Refsz-Verbräuche'!O57), 'Refsz-Verbräuche'!O57*Emissionsfaktoren!N57/1000, 0)</f>
        <v>0</v>
      </c>
      <c r="P222" s="14">
        <f>IF(ISNUMBER('Refsz-Verbräuche'!P57), 'Refsz-Verbräuche'!P57*Emissionsfaktoren!O57/1000, 0)</f>
        <v>0</v>
      </c>
      <c r="Q222" s="14">
        <f>IF(ISNUMBER('Refsz-Verbräuche'!Q57), 'Refsz-Verbräuche'!Q57*Emissionsfaktoren!P57/1000, 0)</f>
        <v>0</v>
      </c>
      <c r="R222" s="14">
        <f>IF(ISNUMBER('Refsz-Verbräuche'!R57), 'Refsz-Verbräuche'!R57*Emissionsfaktoren!Q57/1000, 0)</f>
        <v>0</v>
      </c>
      <c r="S222" s="14">
        <f>IF(ISNUMBER('Refsz-Verbräuche'!S57), 'Refsz-Verbräuche'!S57*Emissionsfaktoren!R57/1000, 0)</f>
        <v>0</v>
      </c>
      <c r="T222" s="14">
        <f>IF(ISNUMBER('Refsz-Verbräuche'!T57), 'Refsz-Verbräuche'!T57*Emissionsfaktoren!S57/1000, 0)</f>
        <v>0</v>
      </c>
      <c r="U222" s="14">
        <f>IF(ISNUMBER('Refsz-Verbräuche'!U57), 'Refsz-Verbräuche'!U57*Emissionsfaktoren!T57/1000, 0)</f>
        <v>0</v>
      </c>
      <c r="V222" s="14">
        <f>IF(ISNUMBER('Refsz-Verbräuche'!V57), 'Refsz-Verbräuche'!V57*Emissionsfaktoren!U57/1000, 0)</f>
        <v>0</v>
      </c>
      <c r="W222" s="14">
        <f>IF(ISNUMBER('Refsz-Verbräuche'!W57), 'Refsz-Verbräuche'!W57*Emissionsfaktoren!V57/1000, 0)</f>
        <v>0</v>
      </c>
      <c r="X222" s="14">
        <f>IF(ISNUMBER('Refsz-Verbräuche'!X57), 'Refsz-Verbräuche'!X57*Emissionsfaktoren!W57/1000, 0)</f>
        <v>0</v>
      </c>
      <c r="Y222" s="14">
        <f>IF(ISNUMBER('Refsz-Verbräuche'!Y57), 'Refsz-Verbräuche'!Y57*Emissionsfaktoren!X57/1000, 0)</f>
        <v>0</v>
      </c>
    </row>
    <row r="223" spans="2:25" ht="16.5">
      <c r="B223" s="14">
        <v>41</v>
      </c>
      <c r="C223" s="14" t="str">
        <f>'Refsz-Verbräuche'!C58</f>
        <v>Mobilität 1</v>
      </c>
      <c r="D223" s="19" t="str">
        <f>'Refsz-Verbräuche'!D58</f>
        <v>DR - Reisebus, Linienbus (Fernverkehr)</v>
      </c>
      <c r="E223" t="s">
        <v>195</v>
      </c>
      <c r="F223" s="14">
        <f>IF(ISNUMBER('Refsz-Verbräuche'!F58), 'Refsz-Verbräuche'!F58*Emissionsfaktoren!E58/1000, 0)</f>
        <v>0</v>
      </c>
      <c r="G223" s="14">
        <f>IF(ISNUMBER('Refsz-Verbräuche'!G58), 'Refsz-Verbräuche'!G58*Emissionsfaktoren!F58/1000, 0)</f>
        <v>0</v>
      </c>
      <c r="H223" s="14">
        <f>IF(ISNUMBER('Refsz-Verbräuche'!H58), 'Refsz-Verbräuche'!H58*Emissionsfaktoren!G58/1000, 0)</f>
        <v>0</v>
      </c>
      <c r="I223" s="14">
        <f>IF(ISNUMBER('Refsz-Verbräuche'!I58), 'Refsz-Verbräuche'!I58*Emissionsfaktoren!H58/1000, 0)</f>
        <v>0</v>
      </c>
      <c r="J223" s="14">
        <f>IF(ISNUMBER('Refsz-Verbräuche'!J58), 'Refsz-Verbräuche'!J58*Emissionsfaktoren!I58/1000, 0)</f>
        <v>0</v>
      </c>
      <c r="K223" s="14">
        <f>IF(ISNUMBER('Refsz-Verbräuche'!K58), 'Refsz-Verbräuche'!K58*Emissionsfaktoren!J58/1000, 0)</f>
        <v>0</v>
      </c>
      <c r="L223" s="14">
        <f>IF(ISNUMBER('Refsz-Verbräuche'!L58), 'Refsz-Verbräuche'!L58*Emissionsfaktoren!K58/1000, 0)</f>
        <v>0</v>
      </c>
      <c r="M223" s="14">
        <f>IF(ISNUMBER('Refsz-Verbräuche'!M58), 'Refsz-Verbräuche'!M58*Emissionsfaktoren!L58/1000, 0)</f>
        <v>0</v>
      </c>
      <c r="N223" s="14">
        <f>IF(ISNUMBER('Refsz-Verbräuche'!N58), 'Refsz-Verbräuche'!N58*Emissionsfaktoren!M58/1000, 0)</f>
        <v>0</v>
      </c>
      <c r="O223" s="14">
        <f>IF(ISNUMBER('Refsz-Verbräuche'!O58), 'Refsz-Verbräuche'!O58*Emissionsfaktoren!N58/1000, 0)</f>
        <v>0</v>
      </c>
      <c r="P223" s="14">
        <f>IF(ISNUMBER('Refsz-Verbräuche'!P58), 'Refsz-Verbräuche'!P58*Emissionsfaktoren!O58/1000, 0)</f>
        <v>0</v>
      </c>
      <c r="Q223" s="14">
        <f>IF(ISNUMBER('Refsz-Verbräuche'!Q58), 'Refsz-Verbräuche'!Q58*Emissionsfaktoren!P58/1000, 0)</f>
        <v>0</v>
      </c>
      <c r="R223" s="14">
        <f>IF(ISNUMBER('Refsz-Verbräuche'!R58), 'Refsz-Verbräuche'!R58*Emissionsfaktoren!Q58/1000, 0)</f>
        <v>0</v>
      </c>
      <c r="S223" s="14">
        <f>IF(ISNUMBER('Refsz-Verbräuche'!S58), 'Refsz-Verbräuche'!S58*Emissionsfaktoren!R58/1000, 0)</f>
        <v>0</v>
      </c>
      <c r="T223" s="14">
        <f>IF(ISNUMBER('Refsz-Verbräuche'!T58), 'Refsz-Verbräuche'!T58*Emissionsfaktoren!S58/1000, 0)</f>
        <v>0</v>
      </c>
      <c r="U223" s="14">
        <f>IF(ISNUMBER('Refsz-Verbräuche'!U58), 'Refsz-Verbräuche'!U58*Emissionsfaktoren!T58/1000, 0)</f>
        <v>0</v>
      </c>
      <c r="V223" s="14">
        <f>IF(ISNUMBER('Refsz-Verbräuche'!V58), 'Refsz-Verbräuche'!V58*Emissionsfaktoren!U58/1000, 0)</f>
        <v>0</v>
      </c>
      <c r="W223" s="14">
        <f>IF(ISNUMBER('Refsz-Verbräuche'!W58), 'Refsz-Verbräuche'!W58*Emissionsfaktoren!V58/1000, 0)</f>
        <v>0</v>
      </c>
      <c r="X223" s="14">
        <f>IF(ISNUMBER('Refsz-Verbräuche'!X58), 'Refsz-Verbräuche'!X58*Emissionsfaktoren!W58/1000, 0)</f>
        <v>0</v>
      </c>
      <c r="Y223" s="14">
        <f>IF(ISNUMBER('Refsz-Verbräuche'!Y58), 'Refsz-Verbräuche'!Y58*Emissionsfaktoren!X58/1000, 0)</f>
        <v>0</v>
      </c>
    </row>
    <row r="224" spans="2:25" ht="16.5">
      <c r="B224" s="14">
        <v>42</v>
      </c>
      <c r="C224" s="14" t="str">
        <f>'Refsz-Verbräuche'!C59</f>
        <v>Mobilität 1</v>
      </c>
      <c r="D224" s="19" t="str">
        <f>'Refsz-Verbräuche'!D59</f>
        <v>DR - Linienbus (Nahverkehr)</v>
      </c>
      <c r="E224" t="s">
        <v>195</v>
      </c>
      <c r="F224" s="14">
        <f>IF(ISNUMBER('Refsz-Verbräuche'!F59), 'Refsz-Verbräuche'!F59*Emissionsfaktoren!E59/1000, 0)</f>
        <v>0</v>
      </c>
      <c r="G224" s="14">
        <f>IF(ISNUMBER('Refsz-Verbräuche'!G59), 'Refsz-Verbräuche'!G59*Emissionsfaktoren!F59/1000, 0)</f>
        <v>0</v>
      </c>
      <c r="H224" s="14">
        <f>IF(ISNUMBER('Refsz-Verbräuche'!H59), 'Refsz-Verbräuche'!H59*Emissionsfaktoren!G59/1000, 0)</f>
        <v>0</v>
      </c>
      <c r="I224" s="14">
        <f>IF(ISNUMBER('Refsz-Verbräuche'!I59), 'Refsz-Verbräuche'!I59*Emissionsfaktoren!H59/1000, 0)</f>
        <v>0</v>
      </c>
      <c r="J224" s="14">
        <f>IF(ISNUMBER('Refsz-Verbräuche'!J59), 'Refsz-Verbräuche'!J59*Emissionsfaktoren!I59/1000, 0)</f>
        <v>0</v>
      </c>
      <c r="K224" s="14">
        <f>IF(ISNUMBER('Refsz-Verbräuche'!K59), 'Refsz-Verbräuche'!K59*Emissionsfaktoren!J59/1000, 0)</f>
        <v>0</v>
      </c>
      <c r="L224" s="14">
        <f>IF(ISNUMBER('Refsz-Verbräuche'!L59), 'Refsz-Verbräuche'!L59*Emissionsfaktoren!K59/1000, 0)</f>
        <v>0</v>
      </c>
      <c r="M224" s="14">
        <f>IF(ISNUMBER('Refsz-Verbräuche'!M59), 'Refsz-Verbräuche'!M59*Emissionsfaktoren!L59/1000, 0)</f>
        <v>0</v>
      </c>
      <c r="N224" s="14">
        <f>IF(ISNUMBER('Refsz-Verbräuche'!N59), 'Refsz-Verbräuche'!N59*Emissionsfaktoren!M59/1000, 0)</f>
        <v>0</v>
      </c>
      <c r="O224" s="14">
        <f>IF(ISNUMBER('Refsz-Verbräuche'!O59), 'Refsz-Verbräuche'!O59*Emissionsfaktoren!N59/1000, 0)</f>
        <v>0</v>
      </c>
      <c r="P224" s="14">
        <f>IF(ISNUMBER('Refsz-Verbräuche'!P59), 'Refsz-Verbräuche'!P59*Emissionsfaktoren!O59/1000, 0)</f>
        <v>0</v>
      </c>
      <c r="Q224" s="14">
        <f>IF(ISNUMBER('Refsz-Verbräuche'!Q59), 'Refsz-Verbräuche'!Q59*Emissionsfaktoren!P59/1000, 0)</f>
        <v>0</v>
      </c>
      <c r="R224" s="14">
        <f>IF(ISNUMBER('Refsz-Verbräuche'!R59), 'Refsz-Verbräuche'!R59*Emissionsfaktoren!Q59/1000, 0)</f>
        <v>0</v>
      </c>
      <c r="S224" s="14">
        <f>IF(ISNUMBER('Refsz-Verbräuche'!S59), 'Refsz-Verbräuche'!S59*Emissionsfaktoren!R59/1000, 0)</f>
        <v>0</v>
      </c>
      <c r="T224" s="14">
        <f>IF(ISNUMBER('Refsz-Verbräuche'!T59), 'Refsz-Verbräuche'!T59*Emissionsfaktoren!S59/1000, 0)</f>
        <v>0</v>
      </c>
      <c r="U224" s="14">
        <f>IF(ISNUMBER('Refsz-Verbräuche'!U59), 'Refsz-Verbräuche'!U59*Emissionsfaktoren!T59/1000, 0)</f>
        <v>0</v>
      </c>
      <c r="V224" s="14">
        <f>IF(ISNUMBER('Refsz-Verbräuche'!V59), 'Refsz-Verbräuche'!V59*Emissionsfaktoren!U59/1000, 0)</f>
        <v>0</v>
      </c>
      <c r="W224" s="14">
        <f>IF(ISNUMBER('Refsz-Verbräuche'!W59), 'Refsz-Verbräuche'!W59*Emissionsfaktoren!V59/1000, 0)</f>
        <v>0</v>
      </c>
      <c r="X224" s="14">
        <f>IF(ISNUMBER('Refsz-Verbräuche'!X59), 'Refsz-Verbräuche'!X59*Emissionsfaktoren!W59/1000, 0)</f>
        <v>0</v>
      </c>
      <c r="Y224" s="14">
        <f>IF(ISNUMBER('Refsz-Verbräuche'!Y59), 'Refsz-Verbräuche'!Y59*Emissionsfaktoren!X59/1000, 0)</f>
        <v>0</v>
      </c>
    </row>
    <row r="225" spans="2:25" ht="16.5">
      <c r="B225" s="14">
        <v>43</v>
      </c>
      <c r="C225" s="14" t="str">
        <f>'Refsz-Verbräuche'!C60</f>
        <v>Mobilität 1</v>
      </c>
      <c r="D225" s="19" t="str">
        <f>'Refsz-Verbräuche'!D60</f>
        <v>DR - Privater PKW (alle Antriebsarten)</v>
      </c>
      <c r="E225" t="s">
        <v>195</v>
      </c>
      <c r="F225" s="14">
        <f>IF(ISNUMBER('Refsz-Verbräuche'!F60), 'Refsz-Verbräuche'!F60*Emissionsfaktoren!E60/1000, 0)</f>
        <v>0</v>
      </c>
      <c r="G225" s="14">
        <f>IF(ISNUMBER('Refsz-Verbräuche'!G60), 'Refsz-Verbräuche'!G60*Emissionsfaktoren!F60/1000, 0)</f>
        <v>0</v>
      </c>
      <c r="H225" s="14">
        <f>IF(ISNUMBER('Refsz-Verbräuche'!H60), 'Refsz-Verbräuche'!H60*Emissionsfaktoren!G60/1000, 0)</f>
        <v>0</v>
      </c>
      <c r="I225" s="14">
        <f>IF(ISNUMBER('Refsz-Verbräuche'!I60), 'Refsz-Verbräuche'!I60*Emissionsfaktoren!H60/1000, 0)</f>
        <v>0</v>
      </c>
      <c r="J225" s="14">
        <f>IF(ISNUMBER('Refsz-Verbräuche'!J60), 'Refsz-Verbräuche'!J60*Emissionsfaktoren!I60/1000, 0)</f>
        <v>0</v>
      </c>
      <c r="K225" s="14">
        <f>IF(ISNUMBER('Refsz-Verbräuche'!K60), 'Refsz-Verbräuche'!K60*Emissionsfaktoren!J60/1000, 0)</f>
        <v>0</v>
      </c>
      <c r="L225" s="14">
        <f>IF(ISNUMBER('Refsz-Verbräuche'!L60), 'Refsz-Verbräuche'!L60*Emissionsfaktoren!K60/1000, 0)</f>
        <v>0</v>
      </c>
      <c r="M225" s="14">
        <f>IF(ISNUMBER('Refsz-Verbräuche'!M60), 'Refsz-Verbräuche'!M60*Emissionsfaktoren!L60/1000, 0)</f>
        <v>0</v>
      </c>
      <c r="N225" s="14">
        <f>IF(ISNUMBER('Refsz-Verbräuche'!N60), 'Refsz-Verbräuche'!N60*Emissionsfaktoren!M60/1000, 0)</f>
        <v>0</v>
      </c>
      <c r="O225" s="14">
        <f>IF(ISNUMBER('Refsz-Verbräuche'!O60), 'Refsz-Verbräuche'!O60*Emissionsfaktoren!N60/1000, 0)</f>
        <v>0</v>
      </c>
      <c r="P225" s="14">
        <f>IF(ISNUMBER('Refsz-Verbräuche'!P60), 'Refsz-Verbräuche'!P60*Emissionsfaktoren!O60/1000, 0)</f>
        <v>0</v>
      </c>
      <c r="Q225" s="14">
        <f>IF(ISNUMBER('Refsz-Verbräuche'!Q60), 'Refsz-Verbräuche'!Q60*Emissionsfaktoren!P60/1000, 0)</f>
        <v>0</v>
      </c>
      <c r="R225" s="14">
        <f>IF(ISNUMBER('Refsz-Verbräuche'!R60), 'Refsz-Verbräuche'!R60*Emissionsfaktoren!Q60/1000, 0)</f>
        <v>0</v>
      </c>
      <c r="S225" s="14">
        <f>IF(ISNUMBER('Refsz-Verbräuche'!S60), 'Refsz-Verbräuche'!S60*Emissionsfaktoren!R60/1000, 0)</f>
        <v>0</v>
      </c>
      <c r="T225" s="14">
        <f>IF(ISNUMBER('Refsz-Verbräuche'!T60), 'Refsz-Verbräuche'!T60*Emissionsfaktoren!S60/1000, 0)</f>
        <v>0</v>
      </c>
      <c r="U225" s="14">
        <f>IF(ISNUMBER('Refsz-Verbräuche'!U60), 'Refsz-Verbräuche'!U60*Emissionsfaktoren!T60/1000, 0)</f>
        <v>0</v>
      </c>
      <c r="V225" s="14">
        <f>IF(ISNUMBER('Refsz-Verbräuche'!V60), 'Refsz-Verbräuche'!V60*Emissionsfaktoren!U60/1000, 0)</f>
        <v>0</v>
      </c>
      <c r="W225" s="14">
        <f>IF(ISNUMBER('Refsz-Verbräuche'!W60), 'Refsz-Verbräuche'!W60*Emissionsfaktoren!V60/1000, 0)</f>
        <v>0</v>
      </c>
      <c r="X225" s="14">
        <f>IF(ISNUMBER('Refsz-Verbräuche'!X60), 'Refsz-Verbräuche'!X60*Emissionsfaktoren!W60/1000, 0)</f>
        <v>0</v>
      </c>
      <c r="Y225" s="14">
        <f>IF(ISNUMBER('Refsz-Verbräuche'!Y60), 'Refsz-Verbräuche'!Y60*Emissionsfaktoren!X60/1000, 0)</f>
        <v>0</v>
      </c>
    </row>
    <row r="226" spans="2:25" ht="16.5">
      <c r="B226" s="14">
        <v>44</v>
      </c>
      <c r="C226" s="14" t="str">
        <f>'Refsz-Verbräuche'!C61</f>
        <v>Mobilität 1</v>
      </c>
      <c r="D226" s="19" t="str">
        <f>'Refsz-Verbräuche'!D61</f>
        <v>DR - Privater PKW (Diesel)</v>
      </c>
      <c r="E226" t="s">
        <v>195</v>
      </c>
      <c r="F226" s="14">
        <f>IF(ISNUMBER('Refsz-Verbräuche'!F61), 'Refsz-Verbräuche'!F61*Emissionsfaktoren!E61/1000, 0)</f>
        <v>0</v>
      </c>
      <c r="G226" s="14">
        <f>IF(ISNUMBER('Refsz-Verbräuche'!G61), 'Refsz-Verbräuche'!G61*Emissionsfaktoren!F61/1000, 0)</f>
        <v>0</v>
      </c>
      <c r="H226" s="14">
        <f>IF(ISNUMBER('Refsz-Verbräuche'!H61), 'Refsz-Verbräuche'!H61*Emissionsfaktoren!G61/1000, 0)</f>
        <v>0</v>
      </c>
      <c r="I226" s="14">
        <f>IF(ISNUMBER('Refsz-Verbräuche'!I61), 'Refsz-Verbräuche'!I61*Emissionsfaktoren!H61/1000, 0)</f>
        <v>0</v>
      </c>
      <c r="J226" s="14">
        <f>IF(ISNUMBER('Refsz-Verbräuche'!J61), 'Refsz-Verbräuche'!J61*Emissionsfaktoren!I61/1000, 0)</f>
        <v>0</v>
      </c>
      <c r="K226" s="14">
        <f>IF(ISNUMBER('Refsz-Verbräuche'!K61), 'Refsz-Verbräuche'!K61*Emissionsfaktoren!J61/1000, 0)</f>
        <v>0</v>
      </c>
      <c r="L226" s="14">
        <f>IF(ISNUMBER('Refsz-Verbräuche'!L61), 'Refsz-Verbräuche'!L61*Emissionsfaktoren!K61/1000, 0)</f>
        <v>0</v>
      </c>
      <c r="M226" s="14">
        <f>IF(ISNUMBER('Refsz-Verbräuche'!M61), 'Refsz-Verbräuche'!M61*Emissionsfaktoren!L61/1000, 0)</f>
        <v>0</v>
      </c>
      <c r="N226" s="14">
        <f>IF(ISNUMBER('Refsz-Verbräuche'!N61), 'Refsz-Verbräuche'!N61*Emissionsfaktoren!M61/1000, 0)</f>
        <v>0</v>
      </c>
      <c r="O226" s="14">
        <f>IF(ISNUMBER('Refsz-Verbräuche'!O61), 'Refsz-Verbräuche'!O61*Emissionsfaktoren!N61/1000, 0)</f>
        <v>0</v>
      </c>
      <c r="P226" s="14">
        <f>IF(ISNUMBER('Refsz-Verbräuche'!P61), 'Refsz-Verbräuche'!P61*Emissionsfaktoren!O61/1000, 0)</f>
        <v>0</v>
      </c>
      <c r="Q226" s="14">
        <f>IF(ISNUMBER('Refsz-Verbräuche'!Q61), 'Refsz-Verbräuche'!Q61*Emissionsfaktoren!P61/1000, 0)</f>
        <v>0</v>
      </c>
      <c r="R226" s="14">
        <f>IF(ISNUMBER('Refsz-Verbräuche'!R61), 'Refsz-Verbräuche'!R61*Emissionsfaktoren!Q61/1000, 0)</f>
        <v>0</v>
      </c>
      <c r="S226" s="14">
        <f>IF(ISNUMBER('Refsz-Verbräuche'!S61), 'Refsz-Verbräuche'!S61*Emissionsfaktoren!R61/1000, 0)</f>
        <v>0</v>
      </c>
      <c r="T226" s="14">
        <f>IF(ISNUMBER('Refsz-Verbräuche'!T61), 'Refsz-Verbräuche'!T61*Emissionsfaktoren!S61/1000, 0)</f>
        <v>0</v>
      </c>
      <c r="U226" s="14">
        <f>IF(ISNUMBER('Refsz-Verbräuche'!U61), 'Refsz-Verbräuche'!U61*Emissionsfaktoren!T61/1000, 0)</f>
        <v>0</v>
      </c>
      <c r="V226" s="14">
        <f>IF(ISNUMBER('Refsz-Verbräuche'!V61), 'Refsz-Verbräuche'!V61*Emissionsfaktoren!U61/1000, 0)</f>
        <v>0</v>
      </c>
      <c r="W226" s="14">
        <f>IF(ISNUMBER('Refsz-Verbräuche'!W61), 'Refsz-Verbräuche'!W61*Emissionsfaktoren!V61/1000, 0)</f>
        <v>0</v>
      </c>
      <c r="X226" s="14">
        <f>IF(ISNUMBER('Refsz-Verbräuche'!X61), 'Refsz-Verbräuche'!X61*Emissionsfaktoren!W61/1000, 0)</f>
        <v>0</v>
      </c>
      <c r="Y226" s="14">
        <f>IF(ISNUMBER('Refsz-Verbräuche'!Y61), 'Refsz-Verbräuche'!Y61*Emissionsfaktoren!X61/1000, 0)</f>
        <v>0</v>
      </c>
    </row>
    <row r="227" spans="2:25" ht="16.5">
      <c r="B227" s="14">
        <v>45</v>
      </c>
      <c r="C227" s="14" t="str">
        <f>'Refsz-Verbräuche'!C62</f>
        <v>Mobilität 1</v>
      </c>
      <c r="D227" s="19" t="str">
        <f>'Refsz-Verbräuche'!D62</f>
        <v>DR - Privater PKW (Benzin)</v>
      </c>
      <c r="E227" t="s">
        <v>195</v>
      </c>
      <c r="F227" s="14">
        <f>IF(ISNUMBER('Refsz-Verbräuche'!F62), 'Refsz-Verbräuche'!F62*Emissionsfaktoren!E62/1000, 0)</f>
        <v>0</v>
      </c>
      <c r="G227" s="14">
        <f>IF(ISNUMBER('Refsz-Verbräuche'!G62), 'Refsz-Verbräuche'!G62*Emissionsfaktoren!F62/1000, 0)</f>
        <v>0</v>
      </c>
      <c r="H227" s="14">
        <f>IF(ISNUMBER('Refsz-Verbräuche'!H62), 'Refsz-Verbräuche'!H62*Emissionsfaktoren!G62/1000, 0)</f>
        <v>0</v>
      </c>
      <c r="I227" s="14">
        <f>IF(ISNUMBER('Refsz-Verbräuche'!I62), 'Refsz-Verbräuche'!I62*Emissionsfaktoren!H62/1000, 0)</f>
        <v>0</v>
      </c>
      <c r="J227" s="14">
        <f>IF(ISNUMBER('Refsz-Verbräuche'!J62), 'Refsz-Verbräuche'!J62*Emissionsfaktoren!I62/1000, 0)</f>
        <v>0</v>
      </c>
      <c r="K227" s="14">
        <f>IF(ISNUMBER('Refsz-Verbräuche'!K62), 'Refsz-Verbräuche'!K62*Emissionsfaktoren!J62/1000, 0)</f>
        <v>0</v>
      </c>
      <c r="L227" s="14">
        <f>IF(ISNUMBER('Refsz-Verbräuche'!L62), 'Refsz-Verbräuche'!L62*Emissionsfaktoren!K62/1000, 0)</f>
        <v>0</v>
      </c>
      <c r="M227" s="14">
        <f>IF(ISNUMBER('Refsz-Verbräuche'!M62), 'Refsz-Verbräuche'!M62*Emissionsfaktoren!L62/1000, 0)</f>
        <v>0</v>
      </c>
      <c r="N227" s="14">
        <f>IF(ISNUMBER('Refsz-Verbräuche'!N62), 'Refsz-Verbräuche'!N62*Emissionsfaktoren!M62/1000, 0)</f>
        <v>0</v>
      </c>
      <c r="O227" s="14">
        <f>IF(ISNUMBER('Refsz-Verbräuche'!O62), 'Refsz-Verbräuche'!O62*Emissionsfaktoren!N62/1000, 0)</f>
        <v>0</v>
      </c>
      <c r="P227" s="14">
        <f>IF(ISNUMBER('Refsz-Verbräuche'!P62), 'Refsz-Verbräuche'!P62*Emissionsfaktoren!O62/1000, 0)</f>
        <v>0</v>
      </c>
      <c r="Q227" s="14">
        <f>IF(ISNUMBER('Refsz-Verbräuche'!Q62), 'Refsz-Verbräuche'!Q62*Emissionsfaktoren!P62/1000, 0)</f>
        <v>0</v>
      </c>
      <c r="R227" s="14">
        <f>IF(ISNUMBER('Refsz-Verbräuche'!R62), 'Refsz-Verbräuche'!R62*Emissionsfaktoren!Q62/1000, 0)</f>
        <v>0</v>
      </c>
      <c r="S227" s="14">
        <f>IF(ISNUMBER('Refsz-Verbräuche'!S62), 'Refsz-Verbräuche'!S62*Emissionsfaktoren!R62/1000, 0)</f>
        <v>0</v>
      </c>
      <c r="T227" s="14">
        <f>IF(ISNUMBER('Refsz-Verbräuche'!T62), 'Refsz-Verbräuche'!T62*Emissionsfaktoren!S62/1000, 0)</f>
        <v>0</v>
      </c>
      <c r="U227" s="14">
        <f>IF(ISNUMBER('Refsz-Verbräuche'!U62), 'Refsz-Verbräuche'!U62*Emissionsfaktoren!T62/1000, 0)</f>
        <v>0</v>
      </c>
      <c r="V227" s="14">
        <f>IF(ISNUMBER('Refsz-Verbräuche'!V62), 'Refsz-Verbräuche'!V62*Emissionsfaktoren!U62/1000, 0)</f>
        <v>0</v>
      </c>
      <c r="W227" s="14">
        <f>IF(ISNUMBER('Refsz-Verbräuche'!W62), 'Refsz-Verbräuche'!W62*Emissionsfaktoren!V62/1000, 0)</f>
        <v>0</v>
      </c>
      <c r="X227" s="14">
        <f>IF(ISNUMBER('Refsz-Verbräuche'!X62), 'Refsz-Verbräuche'!X62*Emissionsfaktoren!W62/1000, 0)</f>
        <v>0</v>
      </c>
      <c r="Y227" s="14">
        <f>IF(ISNUMBER('Refsz-Verbräuche'!Y62), 'Refsz-Verbräuche'!Y62*Emissionsfaktoren!X62/1000, 0)</f>
        <v>0</v>
      </c>
    </row>
    <row r="228" spans="2:25" ht="16.5">
      <c r="B228" s="14">
        <v>46</v>
      </c>
      <c r="C228" s="14" t="str">
        <f>'Refsz-Verbräuche'!C63</f>
        <v>Mobilität 1</v>
      </c>
      <c r="D228" s="19" t="str">
        <f>'Refsz-Verbräuche'!D63</f>
        <v>DR - Mietwägen (Diesel)</v>
      </c>
      <c r="E228" t="s">
        <v>195</v>
      </c>
      <c r="F228" s="14">
        <f>IF(ISNUMBER('Refsz-Verbräuche'!F63), 'Refsz-Verbräuche'!F63*Emissionsfaktoren!E63/1000, 0)</f>
        <v>0</v>
      </c>
      <c r="G228" s="14">
        <f>IF(ISNUMBER('Refsz-Verbräuche'!G63), 'Refsz-Verbräuche'!G63*Emissionsfaktoren!F63/1000, 0)</f>
        <v>0</v>
      </c>
      <c r="H228" s="14">
        <f>IF(ISNUMBER('Refsz-Verbräuche'!H63), 'Refsz-Verbräuche'!H63*Emissionsfaktoren!G63/1000, 0)</f>
        <v>0</v>
      </c>
      <c r="I228" s="14">
        <f>IF(ISNUMBER('Refsz-Verbräuche'!I63), 'Refsz-Verbräuche'!I63*Emissionsfaktoren!H63/1000, 0)</f>
        <v>0</v>
      </c>
      <c r="J228" s="14">
        <f>IF(ISNUMBER('Refsz-Verbräuche'!J63), 'Refsz-Verbräuche'!J63*Emissionsfaktoren!I63/1000, 0)</f>
        <v>0</v>
      </c>
      <c r="K228" s="14">
        <f>IF(ISNUMBER('Refsz-Verbräuche'!K63), 'Refsz-Verbräuche'!K63*Emissionsfaktoren!J63/1000, 0)</f>
        <v>0</v>
      </c>
      <c r="L228" s="14">
        <f>IF(ISNUMBER('Refsz-Verbräuche'!L63), 'Refsz-Verbräuche'!L63*Emissionsfaktoren!K63/1000, 0)</f>
        <v>0</v>
      </c>
      <c r="M228" s="14">
        <f>IF(ISNUMBER('Refsz-Verbräuche'!M63), 'Refsz-Verbräuche'!M63*Emissionsfaktoren!L63/1000, 0)</f>
        <v>0</v>
      </c>
      <c r="N228" s="14">
        <f>IF(ISNUMBER('Refsz-Verbräuche'!N63), 'Refsz-Verbräuche'!N63*Emissionsfaktoren!M63/1000, 0)</f>
        <v>0</v>
      </c>
      <c r="O228" s="14">
        <f>IF(ISNUMBER('Refsz-Verbräuche'!O63), 'Refsz-Verbräuche'!O63*Emissionsfaktoren!N63/1000, 0)</f>
        <v>0</v>
      </c>
      <c r="P228" s="14">
        <f>IF(ISNUMBER('Refsz-Verbräuche'!P63), 'Refsz-Verbräuche'!P63*Emissionsfaktoren!O63/1000, 0)</f>
        <v>0</v>
      </c>
      <c r="Q228" s="14">
        <f>IF(ISNUMBER('Refsz-Verbräuche'!Q63), 'Refsz-Verbräuche'!Q63*Emissionsfaktoren!P63/1000, 0)</f>
        <v>0</v>
      </c>
      <c r="R228" s="14">
        <f>IF(ISNUMBER('Refsz-Verbräuche'!R63), 'Refsz-Verbräuche'!R63*Emissionsfaktoren!Q63/1000, 0)</f>
        <v>0</v>
      </c>
      <c r="S228" s="14">
        <f>IF(ISNUMBER('Refsz-Verbräuche'!S63), 'Refsz-Verbräuche'!S63*Emissionsfaktoren!R63/1000, 0)</f>
        <v>0</v>
      </c>
      <c r="T228" s="14">
        <f>IF(ISNUMBER('Refsz-Verbräuche'!T63), 'Refsz-Verbräuche'!T63*Emissionsfaktoren!S63/1000, 0)</f>
        <v>0</v>
      </c>
      <c r="U228" s="14">
        <f>IF(ISNUMBER('Refsz-Verbräuche'!U63), 'Refsz-Verbräuche'!U63*Emissionsfaktoren!T63/1000, 0)</f>
        <v>0</v>
      </c>
      <c r="V228" s="14">
        <f>IF(ISNUMBER('Refsz-Verbräuche'!V63), 'Refsz-Verbräuche'!V63*Emissionsfaktoren!U63/1000, 0)</f>
        <v>0</v>
      </c>
      <c r="W228" s="14">
        <f>IF(ISNUMBER('Refsz-Verbräuche'!W63), 'Refsz-Verbräuche'!W63*Emissionsfaktoren!V63/1000, 0)</f>
        <v>0</v>
      </c>
      <c r="X228" s="14">
        <f>IF(ISNUMBER('Refsz-Verbräuche'!X63), 'Refsz-Verbräuche'!X63*Emissionsfaktoren!W63/1000, 0)</f>
        <v>0</v>
      </c>
      <c r="Y228" s="14">
        <f>IF(ISNUMBER('Refsz-Verbräuche'!Y63), 'Refsz-Verbräuche'!Y63*Emissionsfaktoren!X63/1000, 0)</f>
        <v>0</v>
      </c>
    </row>
    <row r="229" spans="2:25" ht="16.5">
      <c r="B229" s="14">
        <v>47</v>
      </c>
      <c r="C229" s="14" t="str">
        <f>'Refsz-Verbräuche'!C64</f>
        <v>Mobilität 1</v>
      </c>
      <c r="D229" s="19" t="str">
        <f>'Refsz-Verbräuche'!D64</f>
        <v>DR - Mietwägen (Benzin)</v>
      </c>
      <c r="E229" t="s">
        <v>195</v>
      </c>
      <c r="F229" s="14">
        <f>IF(ISNUMBER('Refsz-Verbräuche'!F64), 'Refsz-Verbräuche'!F64*Emissionsfaktoren!E64/1000, 0)</f>
        <v>0</v>
      </c>
      <c r="G229" s="14">
        <f>IF(ISNUMBER('Refsz-Verbräuche'!G64), 'Refsz-Verbräuche'!G64*Emissionsfaktoren!F64/1000, 0)</f>
        <v>0</v>
      </c>
      <c r="H229" s="14">
        <f>IF(ISNUMBER('Refsz-Verbräuche'!H64), 'Refsz-Verbräuche'!H64*Emissionsfaktoren!G64/1000, 0)</f>
        <v>0</v>
      </c>
      <c r="I229" s="14">
        <f>IF(ISNUMBER('Refsz-Verbräuche'!I64), 'Refsz-Verbräuche'!I64*Emissionsfaktoren!H64/1000, 0)</f>
        <v>0</v>
      </c>
      <c r="J229" s="14">
        <f>IF(ISNUMBER('Refsz-Verbräuche'!J64), 'Refsz-Verbräuche'!J64*Emissionsfaktoren!I64/1000, 0)</f>
        <v>0</v>
      </c>
      <c r="K229" s="14">
        <f>IF(ISNUMBER('Refsz-Verbräuche'!K64), 'Refsz-Verbräuche'!K64*Emissionsfaktoren!J64/1000, 0)</f>
        <v>0</v>
      </c>
      <c r="L229" s="14">
        <f>IF(ISNUMBER('Refsz-Verbräuche'!L64), 'Refsz-Verbräuche'!L64*Emissionsfaktoren!K64/1000, 0)</f>
        <v>0</v>
      </c>
      <c r="M229" s="14">
        <f>IF(ISNUMBER('Refsz-Verbräuche'!M64), 'Refsz-Verbräuche'!M64*Emissionsfaktoren!L64/1000, 0)</f>
        <v>0</v>
      </c>
      <c r="N229" s="14">
        <f>IF(ISNUMBER('Refsz-Verbräuche'!N64), 'Refsz-Verbräuche'!N64*Emissionsfaktoren!M64/1000, 0)</f>
        <v>0</v>
      </c>
      <c r="O229" s="14">
        <f>IF(ISNUMBER('Refsz-Verbräuche'!O64), 'Refsz-Verbräuche'!O64*Emissionsfaktoren!N64/1000, 0)</f>
        <v>0</v>
      </c>
      <c r="P229" s="14">
        <f>IF(ISNUMBER('Refsz-Verbräuche'!P64), 'Refsz-Verbräuche'!P64*Emissionsfaktoren!O64/1000, 0)</f>
        <v>0</v>
      </c>
      <c r="Q229" s="14">
        <f>IF(ISNUMBER('Refsz-Verbräuche'!Q64), 'Refsz-Verbräuche'!Q64*Emissionsfaktoren!P64/1000, 0)</f>
        <v>0</v>
      </c>
      <c r="R229" s="14">
        <f>IF(ISNUMBER('Refsz-Verbräuche'!R64), 'Refsz-Verbräuche'!R64*Emissionsfaktoren!Q64/1000, 0)</f>
        <v>0</v>
      </c>
      <c r="S229" s="14">
        <f>IF(ISNUMBER('Refsz-Verbräuche'!S64), 'Refsz-Verbräuche'!S64*Emissionsfaktoren!R64/1000, 0)</f>
        <v>0</v>
      </c>
      <c r="T229" s="14">
        <f>IF(ISNUMBER('Refsz-Verbräuche'!T64), 'Refsz-Verbräuche'!T64*Emissionsfaktoren!S64/1000, 0)</f>
        <v>0</v>
      </c>
      <c r="U229" s="14">
        <f>IF(ISNUMBER('Refsz-Verbräuche'!U64), 'Refsz-Verbräuche'!U64*Emissionsfaktoren!T64/1000, 0)</f>
        <v>0</v>
      </c>
      <c r="V229" s="14">
        <f>IF(ISNUMBER('Refsz-Verbräuche'!V64), 'Refsz-Verbräuche'!V64*Emissionsfaktoren!U64/1000, 0)</f>
        <v>0</v>
      </c>
      <c r="W229" s="14">
        <f>IF(ISNUMBER('Refsz-Verbräuche'!W64), 'Refsz-Verbräuche'!W64*Emissionsfaktoren!V64/1000, 0)</f>
        <v>0</v>
      </c>
      <c r="X229" s="14">
        <f>IF(ISNUMBER('Refsz-Verbräuche'!X64), 'Refsz-Verbräuche'!X64*Emissionsfaktoren!W64/1000, 0)</f>
        <v>0</v>
      </c>
      <c r="Y229" s="14">
        <f>IF(ISNUMBER('Refsz-Verbräuche'!Y64), 'Refsz-Verbräuche'!Y64*Emissionsfaktoren!X64/1000, 0)</f>
        <v>0</v>
      </c>
    </row>
    <row r="230" spans="2:25" ht="16.5">
      <c r="B230" s="14">
        <v>48</v>
      </c>
      <c r="C230" s="14" t="str">
        <f>'Refsz-Verbräuche'!C65</f>
        <v>Mobilität 1</v>
      </c>
      <c r="D230" s="19" t="str">
        <f>'Refsz-Verbräuche'!D65</f>
        <v>DR - Mietwägen (E-Auto/ BEV)</v>
      </c>
      <c r="E230" t="s">
        <v>195</v>
      </c>
      <c r="F230" s="14">
        <f>IF(ISNUMBER('Refsz-Verbräuche'!F65), 'Refsz-Verbräuche'!F65*Emissionsfaktoren!E65/1000, 0)</f>
        <v>0</v>
      </c>
      <c r="G230" s="14">
        <f>IF(ISNUMBER('Refsz-Verbräuche'!G65), 'Refsz-Verbräuche'!G65*Emissionsfaktoren!F65/1000, 0)</f>
        <v>0</v>
      </c>
      <c r="H230" s="14">
        <f>IF(ISNUMBER('Refsz-Verbräuche'!H65), 'Refsz-Verbräuche'!H65*Emissionsfaktoren!G65/1000, 0)</f>
        <v>0</v>
      </c>
      <c r="I230" s="14">
        <f>IF(ISNUMBER('Refsz-Verbräuche'!I65), 'Refsz-Verbräuche'!I65*Emissionsfaktoren!H65/1000, 0)</f>
        <v>0</v>
      </c>
      <c r="J230" s="14">
        <f>IF(ISNUMBER('Refsz-Verbräuche'!J65), 'Refsz-Verbräuche'!J65*Emissionsfaktoren!I65/1000, 0)</f>
        <v>0</v>
      </c>
      <c r="K230" s="14">
        <f>IF(ISNUMBER('Refsz-Verbräuche'!K65), 'Refsz-Verbräuche'!K65*Emissionsfaktoren!J65/1000, 0)</f>
        <v>0</v>
      </c>
      <c r="L230" s="14">
        <f>IF(ISNUMBER('Refsz-Verbräuche'!L65), 'Refsz-Verbräuche'!L65*Emissionsfaktoren!K65/1000, 0)</f>
        <v>0</v>
      </c>
      <c r="M230" s="14">
        <f>IF(ISNUMBER('Refsz-Verbräuche'!M65), 'Refsz-Verbräuche'!M65*Emissionsfaktoren!L65/1000, 0)</f>
        <v>0</v>
      </c>
      <c r="N230" s="14">
        <f>IF(ISNUMBER('Refsz-Verbräuche'!N65), 'Refsz-Verbräuche'!N65*Emissionsfaktoren!M65/1000, 0)</f>
        <v>0</v>
      </c>
      <c r="O230" s="14">
        <f>IF(ISNUMBER('Refsz-Verbräuche'!O65), 'Refsz-Verbräuche'!O65*Emissionsfaktoren!N65/1000, 0)</f>
        <v>0</v>
      </c>
      <c r="P230" s="14">
        <f>IF(ISNUMBER('Refsz-Verbräuche'!P65), 'Refsz-Verbräuche'!P65*Emissionsfaktoren!O65/1000, 0)</f>
        <v>0</v>
      </c>
      <c r="Q230" s="14">
        <f>IF(ISNUMBER('Refsz-Verbräuche'!Q65), 'Refsz-Verbräuche'!Q65*Emissionsfaktoren!P65/1000, 0)</f>
        <v>0</v>
      </c>
      <c r="R230" s="14">
        <f>IF(ISNUMBER('Refsz-Verbräuche'!R65), 'Refsz-Verbräuche'!R65*Emissionsfaktoren!Q65/1000, 0)</f>
        <v>0</v>
      </c>
      <c r="S230" s="14">
        <f>IF(ISNUMBER('Refsz-Verbräuche'!S65), 'Refsz-Verbräuche'!S65*Emissionsfaktoren!R65/1000, 0)</f>
        <v>0</v>
      </c>
      <c r="T230" s="14">
        <f>IF(ISNUMBER('Refsz-Verbräuche'!T65), 'Refsz-Verbräuche'!T65*Emissionsfaktoren!S65/1000, 0)</f>
        <v>0</v>
      </c>
      <c r="U230" s="14">
        <f>IF(ISNUMBER('Refsz-Verbräuche'!U65), 'Refsz-Verbräuche'!U65*Emissionsfaktoren!T65/1000, 0)</f>
        <v>0</v>
      </c>
      <c r="V230" s="14">
        <f>IF(ISNUMBER('Refsz-Verbräuche'!V65), 'Refsz-Verbräuche'!V65*Emissionsfaktoren!U65/1000, 0)</f>
        <v>0</v>
      </c>
      <c r="W230" s="14">
        <f>IF(ISNUMBER('Refsz-Verbräuche'!W65), 'Refsz-Verbräuche'!W65*Emissionsfaktoren!V65/1000, 0)</f>
        <v>0</v>
      </c>
      <c r="X230" s="14">
        <f>IF(ISNUMBER('Refsz-Verbräuche'!X65), 'Refsz-Verbräuche'!X65*Emissionsfaktoren!W65/1000, 0)</f>
        <v>0</v>
      </c>
      <c r="Y230" s="14">
        <f>IF(ISNUMBER('Refsz-Verbräuche'!Y65), 'Refsz-Verbräuche'!Y65*Emissionsfaktoren!X65/1000, 0)</f>
        <v>0</v>
      </c>
    </row>
    <row r="231" spans="2:25" ht="16.5">
      <c r="B231" s="14">
        <v>49</v>
      </c>
      <c r="C231" s="14" t="str">
        <f>'Refsz-Verbräuche'!C66</f>
        <v>Mobilität 1</v>
      </c>
      <c r="D231" s="19" t="str">
        <f>'Refsz-Verbräuche'!D66</f>
        <v>DR - Mietwägen (Wasserstoff/ FCEV)</v>
      </c>
      <c r="E231" t="s">
        <v>195</v>
      </c>
      <c r="F231" s="14">
        <f>IF(ISNUMBER('Refsz-Verbräuche'!F66), 'Refsz-Verbräuche'!F66*Emissionsfaktoren!E66/1000, 0)</f>
        <v>0</v>
      </c>
      <c r="G231" s="14">
        <f>IF(ISNUMBER('Refsz-Verbräuche'!G66), 'Refsz-Verbräuche'!G66*Emissionsfaktoren!F66/1000, 0)</f>
        <v>0</v>
      </c>
      <c r="H231" s="14">
        <f>IF(ISNUMBER('Refsz-Verbräuche'!H66), 'Refsz-Verbräuche'!H66*Emissionsfaktoren!G66/1000, 0)</f>
        <v>0</v>
      </c>
      <c r="I231" s="14">
        <f>IF(ISNUMBER('Refsz-Verbräuche'!I66), 'Refsz-Verbräuche'!I66*Emissionsfaktoren!H66/1000, 0)</f>
        <v>0</v>
      </c>
      <c r="J231" s="14">
        <f>IF(ISNUMBER('Refsz-Verbräuche'!J66), 'Refsz-Verbräuche'!J66*Emissionsfaktoren!I66/1000, 0)</f>
        <v>0</v>
      </c>
      <c r="K231" s="14">
        <f>IF(ISNUMBER('Refsz-Verbräuche'!K66), 'Refsz-Verbräuche'!K66*Emissionsfaktoren!J66/1000, 0)</f>
        <v>0</v>
      </c>
      <c r="L231" s="14">
        <f>IF(ISNUMBER('Refsz-Verbräuche'!L66), 'Refsz-Verbräuche'!L66*Emissionsfaktoren!K66/1000, 0)</f>
        <v>0</v>
      </c>
      <c r="M231" s="14">
        <f>IF(ISNUMBER('Refsz-Verbräuche'!M66), 'Refsz-Verbräuche'!M66*Emissionsfaktoren!L66/1000, 0)</f>
        <v>0</v>
      </c>
      <c r="N231" s="14">
        <f>IF(ISNUMBER('Refsz-Verbräuche'!N66), 'Refsz-Verbräuche'!N66*Emissionsfaktoren!M66/1000, 0)</f>
        <v>0</v>
      </c>
      <c r="O231" s="14">
        <f>IF(ISNUMBER('Refsz-Verbräuche'!O66), 'Refsz-Verbräuche'!O66*Emissionsfaktoren!N66/1000, 0)</f>
        <v>0</v>
      </c>
      <c r="P231" s="14">
        <f>IF(ISNUMBER('Refsz-Verbräuche'!P66), 'Refsz-Verbräuche'!P66*Emissionsfaktoren!O66/1000, 0)</f>
        <v>0</v>
      </c>
      <c r="Q231" s="14">
        <f>IF(ISNUMBER('Refsz-Verbräuche'!Q66), 'Refsz-Verbräuche'!Q66*Emissionsfaktoren!P66/1000, 0)</f>
        <v>0</v>
      </c>
      <c r="R231" s="14">
        <f>IF(ISNUMBER('Refsz-Verbräuche'!R66), 'Refsz-Verbräuche'!R66*Emissionsfaktoren!Q66/1000, 0)</f>
        <v>0</v>
      </c>
      <c r="S231" s="14">
        <f>IF(ISNUMBER('Refsz-Verbräuche'!S66), 'Refsz-Verbräuche'!S66*Emissionsfaktoren!R66/1000, 0)</f>
        <v>0</v>
      </c>
      <c r="T231" s="14">
        <f>IF(ISNUMBER('Refsz-Verbräuche'!T66), 'Refsz-Verbräuche'!T66*Emissionsfaktoren!S66/1000, 0)</f>
        <v>0</v>
      </c>
      <c r="U231" s="14">
        <f>IF(ISNUMBER('Refsz-Verbräuche'!U66), 'Refsz-Verbräuche'!U66*Emissionsfaktoren!T66/1000, 0)</f>
        <v>0</v>
      </c>
      <c r="V231" s="14">
        <f>IF(ISNUMBER('Refsz-Verbräuche'!V66), 'Refsz-Verbräuche'!V66*Emissionsfaktoren!U66/1000, 0)</f>
        <v>0</v>
      </c>
      <c r="W231" s="14">
        <f>IF(ISNUMBER('Refsz-Verbräuche'!W66), 'Refsz-Verbräuche'!W66*Emissionsfaktoren!V66/1000, 0)</f>
        <v>0</v>
      </c>
      <c r="X231" s="14">
        <f>IF(ISNUMBER('Refsz-Verbräuche'!X66), 'Refsz-Verbräuche'!X66*Emissionsfaktoren!W66/1000, 0)</f>
        <v>0</v>
      </c>
      <c r="Y231" s="14">
        <f>IF(ISNUMBER('Refsz-Verbräuche'!Y66), 'Refsz-Verbräuche'!Y66*Emissionsfaktoren!X66/1000, 0)</f>
        <v>0</v>
      </c>
    </row>
    <row r="232" spans="2:25" ht="16.5">
      <c r="B232" s="14">
        <v>50</v>
      </c>
      <c r="C232" s="14" t="str">
        <f>'Refsz-Verbräuche'!C67</f>
        <v>Mobilität 1</v>
      </c>
      <c r="D232" s="19" t="str">
        <f>'Refsz-Verbräuche'!D67</f>
        <v>DR - Mietwägen (CNG)</v>
      </c>
      <c r="E232" t="s">
        <v>195</v>
      </c>
      <c r="F232" s="14">
        <f>IF(ISNUMBER('Refsz-Verbräuche'!F67), 'Refsz-Verbräuche'!F67*Emissionsfaktoren!E67/1000, 0)</f>
        <v>0</v>
      </c>
      <c r="G232" s="14">
        <f>IF(ISNUMBER('Refsz-Verbräuche'!G67), 'Refsz-Verbräuche'!G67*Emissionsfaktoren!F67/1000, 0)</f>
        <v>0</v>
      </c>
      <c r="H232" s="14">
        <f>IF(ISNUMBER('Refsz-Verbräuche'!H67), 'Refsz-Verbräuche'!H67*Emissionsfaktoren!G67/1000, 0)</f>
        <v>0</v>
      </c>
      <c r="I232" s="14">
        <f>IF(ISNUMBER('Refsz-Verbräuche'!I67), 'Refsz-Verbräuche'!I67*Emissionsfaktoren!H67/1000, 0)</f>
        <v>0</v>
      </c>
      <c r="J232" s="14">
        <f>IF(ISNUMBER('Refsz-Verbräuche'!J67), 'Refsz-Verbräuche'!J67*Emissionsfaktoren!I67/1000, 0)</f>
        <v>0</v>
      </c>
      <c r="K232" s="14">
        <f>IF(ISNUMBER('Refsz-Verbräuche'!K67), 'Refsz-Verbräuche'!K67*Emissionsfaktoren!J67/1000, 0)</f>
        <v>0</v>
      </c>
      <c r="L232" s="14">
        <f>IF(ISNUMBER('Refsz-Verbräuche'!L67), 'Refsz-Verbräuche'!L67*Emissionsfaktoren!K67/1000, 0)</f>
        <v>0</v>
      </c>
      <c r="M232" s="14">
        <f>IF(ISNUMBER('Refsz-Verbräuche'!M67), 'Refsz-Verbräuche'!M67*Emissionsfaktoren!L67/1000, 0)</f>
        <v>0</v>
      </c>
      <c r="N232" s="14">
        <f>IF(ISNUMBER('Refsz-Verbräuche'!N67), 'Refsz-Verbräuche'!N67*Emissionsfaktoren!M67/1000, 0)</f>
        <v>0</v>
      </c>
      <c r="O232" s="14">
        <f>IF(ISNUMBER('Refsz-Verbräuche'!O67), 'Refsz-Verbräuche'!O67*Emissionsfaktoren!N67/1000, 0)</f>
        <v>0</v>
      </c>
      <c r="P232" s="14">
        <f>IF(ISNUMBER('Refsz-Verbräuche'!P67), 'Refsz-Verbräuche'!P67*Emissionsfaktoren!O67/1000, 0)</f>
        <v>0</v>
      </c>
      <c r="Q232" s="14">
        <f>IF(ISNUMBER('Refsz-Verbräuche'!Q67), 'Refsz-Verbräuche'!Q67*Emissionsfaktoren!P67/1000, 0)</f>
        <v>0</v>
      </c>
      <c r="R232" s="14">
        <f>IF(ISNUMBER('Refsz-Verbräuche'!R67), 'Refsz-Verbräuche'!R67*Emissionsfaktoren!Q67/1000, 0)</f>
        <v>0</v>
      </c>
      <c r="S232" s="14">
        <f>IF(ISNUMBER('Refsz-Verbräuche'!S67), 'Refsz-Verbräuche'!S67*Emissionsfaktoren!R67/1000, 0)</f>
        <v>0</v>
      </c>
      <c r="T232" s="14">
        <f>IF(ISNUMBER('Refsz-Verbräuche'!T67), 'Refsz-Verbräuche'!T67*Emissionsfaktoren!S67/1000, 0)</f>
        <v>0</v>
      </c>
      <c r="U232" s="14">
        <f>IF(ISNUMBER('Refsz-Verbräuche'!U67), 'Refsz-Verbräuche'!U67*Emissionsfaktoren!T67/1000, 0)</f>
        <v>0</v>
      </c>
      <c r="V232" s="14">
        <f>IF(ISNUMBER('Refsz-Verbräuche'!V67), 'Refsz-Verbräuche'!V67*Emissionsfaktoren!U67/1000, 0)</f>
        <v>0</v>
      </c>
      <c r="W232" s="14">
        <f>IF(ISNUMBER('Refsz-Verbräuche'!W67), 'Refsz-Verbräuche'!W67*Emissionsfaktoren!V67/1000, 0)</f>
        <v>0</v>
      </c>
      <c r="X232" s="14">
        <f>IF(ISNUMBER('Refsz-Verbräuche'!X67), 'Refsz-Verbräuche'!X67*Emissionsfaktoren!W67/1000, 0)</f>
        <v>0</v>
      </c>
      <c r="Y232" s="14">
        <f>IF(ISNUMBER('Refsz-Verbräuche'!Y67), 'Refsz-Verbräuche'!Y67*Emissionsfaktoren!X67/1000, 0)</f>
        <v>0</v>
      </c>
    </row>
    <row r="233" spans="2:25" ht="16.5">
      <c r="B233" s="14">
        <v>51</v>
      </c>
      <c r="C233" s="14" t="str">
        <f>'Refsz-Verbräuche'!C68</f>
        <v>Mobilität 1</v>
      </c>
      <c r="D233" s="19" t="str">
        <f>'Refsz-Verbräuche'!D68</f>
        <v>DR - Mietwägen (Plug-In-Hybrid/ PHEV)</v>
      </c>
      <c r="E233" t="s">
        <v>195</v>
      </c>
      <c r="F233" s="14">
        <f>IF(ISNUMBER('Refsz-Verbräuche'!F68), 'Refsz-Verbräuche'!F68*Emissionsfaktoren!E68/1000, 0)</f>
        <v>0</v>
      </c>
      <c r="G233" s="14">
        <f>IF(ISNUMBER('Refsz-Verbräuche'!G68), 'Refsz-Verbräuche'!G68*Emissionsfaktoren!F68/1000, 0)</f>
        <v>0</v>
      </c>
      <c r="H233" s="14">
        <f>IF(ISNUMBER('Refsz-Verbräuche'!H68), 'Refsz-Verbräuche'!H68*Emissionsfaktoren!G68/1000, 0)</f>
        <v>0</v>
      </c>
      <c r="I233" s="14">
        <f>IF(ISNUMBER('Refsz-Verbräuche'!I68), 'Refsz-Verbräuche'!I68*Emissionsfaktoren!H68/1000, 0)</f>
        <v>0</v>
      </c>
      <c r="J233" s="14">
        <f>IF(ISNUMBER('Refsz-Verbräuche'!J68), 'Refsz-Verbräuche'!J68*Emissionsfaktoren!I68/1000, 0)</f>
        <v>0</v>
      </c>
      <c r="K233" s="14">
        <f>IF(ISNUMBER('Refsz-Verbräuche'!K68), 'Refsz-Verbräuche'!K68*Emissionsfaktoren!J68/1000, 0)</f>
        <v>0</v>
      </c>
      <c r="L233" s="14">
        <f>IF(ISNUMBER('Refsz-Verbräuche'!L68), 'Refsz-Verbräuche'!L68*Emissionsfaktoren!K68/1000, 0)</f>
        <v>0</v>
      </c>
      <c r="M233" s="14">
        <f>IF(ISNUMBER('Refsz-Verbräuche'!M68), 'Refsz-Verbräuche'!M68*Emissionsfaktoren!L68/1000, 0)</f>
        <v>0</v>
      </c>
      <c r="N233" s="14">
        <f>IF(ISNUMBER('Refsz-Verbräuche'!N68), 'Refsz-Verbräuche'!N68*Emissionsfaktoren!M68/1000, 0)</f>
        <v>0</v>
      </c>
      <c r="O233" s="14">
        <f>IF(ISNUMBER('Refsz-Verbräuche'!O68), 'Refsz-Verbräuche'!O68*Emissionsfaktoren!N68/1000, 0)</f>
        <v>0</v>
      </c>
      <c r="P233" s="14">
        <f>IF(ISNUMBER('Refsz-Verbräuche'!P68), 'Refsz-Verbräuche'!P68*Emissionsfaktoren!O68/1000, 0)</f>
        <v>0</v>
      </c>
      <c r="Q233" s="14">
        <f>IF(ISNUMBER('Refsz-Verbräuche'!Q68), 'Refsz-Verbräuche'!Q68*Emissionsfaktoren!P68/1000, 0)</f>
        <v>0</v>
      </c>
      <c r="R233" s="14">
        <f>IF(ISNUMBER('Refsz-Verbräuche'!R68), 'Refsz-Verbräuche'!R68*Emissionsfaktoren!Q68/1000, 0)</f>
        <v>0</v>
      </c>
      <c r="S233" s="14">
        <f>IF(ISNUMBER('Refsz-Verbräuche'!S68), 'Refsz-Verbräuche'!S68*Emissionsfaktoren!R68/1000, 0)</f>
        <v>0</v>
      </c>
      <c r="T233" s="14">
        <f>IF(ISNUMBER('Refsz-Verbräuche'!T68), 'Refsz-Verbräuche'!T68*Emissionsfaktoren!S68/1000, 0)</f>
        <v>0</v>
      </c>
      <c r="U233" s="14">
        <f>IF(ISNUMBER('Refsz-Verbräuche'!U68), 'Refsz-Verbräuche'!U68*Emissionsfaktoren!T68/1000, 0)</f>
        <v>0</v>
      </c>
      <c r="V233" s="14">
        <f>IF(ISNUMBER('Refsz-Verbräuche'!V68), 'Refsz-Verbräuche'!V68*Emissionsfaktoren!U68/1000, 0)</f>
        <v>0</v>
      </c>
      <c r="W233" s="14">
        <f>IF(ISNUMBER('Refsz-Verbräuche'!W68), 'Refsz-Verbräuche'!W68*Emissionsfaktoren!V68/1000, 0)</f>
        <v>0</v>
      </c>
      <c r="X233" s="14">
        <f>IF(ISNUMBER('Refsz-Verbräuche'!X68), 'Refsz-Verbräuche'!X68*Emissionsfaktoren!W68/1000, 0)</f>
        <v>0</v>
      </c>
      <c r="Y233" s="14">
        <f>IF(ISNUMBER('Refsz-Verbräuche'!Y68), 'Refsz-Verbräuche'!Y68*Emissionsfaktoren!X68/1000, 0)</f>
        <v>0</v>
      </c>
    </row>
    <row r="234" spans="2:25" ht="16.5">
      <c r="B234" s="14">
        <v>52</v>
      </c>
      <c r="C234" s="14" t="str">
        <f>'Refsz-Verbräuche'!C69</f>
        <v>Mobilität 1</v>
      </c>
      <c r="D234" s="19" t="str">
        <f>'Refsz-Verbräuche'!D69</f>
        <v>DR - E-Bike</v>
      </c>
      <c r="E234" t="s">
        <v>195</v>
      </c>
      <c r="F234" s="14">
        <f>IF(ISNUMBER('Refsz-Verbräuche'!F69), 'Refsz-Verbräuche'!F69*Emissionsfaktoren!E69/1000, 0)</f>
        <v>0</v>
      </c>
      <c r="G234" s="14">
        <f>IF(ISNUMBER('Refsz-Verbräuche'!G69), 'Refsz-Verbräuche'!G69*Emissionsfaktoren!F69/1000, 0)</f>
        <v>0</v>
      </c>
      <c r="H234" s="14">
        <f>IF(ISNUMBER('Refsz-Verbräuche'!H69), 'Refsz-Verbräuche'!H69*Emissionsfaktoren!G69/1000, 0)</f>
        <v>0</v>
      </c>
      <c r="I234" s="14">
        <f>IF(ISNUMBER('Refsz-Verbräuche'!I69), 'Refsz-Verbräuche'!I69*Emissionsfaktoren!H69/1000, 0)</f>
        <v>0</v>
      </c>
      <c r="J234" s="14">
        <f>IF(ISNUMBER('Refsz-Verbräuche'!J69), 'Refsz-Verbräuche'!J69*Emissionsfaktoren!I69/1000, 0)</f>
        <v>0</v>
      </c>
      <c r="K234" s="14">
        <f>IF(ISNUMBER('Refsz-Verbräuche'!K69), 'Refsz-Verbräuche'!K69*Emissionsfaktoren!J69/1000, 0)</f>
        <v>0</v>
      </c>
      <c r="L234" s="14">
        <f>IF(ISNUMBER('Refsz-Verbräuche'!L69), 'Refsz-Verbräuche'!L69*Emissionsfaktoren!K69/1000, 0)</f>
        <v>0</v>
      </c>
      <c r="M234" s="14">
        <f>IF(ISNUMBER('Refsz-Verbräuche'!M69), 'Refsz-Verbräuche'!M69*Emissionsfaktoren!L69/1000, 0)</f>
        <v>0</v>
      </c>
      <c r="N234" s="14">
        <f>IF(ISNUMBER('Refsz-Verbräuche'!N69), 'Refsz-Verbräuche'!N69*Emissionsfaktoren!M69/1000, 0)</f>
        <v>0</v>
      </c>
      <c r="O234" s="14">
        <f>IF(ISNUMBER('Refsz-Verbräuche'!O69), 'Refsz-Verbräuche'!O69*Emissionsfaktoren!N69/1000, 0)</f>
        <v>0</v>
      </c>
      <c r="P234" s="14">
        <f>IF(ISNUMBER('Refsz-Verbräuche'!P69), 'Refsz-Verbräuche'!P69*Emissionsfaktoren!O69/1000, 0)</f>
        <v>0</v>
      </c>
      <c r="Q234" s="14">
        <f>IF(ISNUMBER('Refsz-Verbräuche'!Q69), 'Refsz-Verbräuche'!Q69*Emissionsfaktoren!P69/1000, 0)</f>
        <v>0</v>
      </c>
      <c r="R234" s="14">
        <f>IF(ISNUMBER('Refsz-Verbräuche'!R69), 'Refsz-Verbräuche'!R69*Emissionsfaktoren!Q69/1000, 0)</f>
        <v>0</v>
      </c>
      <c r="S234" s="14">
        <f>IF(ISNUMBER('Refsz-Verbräuche'!S69), 'Refsz-Verbräuche'!S69*Emissionsfaktoren!R69/1000, 0)</f>
        <v>0</v>
      </c>
      <c r="T234" s="14">
        <f>IF(ISNUMBER('Refsz-Verbräuche'!T69), 'Refsz-Verbräuche'!T69*Emissionsfaktoren!S69/1000, 0)</f>
        <v>0</v>
      </c>
      <c r="U234" s="14">
        <f>IF(ISNUMBER('Refsz-Verbräuche'!U69), 'Refsz-Verbräuche'!U69*Emissionsfaktoren!T69/1000, 0)</f>
        <v>0</v>
      </c>
      <c r="V234" s="14">
        <f>IF(ISNUMBER('Refsz-Verbräuche'!V69), 'Refsz-Verbräuche'!V69*Emissionsfaktoren!U69/1000, 0)</f>
        <v>0</v>
      </c>
      <c r="W234" s="14">
        <f>IF(ISNUMBER('Refsz-Verbräuche'!W69), 'Refsz-Verbräuche'!W69*Emissionsfaktoren!V69/1000, 0)</f>
        <v>0</v>
      </c>
      <c r="X234" s="14">
        <f>IF(ISNUMBER('Refsz-Verbräuche'!X69), 'Refsz-Verbräuche'!X69*Emissionsfaktoren!W69/1000, 0)</f>
        <v>0</v>
      </c>
      <c r="Y234" s="14">
        <f>IF(ISNUMBER('Refsz-Verbräuche'!Y69), 'Refsz-Verbräuche'!Y69*Emissionsfaktoren!X69/1000, 0)</f>
        <v>0</v>
      </c>
    </row>
    <row r="235" spans="2:25" ht="16.5">
      <c r="B235" s="14">
        <v>53</v>
      </c>
      <c r="C235" s="14" t="str">
        <f>'Refsz-Verbräuche'!C70</f>
        <v>Mobilität 1</v>
      </c>
      <c r="D235" s="19" t="str">
        <f>'Refsz-Verbräuche'!D70</f>
        <v>DR - Fahrrad</v>
      </c>
      <c r="E235" t="s">
        <v>195</v>
      </c>
      <c r="F235" s="14">
        <f>IF(ISNUMBER('Refsz-Verbräuche'!F70), 'Refsz-Verbräuche'!F70*Emissionsfaktoren!E70/1000, 0)</f>
        <v>0</v>
      </c>
      <c r="G235" s="14">
        <f>IF(ISNUMBER('Refsz-Verbräuche'!G70), 'Refsz-Verbräuche'!G70*Emissionsfaktoren!F70/1000, 0)</f>
        <v>0</v>
      </c>
      <c r="H235" s="14">
        <f>IF(ISNUMBER('Refsz-Verbräuche'!H70), 'Refsz-Verbräuche'!H70*Emissionsfaktoren!G70/1000, 0)</f>
        <v>0</v>
      </c>
      <c r="I235" s="14">
        <f>IF(ISNUMBER('Refsz-Verbräuche'!I70), 'Refsz-Verbräuche'!I70*Emissionsfaktoren!H70/1000, 0)</f>
        <v>0</v>
      </c>
      <c r="J235" s="14">
        <f>IF(ISNUMBER('Refsz-Verbräuche'!J70), 'Refsz-Verbräuche'!J70*Emissionsfaktoren!I70/1000, 0)</f>
        <v>0</v>
      </c>
      <c r="K235" s="14">
        <f>IF(ISNUMBER('Refsz-Verbräuche'!K70), 'Refsz-Verbräuche'!K70*Emissionsfaktoren!J70/1000, 0)</f>
        <v>0</v>
      </c>
      <c r="L235" s="14">
        <f>IF(ISNUMBER('Refsz-Verbräuche'!L70), 'Refsz-Verbräuche'!L70*Emissionsfaktoren!K70/1000, 0)</f>
        <v>0</v>
      </c>
      <c r="M235" s="14">
        <f>IF(ISNUMBER('Refsz-Verbräuche'!M70), 'Refsz-Verbräuche'!M70*Emissionsfaktoren!L70/1000, 0)</f>
        <v>0</v>
      </c>
      <c r="N235" s="14">
        <f>IF(ISNUMBER('Refsz-Verbräuche'!N70), 'Refsz-Verbräuche'!N70*Emissionsfaktoren!M70/1000, 0)</f>
        <v>0</v>
      </c>
      <c r="O235" s="14">
        <f>IF(ISNUMBER('Refsz-Verbräuche'!O70), 'Refsz-Verbräuche'!O70*Emissionsfaktoren!N70/1000, 0)</f>
        <v>0</v>
      </c>
      <c r="P235" s="14">
        <f>IF(ISNUMBER('Refsz-Verbräuche'!P70), 'Refsz-Verbräuche'!P70*Emissionsfaktoren!O70/1000, 0)</f>
        <v>0</v>
      </c>
      <c r="Q235" s="14">
        <f>IF(ISNUMBER('Refsz-Verbräuche'!Q70), 'Refsz-Verbräuche'!Q70*Emissionsfaktoren!P70/1000, 0)</f>
        <v>0</v>
      </c>
      <c r="R235" s="14">
        <f>IF(ISNUMBER('Refsz-Verbräuche'!R70), 'Refsz-Verbräuche'!R70*Emissionsfaktoren!Q70/1000, 0)</f>
        <v>0</v>
      </c>
      <c r="S235" s="14">
        <f>IF(ISNUMBER('Refsz-Verbräuche'!S70), 'Refsz-Verbräuche'!S70*Emissionsfaktoren!R70/1000, 0)</f>
        <v>0</v>
      </c>
      <c r="T235" s="14">
        <f>IF(ISNUMBER('Refsz-Verbräuche'!T70), 'Refsz-Verbräuche'!T70*Emissionsfaktoren!S70/1000, 0)</f>
        <v>0</v>
      </c>
      <c r="U235" s="14">
        <f>IF(ISNUMBER('Refsz-Verbräuche'!U70), 'Refsz-Verbräuche'!U70*Emissionsfaktoren!T70/1000, 0)</f>
        <v>0</v>
      </c>
      <c r="V235" s="14">
        <f>IF(ISNUMBER('Refsz-Verbräuche'!V70), 'Refsz-Verbräuche'!V70*Emissionsfaktoren!U70/1000, 0)</f>
        <v>0</v>
      </c>
      <c r="W235" s="14">
        <f>IF(ISNUMBER('Refsz-Verbräuche'!W70), 'Refsz-Verbräuche'!W70*Emissionsfaktoren!V70/1000, 0)</f>
        <v>0</v>
      </c>
      <c r="X235" s="14">
        <f>IF(ISNUMBER('Refsz-Verbräuche'!X70), 'Refsz-Verbräuche'!X70*Emissionsfaktoren!W70/1000, 0)</f>
        <v>0</v>
      </c>
      <c r="Y235" s="14">
        <f>IF(ISNUMBER('Refsz-Verbräuche'!Y70), 'Refsz-Verbräuche'!Y70*Emissionsfaktoren!X70/1000, 0)</f>
        <v>0</v>
      </c>
    </row>
    <row r="236" spans="2:25" ht="16.5">
      <c r="B236" s="14">
        <v>54</v>
      </c>
      <c r="C236" s="14">
        <f>'Refsz-Verbräuche'!C71</f>
        <v>0</v>
      </c>
      <c r="D236" s="19">
        <f>'Refsz-Verbräuche'!D71</f>
        <v>0</v>
      </c>
      <c r="E236" t="s">
        <v>195</v>
      </c>
      <c r="F236" s="14">
        <f>IF(ISNUMBER('Refsz-Verbräuche'!F71), 'Refsz-Verbräuche'!F71*Emissionsfaktoren!E71/1000, 0)</f>
        <v>0</v>
      </c>
      <c r="G236" s="14">
        <f>IF(ISNUMBER('Refsz-Verbräuche'!G71), 'Refsz-Verbräuche'!G71*Emissionsfaktoren!F71/1000, 0)</f>
        <v>0</v>
      </c>
      <c r="H236" s="14">
        <f>IF(ISNUMBER('Refsz-Verbräuche'!H71), 'Refsz-Verbräuche'!H71*Emissionsfaktoren!G71/1000, 0)</f>
        <v>0</v>
      </c>
      <c r="I236" s="14">
        <f>IF(ISNUMBER('Refsz-Verbräuche'!I71), 'Refsz-Verbräuche'!I71*Emissionsfaktoren!H71/1000, 0)</f>
        <v>0</v>
      </c>
      <c r="J236" s="14">
        <f>IF(ISNUMBER('Refsz-Verbräuche'!J71), 'Refsz-Verbräuche'!J71*Emissionsfaktoren!I71/1000, 0)</f>
        <v>0</v>
      </c>
      <c r="K236" s="14">
        <f>IF(ISNUMBER('Refsz-Verbräuche'!K71), 'Refsz-Verbräuche'!K71*Emissionsfaktoren!J71/1000, 0)</f>
        <v>0</v>
      </c>
      <c r="L236" s="14">
        <f>IF(ISNUMBER('Refsz-Verbräuche'!L71), 'Refsz-Verbräuche'!L71*Emissionsfaktoren!K71/1000, 0)</f>
        <v>0</v>
      </c>
      <c r="M236" s="14">
        <f>IF(ISNUMBER('Refsz-Verbräuche'!M71), 'Refsz-Verbräuche'!M71*Emissionsfaktoren!L71/1000, 0)</f>
        <v>0</v>
      </c>
      <c r="N236" s="14">
        <f>IF(ISNUMBER('Refsz-Verbräuche'!N71), 'Refsz-Verbräuche'!N71*Emissionsfaktoren!M71/1000, 0)</f>
        <v>0</v>
      </c>
      <c r="O236" s="14">
        <f>IF(ISNUMBER('Refsz-Verbräuche'!O71), 'Refsz-Verbräuche'!O71*Emissionsfaktoren!N71/1000, 0)</f>
        <v>0</v>
      </c>
      <c r="P236" s="14">
        <f>IF(ISNUMBER('Refsz-Verbräuche'!P71), 'Refsz-Verbräuche'!P71*Emissionsfaktoren!O71/1000, 0)</f>
        <v>0</v>
      </c>
      <c r="Q236" s="14">
        <f>IF(ISNUMBER('Refsz-Verbräuche'!Q71), 'Refsz-Verbräuche'!Q71*Emissionsfaktoren!P71/1000, 0)</f>
        <v>0</v>
      </c>
      <c r="R236" s="14">
        <f>IF(ISNUMBER('Refsz-Verbräuche'!R71), 'Refsz-Verbräuche'!R71*Emissionsfaktoren!Q71/1000, 0)</f>
        <v>0</v>
      </c>
      <c r="S236" s="14">
        <f>IF(ISNUMBER('Refsz-Verbräuche'!S71), 'Refsz-Verbräuche'!S71*Emissionsfaktoren!R71/1000, 0)</f>
        <v>0</v>
      </c>
      <c r="T236" s="14">
        <f>IF(ISNUMBER('Refsz-Verbräuche'!T71), 'Refsz-Verbräuche'!T71*Emissionsfaktoren!S71/1000, 0)</f>
        <v>0</v>
      </c>
      <c r="U236" s="14">
        <f>IF(ISNUMBER('Refsz-Verbräuche'!U71), 'Refsz-Verbräuche'!U71*Emissionsfaktoren!T71/1000, 0)</f>
        <v>0</v>
      </c>
      <c r="V236" s="14">
        <f>IF(ISNUMBER('Refsz-Verbräuche'!V71), 'Refsz-Verbräuche'!V71*Emissionsfaktoren!U71/1000, 0)</f>
        <v>0</v>
      </c>
      <c r="W236" s="14">
        <f>IF(ISNUMBER('Refsz-Verbräuche'!W71), 'Refsz-Verbräuche'!W71*Emissionsfaktoren!V71/1000, 0)</f>
        <v>0</v>
      </c>
      <c r="X236" s="14">
        <f>IF(ISNUMBER('Refsz-Verbräuche'!X71), 'Refsz-Verbräuche'!X71*Emissionsfaktoren!W71/1000, 0)</f>
        <v>0</v>
      </c>
      <c r="Y236" s="14">
        <f>IF(ISNUMBER('Refsz-Verbräuche'!Y71), 'Refsz-Verbräuche'!Y71*Emissionsfaktoren!X71/1000, 0)</f>
        <v>0</v>
      </c>
    </row>
    <row r="237" spans="2:25" ht="16.5">
      <c r="B237" s="14">
        <v>55</v>
      </c>
      <c r="C237" s="14" t="str">
        <f>'Refsz-Verbräuche'!C72</f>
        <v>Mobilität 1</v>
      </c>
      <c r="D237" s="19" t="str">
        <f>'Refsz-Verbräuche'!D72</f>
        <v>Studierendenreisen (Outgoing) - Flugreisen</v>
      </c>
      <c r="E237" t="s">
        <v>195</v>
      </c>
      <c r="F237" s="14">
        <f>IF(ISNUMBER('Refsz-Verbräuche'!F72), 'Refsz-Verbräuche'!F72*Emissionsfaktoren!E72/1000, 0)</f>
        <v>0</v>
      </c>
      <c r="G237" s="14">
        <f>IF(ISNUMBER('Refsz-Verbräuche'!G72), 'Refsz-Verbräuche'!G72*Emissionsfaktoren!F72/1000, 0)</f>
        <v>0</v>
      </c>
      <c r="H237" s="14">
        <f>IF(ISNUMBER('Refsz-Verbräuche'!H72), 'Refsz-Verbräuche'!H72*Emissionsfaktoren!G72/1000, 0)</f>
        <v>0</v>
      </c>
      <c r="I237" s="14">
        <f>IF(ISNUMBER('Refsz-Verbräuche'!I72), 'Refsz-Verbräuche'!I72*Emissionsfaktoren!H72/1000, 0)</f>
        <v>0</v>
      </c>
      <c r="J237" s="14">
        <f>IF(ISNUMBER('Refsz-Verbräuche'!J72), 'Refsz-Verbräuche'!J72*Emissionsfaktoren!I72/1000, 0)</f>
        <v>0</v>
      </c>
      <c r="K237" s="14">
        <f>IF(ISNUMBER('Refsz-Verbräuche'!K72), 'Refsz-Verbräuche'!K72*Emissionsfaktoren!J72/1000, 0)</f>
        <v>0</v>
      </c>
      <c r="L237" s="14">
        <f>IF(ISNUMBER('Refsz-Verbräuche'!L72), 'Refsz-Verbräuche'!L72*Emissionsfaktoren!K72/1000, 0)</f>
        <v>0</v>
      </c>
      <c r="M237" s="14">
        <f>IF(ISNUMBER('Refsz-Verbräuche'!M72), 'Refsz-Verbräuche'!M72*Emissionsfaktoren!L72/1000, 0)</f>
        <v>0</v>
      </c>
      <c r="N237" s="14">
        <f>IF(ISNUMBER('Refsz-Verbräuche'!N72), 'Refsz-Verbräuche'!N72*Emissionsfaktoren!M72/1000, 0)</f>
        <v>0</v>
      </c>
      <c r="O237" s="14">
        <f>IF(ISNUMBER('Refsz-Verbräuche'!O72), 'Refsz-Verbräuche'!O72*Emissionsfaktoren!N72/1000, 0)</f>
        <v>0</v>
      </c>
      <c r="P237" s="14">
        <f>IF(ISNUMBER('Refsz-Verbräuche'!P72), 'Refsz-Verbräuche'!P72*Emissionsfaktoren!O72/1000, 0)</f>
        <v>0</v>
      </c>
      <c r="Q237" s="14">
        <f>IF(ISNUMBER('Refsz-Verbräuche'!Q72), 'Refsz-Verbräuche'!Q72*Emissionsfaktoren!P72/1000, 0)</f>
        <v>0</v>
      </c>
      <c r="R237" s="14">
        <f>IF(ISNUMBER('Refsz-Verbräuche'!R72), 'Refsz-Verbräuche'!R72*Emissionsfaktoren!Q72/1000, 0)</f>
        <v>0</v>
      </c>
      <c r="S237" s="14">
        <f>IF(ISNUMBER('Refsz-Verbräuche'!S72), 'Refsz-Verbräuche'!S72*Emissionsfaktoren!R72/1000, 0)</f>
        <v>0</v>
      </c>
      <c r="T237" s="14">
        <f>IF(ISNUMBER('Refsz-Verbräuche'!T72), 'Refsz-Verbräuche'!T72*Emissionsfaktoren!S72/1000, 0)</f>
        <v>0</v>
      </c>
      <c r="U237" s="14">
        <f>IF(ISNUMBER('Refsz-Verbräuche'!U72), 'Refsz-Verbräuche'!U72*Emissionsfaktoren!T72/1000, 0)</f>
        <v>0</v>
      </c>
      <c r="V237" s="14">
        <f>IF(ISNUMBER('Refsz-Verbräuche'!V72), 'Refsz-Verbräuche'!V72*Emissionsfaktoren!U72/1000, 0)</f>
        <v>0</v>
      </c>
      <c r="W237" s="14">
        <f>IF(ISNUMBER('Refsz-Verbräuche'!W72), 'Refsz-Verbräuche'!W72*Emissionsfaktoren!V72/1000, 0)</f>
        <v>0</v>
      </c>
      <c r="X237" s="14">
        <f>IF(ISNUMBER('Refsz-Verbräuche'!X72), 'Refsz-Verbräuche'!X72*Emissionsfaktoren!W72/1000, 0)</f>
        <v>0</v>
      </c>
      <c r="Y237" s="14">
        <f>IF(ISNUMBER('Refsz-Verbräuche'!Y72), 'Refsz-Verbräuche'!Y72*Emissionsfaktoren!X72/1000, 0)</f>
        <v>0</v>
      </c>
    </row>
    <row r="238" spans="2:25" ht="16.5">
      <c r="B238" s="14">
        <v>56</v>
      </c>
      <c r="C238" s="14" t="str">
        <f>'Refsz-Verbräuche'!C73</f>
        <v>Mobilität 1</v>
      </c>
      <c r="D238" s="19" t="str">
        <f>'Refsz-Verbräuche'!D73</f>
        <v>Studierendenreisen (Outgoing) - Eisenbahn (Nahverkehr)</v>
      </c>
      <c r="E238" t="s">
        <v>195</v>
      </c>
      <c r="F238" s="14">
        <f>IF(ISNUMBER('Refsz-Verbräuche'!F73), 'Refsz-Verbräuche'!F73*Emissionsfaktoren!E73/1000, 0)</f>
        <v>0</v>
      </c>
      <c r="G238" s="14">
        <f>IF(ISNUMBER('Refsz-Verbräuche'!G73), 'Refsz-Verbräuche'!G73*Emissionsfaktoren!F73/1000, 0)</f>
        <v>0</v>
      </c>
      <c r="H238" s="14">
        <f>IF(ISNUMBER('Refsz-Verbräuche'!H73), 'Refsz-Verbräuche'!H73*Emissionsfaktoren!G73/1000, 0)</f>
        <v>0</v>
      </c>
      <c r="I238" s="14">
        <f>IF(ISNUMBER('Refsz-Verbräuche'!I73), 'Refsz-Verbräuche'!I73*Emissionsfaktoren!H73/1000, 0)</f>
        <v>0</v>
      </c>
      <c r="J238" s="14">
        <f>IF(ISNUMBER('Refsz-Verbräuche'!J73), 'Refsz-Verbräuche'!J73*Emissionsfaktoren!I73/1000, 0)</f>
        <v>0</v>
      </c>
      <c r="K238" s="14">
        <f>IF(ISNUMBER('Refsz-Verbräuche'!K73), 'Refsz-Verbräuche'!K73*Emissionsfaktoren!J73/1000, 0)</f>
        <v>0</v>
      </c>
      <c r="L238" s="14">
        <f>IF(ISNUMBER('Refsz-Verbräuche'!L73), 'Refsz-Verbräuche'!L73*Emissionsfaktoren!K73/1000, 0)</f>
        <v>0</v>
      </c>
      <c r="M238" s="14">
        <f>IF(ISNUMBER('Refsz-Verbräuche'!M73), 'Refsz-Verbräuche'!M73*Emissionsfaktoren!L73/1000, 0)</f>
        <v>0</v>
      </c>
      <c r="N238" s="14">
        <f>IF(ISNUMBER('Refsz-Verbräuche'!N73), 'Refsz-Verbräuche'!N73*Emissionsfaktoren!M73/1000, 0)</f>
        <v>0</v>
      </c>
      <c r="O238" s="14">
        <f>IF(ISNUMBER('Refsz-Verbräuche'!O73), 'Refsz-Verbräuche'!O73*Emissionsfaktoren!N73/1000, 0)</f>
        <v>0</v>
      </c>
      <c r="P238" s="14">
        <f>IF(ISNUMBER('Refsz-Verbräuche'!P73), 'Refsz-Verbräuche'!P73*Emissionsfaktoren!O73/1000, 0)</f>
        <v>0</v>
      </c>
      <c r="Q238" s="14">
        <f>IF(ISNUMBER('Refsz-Verbräuche'!Q73), 'Refsz-Verbräuche'!Q73*Emissionsfaktoren!P73/1000, 0)</f>
        <v>0</v>
      </c>
      <c r="R238" s="14">
        <f>IF(ISNUMBER('Refsz-Verbräuche'!R73), 'Refsz-Verbräuche'!R73*Emissionsfaktoren!Q73/1000, 0)</f>
        <v>0</v>
      </c>
      <c r="S238" s="14">
        <f>IF(ISNUMBER('Refsz-Verbräuche'!S73), 'Refsz-Verbräuche'!S73*Emissionsfaktoren!R73/1000, 0)</f>
        <v>0</v>
      </c>
      <c r="T238" s="14">
        <f>IF(ISNUMBER('Refsz-Verbräuche'!T73), 'Refsz-Verbräuche'!T73*Emissionsfaktoren!S73/1000, 0)</f>
        <v>0</v>
      </c>
      <c r="U238" s="14">
        <f>IF(ISNUMBER('Refsz-Verbräuche'!U73), 'Refsz-Verbräuche'!U73*Emissionsfaktoren!T73/1000, 0)</f>
        <v>0</v>
      </c>
      <c r="V238" s="14">
        <f>IF(ISNUMBER('Refsz-Verbräuche'!V73), 'Refsz-Verbräuche'!V73*Emissionsfaktoren!U73/1000, 0)</f>
        <v>0</v>
      </c>
      <c r="W238" s="14">
        <f>IF(ISNUMBER('Refsz-Verbräuche'!W73), 'Refsz-Verbräuche'!W73*Emissionsfaktoren!V73/1000, 0)</f>
        <v>0</v>
      </c>
      <c r="X238" s="14">
        <f>IF(ISNUMBER('Refsz-Verbräuche'!X73), 'Refsz-Verbräuche'!X73*Emissionsfaktoren!W73/1000, 0)</f>
        <v>0</v>
      </c>
      <c r="Y238" s="14">
        <f>IF(ISNUMBER('Refsz-Verbräuche'!Y73), 'Refsz-Verbräuche'!Y73*Emissionsfaktoren!X73/1000, 0)</f>
        <v>0</v>
      </c>
    </row>
    <row r="239" spans="2:25" ht="16.5">
      <c r="B239" s="14">
        <v>57</v>
      </c>
      <c r="C239" s="14" t="str">
        <f>'Refsz-Verbräuche'!C74</f>
        <v>Mobilität 1</v>
      </c>
      <c r="D239" s="19" t="str">
        <f>'Refsz-Verbräuche'!D74</f>
        <v>Studierendenreisen (Outgoing) - Privater PKW (alle Antriebsarten)</v>
      </c>
      <c r="E239" t="s">
        <v>195</v>
      </c>
      <c r="F239" s="14">
        <f>IF(ISNUMBER('Refsz-Verbräuche'!F74), 'Refsz-Verbräuche'!F74*Emissionsfaktoren!E74/1000, 0)</f>
        <v>0</v>
      </c>
      <c r="G239" s="14">
        <f>IF(ISNUMBER('Refsz-Verbräuche'!G74), 'Refsz-Verbräuche'!G74*Emissionsfaktoren!F74/1000, 0)</f>
        <v>0</v>
      </c>
      <c r="H239" s="14">
        <f>IF(ISNUMBER('Refsz-Verbräuche'!H74), 'Refsz-Verbräuche'!H74*Emissionsfaktoren!G74/1000, 0)</f>
        <v>0</v>
      </c>
      <c r="I239" s="14">
        <f>IF(ISNUMBER('Refsz-Verbräuche'!I74), 'Refsz-Verbräuche'!I74*Emissionsfaktoren!H74/1000, 0)</f>
        <v>0</v>
      </c>
      <c r="J239" s="14">
        <f>IF(ISNUMBER('Refsz-Verbräuche'!J74), 'Refsz-Verbräuche'!J74*Emissionsfaktoren!I74/1000, 0)</f>
        <v>0</v>
      </c>
      <c r="K239" s="14">
        <f>IF(ISNUMBER('Refsz-Verbräuche'!K74), 'Refsz-Verbräuche'!K74*Emissionsfaktoren!J74/1000, 0)</f>
        <v>0</v>
      </c>
      <c r="L239" s="14">
        <f>IF(ISNUMBER('Refsz-Verbräuche'!L74), 'Refsz-Verbräuche'!L74*Emissionsfaktoren!K74/1000, 0)</f>
        <v>0</v>
      </c>
      <c r="M239" s="14">
        <f>IF(ISNUMBER('Refsz-Verbräuche'!M74), 'Refsz-Verbräuche'!M74*Emissionsfaktoren!L74/1000, 0)</f>
        <v>0</v>
      </c>
      <c r="N239" s="14">
        <f>IF(ISNUMBER('Refsz-Verbräuche'!N74), 'Refsz-Verbräuche'!N74*Emissionsfaktoren!M74/1000, 0)</f>
        <v>0</v>
      </c>
      <c r="O239" s="14">
        <f>IF(ISNUMBER('Refsz-Verbräuche'!O74), 'Refsz-Verbräuche'!O74*Emissionsfaktoren!N74/1000, 0)</f>
        <v>0</v>
      </c>
      <c r="P239" s="14">
        <f>IF(ISNUMBER('Refsz-Verbräuche'!P74), 'Refsz-Verbräuche'!P74*Emissionsfaktoren!O74/1000, 0)</f>
        <v>0</v>
      </c>
      <c r="Q239" s="14">
        <f>IF(ISNUMBER('Refsz-Verbräuche'!Q74), 'Refsz-Verbräuche'!Q74*Emissionsfaktoren!P74/1000, 0)</f>
        <v>0</v>
      </c>
      <c r="R239" s="14">
        <f>IF(ISNUMBER('Refsz-Verbräuche'!R74), 'Refsz-Verbräuche'!R74*Emissionsfaktoren!Q74/1000, 0)</f>
        <v>0</v>
      </c>
      <c r="S239" s="14">
        <f>IF(ISNUMBER('Refsz-Verbräuche'!S74), 'Refsz-Verbräuche'!S74*Emissionsfaktoren!R74/1000, 0)</f>
        <v>0</v>
      </c>
      <c r="T239" s="14">
        <f>IF(ISNUMBER('Refsz-Verbräuche'!T74), 'Refsz-Verbräuche'!T74*Emissionsfaktoren!S74/1000, 0)</f>
        <v>0</v>
      </c>
      <c r="U239" s="14">
        <f>IF(ISNUMBER('Refsz-Verbräuche'!U74), 'Refsz-Verbräuche'!U74*Emissionsfaktoren!T74/1000, 0)</f>
        <v>0</v>
      </c>
      <c r="V239" s="14">
        <f>IF(ISNUMBER('Refsz-Verbräuche'!V74), 'Refsz-Verbräuche'!V74*Emissionsfaktoren!U74/1000, 0)</f>
        <v>0</v>
      </c>
      <c r="W239" s="14">
        <f>IF(ISNUMBER('Refsz-Verbräuche'!W74), 'Refsz-Verbräuche'!W74*Emissionsfaktoren!V74/1000, 0)</f>
        <v>0</v>
      </c>
      <c r="X239" s="14">
        <f>IF(ISNUMBER('Refsz-Verbräuche'!X74), 'Refsz-Verbräuche'!X74*Emissionsfaktoren!W74/1000, 0)</f>
        <v>0</v>
      </c>
      <c r="Y239" s="14">
        <f>IF(ISNUMBER('Refsz-Verbräuche'!Y74), 'Refsz-Verbräuche'!Y74*Emissionsfaktoren!X74/1000, 0)</f>
        <v>0</v>
      </c>
    </row>
    <row r="240" spans="2:25" ht="16.5">
      <c r="B240" s="14">
        <v>58</v>
      </c>
      <c r="C240" s="14">
        <f>'Refsz-Verbräuche'!C75</f>
        <v>0</v>
      </c>
      <c r="D240" s="19">
        <f>'Refsz-Verbräuche'!D75</f>
        <v>0</v>
      </c>
      <c r="E240" t="s">
        <v>195</v>
      </c>
      <c r="F240" s="14">
        <f>IF(ISNUMBER('Refsz-Verbräuche'!F75), 'Refsz-Verbräuche'!F75*Emissionsfaktoren!E75/1000, 0)</f>
        <v>0</v>
      </c>
      <c r="G240" s="14">
        <f>IF(ISNUMBER('Refsz-Verbräuche'!G75), 'Refsz-Verbräuche'!G75*Emissionsfaktoren!F75/1000, 0)</f>
        <v>0</v>
      </c>
      <c r="H240" s="14">
        <f>IF(ISNUMBER('Refsz-Verbräuche'!H75), 'Refsz-Verbräuche'!H75*Emissionsfaktoren!G75/1000, 0)</f>
        <v>0</v>
      </c>
      <c r="I240" s="14">
        <f>IF(ISNUMBER('Refsz-Verbräuche'!I75), 'Refsz-Verbräuche'!I75*Emissionsfaktoren!H75/1000, 0)</f>
        <v>0</v>
      </c>
      <c r="J240" s="14">
        <f>IF(ISNUMBER('Refsz-Verbräuche'!J75), 'Refsz-Verbräuche'!J75*Emissionsfaktoren!I75/1000, 0)</f>
        <v>0</v>
      </c>
      <c r="K240" s="14">
        <f>IF(ISNUMBER('Refsz-Verbräuche'!K75), 'Refsz-Verbräuche'!K75*Emissionsfaktoren!J75/1000, 0)</f>
        <v>0</v>
      </c>
      <c r="L240" s="14">
        <f>IF(ISNUMBER('Refsz-Verbräuche'!L75), 'Refsz-Verbräuche'!L75*Emissionsfaktoren!K75/1000, 0)</f>
        <v>0</v>
      </c>
      <c r="M240" s="14">
        <f>IF(ISNUMBER('Refsz-Verbräuche'!M75), 'Refsz-Verbräuche'!M75*Emissionsfaktoren!L75/1000, 0)</f>
        <v>0</v>
      </c>
      <c r="N240" s="14">
        <f>IF(ISNUMBER('Refsz-Verbräuche'!N75), 'Refsz-Verbräuche'!N75*Emissionsfaktoren!M75/1000, 0)</f>
        <v>0</v>
      </c>
      <c r="O240" s="14">
        <f>IF(ISNUMBER('Refsz-Verbräuche'!O75), 'Refsz-Verbräuche'!O75*Emissionsfaktoren!N75/1000, 0)</f>
        <v>0</v>
      </c>
      <c r="P240" s="14">
        <f>IF(ISNUMBER('Refsz-Verbräuche'!P75), 'Refsz-Verbräuche'!P75*Emissionsfaktoren!O75/1000, 0)</f>
        <v>0</v>
      </c>
      <c r="Q240" s="14">
        <f>IF(ISNUMBER('Refsz-Verbräuche'!Q75), 'Refsz-Verbräuche'!Q75*Emissionsfaktoren!P75/1000, 0)</f>
        <v>0</v>
      </c>
      <c r="R240" s="14">
        <f>IF(ISNUMBER('Refsz-Verbräuche'!R75), 'Refsz-Verbräuche'!R75*Emissionsfaktoren!Q75/1000, 0)</f>
        <v>0</v>
      </c>
      <c r="S240" s="14">
        <f>IF(ISNUMBER('Refsz-Verbräuche'!S75), 'Refsz-Verbräuche'!S75*Emissionsfaktoren!R75/1000, 0)</f>
        <v>0</v>
      </c>
      <c r="T240" s="14">
        <f>IF(ISNUMBER('Refsz-Verbräuche'!T75), 'Refsz-Verbräuche'!T75*Emissionsfaktoren!S75/1000, 0)</f>
        <v>0</v>
      </c>
      <c r="U240" s="14">
        <f>IF(ISNUMBER('Refsz-Verbräuche'!U75), 'Refsz-Verbräuche'!U75*Emissionsfaktoren!T75/1000, 0)</f>
        <v>0</v>
      </c>
      <c r="V240" s="14">
        <f>IF(ISNUMBER('Refsz-Verbräuche'!V75), 'Refsz-Verbräuche'!V75*Emissionsfaktoren!U75/1000, 0)</f>
        <v>0</v>
      </c>
      <c r="W240" s="14">
        <f>IF(ISNUMBER('Refsz-Verbräuche'!W75), 'Refsz-Verbräuche'!W75*Emissionsfaktoren!V75/1000, 0)</f>
        <v>0</v>
      </c>
      <c r="X240" s="14">
        <f>IF(ISNUMBER('Refsz-Verbräuche'!X75), 'Refsz-Verbräuche'!X75*Emissionsfaktoren!W75/1000, 0)</f>
        <v>0</v>
      </c>
      <c r="Y240" s="14">
        <f>IF(ISNUMBER('Refsz-Verbräuche'!Y75), 'Refsz-Verbräuche'!Y75*Emissionsfaktoren!X75/1000, 0)</f>
        <v>0</v>
      </c>
    </row>
    <row r="241" spans="2:25" ht="16.5">
      <c r="B241" s="14">
        <v>59</v>
      </c>
      <c r="C241" s="14" t="str">
        <f>'Refsz-Verbräuche'!C76</f>
        <v>Mobilität 1</v>
      </c>
      <c r="D241" s="19" t="str">
        <f>'Refsz-Verbräuche'!D76</f>
        <v>Exkursionen - Flugreisen</v>
      </c>
      <c r="E241" t="s">
        <v>195</v>
      </c>
      <c r="F241" s="14">
        <f>IF(ISNUMBER('Refsz-Verbräuche'!F76), 'Refsz-Verbräuche'!F76*Emissionsfaktoren!E76/1000, 0)</f>
        <v>0</v>
      </c>
      <c r="G241" s="14">
        <f>IF(ISNUMBER('Refsz-Verbräuche'!G76), 'Refsz-Verbräuche'!G76*Emissionsfaktoren!F76/1000, 0)</f>
        <v>0</v>
      </c>
      <c r="H241" s="14">
        <f>IF(ISNUMBER('Refsz-Verbräuche'!H76), 'Refsz-Verbräuche'!H76*Emissionsfaktoren!G76/1000, 0)</f>
        <v>0</v>
      </c>
      <c r="I241" s="14">
        <f>IF(ISNUMBER('Refsz-Verbräuche'!I76), 'Refsz-Verbräuche'!I76*Emissionsfaktoren!H76/1000, 0)</f>
        <v>0</v>
      </c>
      <c r="J241" s="14">
        <f>IF(ISNUMBER('Refsz-Verbräuche'!J76), 'Refsz-Verbräuche'!J76*Emissionsfaktoren!I76/1000, 0)</f>
        <v>0</v>
      </c>
      <c r="K241" s="14">
        <f>IF(ISNUMBER('Refsz-Verbräuche'!K76), 'Refsz-Verbräuche'!K76*Emissionsfaktoren!J76/1000, 0)</f>
        <v>0</v>
      </c>
      <c r="L241" s="14">
        <f>IF(ISNUMBER('Refsz-Verbräuche'!L76), 'Refsz-Verbräuche'!L76*Emissionsfaktoren!K76/1000, 0)</f>
        <v>0</v>
      </c>
      <c r="M241" s="14">
        <f>IF(ISNUMBER('Refsz-Verbräuche'!M76), 'Refsz-Verbräuche'!M76*Emissionsfaktoren!L76/1000, 0)</f>
        <v>0</v>
      </c>
      <c r="N241" s="14">
        <f>IF(ISNUMBER('Refsz-Verbräuche'!N76), 'Refsz-Verbräuche'!N76*Emissionsfaktoren!M76/1000, 0)</f>
        <v>0</v>
      </c>
      <c r="O241" s="14">
        <f>IF(ISNUMBER('Refsz-Verbräuche'!O76), 'Refsz-Verbräuche'!O76*Emissionsfaktoren!N76/1000, 0)</f>
        <v>0</v>
      </c>
      <c r="P241" s="14">
        <f>IF(ISNUMBER('Refsz-Verbräuche'!P76), 'Refsz-Verbräuche'!P76*Emissionsfaktoren!O76/1000, 0)</f>
        <v>0</v>
      </c>
      <c r="Q241" s="14">
        <f>IF(ISNUMBER('Refsz-Verbräuche'!Q76), 'Refsz-Verbräuche'!Q76*Emissionsfaktoren!P76/1000, 0)</f>
        <v>0</v>
      </c>
      <c r="R241" s="14">
        <f>IF(ISNUMBER('Refsz-Verbräuche'!R76), 'Refsz-Verbräuche'!R76*Emissionsfaktoren!Q76/1000, 0)</f>
        <v>0</v>
      </c>
      <c r="S241" s="14">
        <f>IF(ISNUMBER('Refsz-Verbräuche'!S76), 'Refsz-Verbräuche'!S76*Emissionsfaktoren!R76/1000, 0)</f>
        <v>0</v>
      </c>
      <c r="T241" s="14">
        <f>IF(ISNUMBER('Refsz-Verbräuche'!T76), 'Refsz-Verbräuche'!T76*Emissionsfaktoren!S76/1000, 0)</f>
        <v>0</v>
      </c>
      <c r="U241" s="14">
        <f>IF(ISNUMBER('Refsz-Verbräuche'!U76), 'Refsz-Verbräuche'!U76*Emissionsfaktoren!T76/1000, 0)</f>
        <v>0</v>
      </c>
      <c r="V241" s="14">
        <f>IF(ISNUMBER('Refsz-Verbräuche'!V76), 'Refsz-Verbräuche'!V76*Emissionsfaktoren!U76/1000, 0)</f>
        <v>0</v>
      </c>
      <c r="W241" s="14">
        <f>IF(ISNUMBER('Refsz-Verbräuche'!W76), 'Refsz-Verbräuche'!W76*Emissionsfaktoren!V76/1000, 0)</f>
        <v>0</v>
      </c>
      <c r="X241" s="14">
        <f>IF(ISNUMBER('Refsz-Verbräuche'!X76), 'Refsz-Verbräuche'!X76*Emissionsfaktoren!W76/1000, 0)</f>
        <v>0</v>
      </c>
      <c r="Y241" s="14">
        <f>IF(ISNUMBER('Refsz-Verbräuche'!Y76), 'Refsz-Verbräuche'!Y76*Emissionsfaktoren!X76/1000, 0)</f>
        <v>0</v>
      </c>
    </row>
    <row r="242" spans="2:25" ht="16.5">
      <c r="B242" s="14">
        <v>60</v>
      </c>
      <c r="C242" s="14" t="str">
        <f>'Refsz-Verbräuche'!C77</f>
        <v>Mobilität 1</v>
      </c>
      <c r="D242" s="19" t="str">
        <f>'Refsz-Verbräuche'!D77</f>
        <v>Exkursionen - Eisenbahn (Nahverkehr)</v>
      </c>
      <c r="E242" t="s">
        <v>195</v>
      </c>
      <c r="F242" s="14">
        <f>IF(ISNUMBER('Refsz-Verbräuche'!F77), 'Refsz-Verbräuche'!F77*Emissionsfaktoren!E77/1000, 0)</f>
        <v>0</v>
      </c>
      <c r="G242" s="14">
        <f>IF(ISNUMBER('Refsz-Verbräuche'!G77), 'Refsz-Verbräuche'!G77*Emissionsfaktoren!F77/1000, 0)</f>
        <v>0</v>
      </c>
      <c r="H242" s="14">
        <f>IF(ISNUMBER('Refsz-Verbräuche'!H77), 'Refsz-Verbräuche'!H77*Emissionsfaktoren!G77/1000, 0)</f>
        <v>0</v>
      </c>
      <c r="I242" s="14">
        <f>IF(ISNUMBER('Refsz-Verbräuche'!I77), 'Refsz-Verbräuche'!I77*Emissionsfaktoren!H77/1000, 0)</f>
        <v>0</v>
      </c>
      <c r="J242" s="14">
        <f>IF(ISNUMBER('Refsz-Verbräuche'!J77), 'Refsz-Verbräuche'!J77*Emissionsfaktoren!I77/1000, 0)</f>
        <v>0</v>
      </c>
      <c r="K242" s="14">
        <f>IF(ISNUMBER('Refsz-Verbräuche'!K77), 'Refsz-Verbräuche'!K77*Emissionsfaktoren!J77/1000, 0)</f>
        <v>0</v>
      </c>
      <c r="L242" s="14">
        <f>IF(ISNUMBER('Refsz-Verbräuche'!L77), 'Refsz-Verbräuche'!L77*Emissionsfaktoren!K77/1000, 0)</f>
        <v>0</v>
      </c>
      <c r="M242" s="14">
        <f>IF(ISNUMBER('Refsz-Verbräuche'!M77), 'Refsz-Verbräuche'!M77*Emissionsfaktoren!L77/1000, 0)</f>
        <v>0</v>
      </c>
      <c r="N242" s="14">
        <f>IF(ISNUMBER('Refsz-Verbräuche'!N77), 'Refsz-Verbräuche'!N77*Emissionsfaktoren!M77/1000, 0)</f>
        <v>0</v>
      </c>
      <c r="O242" s="14">
        <f>IF(ISNUMBER('Refsz-Verbräuche'!O77), 'Refsz-Verbräuche'!O77*Emissionsfaktoren!N77/1000, 0)</f>
        <v>0</v>
      </c>
      <c r="P242" s="14">
        <f>IF(ISNUMBER('Refsz-Verbräuche'!P77), 'Refsz-Verbräuche'!P77*Emissionsfaktoren!O77/1000, 0)</f>
        <v>0</v>
      </c>
      <c r="Q242" s="14">
        <f>IF(ISNUMBER('Refsz-Verbräuche'!Q77), 'Refsz-Verbräuche'!Q77*Emissionsfaktoren!P77/1000, 0)</f>
        <v>0</v>
      </c>
      <c r="R242" s="14">
        <f>IF(ISNUMBER('Refsz-Verbräuche'!R77), 'Refsz-Verbräuche'!R77*Emissionsfaktoren!Q77/1000, 0)</f>
        <v>0</v>
      </c>
      <c r="S242" s="14">
        <f>IF(ISNUMBER('Refsz-Verbräuche'!S77), 'Refsz-Verbräuche'!S77*Emissionsfaktoren!R77/1000, 0)</f>
        <v>0</v>
      </c>
      <c r="T242" s="14">
        <f>IF(ISNUMBER('Refsz-Verbräuche'!T77), 'Refsz-Verbräuche'!T77*Emissionsfaktoren!S77/1000, 0)</f>
        <v>0</v>
      </c>
      <c r="U242" s="14">
        <f>IF(ISNUMBER('Refsz-Verbräuche'!U77), 'Refsz-Verbräuche'!U77*Emissionsfaktoren!T77/1000, 0)</f>
        <v>0</v>
      </c>
      <c r="V242" s="14">
        <f>IF(ISNUMBER('Refsz-Verbräuche'!V77), 'Refsz-Verbräuche'!V77*Emissionsfaktoren!U77/1000, 0)</f>
        <v>0</v>
      </c>
      <c r="W242" s="14">
        <f>IF(ISNUMBER('Refsz-Verbräuche'!W77), 'Refsz-Verbräuche'!W77*Emissionsfaktoren!V77/1000, 0)</f>
        <v>0</v>
      </c>
      <c r="X242" s="14">
        <f>IF(ISNUMBER('Refsz-Verbräuche'!X77), 'Refsz-Verbräuche'!X77*Emissionsfaktoren!W77/1000, 0)</f>
        <v>0</v>
      </c>
      <c r="Y242" s="14">
        <f>IF(ISNUMBER('Refsz-Verbräuche'!Y77), 'Refsz-Verbräuche'!Y77*Emissionsfaktoren!X77/1000, 0)</f>
        <v>0</v>
      </c>
    </row>
    <row r="243" spans="2:25" ht="16.5">
      <c r="B243" s="14">
        <v>61</v>
      </c>
      <c r="C243" s="14" t="str">
        <f>'Refsz-Verbräuche'!C78</f>
        <v>Mobilität 1</v>
      </c>
      <c r="D243" s="19" t="str">
        <f>'Refsz-Verbräuche'!D78</f>
        <v>Exkursionen - Privater PKW (alle Antriebsarten)</v>
      </c>
      <c r="E243" t="s">
        <v>195</v>
      </c>
      <c r="F243" s="14">
        <f>IF(ISNUMBER('Refsz-Verbräuche'!F78), 'Refsz-Verbräuche'!F78*Emissionsfaktoren!E78/1000, 0)</f>
        <v>0</v>
      </c>
      <c r="G243" s="14">
        <f>IF(ISNUMBER('Refsz-Verbräuche'!G78), 'Refsz-Verbräuche'!G78*Emissionsfaktoren!F78/1000, 0)</f>
        <v>0</v>
      </c>
      <c r="H243" s="14">
        <f>IF(ISNUMBER('Refsz-Verbräuche'!H78), 'Refsz-Verbräuche'!H78*Emissionsfaktoren!G78/1000, 0)</f>
        <v>0</v>
      </c>
      <c r="I243" s="14">
        <f>IF(ISNUMBER('Refsz-Verbräuche'!I78), 'Refsz-Verbräuche'!I78*Emissionsfaktoren!H78/1000, 0)</f>
        <v>0</v>
      </c>
      <c r="J243" s="14">
        <f>IF(ISNUMBER('Refsz-Verbräuche'!J78), 'Refsz-Verbräuche'!J78*Emissionsfaktoren!I78/1000, 0)</f>
        <v>0</v>
      </c>
      <c r="K243" s="14">
        <f>IF(ISNUMBER('Refsz-Verbräuche'!K78), 'Refsz-Verbräuche'!K78*Emissionsfaktoren!J78/1000, 0)</f>
        <v>0</v>
      </c>
      <c r="L243" s="14">
        <f>IF(ISNUMBER('Refsz-Verbräuche'!L78), 'Refsz-Verbräuche'!L78*Emissionsfaktoren!K78/1000, 0)</f>
        <v>0</v>
      </c>
      <c r="M243" s="14">
        <f>IF(ISNUMBER('Refsz-Verbräuche'!M78), 'Refsz-Verbräuche'!M78*Emissionsfaktoren!L78/1000, 0)</f>
        <v>0</v>
      </c>
      <c r="N243" s="14">
        <f>IF(ISNUMBER('Refsz-Verbräuche'!N78), 'Refsz-Verbräuche'!N78*Emissionsfaktoren!M78/1000, 0)</f>
        <v>0</v>
      </c>
      <c r="O243" s="14">
        <f>IF(ISNUMBER('Refsz-Verbräuche'!O78), 'Refsz-Verbräuche'!O78*Emissionsfaktoren!N78/1000, 0)</f>
        <v>0</v>
      </c>
      <c r="P243" s="14">
        <f>IF(ISNUMBER('Refsz-Verbräuche'!P78), 'Refsz-Verbräuche'!P78*Emissionsfaktoren!O78/1000, 0)</f>
        <v>0</v>
      </c>
      <c r="Q243" s="14">
        <f>IF(ISNUMBER('Refsz-Verbräuche'!Q78), 'Refsz-Verbräuche'!Q78*Emissionsfaktoren!P78/1000, 0)</f>
        <v>0</v>
      </c>
      <c r="R243" s="14">
        <f>IF(ISNUMBER('Refsz-Verbräuche'!R78), 'Refsz-Verbräuche'!R78*Emissionsfaktoren!Q78/1000, 0)</f>
        <v>0</v>
      </c>
      <c r="S243" s="14">
        <f>IF(ISNUMBER('Refsz-Verbräuche'!S78), 'Refsz-Verbräuche'!S78*Emissionsfaktoren!R78/1000, 0)</f>
        <v>0</v>
      </c>
      <c r="T243" s="14">
        <f>IF(ISNUMBER('Refsz-Verbräuche'!T78), 'Refsz-Verbräuche'!T78*Emissionsfaktoren!S78/1000, 0)</f>
        <v>0</v>
      </c>
      <c r="U243" s="14">
        <f>IF(ISNUMBER('Refsz-Verbräuche'!U78), 'Refsz-Verbräuche'!U78*Emissionsfaktoren!T78/1000, 0)</f>
        <v>0</v>
      </c>
      <c r="V243" s="14">
        <f>IF(ISNUMBER('Refsz-Verbräuche'!V78), 'Refsz-Verbräuche'!V78*Emissionsfaktoren!U78/1000, 0)</f>
        <v>0</v>
      </c>
      <c r="W243" s="14">
        <f>IF(ISNUMBER('Refsz-Verbräuche'!W78), 'Refsz-Verbräuche'!W78*Emissionsfaktoren!V78/1000, 0)</f>
        <v>0</v>
      </c>
      <c r="X243" s="14">
        <f>IF(ISNUMBER('Refsz-Verbräuche'!X78), 'Refsz-Verbräuche'!X78*Emissionsfaktoren!W78/1000, 0)</f>
        <v>0</v>
      </c>
      <c r="Y243" s="14">
        <f>IF(ISNUMBER('Refsz-Verbräuche'!Y78), 'Refsz-Verbräuche'!Y78*Emissionsfaktoren!X78/1000, 0)</f>
        <v>0</v>
      </c>
    </row>
    <row r="244" spans="2:25" ht="16.5">
      <c r="B244" s="14">
        <v>62</v>
      </c>
      <c r="C244" s="14">
        <f>'Refsz-Verbräuche'!C79</f>
        <v>0</v>
      </c>
      <c r="D244" s="19">
        <f>'Refsz-Verbräuche'!D79</f>
        <v>0</v>
      </c>
      <c r="E244" t="s">
        <v>195</v>
      </c>
      <c r="F244" s="14">
        <f>IF(ISNUMBER('Refsz-Verbräuche'!F79), 'Refsz-Verbräuche'!F79*Emissionsfaktoren!E79/1000, 0)</f>
        <v>0</v>
      </c>
      <c r="G244" s="14">
        <f>IF(ISNUMBER('Refsz-Verbräuche'!G79), 'Refsz-Verbräuche'!G79*Emissionsfaktoren!F79/1000, 0)</f>
        <v>0</v>
      </c>
      <c r="H244" s="14">
        <f>IF(ISNUMBER('Refsz-Verbräuche'!H79), 'Refsz-Verbräuche'!H79*Emissionsfaktoren!G79/1000, 0)</f>
        <v>0</v>
      </c>
      <c r="I244" s="14">
        <f>IF(ISNUMBER('Refsz-Verbräuche'!I79), 'Refsz-Verbräuche'!I79*Emissionsfaktoren!H79/1000, 0)</f>
        <v>0</v>
      </c>
      <c r="J244" s="14">
        <f>IF(ISNUMBER('Refsz-Verbräuche'!J79), 'Refsz-Verbräuche'!J79*Emissionsfaktoren!I79/1000, 0)</f>
        <v>0</v>
      </c>
      <c r="K244" s="14">
        <f>IF(ISNUMBER('Refsz-Verbräuche'!K79), 'Refsz-Verbräuche'!K79*Emissionsfaktoren!J79/1000, 0)</f>
        <v>0</v>
      </c>
      <c r="L244" s="14">
        <f>IF(ISNUMBER('Refsz-Verbräuche'!L79), 'Refsz-Verbräuche'!L79*Emissionsfaktoren!K79/1000, 0)</f>
        <v>0</v>
      </c>
      <c r="M244" s="14">
        <f>IF(ISNUMBER('Refsz-Verbräuche'!M79), 'Refsz-Verbräuche'!M79*Emissionsfaktoren!L79/1000, 0)</f>
        <v>0</v>
      </c>
      <c r="N244" s="14">
        <f>IF(ISNUMBER('Refsz-Verbräuche'!N79), 'Refsz-Verbräuche'!N79*Emissionsfaktoren!M79/1000, 0)</f>
        <v>0</v>
      </c>
      <c r="O244" s="14">
        <f>IF(ISNUMBER('Refsz-Verbräuche'!O79), 'Refsz-Verbräuche'!O79*Emissionsfaktoren!N79/1000, 0)</f>
        <v>0</v>
      </c>
      <c r="P244" s="14">
        <f>IF(ISNUMBER('Refsz-Verbräuche'!P79), 'Refsz-Verbräuche'!P79*Emissionsfaktoren!O79/1000, 0)</f>
        <v>0</v>
      </c>
      <c r="Q244" s="14">
        <f>IF(ISNUMBER('Refsz-Verbräuche'!Q79), 'Refsz-Verbräuche'!Q79*Emissionsfaktoren!P79/1000, 0)</f>
        <v>0</v>
      </c>
      <c r="R244" s="14">
        <f>IF(ISNUMBER('Refsz-Verbräuche'!R79), 'Refsz-Verbräuche'!R79*Emissionsfaktoren!Q79/1000, 0)</f>
        <v>0</v>
      </c>
      <c r="S244" s="14">
        <f>IF(ISNUMBER('Refsz-Verbräuche'!S79), 'Refsz-Verbräuche'!S79*Emissionsfaktoren!R79/1000, 0)</f>
        <v>0</v>
      </c>
      <c r="T244" s="14">
        <f>IF(ISNUMBER('Refsz-Verbräuche'!T79), 'Refsz-Verbräuche'!T79*Emissionsfaktoren!S79/1000, 0)</f>
        <v>0</v>
      </c>
      <c r="U244" s="14">
        <f>IF(ISNUMBER('Refsz-Verbräuche'!U79), 'Refsz-Verbräuche'!U79*Emissionsfaktoren!T79/1000, 0)</f>
        <v>0</v>
      </c>
      <c r="V244" s="14">
        <f>IF(ISNUMBER('Refsz-Verbräuche'!V79), 'Refsz-Verbräuche'!V79*Emissionsfaktoren!U79/1000, 0)</f>
        <v>0</v>
      </c>
      <c r="W244" s="14">
        <f>IF(ISNUMBER('Refsz-Verbräuche'!W79), 'Refsz-Verbräuche'!W79*Emissionsfaktoren!V79/1000, 0)</f>
        <v>0</v>
      </c>
      <c r="X244" s="14">
        <f>IF(ISNUMBER('Refsz-Verbräuche'!X79), 'Refsz-Verbräuche'!X79*Emissionsfaktoren!W79/1000, 0)</f>
        <v>0</v>
      </c>
      <c r="Y244" s="14">
        <f>IF(ISNUMBER('Refsz-Verbräuche'!Y79), 'Refsz-Verbräuche'!Y79*Emissionsfaktoren!X79/1000, 0)</f>
        <v>0</v>
      </c>
    </row>
    <row r="245" spans="2:25" ht="16.5">
      <c r="B245" s="14">
        <v>63</v>
      </c>
      <c r="C245" s="14" t="str">
        <f>'Refsz-Verbräuche'!C80</f>
        <v>Mobilität 2</v>
      </c>
      <c r="D245" s="19" t="str">
        <f>'Refsz-Verbräuche'!D80</f>
        <v>Pendeln - Eisenbahn (Fernverkehr)</v>
      </c>
      <c r="E245" t="s">
        <v>195</v>
      </c>
      <c r="F245" s="14">
        <f>IF(ISNUMBER('Refsz-Verbräuche'!F80), 'Refsz-Verbräuche'!F80*Emissionsfaktoren!E80/1000, 0)</f>
        <v>0</v>
      </c>
      <c r="G245" s="14">
        <f>IF(ISNUMBER('Refsz-Verbräuche'!G80), 'Refsz-Verbräuche'!G80*Emissionsfaktoren!F80/1000, 0)</f>
        <v>0</v>
      </c>
      <c r="H245" s="14">
        <f>IF(ISNUMBER('Refsz-Verbräuche'!H80), 'Refsz-Verbräuche'!H80*Emissionsfaktoren!G80/1000, 0)</f>
        <v>0</v>
      </c>
      <c r="I245" s="14">
        <f>IF(ISNUMBER('Refsz-Verbräuche'!I80), 'Refsz-Verbräuche'!I80*Emissionsfaktoren!H80/1000, 0)</f>
        <v>0</v>
      </c>
      <c r="J245" s="14">
        <f>IF(ISNUMBER('Refsz-Verbräuche'!J80), 'Refsz-Verbräuche'!J80*Emissionsfaktoren!I80/1000, 0)</f>
        <v>0</v>
      </c>
      <c r="K245" s="14">
        <f>IF(ISNUMBER('Refsz-Verbräuche'!K80), 'Refsz-Verbräuche'!K80*Emissionsfaktoren!J80/1000, 0)</f>
        <v>0</v>
      </c>
      <c r="L245" s="14">
        <f>IF(ISNUMBER('Refsz-Verbräuche'!L80), 'Refsz-Verbräuche'!L80*Emissionsfaktoren!K80/1000, 0)</f>
        <v>0</v>
      </c>
      <c r="M245" s="14">
        <f>IF(ISNUMBER('Refsz-Verbräuche'!M80), 'Refsz-Verbräuche'!M80*Emissionsfaktoren!L80/1000, 0)</f>
        <v>0</v>
      </c>
      <c r="N245" s="14">
        <f>IF(ISNUMBER('Refsz-Verbräuche'!N80), 'Refsz-Verbräuche'!N80*Emissionsfaktoren!M80/1000, 0)</f>
        <v>0</v>
      </c>
      <c r="O245" s="14">
        <f>IF(ISNUMBER('Refsz-Verbräuche'!O80), 'Refsz-Verbräuche'!O80*Emissionsfaktoren!N80/1000, 0)</f>
        <v>0</v>
      </c>
      <c r="P245" s="14">
        <f>IF(ISNUMBER('Refsz-Verbräuche'!P80), 'Refsz-Verbräuche'!P80*Emissionsfaktoren!O80/1000, 0)</f>
        <v>0</v>
      </c>
      <c r="Q245" s="14">
        <f>IF(ISNUMBER('Refsz-Verbräuche'!Q80), 'Refsz-Verbräuche'!Q80*Emissionsfaktoren!P80/1000, 0)</f>
        <v>0</v>
      </c>
      <c r="R245" s="14">
        <f>IF(ISNUMBER('Refsz-Verbräuche'!R80), 'Refsz-Verbräuche'!R80*Emissionsfaktoren!Q80/1000, 0)</f>
        <v>0</v>
      </c>
      <c r="S245" s="14">
        <f>IF(ISNUMBER('Refsz-Verbräuche'!S80), 'Refsz-Verbräuche'!S80*Emissionsfaktoren!R80/1000, 0)</f>
        <v>0</v>
      </c>
      <c r="T245" s="14">
        <f>IF(ISNUMBER('Refsz-Verbräuche'!T80), 'Refsz-Verbräuche'!T80*Emissionsfaktoren!S80/1000, 0)</f>
        <v>0</v>
      </c>
      <c r="U245" s="14">
        <f>IF(ISNUMBER('Refsz-Verbräuche'!U80), 'Refsz-Verbräuche'!U80*Emissionsfaktoren!T80/1000, 0)</f>
        <v>0</v>
      </c>
      <c r="V245" s="14">
        <f>IF(ISNUMBER('Refsz-Verbräuche'!V80), 'Refsz-Verbräuche'!V80*Emissionsfaktoren!U80/1000, 0)</f>
        <v>0</v>
      </c>
      <c r="W245" s="14">
        <f>IF(ISNUMBER('Refsz-Verbräuche'!W80), 'Refsz-Verbräuche'!W80*Emissionsfaktoren!V80/1000, 0)</f>
        <v>0</v>
      </c>
      <c r="X245" s="14">
        <f>IF(ISNUMBER('Refsz-Verbräuche'!X80), 'Refsz-Verbräuche'!X80*Emissionsfaktoren!W80/1000, 0)</f>
        <v>0</v>
      </c>
      <c r="Y245" s="14">
        <f>IF(ISNUMBER('Refsz-Verbräuche'!Y80), 'Refsz-Verbräuche'!Y80*Emissionsfaktoren!X80/1000, 0)</f>
        <v>0</v>
      </c>
    </row>
    <row r="246" spans="2:25" ht="16.5">
      <c r="B246" s="14">
        <v>64</v>
      </c>
      <c r="C246" s="14" t="str">
        <f>'Refsz-Verbräuche'!C81</f>
        <v>Mobilität 2</v>
      </c>
      <c r="D246" s="19" t="str">
        <f>'Refsz-Verbräuche'!D81</f>
        <v>Pendeln - Eisenbahn (Nahverkehr)</v>
      </c>
      <c r="E246" t="s">
        <v>195</v>
      </c>
      <c r="F246" s="14">
        <f>IF(ISNUMBER('Refsz-Verbräuche'!F81), 'Refsz-Verbräuche'!F81*Emissionsfaktoren!E81/1000, 0)</f>
        <v>0</v>
      </c>
      <c r="G246" s="14">
        <f>IF(ISNUMBER('Refsz-Verbräuche'!G81), 'Refsz-Verbräuche'!G81*Emissionsfaktoren!F81/1000, 0)</f>
        <v>0</v>
      </c>
      <c r="H246" s="14">
        <f>IF(ISNUMBER('Refsz-Verbräuche'!H81), 'Refsz-Verbräuche'!H81*Emissionsfaktoren!G81/1000, 0)</f>
        <v>0</v>
      </c>
      <c r="I246" s="14">
        <f>IF(ISNUMBER('Refsz-Verbräuche'!I81), 'Refsz-Verbräuche'!I81*Emissionsfaktoren!H81/1000, 0)</f>
        <v>0</v>
      </c>
      <c r="J246" s="14">
        <f>IF(ISNUMBER('Refsz-Verbräuche'!J81), 'Refsz-Verbräuche'!J81*Emissionsfaktoren!I81/1000, 0)</f>
        <v>0</v>
      </c>
      <c r="K246" s="14">
        <f>IF(ISNUMBER('Refsz-Verbräuche'!K81), 'Refsz-Verbräuche'!K81*Emissionsfaktoren!J81/1000, 0)</f>
        <v>0</v>
      </c>
      <c r="L246" s="14">
        <f>IF(ISNUMBER('Refsz-Verbräuche'!L81), 'Refsz-Verbräuche'!L81*Emissionsfaktoren!K81/1000, 0)</f>
        <v>0</v>
      </c>
      <c r="M246" s="14">
        <f>IF(ISNUMBER('Refsz-Verbräuche'!M81), 'Refsz-Verbräuche'!M81*Emissionsfaktoren!L81/1000, 0)</f>
        <v>0</v>
      </c>
      <c r="N246" s="14">
        <f>IF(ISNUMBER('Refsz-Verbräuche'!N81), 'Refsz-Verbräuche'!N81*Emissionsfaktoren!M81/1000, 0)</f>
        <v>0</v>
      </c>
      <c r="O246" s="14">
        <f>IF(ISNUMBER('Refsz-Verbräuche'!O81), 'Refsz-Verbräuche'!O81*Emissionsfaktoren!N81/1000, 0)</f>
        <v>0</v>
      </c>
      <c r="P246" s="14">
        <f>IF(ISNUMBER('Refsz-Verbräuche'!P81), 'Refsz-Verbräuche'!P81*Emissionsfaktoren!O81/1000, 0)</f>
        <v>0</v>
      </c>
      <c r="Q246" s="14">
        <f>IF(ISNUMBER('Refsz-Verbräuche'!Q81), 'Refsz-Verbräuche'!Q81*Emissionsfaktoren!P81/1000, 0)</f>
        <v>0</v>
      </c>
      <c r="R246" s="14">
        <f>IF(ISNUMBER('Refsz-Verbräuche'!R81), 'Refsz-Verbräuche'!R81*Emissionsfaktoren!Q81/1000, 0)</f>
        <v>0</v>
      </c>
      <c r="S246" s="14">
        <f>IF(ISNUMBER('Refsz-Verbräuche'!S81), 'Refsz-Verbräuche'!S81*Emissionsfaktoren!R81/1000, 0)</f>
        <v>0</v>
      </c>
      <c r="T246" s="14">
        <f>IF(ISNUMBER('Refsz-Verbräuche'!T81), 'Refsz-Verbräuche'!T81*Emissionsfaktoren!S81/1000, 0)</f>
        <v>0</v>
      </c>
      <c r="U246" s="14">
        <f>IF(ISNUMBER('Refsz-Verbräuche'!U81), 'Refsz-Verbräuche'!U81*Emissionsfaktoren!T81/1000, 0)</f>
        <v>0</v>
      </c>
      <c r="V246" s="14">
        <f>IF(ISNUMBER('Refsz-Verbräuche'!V81), 'Refsz-Verbräuche'!V81*Emissionsfaktoren!U81/1000, 0)</f>
        <v>0</v>
      </c>
      <c r="W246" s="14">
        <f>IF(ISNUMBER('Refsz-Verbräuche'!W81), 'Refsz-Verbräuche'!W81*Emissionsfaktoren!V81/1000, 0)</f>
        <v>0</v>
      </c>
      <c r="X246" s="14">
        <f>IF(ISNUMBER('Refsz-Verbräuche'!X81), 'Refsz-Verbräuche'!X81*Emissionsfaktoren!W81/1000, 0)</f>
        <v>0</v>
      </c>
      <c r="Y246" s="14">
        <f>IF(ISNUMBER('Refsz-Verbräuche'!Y81), 'Refsz-Verbräuche'!Y81*Emissionsfaktoren!X81/1000, 0)</f>
        <v>0</v>
      </c>
    </row>
    <row r="247" spans="2:25" ht="16.5">
      <c r="B247" s="14">
        <v>65</v>
      </c>
      <c r="C247" s="14" t="str">
        <f>'Refsz-Verbräuche'!C82</f>
        <v>Mobilität 2</v>
      </c>
      <c r="D247" s="19" t="str">
        <f>'Refsz-Verbräuche'!D82</f>
        <v>Pendeln - Linienbus (Nahverkehr)</v>
      </c>
      <c r="E247" t="s">
        <v>195</v>
      </c>
      <c r="F247" s="14">
        <f>IF(ISNUMBER('Refsz-Verbräuche'!F82), 'Refsz-Verbräuche'!F82*Emissionsfaktoren!E82/1000, 0)</f>
        <v>0</v>
      </c>
      <c r="G247" s="14">
        <f>IF(ISNUMBER('Refsz-Verbräuche'!G82), 'Refsz-Verbräuche'!G82*Emissionsfaktoren!F82/1000, 0)</f>
        <v>0</v>
      </c>
      <c r="H247" s="14">
        <f>IF(ISNUMBER('Refsz-Verbräuche'!H82), 'Refsz-Verbräuche'!H82*Emissionsfaktoren!G82/1000, 0)</f>
        <v>0</v>
      </c>
      <c r="I247" s="14">
        <f>IF(ISNUMBER('Refsz-Verbräuche'!I82), 'Refsz-Verbräuche'!I82*Emissionsfaktoren!H82/1000, 0)</f>
        <v>0</v>
      </c>
      <c r="J247" s="14">
        <f>IF(ISNUMBER('Refsz-Verbräuche'!J82), 'Refsz-Verbräuche'!J82*Emissionsfaktoren!I82/1000, 0)</f>
        <v>0</v>
      </c>
      <c r="K247" s="14">
        <f>IF(ISNUMBER('Refsz-Verbräuche'!K82), 'Refsz-Verbräuche'!K82*Emissionsfaktoren!J82/1000, 0)</f>
        <v>0</v>
      </c>
      <c r="L247" s="14">
        <f>IF(ISNUMBER('Refsz-Verbräuche'!L82), 'Refsz-Verbräuche'!L82*Emissionsfaktoren!K82/1000, 0)</f>
        <v>0</v>
      </c>
      <c r="M247" s="14">
        <f>IF(ISNUMBER('Refsz-Verbräuche'!M82), 'Refsz-Verbräuche'!M82*Emissionsfaktoren!L82/1000, 0)</f>
        <v>0</v>
      </c>
      <c r="N247" s="14">
        <f>IF(ISNUMBER('Refsz-Verbräuche'!N82), 'Refsz-Verbräuche'!N82*Emissionsfaktoren!M82/1000, 0)</f>
        <v>0</v>
      </c>
      <c r="O247" s="14">
        <f>IF(ISNUMBER('Refsz-Verbräuche'!O82), 'Refsz-Verbräuche'!O82*Emissionsfaktoren!N82/1000, 0)</f>
        <v>0</v>
      </c>
      <c r="P247" s="14">
        <f>IF(ISNUMBER('Refsz-Verbräuche'!P82), 'Refsz-Verbräuche'!P82*Emissionsfaktoren!O82/1000, 0)</f>
        <v>0</v>
      </c>
      <c r="Q247" s="14">
        <f>IF(ISNUMBER('Refsz-Verbräuche'!Q82), 'Refsz-Verbräuche'!Q82*Emissionsfaktoren!P82/1000, 0)</f>
        <v>0</v>
      </c>
      <c r="R247" s="14">
        <f>IF(ISNUMBER('Refsz-Verbräuche'!R82), 'Refsz-Verbräuche'!R82*Emissionsfaktoren!Q82/1000, 0)</f>
        <v>0</v>
      </c>
      <c r="S247" s="14">
        <f>IF(ISNUMBER('Refsz-Verbräuche'!S82), 'Refsz-Verbräuche'!S82*Emissionsfaktoren!R82/1000, 0)</f>
        <v>0</v>
      </c>
      <c r="T247" s="14">
        <f>IF(ISNUMBER('Refsz-Verbräuche'!T82), 'Refsz-Verbräuche'!T82*Emissionsfaktoren!S82/1000, 0)</f>
        <v>0</v>
      </c>
      <c r="U247" s="14">
        <f>IF(ISNUMBER('Refsz-Verbräuche'!U82), 'Refsz-Verbräuche'!U82*Emissionsfaktoren!T82/1000, 0)</f>
        <v>0</v>
      </c>
      <c r="V247" s="14">
        <f>IF(ISNUMBER('Refsz-Verbräuche'!V82), 'Refsz-Verbräuche'!V82*Emissionsfaktoren!U82/1000, 0)</f>
        <v>0</v>
      </c>
      <c r="W247" s="14">
        <f>IF(ISNUMBER('Refsz-Verbräuche'!W82), 'Refsz-Verbräuche'!W82*Emissionsfaktoren!V82/1000, 0)</f>
        <v>0</v>
      </c>
      <c r="X247" s="14">
        <f>IF(ISNUMBER('Refsz-Verbräuche'!X82), 'Refsz-Verbräuche'!X82*Emissionsfaktoren!W82/1000, 0)</f>
        <v>0</v>
      </c>
      <c r="Y247" s="14">
        <f>IF(ISNUMBER('Refsz-Verbräuche'!Y82), 'Refsz-Verbräuche'!Y82*Emissionsfaktoren!X82/1000, 0)</f>
        <v>0</v>
      </c>
    </row>
    <row r="248" spans="2:25" ht="16.5">
      <c r="B248" s="14">
        <v>66</v>
      </c>
      <c r="C248" s="14" t="str">
        <f>'Refsz-Verbräuche'!C83</f>
        <v>Mobilität 2</v>
      </c>
      <c r="D248" s="19" t="str">
        <f>'Refsz-Verbräuche'!D83</f>
        <v>Pendeln - PKW (alle Antriebsarten)</v>
      </c>
      <c r="E248" t="s">
        <v>195</v>
      </c>
      <c r="F248" s="14">
        <f>IF(ISNUMBER('Refsz-Verbräuche'!F83), 'Refsz-Verbräuche'!F83*Emissionsfaktoren!E83/1000, 0)</f>
        <v>0</v>
      </c>
      <c r="G248" s="14">
        <f>IF(ISNUMBER('Refsz-Verbräuche'!G83), 'Refsz-Verbräuche'!G83*Emissionsfaktoren!F83/1000, 0)</f>
        <v>0</v>
      </c>
      <c r="H248" s="14">
        <f>IF(ISNUMBER('Refsz-Verbräuche'!H83), 'Refsz-Verbräuche'!H83*Emissionsfaktoren!G83/1000, 0)</f>
        <v>0</v>
      </c>
      <c r="I248" s="14">
        <f>IF(ISNUMBER('Refsz-Verbräuche'!I83), 'Refsz-Verbräuche'!I83*Emissionsfaktoren!H83/1000, 0)</f>
        <v>0</v>
      </c>
      <c r="J248" s="14">
        <f>IF(ISNUMBER('Refsz-Verbräuche'!J83), 'Refsz-Verbräuche'!J83*Emissionsfaktoren!I83/1000, 0)</f>
        <v>0</v>
      </c>
      <c r="K248" s="14">
        <f>IF(ISNUMBER('Refsz-Verbräuche'!K83), 'Refsz-Verbräuche'!K83*Emissionsfaktoren!J83/1000, 0)</f>
        <v>0</v>
      </c>
      <c r="L248" s="14">
        <f>IF(ISNUMBER('Refsz-Verbräuche'!L83), 'Refsz-Verbräuche'!L83*Emissionsfaktoren!K83/1000, 0)</f>
        <v>0</v>
      </c>
      <c r="M248" s="14">
        <f>IF(ISNUMBER('Refsz-Verbräuche'!M83), 'Refsz-Verbräuche'!M83*Emissionsfaktoren!L83/1000, 0)</f>
        <v>0</v>
      </c>
      <c r="N248" s="14">
        <f>IF(ISNUMBER('Refsz-Verbräuche'!N83), 'Refsz-Verbräuche'!N83*Emissionsfaktoren!M83/1000, 0)</f>
        <v>0</v>
      </c>
      <c r="O248" s="14">
        <f>IF(ISNUMBER('Refsz-Verbräuche'!O83), 'Refsz-Verbräuche'!O83*Emissionsfaktoren!N83/1000, 0)</f>
        <v>0</v>
      </c>
      <c r="P248" s="14">
        <f>IF(ISNUMBER('Refsz-Verbräuche'!P83), 'Refsz-Verbräuche'!P83*Emissionsfaktoren!O83/1000, 0)</f>
        <v>0</v>
      </c>
      <c r="Q248" s="14">
        <f>IF(ISNUMBER('Refsz-Verbräuche'!Q83), 'Refsz-Verbräuche'!Q83*Emissionsfaktoren!P83/1000, 0)</f>
        <v>0</v>
      </c>
      <c r="R248" s="14">
        <f>IF(ISNUMBER('Refsz-Verbräuche'!R83), 'Refsz-Verbräuche'!R83*Emissionsfaktoren!Q83/1000, 0)</f>
        <v>0</v>
      </c>
      <c r="S248" s="14">
        <f>IF(ISNUMBER('Refsz-Verbräuche'!S83), 'Refsz-Verbräuche'!S83*Emissionsfaktoren!R83/1000, 0)</f>
        <v>0</v>
      </c>
      <c r="T248" s="14">
        <f>IF(ISNUMBER('Refsz-Verbräuche'!T83), 'Refsz-Verbräuche'!T83*Emissionsfaktoren!S83/1000, 0)</f>
        <v>0</v>
      </c>
      <c r="U248" s="14">
        <f>IF(ISNUMBER('Refsz-Verbräuche'!U83), 'Refsz-Verbräuche'!U83*Emissionsfaktoren!T83/1000, 0)</f>
        <v>0</v>
      </c>
      <c r="V248" s="14">
        <f>IF(ISNUMBER('Refsz-Verbräuche'!V83), 'Refsz-Verbräuche'!V83*Emissionsfaktoren!U83/1000, 0)</f>
        <v>0</v>
      </c>
      <c r="W248" s="14">
        <f>IF(ISNUMBER('Refsz-Verbräuche'!W83), 'Refsz-Verbräuche'!W83*Emissionsfaktoren!V83/1000, 0)</f>
        <v>0</v>
      </c>
      <c r="X248" s="14">
        <f>IF(ISNUMBER('Refsz-Verbräuche'!X83), 'Refsz-Verbräuche'!X83*Emissionsfaktoren!W83/1000, 0)</f>
        <v>0</v>
      </c>
      <c r="Y248" s="14">
        <f>IF(ISNUMBER('Refsz-Verbräuche'!Y83), 'Refsz-Verbräuche'!Y83*Emissionsfaktoren!X83/1000, 0)</f>
        <v>0</v>
      </c>
    </row>
    <row r="249" spans="2:25" ht="16.5">
      <c r="B249" s="14">
        <v>67</v>
      </c>
      <c r="C249" s="14" t="str">
        <f>'Refsz-Verbräuche'!C84</f>
        <v>Mobilität 2</v>
      </c>
      <c r="D249" s="19" t="str">
        <f>'Refsz-Verbräuche'!D84</f>
        <v>Pendeln - PKW (Diesel)</v>
      </c>
      <c r="E249" t="s">
        <v>195</v>
      </c>
      <c r="F249" s="14">
        <f>IF(ISNUMBER('Refsz-Verbräuche'!F84), 'Refsz-Verbräuche'!F84*Emissionsfaktoren!E84/1000, 0)</f>
        <v>0</v>
      </c>
      <c r="G249" s="14">
        <f>IF(ISNUMBER('Refsz-Verbräuche'!G84), 'Refsz-Verbräuche'!G84*Emissionsfaktoren!F84/1000, 0)</f>
        <v>0</v>
      </c>
      <c r="H249" s="14">
        <f>IF(ISNUMBER('Refsz-Verbräuche'!H84), 'Refsz-Verbräuche'!H84*Emissionsfaktoren!G84/1000, 0)</f>
        <v>0</v>
      </c>
      <c r="I249" s="14">
        <f>IF(ISNUMBER('Refsz-Verbräuche'!I84), 'Refsz-Verbräuche'!I84*Emissionsfaktoren!H84/1000, 0)</f>
        <v>0</v>
      </c>
      <c r="J249" s="14">
        <f>IF(ISNUMBER('Refsz-Verbräuche'!J84), 'Refsz-Verbräuche'!J84*Emissionsfaktoren!I84/1000, 0)</f>
        <v>0</v>
      </c>
      <c r="K249" s="14">
        <f>IF(ISNUMBER('Refsz-Verbräuche'!K84), 'Refsz-Verbräuche'!K84*Emissionsfaktoren!J84/1000, 0)</f>
        <v>0</v>
      </c>
      <c r="L249" s="14">
        <f>IF(ISNUMBER('Refsz-Verbräuche'!L84), 'Refsz-Verbräuche'!L84*Emissionsfaktoren!K84/1000, 0)</f>
        <v>0</v>
      </c>
      <c r="M249" s="14">
        <f>IF(ISNUMBER('Refsz-Verbräuche'!M84), 'Refsz-Verbräuche'!M84*Emissionsfaktoren!L84/1000, 0)</f>
        <v>0</v>
      </c>
      <c r="N249" s="14">
        <f>IF(ISNUMBER('Refsz-Verbräuche'!N84), 'Refsz-Verbräuche'!N84*Emissionsfaktoren!M84/1000, 0)</f>
        <v>0</v>
      </c>
      <c r="O249" s="14">
        <f>IF(ISNUMBER('Refsz-Verbräuche'!O84), 'Refsz-Verbräuche'!O84*Emissionsfaktoren!N84/1000, 0)</f>
        <v>0</v>
      </c>
      <c r="P249" s="14">
        <f>IF(ISNUMBER('Refsz-Verbräuche'!P84), 'Refsz-Verbräuche'!P84*Emissionsfaktoren!O84/1000, 0)</f>
        <v>0</v>
      </c>
      <c r="Q249" s="14">
        <f>IF(ISNUMBER('Refsz-Verbräuche'!Q84), 'Refsz-Verbräuche'!Q84*Emissionsfaktoren!P84/1000, 0)</f>
        <v>0</v>
      </c>
      <c r="R249" s="14">
        <f>IF(ISNUMBER('Refsz-Verbräuche'!R84), 'Refsz-Verbräuche'!R84*Emissionsfaktoren!Q84/1000, 0)</f>
        <v>0</v>
      </c>
      <c r="S249" s="14">
        <f>IF(ISNUMBER('Refsz-Verbräuche'!S84), 'Refsz-Verbräuche'!S84*Emissionsfaktoren!R84/1000, 0)</f>
        <v>0</v>
      </c>
      <c r="T249" s="14">
        <f>IF(ISNUMBER('Refsz-Verbräuche'!T84), 'Refsz-Verbräuche'!T84*Emissionsfaktoren!S84/1000, 0)</f>
        <v>0</v>
      </c>
      <c r="U249" s="14">
        <f>IF(ISNUMBER('Refsz-Verbräuche'!U84), 'Refsz-Verbräuche'!U84*Emissionsfaktoren!T84/1000, 0)</f>
        <v>0</v>
      </c>
      <c r="V249" s="14">
        <f>IF(ISNUMBER('Refsz-Verbräuche'!V84), 'Refsz-Verbräuche'!V84*Emissionsfaktoren!U84/1000, 0)</f>
        <v>0</v>
      </c>
      <c r="W249" s="14">
        <f>IF(ISNUMBER('Refsz-Verbräuche'!W84), 'Refsz-Verbräuche'!W84*Emissionsfaktoren!V84/1000, 0)</f>
        <v>0</v>
      </c>
      <c r="X249" s="14">
        <f>IF(ISNUMBER('Refsz-Verbräuche'!X84), 'Refsz-Verbräuche'!X84*Emissionsfaktoren!W84/1000, 0)</f>
        <v>0</v>
      </c>
      <c r="Y249" s="14">
        <f>IF(ISNUMBER('Refsz-Verbräuche'!Y84), 'Refsz-Verbräuche'!Y84*Emissionsfaktoren!X84/1000, 0)</f>
        <v>0</v>
      </c>
    </row>
    <row r="250" spans="2:25" ht="16.5">
      <c r="B250" s="14">
        <v>68</v>
      </c>
      <c r="C250" s="14" t="str">
        <f>'Refsz-Verbräuche'!C85</f>
        <v>Mobilität 2</v>
      </c>
      <c r="D250" s="19" t="str">
        <f>'Refsz-Verbräuche'!D85</f>
        <v>Pendeln - PKW (Benzin)</v>
      </c>
      <c r="E250" t="s">
        <v>195</v>
      </c>
      <c r="F250" s="14">
        <f>IF(ISNUMBER('Refsz-Verbräuche'!F85), 'Refsz-Verbräuche'!F85*Emissionsfaktoren!E85/1000, 0)</f>
        <v>0</v>
      </c>
      <c r="G250" s="14">
        <f>IF(ISNUMBER('Refsz-Verbräuche'!G85), 'Refsz-Verbräuche'!G85*Emissionsfaktoren!F85/1000, 0)</f>
        <v>0</v>
      </c>
      <c r="H250" s="14">
        <f>IF(ISNUMBER('Refsz-Verbräuche'!H85), 'Refsz-Verbräuche'!H85*Emissionsfaktoren!G85/1000, 0)</f>
        <v>0</v>
      </c>
      <c r="I250" s="14">
        <f>IF(ISNUMBER('Refsz-Verbräuche'!I85), 'Refsz-Verbräuche'!I85*Emissionsfaktoren!H85/1000, 0)</f>
        <v>0</v>
      </c>
      <c r="J250" s="14">
        <f>IF(ISNUMBER('Refsz-Verbräuche'!J85), 'Refsz-Verbräuche'!J85*Emissionsfaktoren!I85/1000, 0)</f>
        <v>0</v>
      </c>
      <c r="K250" s="14">
        <f>IF(ISNUMBER('Refsz-Verbräuche'!K85), 'Refsz-Verbräuche'!K85*Emissionsfaktoren!J85/1000, 0)</f>
        <v>0</v>
      </c>
      <c r="L250" s="14">
        <f>IF(ISNUMBER('Refsz-Verbräuche'!L85), 'Refsz-Verbräuche'!L85*Emissionsfaktoren!K85/1000, 0)</f>
        <v>0</v>
      </c>
      <c r="M250" s="14">
        <f>IF(ISNUMBER('Refsz-Verbräuche'!M85), 'Refsz-Verbräuche'!M85*Emissionsfaktoren!L85/1000, 0)</f>
        <v>0</v>
      </c>
      <c r="N250" s="14">
        <f>IF(ISNUMBER('Refsz-Verbräuche'!N85), 'Refsz-Verbräuche'!N85*Emissionsfaktoren!M85/1000, 0)</f>
        <v>0</v>
      </c>
      <c r="O250" s="14">
        <f>IF(ISNUMBER('Refsz-Verbräuche'!O85), 'Refsz-Verbräuche'!O85*Emissionsfaktoren!N85/1000, 0)</f>
        <v>0</v>
      </c>
      <c r="P250" s="14">
        <f>IF(ISNUMBER('Refsz-Verbräuche'!P85), 'Refsz-Verbräuche'!P85*Emissionsfaktoren!O85/1000, 0)</f>
        <v>0</v>
      </c>
      <c r="Q250" s="14">
        <f>IF(ISNUMBER('Refsz-Verbräuche'!Q85), 'Refsz-Verbräuche'!Q85*Emissionsfaktoren!P85/1000, 0)</f>
        <v>0</v>
      </c>
      <c r="R250" s="14">
        <f>IF(ISNUMBER('Refsz-Verbräuche'!R85), 'Refsz-Verbräuche'!R85*Emissionsfaktoren!Q85/1000, 0)</f>
        <v>0</v>
      </c>
      <c r="S250" s="14">
        <f>IF(ISNUMBER('Refsz-Verbräuche'!S85), 'Refsz-Verbräuche'!S85*Emissionsfaktoren!R85/1000, 0)</f>
        <v>0</v>
      </c>
      <c r="T250" s="14">
        <f>IF(ISNUMBER('Refsz-Verbräuche'!T85), 'Refsz-Verbräuche'!T85*Emissionsfaktoren!S85/1000, 0)</f>
        <v>0</v>
      </c>
      <c r="U250" s="14">
        <f>IF(ISNUMBER('Refsz-Verbräuche'!U85), 'Refsz-Verbräuche'!U85*Emissionsfaktoren!T85/1000, 0)</f>
        <v>0</v>
      </c>
      <c r="V250" s="14">
        <f>IF(ISNUMBER('Refsz-Verbräuche'!V85), 'Refsz-Verbräuche'!V85*Emissionsfaktoren!U85/1000, 0)</f>
        <v>0</v>
      </c>
      <c r="W250" s="14">
        <f>IF(ISNUMBER('Refsz-Verbräuche'!W85), 'Refsz-Verbräuche'!W85*Emissionsfaktoren!V85/1000, 0)</f>
        <v>0</v>
      </c>
      <c r="X250" s="14">
        <f>IF(ISNUMBER('Refsz-Verbräuche'!X85), 'Refsz-Verbräuche'!X85*Emissionsfaktoren!W85/1000, 0)</f>
        <v>0</v>
      </c>
      <c r="Y250" s="14">
        <f>IF(ISNUMBER('Refsz-Verbräuche'!Y85), 'Refsz-Verbräuche'!Y85*Emissionsfaktoren!X85/1000, 0)</f>
        <v>0</v>
      </c>
    </row>
    <row r="251" spans="2:25" ht="16.5">
      <c r="B251" s="14">
        <v>69</v>
      </c>
      <c r="C251" s="14" t="str">
        <f>'Refsz-Verbräuche'!C86</f>
        <v>Mobilität 2</v>
      </c>
      <c r="D251" s="19" t="str">
        <f>'Refsz-Verbräuche'!D86</f>
        <v>Pendeln - PKW (E-Auto/ BEV)</v>
      </c>
      <c r="E251" t="s">
        <v>195</v>
      </c>
      <c r="F251" s="14">
        <f>IF(ISNUMBER('Refsz-Verbräuche'!F86), 'Refsz-Verbräuche'!F86*Emissionsfaktoren!E86/1000, 0)</f>
        <v>0</v>
      </c>
      <c r="G251" s="14">
        <f>IF(ISNUMBER('Refsz-Verbräuche'!G86), 'Refsz-Verbräuche'!G86*Emissionsfaktoren!F86/1000, 0)</f>
        <v>0</v>
      </c>
      <c r="H251" s="14">
        <f>IF(ISNUMBER('Refsz-Verbräuche'!H86), 'Refsz-Verbräuche'!H86*Emissionsfaktoren!G86/1000, 0)</f>
        <v>0</v>
      </c>
      <c r="I251" s="14">
        <f>IF(ISNUMBER('Refsz-Verbräuche'!I86), 'Refsz-Verbräuche'!I86*Emissionsfaktoren!H86/1000, 0)</f>
        <v>0</v>
      </c>
      <c r="J251" s="14">
        <f>IF(ISNUMBER('Refsz-Verbräuche'!J86), 'Refsz-Verbräuche'!J86*Emissionsfaktoren!I86/1000, 0)</f>
        <v>0</v>
      </c>
      <c r="K251" s="14">
        <f>IF(ISNUMBER('Refsz-Verbräuche'!K86), 'Refsz-Verbräuche'!K86*Emissionsfaktoren!J86/1000, 0)</f>
        <v>0</v>
      </c>
      <c r="L251" s="14">
        <f>IF(ISNUMBER('Refsz-Verbräuche'!L86), 'Refsz-Verbräuche'!L86*Emissionsfaktoren!K86/1000, 0)</f>
        <v>0</v>
      </c>
      <c r="M251" s="14">
        <f>IF(ISNUMBER('Refsz-Verbräuche'!M86), 'Refsz-Verbräuche'!M86*Emissionsfaktoren!L86/1000, 0)</f>
        <v>0</v>
      </c>
      <c r="N251" s="14">
        <f>IF(ISNUMBER('Refsz-Verbräuche'!N86), 'Refsz-Verbräuche'!N86*Emissionsfaktoren!M86/1000, 0)</f>
        <v>0</v>
      </c>
      <c r="O251" s="14">
        <f>IF(ISNUMBER('Refsz-Verbräuche'!O86), 'Refsz-Verbräuche'!O86*Emissionsfaktoren!N86/1000, 0)</f>
        <v>0</v>
      </c>
      <c r="P251" s="14">
        <f>IF(ISNUMBER('Refsz-Verbräuche'!P86), 'Refsz-Verbräuche'!P86*Emissionsfaktoren!O86/1000, 0)</f>
        <v>0</v>
      </c>
      <c r="Q251" s="14">
        <f>IF(ISNUMBER('Refsz-Verbräuche'!Q86), 'Refsz-Verbräuche'!Q86*Emissionsfaktoren!P86/1000, 0)</f>
        <v>0</v>
      </c>
      <c r="R251" s="14">
        <f>IF(ISNUMBER('Refsz-Verbräuche'!R86), 'Refsz-Verbräuche'!R86*Emissionsfaktoren!Q86/1000, 0)</f>
        <v>0</v>
      </c>
      <c r="S251" s="14">
        <f>IF(ISNUMBER('Refsz-Verbräuche'!S86), 'Refsz-Verbräuche'!S86*Emissionsfaktoren!R86/1000, 0)</f>
        <v>0</v>
      </c>
      <c r="T251" s="14">
        <f>IF(ISNUMBER('Refsz-Verbräuche'!T86), 'Refsz-Verbräuche'!T86*Emissionsfaktoren!S86/1000, 0)</f>
        <v>0</v>
      </c>
      <c r="U251" s="14">
        <f>IF(ISNUMBER('Refsz-Verbräuche'!U86), 'Refsz-Verbräuche'!U86*Emissionsfaktoren!T86/1000, 0)</f>
        <v>0</v>
      </c>
      <c r="V251" s="14">
        <f>IF(ISNUMBER('Refsz-Verbräuche'!V86), 'Refsz-Verbräuche'!V86*Emissionsfaktoren!U86/1000, 0)</f>
        <v>0</v>
      </c>
      <c r="W251" s="14">
        <f>IF(ISNUMBER('Refsz-Verbräuche'!W86), 'Refsz-Verbräuche'!W86*Emissionsfaktoren!V86/1000, 0)</f>
        <v>0</v>
      </c>
      <c r="X251" s="14">
        <f>IF(ISNUMBER('Refsz-Verbräuche'!X86), 'Refsz-Verbräuche'!X86*Emissionsfaktoren!W86/1000, 0)</f>
        <v>0</v>
      </c>
      <c r="Y251" s="14">
        <f>IF(ISNUMBER('Refsz-Verbräuche'!Y86), 'Refsz-Verbräuche'!Y86*Emissionsfaktoren!X86/1000, 0)</f>
        <v>0</v>
      </c>
    </row>
    <row r="252" spans="2:25" ht="16.5">
      <c r="B252" s="14">
        <v>70</v>
      </c>
      <c r="C252" s="14" t="str">
        <f>'Refsz-Verbräuche'!C87</f>
        <v>Mobilität 2</v>
      </c>
      <c r="D252" s="19" t="str">
        <f>'Refsz-Verbräuche'!D87</f>
        <v>Pendeln - PKW (Wasserstoff/ FCEV)</v>
      </c>
      <c r="E252" t="s">
        <v>195</v>
      </c>
      <c r="F252" s="14">
        <f>IF(ISNUMBER('Refsz-Verbräuche'!F87), 'Refsz-Verbräuche'!F87*Emissionsfaktoren!E87/1000, 0)</f>
        <v>0</v>
      </c>
      <c r="G252" s="14">
        <f>IF(ISNUMBER('Refsz-Verbräuche'!G87), 'Refsz-Verbräuche'!G87*Emissionsfaktoren!F87/1000, 0)</f>
        <v>0</v>
      </c>
      <c r="H252" s="14">
        <f>IF(ISNUMBER('Refsz-Verbräuche'!H87), 'Refsz-Verbräuche'!H87*Emissionsfaktoren!G87/1000, 0)</f>
        <v>0</v>
      </c>
      <c r="I252" s="14">
        <f>IF(ISNUMBER('Refsz-Verbräuche'!I87), 'Refsz-Verbräuche'!I87*Emissionsfaktoren!H87/1000, 0)</f>
        <v>0</v>
      </c>
      <c r="J252" s="14">
        <f>IF(ISNUMBER('Refsz-Verbräuche'!J87), 'Refsz-Verbräuche'!J87*Emissionsfaktoren!I87/1000, 0)</f>
        <v>0</v>
      </c>
      <c r="K252" s="14">
        <f>IF(ISNUMBER('Refsz-Verbräuche'!K87), 'Refsz-Verbräuche'!K87*Emissionsfaktoren!J87/1000, 0)</f>
        <v>0</v>
      </c>
      <c r="L252" s="14">
        <f>IF(ISNUMBER('Refsz-Verbräuche'!L87), 'Refsz-Verbräuche'!L87*Emissionsfaktoren!K87/1000, 0)</f>
        <v>0</v>
      </c>
      <c r="M252" s="14">
        <f>IF(ISNUMBER('Refsz-Verbräuche'!M87), 'Refsz-Verbräuche'!M87*Emissionsfaktoren!L87/1000, 0)</f>
        <v>0</v>
      </c>
      <c r="N252" s="14">
        <f>IF(ISNUMBER('Refsz-Verbräuche'!N87), 'Refsz-Verbräuche'!N87*Emissionsfaktoren!M87/1000, 0)</f>
        <v>0</v>
      </c>
      <c r="O252" s="14">
        <f>IF(ISNUMBER('Refsz-Verbräuche'!O87), 'Refsz-Verbräuche'!O87*Emissionsfaktoren!N87/1000, 0)</f>
        <v>0</v>
      </c>
      <c r="P252" s="14">
        <f>IF(ISNUMBER('Refsz-Verbräuche'!P87), 'Refsz-Verbräuche'!P87*Emissionsfaktoren!O87/1000, 0)</f>
        <v>0</v>
      </c>
      <c r="Q252" s="14">
        <f>IF(ISNUMBER('Refsz-Verbräuche'!Q87), 'Refsz-Verbräuche'!Q87*Emissionsfaktoren!P87/1000, 0)</f>
        <v>0</v>
      </c>
      <c r="R252" s="14">
        <f>IF(ISNUMBER('Refsz-Verbräuche'!R87), 'Refsz-Verbräuche'!R87*Emissionsfaktoren!Q87/1000, 0)</f>
        <v>0</v>
      </c>
      <c r="S252" s="14">
        <f>IF(ISNUMBER('Refsz-Verbräuche'!S87), 'Refsz-Verbräuche'!S87*Emissionsfaktoren!R87/1000, 0)</f>
        <v>0</v>
      </c>
      <c r="T252" s="14">
        <f>IF(ISNUMBER('Refsz-Verbräuche'!T87), 'Refsz-Verbräuche'!T87*Emissionsfaktoren!S87/1000, 0)</f>
        <v>0</v>
      </c>
      <c r="U252" s="14">
        <f>IF(ISNUMBER('Refsz-Verbräuche'!U87), 'Refsz-Verbräuche'!U87*Emissionsfaktoren!T87/1000, 0)</f>
        <v>0</v>
      </c>
      <c r="V252" s="14">
        <f>IF(ISNUMBER('Refsz-Verbräuche'!V87), 'Refsz-Verbräuche'!V87*Emissionsfaktoren!U87/1000, 0)</f>
        <v>0</v>
      </c>
      <c r="W252" s="14">
        <f>IF(ISNUMBER('Refsz-Verbräuche'!W87), 'Refsz-Verbräuche'!W87*Emissionsfaktoren!V87/1000, 0)</f>
        <v>0</v>
      </c>
      <c r="X252" s="14">
        <f>IF(ISNUMBER('Refsz-Verbräuche'!X87), 'Refsz-Verbräuche'!X87*Emissionsfaktoren!W87/1000, 0)</f>
        <v>0</v>
      </c>
      <c r="Y252" s="14">
        <f>IF(ISNUMBER('Refsz-Verbräuche'!Y87), 'Refsz-Verbräuche'!Y87*Emissionsfaktoren!X87/1000, 0)</f>
        <v>0</v>
      </c>
    </row>
    <row r="253" spans="2:25" ht="16.5">
      <c r="B253" s="14">
        <v>71</v>
      </c>
      <c r="C253" s="14" t="str">
        <f>'Refsz-Verbräuche'!C88</f>
        <v>Mobilität 2</v>
      </c>
      <c r="D253" s="19" t="str">
        <f>'Refsz-Verbräuche'!D88</f>
        <v>Pendeln - PKW (CNG)</v>
      </c>
      <c r="E253" t="s">
        <v>195</v>
      </c>
      <c r="F253" s="14">
        <f>IF(ISNUMBER('Refsz-Verbräuche'!F88), 'Refsz-Verbräuche'!F88*Emissionsfaktoren!E88/1000, 0)</f>
        <v>0</v>
      </c>
      <c r="G253" s="14">
        <f>IF(ISNUMBER('Refsz-Verbräuche'!G88), 'Refsz-Verbräuche'!G88*Emissionsfaktoren!F88/1000, 0)</f>
        <v>0</v>
      </c>
      <c r="H253" s="14">
        <f>IF(ISNUMBER('Refsz-Verbräuche'!H88), 'Refsz-Verbräuche'!H88*Emissionsfaktoren!G88/1000, 0)</f>
        <v>0</v>
      </c>
      <c r="I253" s="14">
        <f>IF(ISNUMBER('Refsz-Verbräuche'!I88), 'Refsz-Verbräuche'!I88*Emissionsfaktoren!H88/1000, 0)</f>
        <v>0</v>
      </c>
      <c r="J253" s="14">
        <f>IF(ISNUMBER('Refsz-Verbräuche'!J88), 'Refsz-Verbräuche'!J88*Emissionsfaktoren!I88/1000, 0)</f>
        <v>0</v>
      </c>
      <c r="K253" s="14">
        <f>IF(ISNUMBER('Refsz-Verbräuche'!K88), 'Refsz-Verbräuche'!K88*Emissionsfaktoren!J88/1000, 0)</f>
        <v>0</v>
      </c>
      <c r="L253" s="14">
        <f>IF(ISNUMBER('Refsz-Verbräuche'!L88), 'Refsz-Verbräuche'!L88*Emissionsfaktoren!K88/1000, 0)</f>
        <v>0</v>
      </c>
      <c r="M253" s="14">
        <f>IF(ISNUMBER('Refsz-Verbräuche'!M88), 'Refsz-Verbräuche'!M88*Emissionsfaktoren!L88/1000, 0)</f>
        <v>0</v>
      </c>
      <c r="N253" s="14">
        <f>IF(ISNUMBER('Refsz-Verbräuche'!N88), 'Refsz-Verbräuche'!N88*Emissionsfaktoren!M88/1000, 0)</f>
        <v>0</v>
      </c>
      <c r="O253" s="14">
        <f>IF(ISNUMBER('Refsz-Verbräuche'!O88), 'Refsz-Verbräuche'!O88*Emissionsfaktoren!N88/1000, 0)</f>
        <v>0</v>
      </c>
      <c r="P253" s="14">
        <f>IF(ISNUMBER('Refsz-Verbräuche'!P88), 'Refsz-Verbräuche'!P88*Emissionsfaktoren!O88/1000, 0)</f>
        <v>0</v>
      </c>
      <c r="Q253" s="14">
        <f>IF(ISNUMBER('Refsz-Verbräuche'!Q88), 'Refsz-Verbräuche'!Q88*Emissionsfaktoren!P88/1000, 0)</f>
        <v>0</v>
      </c>
      <c r="R253" s="14">
        <f>IF(ISNUMBER('Refsz-Verbräuche'!R88), 'Refsz-Verbräuche'!R88*Emissionsfaktoren!Q88/1000, 0)</f>
        <v>0</v>
      </c>
      <c r="S253" s="14">
        <f>IF(ISNUMBER('Refsz-Verbräuche'!S88), 'Refsz-Verbräuche'!S88*Emissionsfaktoren!R88/1000, 0)</f>
        <v>0</v>
      </c>
      <c r="T253" s="14">
        <f>IF(ISNUMBER('Refsz-Verbräuche'!T88), 'Refsz-Verbräuche'!T88*Emissionsfaktoren!S88/1000, 0)</f>
        <v>0</v>
      </c>
      <c r="U253" s="14">
        <f>IF(ISNUMBER('Refsz-Verbräuche'!U88), 'Refsz-Verbräuche'!U88*Emissionsfaktoren!T88/1000, 0)</f>
        <v>0</v>
      </c>
      <c r="V253" s="14">
        <f>IF(ISNUMBER('Refsz-Verbräuche'!V88), 'Refsz-Verbräuche'!V88*Emissionsfaktoren!U88/1000, 0)</f>
        <v>0</v>
      </c>
      <c r="W253" s="14">
        <f>IF(ISNUMBER('Refsz-Verbräuche'!W88), 'Refsz-Verbräuche'!W88*Emissionsfaktoren!V88/1000, 0)</f>
        <v>0</v>
      </c>
      <c r="X253" s="14">
        <f>IF(ISNUMBER('Refsz-Verbräuche'!X88), 'Refsz-Verbräuche'!X88*Emissionsfaktoren!W88/1000, 0)</f>
        <v>0</v>
      </c>
      <c r="Y253" s="14">
        <f>IF(ISNUMBER('Refsz-Verbräuche'!Y88), 'Refsz-Verbräuche'!Y88*Emissionsfaktoren!X88/1000, 0)</f>
        <v>0</v>
      </c>
    </row>
    <row r="254" spans="2:25" ht="16.5">
      <c r="B254" s="14">
        <v>72</v>
      </c>
      <c r="C254" s="14" t="str">
        <f>'Refsz-Verbräuche'!C89</f>
        <v>Mobilität 2</v>
      </c>
      <c r="D254" s="19" t="str">
        <f>'Refsz-Verbräuche'!D89</f>
        <v>Pendeln - PKW (Plug-In-Hybrid/PHEV)</v>
      </c>
      <c r="E254" t="s">
        <v>195</v>
      </c>
      <c r="F254" s="14">
        <f>IF(ISNUMBER('Refsz-Verbräuche'!F89), 'Refsz-Verbräuche'!F89*Emissionsfaktoren!E89/1000, 0)</f>
        <v>0</v>
      </c>
      <c r="G254" s="14">
        <f>IF(ISNUMBER('Refsz-Verbräuche'!G89), 'Refsz-Verbräuche'!G89*Emissionsfaktoren!F89/1000, 0)</f>
        <v>0</v>
      </c>
      <c r="H254" s="14">
        <f>IF(ISNUMBER('Refsz-Verbräuche'!H89), 'Refsz-Verbräuche'!H89*Emissionsfaktoren!G89/1000, 0)</f>
        <v>0</v>
      </c>
      <c r="I254" s="14">
        <f>IF(ISNUMBER('Refsz-Verbräuche'!I89), 'Refsz-Verbräuche'!I89*Emissionsfaktoren!H89/1000, 0)</f>
        <v>0</v>
      </c>
      <c r="J254" s="14">
        <f>IF(ISNUMBER('Refsz-Verbräuche'!J89), 'Refsz-Verbräuche'!J89*Emissionsfaktoren!I89/1000, 0)</f>
        <v>0</v>
      </c>
      <c r="K254" s="14">
        <f>IF(ISNUMBER('Refsz-Verbräuche'!K89), 'Refsz-Verbräuche'!K89*Emissionsfaktoren!J89/1000, 0)</f>
        <v>0</v>
      </c>
      <c r="L254" s="14">
        <f>IF(ISNUMBER('Refsz-Verbräuche'!L89), 'Refsz-Verbräuche'!L89*Emissionsfaktoren!K89/1000, 0)</f>
        <v>0</v>
      </c>
      <c r="M254" s="14">
        <f>IF(ISNUMBER('Refsz-Verbräuche'!M89), 'Refsz-Verbräuche'!M89*Emissionsfaktoren!L89/1000, 0)</f>
        <v>0</v>
      </c>
      <c r="N254" s="14">
        <f>IF(ISNUMBER('Refsz-Verbräuche'!N89), 'Refsz-Verbräuche'!N89*Emissionsfaktoren!M89/1000, 0)</f>
        <v>0</v>
      </c>
      <c r="O254" s="14">
        <f>IF(ISNUMBER('Refsz-Verbräuche'!O89), 'Refsz-Verbräuche'!O89*Emissionsfaktoren!N89/1000, 0)</f>
        <v>0</v>
      </c>
      <c r="P254" s="14">
        <f>IF(ISNUMBER('Refsz-Verbräuche'!P89), 'Refsz-Verbräuche'!P89*Emissionsfaktoren!O89/1000, 0)</f>
        <v>0</v>
      </c>
      <c r="Q254" s="14">
        <f>IF(ISNUMBER('Refsz-Verbräuche'!Q89), 'Refsz-Verbräuche'!Q89*Emissionsfaktoren!P89/1000, 0)</f>
        <v>0</v>
      </c>
      <c r="R254" s="14">
        <f>IF(ISNUMBER('Refsz-Verbräuche'!R89), 'Refsz-Verbräuche'!R89*Emissionsfaktoren!Q89/1000, 0)</f>
        <v>0</v>
      </c>
      <c r="S254" s="14">
        <f>IF(ISNUMBER('Refsz-Verbräuche'!S89), 'Refsz-Verbräuche'!S89*Emissionsfaktoren!R89/1000, 0)</f>
        <v>0</v>
      </c>
      <c r="T254" s="14">
        <f>IF(ISNUMBER('Refsz-Verbräuche'!T89), 'Refsz-Verbräuche'!T89*Emissionsfaktoren!S89/1000, 0)</f>
        <v>0</v>
      </c>
      <c r="U254" s="14">
        <f>IF(ISNUMBER('Refsz-Verbräuche'!U89), 'Refsz-Verbräuche'!U89*Emissionsfaktoren!T89/1000, 0)</f>
        <v>0</v>
      </c>
      <c r="V254" s="14">
        <f>IF(ISNUMBER('Refsz-Verbräuche'!V89), 'Refsz-Verbräuche'!V89*Emissionsfaktoren!U89/1000, 0)</f>
        <v>0</v>
      </c>
      <c r="W254" s="14">
        <f>IF(ISNUMBER('Refsz-Verbräuche'!W89), 'Refsz-Verbräuche'!W89*Emissionsfaktoren!V89/1000, 0)</f>
        <v>0</v>
      </c>
      <c r="X254" s="14">
        <f>IF(ISNUMBER('Refsz-Verbräuche'!X89), 'Refsz-Verbräuche'!X89*Emissionsfaktoren!W89/1000, 0)</f>
        <v>0</v>
      </c>
      <c r="Y254" s="14">
        <f>IF(ISNUMBER('Refsz-Verbräuche'!Y89), 'Refsz-Verbräuche'!Y89*Emissionsfaktoren!X89/1000, 0)</f>
        <v>0</v>
      </c>
    </row>
    <row r="255" spans="2:25" ht="16.5">
      <c r="B255" s="14">
        <v>73</v>
      </c>
      <c r="C255" s="14" t="str">
        <f>'Refsz-Verbräuche'!C90</f>
        <v>Mobilität 2</v>
      </c>
      <c r="D255" s="19" t="str">
        <f>'Refsz-Verbräuche'!D90</f>
        <v>Pendeln - Motorisierte Zweiräder</v>
      </c>
      <c r="E255" t="s">
        <v>195</v>
      </c>
      <c r="F255" s="14">
        <f>IF(ISNUMBER('Refsz-Verbräuche'!F90), 'Refsz-Verbräuche'!F90*Emissionsfaktoren!E90/1000, 0)</f>
        <v>0</v>
      </c>
      <c r="G255" s="14">
        <f>IF(ISNUMBER('Refsz-Verbräuche'!G90), 'Refsz-Verbräuche'!G90*Emissionsfaktoren!F90/1000, 0)</f>
        <v>0</v>
      </c>
      <c r="H255" s="14">
        <f>IF(ISNUMBER('Refsz-Verbräuche'!H90), 'Refsz-Verbräuche'!H90*Emissionsfaktoren!G90/1000, 0)</f>
        <v>0</v>
      </c>
      <c r="I255" s="14">
        <f>IF(ISNUMBER('Refsz-Verbräuche'!I90), 'Refsz-Verbräuche'!I90*Emissionsfaktoren!H90/1000, 0)</f>
        <v>0</v>
      </c>
      <c r="J255" s="14">
        <f>IF(ISNUMBER('Refsz-Verbräuche'!J90), 'Refsz-Verbräuche'!J90*Emissionsfaktoren!I90/1000, 0)</f>
        <v>0</v>
      </c>
      <c r="K255" s="14">
        <f>IF(ISNUMBER('Refsz-Verbräuche'!K90), 'Refsz-Verbräuche'!K90*Emissionsfaktoren!J90/1000, 0)</f>
        <v>0</v>
      </c>
      <c r="L255" s="14">
        <f>IF(ISNUMBER('Refsz-Verbräuche'!L90), 'Refsz-Verbräuche'!L90*Emissionsfaktoren!K90/1000, 0)</f>
        <v>0</v>
      </c>
      <c r="M255" s="14">
        <f>IF(ISNUMBER('Refsz-Verbräuche'!M90), 'Refsz-Verbräuche'!M90*Emissionsfaktoren!L90/1000, 0)</f>
        <v>0</v>
      </c>
      <c r="N255" s="14">
        <f>IF(ISNUMBER('Refsz-Verbräuche'!N90), 'Refsz-Verbräuche'!N90*Emissionsfaktoren!M90/1000, 0)</f>
        <v>0</v>
      </c>
      <c r="O255" s="14">
        <f>IF(ISNUMBER('Refsz-Verbräuche'!O90), 'Refsz-Verbräuche'!O90*Emissionsfaktoren!N90/1000, 0)</f>
        <v>0</v>
      </c>
      <c r="P255" s="14">
        <f>IF(ISNUMBER('Refsz-Verbräuche'!P90), 'Refsz-Verbräuche'!P90*Emissionsfaktoren!O90/1000, 0)</f>
        <v>0</v>
      </c>
      <c r="Q255" s="14">
        <f>IF(ISNUMBER('Refsz-Verbräuche'!Q90), 'Refsz-Verbräuche'!Q90*Emissionsfaktoren!P90/1000, 0)</f>
        <v>0</v>
      </c>
      <c r="R255" s="14">
        <f>IF(ISNUMBER('Refsz-Verbräuche'!R90), 'Refsz-Verbräuche'!R90*Emissionsfaktoren!Q90/1000, 0)</f>
        <v>0</v>
      </c>
      <c r="S255" s="14">
        <f>IF(ISNUMBER('Refsz-Verbräuche'!S90), 'Refsz-Verbräuche'!S90*Emissionsfaktoren!R90/1000, 0)</f>
        <v>0</v>
      </c>
      <c r="T255" s="14">
        <f>IF(ISNUMBER('Refsz-Verbräuche'!T90), 'Refsz-Verbräuche'!T90*Emissionsfaktoren!S90/1000, 0)</f>
        <v>0</v>
      </c>
      <c r="U255" s="14">
        <f>IF(ISNUMBER('Refsz-Verbräuche'!U90), 'Refsz-Verbräuche'!U90*Emissionsfaktoren!T90/1000, 0)</f>
        <v>0</v>
      </c>
      <c r="V255" s="14">
        <f>IF(ISNUMBER('Refsz-Verbräuche'!V90), 'Refsz-Verbräuche'!V90*Emissionsfaktoren!U90/1000, 0)</f>
        <v>0</v>
      </c>
      <c r="W255" s="14">
        <f>IF(ISNUMBER('Refsz-Verbräuche'!W90), 'Refsz-Verbräuche'!W90*Emissionsfaktoren!V90/1000, 0)</f>
        <v>0</v>
      </c>
      <c r="X255" s="14">
        <f>IF(ISNUMBER('Refsz-Verbräuche'!X90), 'Refsz-Verbräuche'!X90*Emissionsfaktoren!W90/1000, 0)</f>
        <v>0</v>
      </c>
      <c r="Y255" s="14">
        <f>IF(ISNUMBER('Refsz-Verbräuche'!Y90), 'Refsz-Verbräuche'!Y90*Emissionsfaktoren!X90/1000, 0)</f>
        <v>0</v>
      </c>
    </row>
    <row r="256" spans="2:25" ht="16.5">
      <c r="B256" s="14">
        <v>74</v>
      </c>
      <c r="C256" s="14" t="str">
        <f>'Refsz-Verbräuche'!C91</f>
        <v>Mobilität 2</v>
      </c>
      <c r="D256" s="19" t="str">
        <f>'Refsz-Verbräuche'!D91</f>
        <v>Pendeln - Fahrrad</v>
      </c>
      <c r="E256" t="s">
        <v>195</v>
      </c>
      <c r="F256" s="14">
        <f>IF(ISNUMBER('Refsz-Verbräuche'!F91), 'Refsz-Verbräuche'!F91*Emissionsfaktoren!E91/1000, 0)</f>
        <v>0</v>
      </c>
      <c r="G256" s="14">
        <f>IF(ISNUMBER('Refsz-Verbräuche'!G91), 'Refsz-Verbräuche'!G91*Emissionsfaktoren!F91/1000, 0)</f>
        <v>0</v>
      </c>
      <c r="H256" s="14">
        <f>IF(ISNUMBER('Refsz-Verbräuche'!H91), 'Refsz-Verbräuche'!H91*Emissionsfaktoren!G91/1000, 0)</f>
        <v>0</v>
      </c>
      <c r="I256" s="14">
        <f>IF(ISNUMBER('Refsz-Verbräuche'!I91), 'Refsz-Verbräuche'!I91*Emissionsfaktoren!H91/1000, 0)</f>
        <v>0</v>
      </c>
      <c r="J256" s="14">
        <f>IF(ISNUMBER('Refsz-Verbräuche'!J91), 'Refsz-Verbräuche'!J91*Emissionsfaktoren!I91/1000, 0)</f>
        <v>0</v>
      </c>
      <c r="K256" s="14">
        <f>IF(ISNUMBER('Refsz-Verbräuche'!K91), 'Refsz-Verbräuche'!K91*Emissionsfaktoren!J91/1000, 0)</f>
        <v>0</v>
      </c>
      <c r="L256" s="14">
        <f>IF(ISNUMBER('Refsz-Verbräuche'!L91), 'Refsz-Verbräuche'!L91*Emissionsfaktoren!K91/1000, 0)</f>
        <v>0</v>
      </c>
      <c r="M256" s="14">
        <f>IF(ISNUMBER('Refsz-Verbräuche'!M91), 'Refsz-Verbräuche'!M91*Emissionsfaktoren!L91/1000, 0)</f>
        <v>0</v>
      </c>
      <c r="N256" s="14">
        <f>IF(ISNUMBER('Refsz-Verbräuche'!N91), 'Refsz-Verbräuche'!N91*Emissionsfaktoren!M91/1000, 0)</f>
        <v>0</v>
      </c>
      <c r="O256" s="14">
        <f>IF(ISNUMBER('Refsz-Verbräuche'!O91), 'Refsz-Verbräuche'!O91*Emissionsfaktoren!N91/1000, 0)</f>
        <v>0</v>
      </c>
      <c r="P256" s="14">
        <f>IF(ISNUMBER('Refsz-Verbräuche'!P91), 'Refsz-Verbräuche'!P91*Emissionsfaktoren!O91/1000, 0)</f>
        <v>0</v>
      </c>
      <c r="Q256" s="14">
        <f>IF(ISNUMBER('Refsz-Verbräuche'!Q91), 'Refsz-Verbräuche'!Q91*Emissionsfaktoren!P91/1000, 0)</f>
        <v>0</v>
      </c>
      <c r="R256" s="14">
        <f>IF(ISNUMBER('Refsz-Verbräuche'!R91), 'Refsz-Verbräuche'!R91*Emissionsfaktoren!Q91/1000, 0)</f>
        <v>0</v>
      </c>
      <c r="S256" s="14">
        <f>IF(ISNUMBER('Refsz-Verbräuche'!S91), 'Refsz-Verbräuche'!S91*Emissionsfaktoren!R91/1000, 0)</f>
        <v>0</v>
      </c>
      <c r="T256" s="14">
        <f>IF(ISNUMBER('Refsz-Verbräuche'!T91), 'Refsz-Verbräuche'!T91*Emissionsfaktoren!S91/1000, 0)</f>
        <v>0</v>
      </c>
      <c r="U256" s="14">
        <f>IF(ISNUMBER('Refsz-Verbräuche'!U91), 'Refsz-Verbräuche'!U91*Emissionsfaktoren!T91/1000, 0)</f>
        <v>0</v>
      </c>
      <c r="V256" s="14">
        <f>IF(ISNUMBER('Refsz-Verbräuche'!V91), 'Refsz-Verbräuche'!V91*Emissionsfaktoren!U91/1000, 0)</f>
        <v>0</v>
      </c>
      <c r="W256" s="14">
        <f>IF(ISNUMBER('Refsz-Verbräuche'!W91), 'Refsz-Verbräuche'!W91*Emissionsfaktoren!V91/1000, 0)</f>
        <v>0</v>
      </c>
      <c r="X256" s="14">
        <f>IF(ISNUMBER('Refsz-Verbräuche'!X91), 'Refsz-Verbräuche'!X91*Emissionsfaktoren!W91/1000, 0)</f>
        <v>0</v>
      </c>
      <c r="Y256" s="14">
        <f>IF(ISNUMBER('Refsz-Verbräuche'!Y91), 'Refsz-Verbräuche'!Y91*Emissionsfaktoren!X91/1000, 0)</f>
        <v>0</v>
      </c>
    </row>
    <row r="257" spans="2:25">
      <c r="B257" s="14">
        <v>75</v>
      </c>
      <c r="C257" s="14" t="str">
        <f>'Refsz-Verbräuche'!C92</f>
        <v>Mobilität 2</v>
      </c>
      <c r="D257" s="19" t="str">
        <f>'Refsz-Verbräuche'!D92</f>
        <v>Pendeln - E-Bike</v>
      </c>
      <c r="F257" s="14">
        <f>IF(ISNUMBER('Refsz-Verbräuche'!F92), 'Refsz-Verbräuche'!F92*Emissionsfaktoren!E92/1000, 0)</f>
        <v>0</v>
      </c>
      <c r="G257" s="14">
        <f>IF(ISNUMBER('Refsz-Verbräuche'!G92), 'Refsz-Verbräuche'!G92*Emissionsfaktoren!F92/1000, 0)</f>
        <v>0</v>
      </c>
      <c r="H257" s="14">
        <f>IF(ISNUMBER('Refsz-Verbräuche'!H92), 'Refsz-Verbräuche'!H92*Emissionsfaktoren!G92/1000, 0)</f>
        <v>0</v>
      </c>
      <c r="I257" s="14">
        <f>IF(ISNUMBER('Refsz-Verbräuche'!I92), 'Refsz-Verbräuche'!I92*Emissionsfaktoren!H92/1000, 0)</f>
        <v>0</v>
      </c>
      <c r="J257" s="14">
        <f>IF(ISNUMBER('Refsz-Verbräuche'!J92), 'Refsz-Verbräuche'!J92*Emissionsfaktoren!I92/1000, 0)</f>
        <v>0</v>
      </c>
      <c r="K257" s="14">
        <f>IF(ISNUMBER('Refsz-Verbräuche'!K92), 'Refsz-Verbräuche'!K92*Emissionsfaktoren!J92/1000, 0)</f>
        <v>0</v>
      </c>
      <c r="L257" s="14">
        <f>IF(ISNUMBER('Refsz-Verbräuche'!L92), 'Refsz-Verbräuche'!L92*Emissionsfaktoren!K92/1000, 0)</f>
        <v>0</v>
      </c>
      <c r="M257" s="14">
        <f>IF(ISNUMBER('Refsz-Verbräuche'!M92), 'Refsz-Verbräuche'!M92*Emissionsfaktoren!L92/1000, 0)</f>
        <v>0</v>
      </c>
      <c r="N257" s="14">
        <f>IF(ISNUMBER('Refsz-Verbräuche'!N92), 'Refsz-Verbräuche'!N92*Emissionsfaktoren!M92/1000, 0)</f>
        <v>0</v>
      </c>
      <c r="O257" s="14">
        <f>IF(ISNUMBER('Refsz-Verbräuche'!O92), 'Refsz-Verbräuche'!O92*Emissionsfaktoren!N92/1000, 0)</f>
        <v>0</v>
      </c>
      <c r="P257" s="14">
        <f>IF(ISNUMBER('Refsz-Verbräuche'!P92), 'Refsz-Verbräuche'!P92*Emissionsfaktoren!O92/1000, 0)</f>
        <v>0</v>
      </c>
      <c r="Q257" s="14">
        <f>IF(ISNUMBER('Refsz-Verbräuche'!Q92), 'Refsz-Verbräuche'!Q92*Emissionsfaktoren!P92/1000, 0)</f>
        <v>0</v>
      </c>
      <c r="R257" s="14">
        <f>IF(ISNUMBER('Refsz-Verbräuche'!R92), 'Refsz-Verbräuche'!R92*Emissionsfaktoren!Q92/1000, 0)</f>
        <v>0</v>
      </c>
      <c r="S257" s="14">
        <f>IF(ISNUMBER('Refsz-Verbräuche'!S92), 'Refsz-Verbräuche'!S92*Emissionsfaktoren!R92/1000, 0)</f>
        <v>0</v>
      </c>
      <c r="T257" s="14">
        <f>IF(ISNUMBER('Refsz-Verbräuche'!T92), 'Refsz-Verbräuche'!T92*Emissionsfaktoren!S92/1000, 0)</f>
        <v>0</v>
      </c>
      <c r="U257" s="14">
        <f>IF(ISNUMBER('Refsz-Verbräuche'!U92), 'Refsz-Verbräuche'!U92*Emissionsfaktoren!T92/1000, 0)</f>
        <v>0</v>
      </c>
      <c r="V257" s="14">
        <f>IF(ISNUMBER('Refsz-Verbräuche'!V92), 'Refsz-Verbräuche'!V92*Emissionsfaktoren!U92/1000, 0)</f>
        <v>0</v>
      </c>
      <c r="W257" s="14">
        <f>IF(ISNUMBER('Refsz-Verbräuche'!W92), 'Refsz-Verbräuche'!W92*Emissionsfaktoren!V92/1000, 0)</f>
        <v>0</v>
      </c>
      <c r="X257" s="14">
        <f>IF(ISNUMBER('Refsz-Verbräuche'!X92), 'Refsz-Verbräuche'!X92*Emissionsfaktoren!W92/1000, 0)</f>
        <v>0</v>
      </c>
      <c r="Y257" s="14">
        <f>IF(ISNUMBER('Refsz-Verbräuche'!Y92), 'Refsz-Verbräuche'!Y92*Emissionsfaktoren!X92/1000, 0)</f>
        <v>0</v>
      </c>
    </row>
    <row r="258" spans="2:25" ht="16.5">
      <c r="B258" s="14">
        <v>76</v>
      </c>
      <c r="C258" s="14" t="str">
        <f>'Refsz-Verbräuche'!C93</f>
        <v>Mobilität 2</v>
      </c>
      <c r="D258" s="19" t="str">
        <f>'Refsz-Verbräuche'!D93</f>
        <v>Pendeln - zu Fuß</v>
      </c>
      <c r="E258" t="s">
        <v>195</v>
      </c>
      <c r="F258" s="14">
        <f>IF(ISNUMBER('Refsz-Verbräuche'!F93), 'Refsz-Verbräuche'!F93*Emissionsfaktoren!E93/1000, 0)</f>
        <v>0</v>
      </c>
      <c r="G258" s="14">
        <f>IF(ISNUMBER('Refsz-Verbräuche'!G93), 'Refsz-Verbräuche'!G93*Emissionsfaktoren!F93/1000, 0)</f>
        <v>0</v>
      </c>
      <c r="H258" s="14">
        <f>IF(ISNUMBER('Refsz-Verbräuche'!H93), 'Refsz-Verbräuche'!H93*Emissionsfaktoren!G93/1000, 0)</f>
        <v>0</v>
      </c>
      <c r="I258" s="14">
        <f>IF(ISNUMBER('Refsz-Verbräuche'!I93), 'Refsz-Verbräuche'!I93*Emissionsfaktoren!H93/1000, 0)</f>
        <v>0</v>
      </c>
      <c r="J258" s="14">
        <f>IF(ISNUMBER('Refsz-Verbräuche'!J93), 'Refsz-Verbräuche'!J93*Emissionsfaktoren!I93/1000, 0)</f>
        <v>0</v>
      </c>
      <c r="K258" s="14">
        <f>IF(ISNUMBER('Refsz-Verbräuche'!K93), 'Refsz-Verbräuche'!K93*Emissionsfaktoren!J93/1000, 0)</f>
        <v>0</v>
      </c>
      <c r="L258" s="14">
        <f>IF(ISNUMBER('Refsz-Verbräuche'!L93), 'Refsz-Verbräuche'!L93*Emissionsfaktoren!K93/1000, 0)</f>
        <v>0</v>
      </c>
      <c r="M258" s="14">
        <f>IF(ISNUMBER('Refsz-Verbräuche'!M93), 'Refsz-Verbräuche'!M93*Emissionsfaktoren!L93/1000, 0)</f>
        <v>0</v>
      </c>
      <c r="N258" s="14">
        <f>IF(ISNUMBER('Refsz-Verbräuche'!N93), 'Refsz-Verbräuche'!N93*Emissionsfaktoren!M93/1000, 0)</f>
        <v>0</v>
      </c>
      <c r="O258" s="14">
        <f>IF(ISNUMBER('Refsz-Verbräuche'!O93), 'Refsz-Verbräuche'!O93*Emissionsfaktoren!N93/1000, 0)</f>
        <v>0</v>
      </c>
      <c r="P258" s="14">
        <f>IF(ISNUMBER('Refsz-Verbräuche'!P93), 'Refsz-Verbräuche'!P93*Emissionsfaktoren!O93/1000, 0)</f>
        <v>0</v>
      </c>
      <c r="Q258" s="14">
        <f>IF(ISNUMBER('Refsz-Verbräuche'!Q93), 'Refsz-Verbräuche'!Q93*Emissionsfaktoren!P93/1000, 0)</f>
        <v>0</v>
      </c>
      <c r="R258" s="14">
        <f>IF(ISNUMBER('Refsz-Verbräuche'!R93), 'Refsz-Verbräuche'!R93*Emissionsfaktoren!Q93/1000, 0)</f>
        <v>0</v>
      </c>
      <c r="S258" s="14">
        <f>IF(ISNUMBER('Refsz-Verbräuche'!S93), 'Refsz-Verbräuche'!S93*Emissionsfaktoren!R93/1000, 0)</f>
        <v>0</v>
      </c>
      <c r="T258" s="14">
        <f>IF(ISNUMBER('Refsz-Verbräuche'!T93), 'Refsz-Verbräuche'!T93*Emissionsfaktoren!S93/1000, 0)</f>
        <v>0</v>
      </c>
      <c r="U258" s="14">
        <f>IF(ISNUMBER('Refsz-Verbräuche'!U93), 'Refsz-Verbräuche'!U93*Emissionsfaktoren!T93/1000, 0)</f>
        <v>0</v>
      </c>
      <c r="V258" s="14">
        <f>IF(ISNUMBER('Refsz-Verbräuche'!V93), 'Refsz-Verbräuche'!V93*Emissionsfaktoren!U93/1000, 0)</f>
        <v>0</v>
      </c>
      <c r="W258" s="14">
        <f>IF(ISNUMBER('Refsz-Verbräuche'!W93), 'Refsz-Verbräuche'!W93*Emissionsfaktoren!V93/1000, 0)</f>
        <v>0</v>
      </c>
      <c r="X258" s="14">
        <f>IF(ISNUMBER('Refsz-Verbräuche'!X93), 'Refsz-Verbräuche'!X93*Emissionsfaktoren!W93/1000, 0)</f>
        <v>0</v>
      </c>
      <c r="Y258" s="14">
        <f>IF(ISNUMBER('Refsz-Verbräuche'!Y93), 'Refsz-Verbräuche'!Y93*Emissionsfaktoren!X93/1000, 0)</f>
        <v>0</v>
      </c>
    </row>
    <row r="259" spans="2:25" ht="16.5">
      <c r="B259" s="14">
        <v>77</v>
      </c>
      <c r="C259" s="14">
        <f>'Refsz-Verbräuche'!C94</f>
        <v>0</v>
      </c>
      <c r="D259" s="19">
        <f>'Refsz-Verbräuche'!D94</f>
        <v>0</v>
      </c>
      <c r="E259" t="s">
        <v>195</v>
      </c>
      <c r="F259" s="14">
        <f>IF(ISNUMBER('Refsz-Verbräuche'!F94), 'Refsz-Verbräuche'!F94*Emissionsfaktoren!E94/1000, 0)</f>
        <v>0</v>
      </c>
      <c r="G259" s="14">
        <f>IF(ISNUMBER('Refsz-Verbräuche'!G94), 'Refsz-Verbräuche'!G94*Emissionsfaktoren!F94/1000, 0)</f>
        <v>0</v>
      </c>
      <c r="H259" s="14">
        <f>IF(ISNUMBER('Refsz-Verbräuche'!H94), 'Refsz-Verbräuche'!H94*Emissionsfaktoren!G94/1000, 0)</f>
        <v>0</v>
      </c>
      <c r="I259" s="14">
        <f>IF(ISNUMBER('Refsz-Verbräuche'!I94), 'Refsz-Verbräuche'!I94*Emissionsfaktoren!H94/1000, 0)</f>
        <v>0</v>
      </c>
      <c r="J259" s="14">
        <f>IF(ISNUMBER('Refsz-Verbräuche'!J94), 'Refsz-Verbräuche'!J94*Emissionsfaktoren!I94/1000, 0)</f>
        <v>0</v>
      </c>
      <c r="K259" s="14">
        <f>IF(ISNUMBER('Refsz-Verbräuche'!K94), 'Refsz-Verbräuche'!K94*Emissionsfaktoren!J94/1000, 0)</f>
        <v>0</v>
      </c>
      <c r="L259" s="14">
        <f>IF(ISNUMBER('Refsz-Verbräuche'!L94), 'Refsz-Verbräuche'!L94*Emissionsfaktoren!K94/1000, 0)</f>
        <v>0</v>
      </c>
      <c r="M259" s="14">
        <f>IF(ISNUMBER('Refsz-Verbräuche'!M94), 'Refsz-Verbräuche'!M94*Emissionsfaktoren!L94/1000, 0)</f>
        <v>0</v>
      </c>
      <c r="N259" s="14">
        <f>IF(ISNUMBER('Refsz-Verbräuche'!N94), 'Refsz-Verbräuche'!N94*Emissionsfaktoren!M94/1000, 0)</f>
        <v>0</v>
      </c>
      <c r="O259" s="14">
        <f>IF(ISNUMBER('Refsz-Verbräuche'!O94), 'Refsz-Verbräuche'!O94*Emissionsfaktoren!N94/1000, 0)</f>
        <v>0</v>
      </c>
      <c r="P259" s="14">
        <f>IF(ISNUMBER('Refsz-Verbräuche'!P94), 'Refsz-Verbräuche'!P94*Emissionsfaktoren!O94/1000, 0)</f>
        <v>0</v>
      </c>
      <c r="Q259" s="14">
        <f>IF(ISNUMBER('Refsz-Verbräuche'!Q94), 'Refsz-Verbräuche'!Q94*Emissionsfaktoren!P94/1000, 0)</f>
        <v>0</v>
      </c>
      <c r="R259" s="14">
        <f>IF(ISNUMBER('Refsz-Verbräuche'!R94), 'Refsz-Verbräuche'!R94*Emissionsfaktoren!Q94/1000, 0)</f>
        <v>0</v>
      </c>
      <c r="S259" s="14">
        <f>IF(ISNUMBER('Refsz-Verbräuche'!S94), 'Refsz-Verbräuche'!S94*Emissionsfaktoren!R94/1000, 0)</f>
        <v>0</v>
      </c>
      <c r="T259" s="14">
        <f>IF(ISNUMBER('Refsz-Verbräuche'!T94), 'Refsz-Verbräuche'!T94*Emissionsfaktoren!S94/1000, 0)</f>
        <v>0</v>
      </c>
      <c r="U259" s="14">
        <f>IF(ISNUMBER('Refsz-Verbräuche'!U94), 'Refsz-Verbräuche'!U94*Emissionsfaktoren!T94/1000, 0)</f>
        <v>0</v>
      </c>
      <c r="V259" s="14">
        <f>IF(ISNUMBER('Refsz-Verbräuche'!V94), 'Refsz-Verbräuche'!V94*Emissionsfaktoren!U94/1000, 0)</f>
        <v>0</v>
      </c>
      <c r="W259" s="14">
        <f>IF(ISNUMBER('Refsz-Verbräuche'!W94), 'Refsz-Verbräuche'!W94*Emissionsfaktoren!V94/1000, 0)</f>
        <v>0</v>
      </c>
      <c r="X259" s="14">
        <f>IF(ISNUMBER('Refsz-Verbräuche'!X94), 'Refsz-Verbräuche'!X94*Emissionsfaktoren!W94/1000, 0)</f>
        <v>0</v>
      </c>
      <c r="Y259" s="14">
        <f>IF(ISNUMBER('Refsz-Verbräuche'!Y94), 'Refsz-Verbräuche'!Y94*Emissionsfaktoren!X94/1000, 0)</f>
        <v>0</v>
      </c>
    </row>
    <row r="260" spans="2:25" ht="16.5">
      <c r="B260" s="14">
        <v>78</v>
      </c>
      <c r="C260" s="14" t="str">
        <f>'Refsz-Verbräuche'!C95</f>
        <v>Mobilität 2</v>
      </c>
      <c r="D260" s="19" t="str">
        <f>'Refsz-Verbräuche'!D95</f>
        <v>Studierendenreisen (Incoming) - Flugreisen</v>
      </c>
      <c r="E260" t="s">
        <v>195</v>
      </c>
      <c r="F260" s="14">
        <f>IF(ISNUMBER('Refsz-Verbräuche'!F95), 'Refsz-Verbräuche'!F95*Emissionsfaktoren!E95/1000, 0)</f>
        <v>0</v>
      </c>
      <c r="G260" s="14">
        <f>IF(ISNUMBER('Refsz-Verbräuche'!G95), 'Refsz-Verbräuche'!G95*Emissionsfaktoren!F95/1000, 0)</f>
        <v>0</v>
      </c>
      <c r="H260" s="14">
        <f>IF(ISNUMBER('Refsz-Verbräuche'!H95), 'Refsz-Verbräuche'!H95*Emissionsfaktoren!G95/1000, 0)</f>
        <v>0</v>
      </c>
      <c r="I260" s="14">
        <f>IF(ISNUMBER('Refsz-Verbräuche'!I95), 'Refsz-Verbräuche'!I95*Emissionsfaktoren!H95/1000, 0)</f>
        <v>0</v>
      </c>
      <c r="J260" s="14">
        <f>IF(ISNUMBER('Refsz-Verbräuche'!J95), 'Refsz-Verbräuche'!J95*Emissionsfaktoren!I95/1000, 0)</f>
        <v>0</v>
      </c>
      <c r="K260" s="14">
        <f>IF(ISNUMBER('Refsz-Verbräuche'!K95), 'Refsz-Verbräuche'!K95*Emissionsfaktoren!J95/1000, 0)</f>
        <v>0</v>
      </c>
      <c r="L260" s="14">
        <f>IF(ISNUMBER('Refsz-Verbräuche'!L95), 'Refsz-Verbräuche'!L95*Emissionsfaktoren!K95/1000, 0)</f>
        <v>0</v>
      </c>
      <c r="M260" s="14">
        <f>IF(ISNUMBER('Refsz-Verbräuche'!M95), 'Refsz-Verbräuche'!M95*Emissionsfaktoren!L95/1000, 0)</f>
        <v>0</v>
      </c>
      <c r="N260" s="14">
        <f>IF(ISNUMBER('Refsz-Verbräuche'!N95), 'Refsz-Verbräuche'!N95*Emissionsfaktoren!M95/1000, 0)</f>
        <v>0</v>
      </c>
      <c r="O260" s="14">
        <f>IF(ISNUMBER('Refsz-Verbräuche'!O95), 'Refsz-Verbräuche'!O95*Emissionsfaktoren!N95/1000, 0)</f>
        <v>0</v>
      </c>
      <c r="P260" s="14">
        <f>IF(ISNUMBER('Refsz-Verbräuche'!P95), 'Refsz-Verbräuche'!P95*Emissionsfaktoren!O95/1000, 0)</f>
        <v>0</v>
      </c>
      <c r="Q260" s="14">
        <f>IF(ISNUMBER('Refsz-Verbräuche'!Q95), 'Refsz-Verbräuche'!Q95*Emissionsfaktoren!P95/1000, 0)</f>
        <v>0</v>
      </c>
      <c r="R260" s="14">
        <f>IF(ISNUMBER('Refsz-Verbräuche'!R95), 'Refsz-Verbräuche'!R95*Emissionsfaktoren!Q95/1000, 0)</f>
        <v>0</v>
      </c>
      <c r="S260" s="14">
        <f>IF(ISNUMBER('Refsz-Verbräuche'!S95), 'Refsz-Verbräuche'!S95*Emissionsfaktoren!R95/1000, 0)</f>
        <v>0</v>
      </c>
      <c r="T260" s="14">
        <f>IF(ISNUMBER('Refsz-Verbräuche'!T95), 'Refsz-Verbräuche'!T95*Emissionsfaktoren!S95/1000, 0)</f>
        <v>0</v>
      </c>
      <c r="U260" s="14">
        <f>IF(ISNUMBER('Refsz-Verbräuche'!U95), 'Refsz-Verbräuche'!U95*Emissionsfaktoren!T95/1000, 0)</f>
        <v>0</v>
      </c>
      <c r="V260" s="14">
        <f>IF(ISNUMBER('Refsz-Verbräuche'!V95), 'Refsz-Verbräuche'!V95*Emissionsfaktoren!U95/1000, 0)</f>
        <v>0</v>
      </c>
      <c r="W260" s="14">
        <f>IF(ISNUMBER('Refsz-Verbräuche'!W95), 'Refsz-Verbräuche'!W95*Emissionsfaktoren!V95/1000, 0)</f>
        <v>0</v>
      </c>
      <c r="X260" s="14">
        <f>IF(ISNUMBER('Refsz-Verbräuche'!X95), 'Refsz-Verbräuche'!X95*Emissionsfaktoren!W95/1000, 0)</f>
        <v>0</v>
      </c>
      <c r="Y260" s="14">
        <f>IF(ISNUMBER('Refsz-Verbräuche'!Y95), 'Refsz-Verbräuche'!Y95*Emissionsfaktoren!X95/1000, 0)</f>
        <v>0</v>
      </c>
    </row>
    <row r="261" spans="2:25" ht="16.5">
      <c r="B261" s="14">
        <v>79</v>
      </c>
      <c r="C261" s="14" t="str">
        <f>'Refsz-Verbräuche'!C96</f>
        <v>Mobilität 2</v>
      </c>
      <c r="D261" s="19" t="str">
        <f>'Refsz-Verbräuche'!D96</f>
        <v>Studierendenreisen (Incoming) - Eisenbahn (Nahverkehr)</v>
      </c>
      <c r="E261" t="s">
        <v>195</v>
      </c>
      <c r="F261" s="14">
        <f>IF(ISNUMBER('Refsz-Verbräuche'!F96), 'Refsz-Verbräuche'!F96*Emissionsfaktoren!E96/1000, 0)</f>
        <v>0</v>
      </c>
      <c r="G261" s="14">
        <f>IF(ISNUMBER('Refsz-Verbräuche'!G96), 'Refsz-Verbräuche'!G96*Emissionsfaktoren!F96/1000, 0)</f>
        <v>0</v>
      </c>
      <c r="H261" s="14">
        <f>IF(ISNUMBER('Refsz-Verbräuche'!H96), 'Refsz-Verbräuche'!H96*Emissionsfaktoren!G96/1000, 0)</f>
        <v>0</v>
      </c>
      <c r="I261" s="14">
        <f>IF(ISNUMBER('Refsz-Verbräuche'!I96), 'Refsz-Verbräuche'!I96*Emissionsfaktoren!H96/1000, 0)</f>
        <v>0</v>
      </c>
      <c r="J261" s="14">
        <f>IF(ISNUMBER('Refsz-Verbräuche'!J96), 'Refsz-Verbräuche'!J96*Emissionsfaktoren!I96/1000, 0)</f>
        <v>0</v>
      </c>
      <c r="K261" s="14">
        <f>IF(ISNUMBER('Refsz-Verbräuche'!K96), 'Refsz-Verbräuche'!K96*Emissionsfaktoren!J96/1000, 0)</f>
        <v>0</v>
      </c>
      <c r="L261" s="14">
        <f>IF(ISNUMBER('Refsz-Verbräuche'!L96), 'Refsz-Verbräuche'!L96*Emissionsfaktoren!K96/1000, 0)</f>
        <v>0</v>
      </c>
      <c r="M261" s="14">
        <f>IF(ISNUMBER('Refsz-Verbräuche'!M96), 'Refsz-Verbräuche'!M96*Emissionsfaktoren!L96/1000, 0)</f>
        <v>0</v>
      </c>
      <c r="N261" s="14">
        <f>IF(ISNUMBER('Refsz-Verbräuche'!N96), 'Refsz-Verbräuche'!N96*Emissionsfaktoren!M96/1000, 0)</f>
        <v>0</v>
      </c>
      <c r="O261" s="14">
        <f>IF(ISNUMBER('Refsz-Verbräuche'!O96), 'Refsz-Verbräuche'!O96*Emissionsfaktoren!N96/1000, 0)</f>
        <v>0</v>
      </c>
      <c r="P261" s="14">
        <f>IF(ISNUMBER('Refsz-Verbräuche'!P96), 'Refsz-Verbräuche'!P96*Emissionsfaktoren!O96/1000, 0)</f>
        <v>0</v>
      </c>
      <c r="Q261" s="14">
        <f>IF(ISNUMBER('Refsz-Verbräuche'!Q96), 'Refsz-Verbräuche'!Q96*Emissionsfaktoren!P96/1000, 0)</f>
        <v>0</v>
      </c>
      <c r="R261" s="14">
        <f>IF(ISNUMBER('Refsz-Verbräuche'!R96), 'Refsz-Verbräuche'!R96*Emissionsfaktoren!Q96/1000, 0)</f>
        <v>0</v>
      </c>
      <c r="S261" s="14">
        <f>IF(ISNUMBER('Refsz-Verbräuche'!S96), 'Refsz-Verbräuche'!S96*Emissionsfaktoren!R96/1000, 0)</f>
        <v>0</v>
      </c>
      <c r="T261" s="14">
        <f>IF(ISNUMBER('Refsz-Verbräuche'!T96), 'Refsz-Verbräuche'!T96*Emissionsfaktoren!S96/1000, 0)</f>
        <v>0</v>
      </c>
      <c r="U261" s="14">
        <f>IF(ISNUMBER('Refsz-Verbräuche'!U96), 'Refsz-Verbräuche'!U96*Emissionsfaktoren!T96/1000, 0)</f>
        <v>0</v>
      </c>
      <c r="V261" s="14">
        <f>IF(ISNUMBER('Refsz-Verbräuche'!V96), 'Refsz-Verbräuche'!V96*Emissionsfaktoren!U96/1000, 0)</f>
        <v>0</v>
      </c>
      <c r="W261" s="14">
        <f>IF(ISNUMBER('Refsz-Verbräuche'!W96), 'Refsz-Verbräuche'!W96*Emissionsfaktoren!V96/1000, 0)</f>
        <v>0</v>
      </c>
      <c r="X261" s="14">
        <f>IF(ISNUMBER('Refsz-Verbräuche'!X96), 'Refsz-Verbräuche'!X96*Emissionsfaktoren!W96/1000, 0)</f>
        <v>0</v>
      </c>
      <c r="Y261" s="14">
        <f>IF(ISNUMBER('Refsz-Verbräuche'!Y96), 'Refsz-Verbräuche'!Y96*Emissionsfaktoren!X96/1000, 0)</f>
        <v>0</v>
      </c>
    </row>
    <row r="262" spans="2:25" ht="16.5">
      <c r="B262" s="14">
        <v>80</v>
      </c>
      <c r="C262" s="14" t="str">
        <f>'Refsz-Verbräuche'!C97</f>
        <v>Mobilität 2</v>
      </c>
      <c r="D262" s="19" t="str">
        <f>'Refsz-Verbräuche'!D97</f>
        <v>Studierendenreisen (Incoming) - Privater PKW (alle Antriebsarten)</v>
      </c>
      <c r="E262" t="s">
        <v>195</v>
      </c>
      <c r="F262" s="14">
        <f>IF(ISNUMBER('Refsz-Verbräuche'!F97), 'Refsz-Verbräuche'!F97*Emissionsfaktoren!E97/1000, 0)</f>
        <v>0</v>
      </c>
      <c r="G262" s="14">
        <f>IF(ISNUMBER('Refsz-Verbräuche'!G97), 'Refsz-Verbräuche'!G97*Emissionsfaktoren!F97/1000, 0)</f>
        <v>0</v>
      </c>
      <c r="H262" s="14">
        <f>IF(ISNUMBER('Refsz-Verbräuche'!H97), 'Refsz-Verbräuche'!H97*Emissionsfaktoren!G97/1000, 0)</f>
        <v>0</v>
      </c>
      <c r="I262" s="14">
        <f>IF(ISNUMBER('Refsz-Verbräuche'!I97), 'Refsz-Verbräuche'!I97*Emissionsfaktoren!H97/1000, 0)</f>
        <v>0</v>
      </c>
      <c r="J262" s="14">
        <f>IF(ISNUMBER('Refsz-Verbräuche'!J97), 'Refsz-Verbräuche'!J97*Emissionsfaktoren!I97/1000, 0)</f>
        <v>0</v>
      </c>
      <c r="K262" s="14">
        <f>IF(ISNUMBER('Refsz-Verbräuche'!K97), 'Refsz-Verbräuche'!K97*Emissionsfaktoren!J97/1000, 0)</f>
        <v>0</v>
      </c>
      <c r="L262" s="14">
        <f>IF(ISNUMBER('Refsz-Verbräuche'!L97), 'Refsz-Verbräuche'!L97*Emissionsfaktoren!K97/1000, 0)</f>
        <v>0</v>
      </c>
      <c r="M262" s="14">
        <f>IF(ISNUMBER('Refsz-Verbräuche'!M97), 'Refsz-Verbräuche'!M97*Emissionsfaktoren!L97/1000, 0)</f>
        <v>0</v>
      </c>
      <c r="N262" s="14">
        <f>IF(ISNUMBER('Refsz-Verbräuche'!N97), 'Refsz-Verbräuche'!N97*Emissionsfaktoren!M97/1000, 0)</f>
        <v>0</v>
      </c>
      <c r="O262" s="14">
        <f>IF(ISNUMBER('Refsz-Verbräuche'!O97), 'Refsz-Verbräuche'!O97*Emissionsfaktoren!N97/1000, 0)</f>
        <v>0</v>
      </c>
      <c r="P262" s="14">
        <f>IF(ISNUMBER('Refsz-Verbräuche'!P97), 'Refsz-Verbräuche'!P97*Emissionsfaktoren!O97/1000, 0)</f>
        <v>0</v>
      </c>
      <c r="Q262" s="14">
        <f>IF(ISNUMBER('Refsz-Verbräuche'!Q97), 'Refsz-Verbräuche'!Q97*Emissionsfaktoren!P97/1000, 0)</f>
        <v>0</v>
      </c>
      <c r="R262" s="14">
        <f>IF(ISNUMBER('Refsz-Verbräuche'!R97), 'Refsz-Verbräuche'!R97*Emissionsfaktoren!Q97/1000, 0)</f>
        <v>0</v>
      </c>
      <c r="S262" s="14">
        <f>IF(ISNUMBER('Refsz-Verbräuche'!S97), 'Refsz-Verbräuche'!S97*Emissionsfaktoren!R97/1000, 0)</f>
        <v>0</v>
      </c>
      <c r="T262" s="14">
        <f>IF(ISNUMBER('Refsz-Verbräuche'!T97), 'Refsz-Verbräuche'!T97*Emissionsfaktoren!S97/1000, 0)</f>
        <v>0</v>
      </c>
      <c r="U262" s="14">
        <f>IF(ISNUMBER('Refsz-Verbräuche'!U97), 'Refsz-Verbräuche'!U97*Emissionsfaktoren!T97/1000, 0)</f>
        <v>0</v>
      </c>
      <c r="V262" s="14">
        <f>IF(ISNUMBER('Refsz-Verbräuche'!V97), 'Refsz-Verbräuche'!V97*Emissionsfaktoren!U97/1000, 0)</f>
        <v>0</v>
      </c>
      <c r="W262" s="14">
        <f>IF(ISNUMBER('Refsz-Verbräuche'!W97), 'Refsz-Verbräuche'!W97*Emissionsfaktoren!V97/1000, 0)</f>
        <v>0</v>
      </c>
      <c r="X262" s="14">
        <f>IF(ISNUMBER('Refsz-Verbräuche'!X97), 'Refsz-Verbräuche'!X97*Emissionsfaktoren!W97/1000, 0)</f>
        <v>0</v>
      </c>
      <c r="Y262" s="14">
        <f>IF(ISNUMBER('Refsz-Verbräuche'!Y97), 'Refsz-Verbräuche'!Y97*Emissionsfaktoren!X97/1000, 0)</f>
        <v>0</v>
      </c>
    </row>
    <row r="263" spans="2:25" ht="16.5">
      <c r="B263" s="14">
        <v>81</v>
      </c>
      <c r="C263" s="14">
        <f>'Refsz-Verbräuche'!C98</f>
        <v>0</v>
      </c>
      <c r="D263" s="19">
        <f>'Refsz-Verbräuche'!D98</f>
        <v>0</v>
      </c>
      <c r="E263" t="s">
        <v>195</v>
      </c>
      <c r="F263" s="14">
        <f>IF(ISNUMBER('Refsz-Verbräuche'!F98), 'Refsz-Verbräuche'!F98*Emissionsfaktoren!E98/1000, 0)</f>
        <v>0</v>
      </c>
      <c r="G263" s="14">
        <f>IF(ISNUMBER('Refsz-Verbräuche'!G98), 'Refsz-Verbräuche'!G98*Emissionsfaktoren!F98/1000, 0)</f>
        <v>0</v>
      </c>
      <c r="H263" s="14">
        <f>IF(ISNUMBER('Refsz-Verbräuche'!H98), 'Refsz-Verbräuche'!H98*Emissionsfaktoren!G98/1000, 0)</f>
        <v>0</v>
      </c>
      <c r="I263" s="14">
        <f>IF(ISNUMBER('Refsz-Verbräuche'!I98), 'Refsz-Verbräuche'!I98*Emissionsfaktoren!H98/1000, 0)</f>
        <v>0</v>
      </c>
      <c r="J263" s="14">
        <f>IF(ISNUMBER('Refsz-Verbräuche'!J98), 'Refsz-Verbräuche'!J98*Emissionsfaktoren!I98/1000, 0)</f>
        <v>0</v>
      </c>
      <c r="K263" s="14">
        <f>IF(ISNUMBER('Refsz-Verbräuche'!K98), 'Refsz-Verbräuche'!K98*Emissionsfaktoren!J98/1000, 0)</f>
        <v>0</v>
      </c>
      <c r="L263" s="14">
        <f>IF(ISNUMBER('Refsz-Verbräuche'!L98), 'Refsz-Verbräuche'!L98*Emissionsfaktoren!K98/1000, 0)</f>
        <v>0</v>
      </c>
      <c r="M263" s="14">
        <f>IF(ISNUMBER('Refsz-Verbräuche'!M98), 'Refsz-Verbräuche'!M98*Emissionsfaktoren!L98/1000, 0)</f>
        <v>0</v>
      </c>
      <c r="N263" s="14">
        <f>IF(ISNUMBER('Refsz-Verbräuche'!N98), 'Refsz-Verbräuche'!N98*Emissionsfaktoren!M98/1000, 0)</f>
        <v>0</v>
      </c>
      <c r="O263" s="14">
        <f>IF(ISNUMBER('Refsz-Verbräuche'!O98), 'Refsz-Verbräuche'!O98*Emissionsfaktoren!N98/1000, 0)</f>
        <v>0</v>
      </c>
      <c r="P263" s="14">
        <f>IF(ISNUMBER('Refsz-Verbräuche'!P98), 'Refsz-Verbräuche'!P98*Emissionsfaktoren!O98/1000, 0)</f>
        <v>0</v>
      </c>
      <c r="Q263" s="14">
        <f>IF(ISNUMBER('Refsz-Verbräuche'!Q98), 'Refsz-Verbräuche'!Q98*Emissionsfaktoren!P98/1000, 0)</f>
        <v>0</v>
      </c>
      <c r="R263" s="14">
        <f>IF(ISNUMBER('Refsz-Verbräuche'!R98), 'Refsz-Verbräuche'!R98*Emissionsfaktoren!Q98/1000, 0)</f>
        <v>0</v>
      </c>
      <c r="S263" s="14">
        <f>IF(ISNUMBER('Refsz-Verbräuche'!S98), 'Refsz-Verbräuche'!S98*Emissionsfaktoren!R98/1000, 0)</f>
        <v>0</v>
      </c>
      <c r="T263" s="14">
        <f>IF(ISNUMBER('Refsz-Verbräuche'!T98), 'Refsz-Verbräuche'!T98*Emissionsfaktoren!S98/1000, 0)</f>
        <v>0</v>
      </c>
      <c r="U263" s="14">
        <f>IF(ISNUMBER('Refsz-Verbräuche'!U98), 'Refsz-Verbräuche'!U98*Emissionsfaktoren!T98/1000, 0)</f>
        <v>0</v>
      </c>
      <c r="V263" s="14">
        <f>IF(ISNUMBER('Refsz-Verbräuche'!V98), 'Refsz-Verbräuche'!V98*Emissionsfaktoren!U98/1000, 0)</f>
        <v>0</v>
      </c>
      <c r="W263" s="14">
        <f>IF(ISNUMBER('Refsz-Verbräuche'!W98), 'Refsz-Verbräuche'!W98*Emissionsfaktoren!V98/1000, 0)</f>
        <v>0</v>
      </c>
      <c r="X263" s="14">
        <f>IF(ISNUMBER('Refsz-Verbräuche'!X98), 'Refsz-Verbräuche'!X98*Emissionsfaktoren!W98/1000, 0)</f>
        <v>0</v>
      </c>
      <c r="Y263" s="14">
        <f>IF(ISNUMBER('Refsz-Verbräuche'!Y98), 'Refsz-Verbräuche'!Y98*Emissionsfaktoren!X98/1000, 0)</f>
        <v>0</v>
      </c>
    </row>
    <row r="264" spans="2:25" ht="16.5">
      <c r="B264" s="14">
        <v>82</v>
      </c>
      <c r="C264" s="14" t="str">
        <f>'Refsz-Verbräuche'!C99</f>
        <v>Mobilität 2</v>
      </c>
      <c r="D264" s="19" t="str">
        <f>'Refsz-Verbräuche'!D99</f>
        <v>An- und Abreise von Gästen - Flugreisen</v>
      </c>
      <c r="E264" t="s">
        <v>195</v>
      </c>
      <c r="F264" s="14">
        <f>IF(ISNUMBER('Refsz-Verbräuche'!F99), 'Refsz-Verbräuche'!F99*Emissionsfaktoren!E99/1000, 0)</f>
        <v>0</v>
      </c>
      <c r="G264" s="14">
        <f>IF(ISNUMBER('Refsz-Verbräuche'!G99), 'Refsz-Verbräuche'!G99*Emissionsfaktoren!F99/1000, 0)</f>
        <v>0</v>
      </c>
      <c r="H264" s="14">
        <f>IF(ISNUMBER('Refsz-Verbräuche'!H99), 'Refsz-Verbräuche'!H99*Emissionsfaktoren!G99/1000, 0)</f>
        <v>0</v>
      </c>
      <c r="I264" s="14">
        <f>IF(ISNUMBER('Refsz-Verbräuche'!I99), 'Refsz-Verbräuche'!I99*Emissionsfaktoren!H99/1000, 0)</f>
        <v>0</v>
      </c>
      <c r="J264" s="14">
        <f>IF(ISNUMBER('Refsz-Verbräuche'!J99), 'Refsz-Verbräuche'!J99*Emissionsfaktoren!I99/1000, 0)</f>
        <v>0</v>
      </c>
      <c r="K264" s="14">
        <f>IF(ISNUMBER('Refsz-Verbräuche'!K99), 'Refsz-Verbräuche'!K99*Emissionsfaktoren!J99/1000, 0)</f>
        <v>0</v>
      </c>
      <c r="L264" s="14">
        <f>IF(ISNUMBER('Refsz-Verbräuche'!L99), 'Refsz-Verbräuche'!L99*Emissionsfaktoren!K99/1000, 0)</f>
        <v>0</v>
      </c>
      <c r="M264" s="14">
        <f>IF(ISNUMBER('Refsz-Verbräuche'!M99), 'Refsz-Verbräuche'!M99*Emissionsfaktoren!L99/1000, 0)</f>
        <v>0</v>
      </c>
      <c r="N264" s="14">
        <f>IF(ISNUMBER('Refsz-Verbräuche'!N99), 'Refsz-Verbräuche'!N99*Emissionsfaktoren!M99/1000, 0)</f>
        <v>0</v>
      </c>
      <c r="O264" s="14">
        <f>IF(ISNUMBER('Refsz-Verbräuche'!O99), 'Refsz-Verbräuche'!O99*Emissionsfaktoren!N99/1000, 0)</f>
        <v>0</v>
      </c>
      <c r="P264" s="14">
        <f>IF(ISNUMBER('Refsz-Verbräuche'!P99), 'Refsz-Verbräuche'!P99*Emissionsfaktoren!O99/1000, 0)</f>
        <v>0</v>
      </c>
      <c r="Q264" s="14">
        <f>IF(ISNUMBER('Refsz-Verbräuche'!Q99), 'Refsz-Verbräuche'!Q99*Emissionsfaktoren!P99/1000, 0)</f>
        <v>0</v>
      </c>
      <c r="R264" s="14">
        <f>IF(ISNUMBER('Refsz-Verbräuche'!R99), 'Refsz-Verbräuche'!R99*Emissionsfaktoren!Q99/1000, 0)</f>
        <v>0</v>
      </c>
      <c r="S264" s="14">
        <f>IF(ISNUMBER('Refsz-Verbräuche'!S99), 'Refsz-Verbräuche'!S99*Emissionsfaktoren!R99/1000, 0)</f>
        <v>0</v>
      </c>
      <c r="T264" s="14">
        <f>IF(ISNUMBER('Refsz-Verbräuche'!T99), 'Refsz-Verbräuche'!T99*Emissionsfaktoren!S99/1000, 0)</f>
        <v>0</v>
      </c>
      <c r="U264" s="14">
        <f>IF(ISNUMBER('Refsz-Verbräuche'!U99), 'Refsz-Verbräuche'!U99*Emissionsfaktoren!T99/1000, 0)</f>
        <v>0</v>
      </c>
      <c r="V264" s="14">
        <f>IF(ISNUMBER('Refsz-Verbräuche'!V99), 'Refsz-Verbräuche'!V99*Emissionsfaktoren!U99/1000, 0)</f>
        <v>0</v>
      </c>
      <c r="W264" s="14">
        <f>IF(ISNUMBER('Refsz-Verbräuche'!W99), 'Refsz-Verbräuche'!W99*Emissionsfaktoren!V99/1000, 0)</f>
        <v>0</v>
      </c>
      <c r="X264" s="14">
        <f>IF(ISNUMBER('Refsz-Verbräuche'!X99), 'Refsz-Verbräuche'!X99*Emissionsfaktoren!W99/1000, 0)</f>
        <v>0</v>
      </c>
      <c r="Y264" s="14">
        <f>IF(ISNUMBER('Refsz-Verbräuche'!Y99), 'Refsz-Verbräuche'!Y99*Emissionsfaktoren!X99/1000, 0)</f>
        <v>0</v>
      </c>
    </row>
    <row r="265" spans="2:25" ht="16.5">
      <c r="B265" s="14">
        <v>83</v>
      </c>
      <c r="C265" s="14" t="str">
        <f>'Refsz-Verbräuche'!C100</f>
        <v>Mobilität 2</v>
      </c>
      <c r="D265" s="19" t="str">
        <f>'Refsz-Verbräuche'!D100</f>
        <v>An- und Abreise von Gästen - Eisenbahn (Nahverkehr)</v>
      </c>
      <c r="E265" t="s">
        <v>195</v>
      </c>
      <c r="F265" s="14">
        <f>IF(ISNUMBER('Refsz-Verbräuche'!F100), 'Refsz-Verbräuche'!F100*Emissionsfaktoren!E100/1000, 0)</f>
        <v>0</v>
      </c>
      <c r="G265" s="14">
        <f>IF(ISNUMBER('Refsz-Verbräuche'!G100), 'Refsz-Verbräuche'!G100*Emissionsfaktoren!F100/1000, 0)</f>
        <v>0</v>
      </c>
      <c r="H265" s="14">
        <f>IF(ISNUMBER('Refsz-Verbräuche'!H100), 'Refsz-Verbräuche'!H100*Emissionsfaktoren!G100/1000, 0)</f>
        <v>0</v>
      </c>
      <c r="I265" s="14">
        <f>IF(ISNUMBER('Refsz-Verbräuche'!I100), 'Refsz-Verbräuche'!I100*Emissionsfaktoren!H100/1000, 0)</f>
        <v>0</v>
      </c>
      <c r="J265" s="14">
        <f>IF(ISNUMBER('Refsz-Verbräuche'!J100), 'Refsz-Verbräuche'!J100*Emissionsfaktoren!I100/1000, 0)</f>
        <v>0</v>
      </c>
      <c r="K265" s="14">
        <f>IF(ISNUMBER('Refsz-Verbräuche'!K100), 'Refsz-Verbräuche'!K100*Emissionsfaktoren!J100/1000, 0)</f>
        <v>0</v>
      </c>
      <c r="L265" s="14">
        <f>IF(ISNUMBER('Refsz-Verbräuche'!L100), 'Refsz-Verbräuche'!L100*Emissionsfaktoren!K100/1000, 0)</f>
        <v>0</v>
      </c>
      <c r="M265" s="14">
        <f>IF(ISNUMBER('Refsz-Verbräuche'!M100), 'Refsz-Verbräuche'!M100*Emissionsfaktoren!L100/1000, 0)</f>
        <v>0</v>
      </c>
      <c r="N265" s="14">
        <f>IF(ISNUMBER('Refsz-Verbräuche'!N100), 'Refsz-Verbräuche'!N100*Emissionsfaktoren!M100/1000, 0)</f>
        <v>0</v>
      </c>
      <c r="O265" s="14">
        <f>IF(ISNUMBER('Refsz-Verbräuche'!O100), 'Refsz-Verbräuche'!O100*Emissionsfaktoren!N100/1000, 0)</f>
        <v>0</v>
      </c>
      <c r="P265" s="14">
        <f>IF(ISNUMBER('Refsz-Verbräuche'!P100), 'Refsz-Verbräuche'!P100*Emissionsfaktoren!O100/1000, 0)</f>
        <v>0</v>
      </c>
      <c r="Q265" s="14">
        <f>IF(ISNUMBER('Refsz-Verbräuche'!Q100), 'Refsz-Verbräuche'!Q100*Emissionsfaktoren!P100/1000, 0)</f>
        <v>0</v>
      </c>
      <c r="R265" s="14">
        <f>IF(ISNUMBER('Refsz-Verbräuche'!R100), 'Refsz-Verbräuche'!R100*Emissionsfaktoren!Q100/1000, 0)</f>
        <v>0</v>
      </c>
      <c r="S265" s="14">
        <f>IF(ISNUMBER('Refsz-Verbräuche'!S100), 'Refsz-Verbräuche'!S100*Emissionsfaktoren!R100/1000, 0)</f>
        <v>0</v>
      </c>
      <c r="T265" s="14">
        <f>IF(ISNUMBER('Refsz-Verbräuche'!T100), 'Refsz-Verbräuche'!T100*Emissionsfaktoren!S100/1000, 0)</f>
        <v>0</v>
      </c>
      <c r="U265" s="14">
        <f>IF(ISNUMBER('Refsz-Verbräuche'!U100), 'Refsz-Verbräuche'!U100*Emissionsfaktoren!T100/1000, 0)</f>
        <v>0</v>
      </c>
      <c r="V265" s="14">
        <f>IF(ISNUMBER('Refsz-Verbräuche'!V100), 'Refsz-Verbräuche'!V100*Emissionsfaktoren!U100/1000, 0)</f>
        <v>0</v>
      </c>
      <c r="W265" s="14">
        <f>IF(ISNUMBER('Refsz-Verbräuche'!W100), 'Refsz-Verbräuche'!W100*Emissionsfaktoren!V100/1000, 0)</f>
        <v>0</v>
      </c>
      <c r="X265" s="14">
        <f>IF(ISNUMBER('Refsz-Verbräuche'!X100), 'Refsz-Verbräuche'!X100*Emissionsfaktoren!W100/1000, 0)</f>
        <v>0</v>
      </c>
      <c r="Y265" s="14">
        <f>IF(ISNUMBER('Refsz-Verbräuche'!Y100), 'Refsz-Verbräuche'!Y100*Emissionsfaktoren!X100/1000, 0)</f>
        <v>0</v>
      </c>
    </row>
    <row r="266" spans="2:25" ht="16.5">
      <c r="B266" s="14">
        <v>84</v>
      </c>
      <c r="C266" s="14" t="str">
        <f>'Refsz-Verbräuche'!C101</f>
        <v>Mobilität 2</v>
      </c>
      <c r="D266" s="19" t="str">
        <f>'Refsz-Verbräuche'!D101</f>
        <v>An- und Abreise von Gästen - Privater PKW (alle Antriebsarten)</v>
      </c>
      <c r="E266" t="s">
        <v>195</v>
      </c>
      <c r="F266" s="14">
        <f>IF(ISNUMBER('Refsz-Verbräuche'!F101), 'Refsz-Verbräuche'!F101*Emissionsfaktoren!E101/1000, 0)</f>
        <v>0</v>
      </c>
      <c r="G266" s="14">
        <f>IF(ISNUMBER('Refsz-Verbräuche'!G101), 'Refsz-Verbräuche'!G101*Emissionsfaktoren!F101/1000, 0)</f>
        <v>0</v>
      </c>
      <c r="H266" s="14">
        <f>IF(ISNUMBER('Refsz-Verbräuche'!H101), 'Refsz-Verbräuche'!H101*Emissionsfaktoren!G101/1000, 0)</f>
        <v>0</v>
      </c>
      <c r="I266" s="14">
        <f>IF(ISNUMBER('Refsz-Verbräuche'!I101), 'Refsz-Verbräuche'!I101*Emissionsfaktoren!H101/1000, 0)</f>
        <v>0</v>
      </c>
      <c r="J266" s="14">
        <f>IF(ISNUMBER('Refsz-Verbräuche'!J101), 'Refsz-Verbräuche'!J101*Emissionsfaktoren!I101/1000, 0)</f>
        <v>0</v>
      </c>
      <c r="K266" s="14">
        <f>IF(ISNUMBER('Refsz-Verbräuche'!K101), 'Refsz-Verbräuche'!K101*Emissionsfaktoren!J101/1000, 0)</f>
        <v>0</v>
      </c>
      <c r="L266" s="14">
        <f>IF(ISNUMBER('Refsz-Verbräuche'!L101), 'Refsz-Verbräuche'!L101*Emissionsfaktoren!K101/1000, 0)</f>
        <v>0</v>
      </c>
      <c r="M266" s="14">
        <f>IF(ISNUMBER('Refsz-Verbräuche'!M101), 'Refsz-Verbräuche'!M101*Emissionsfaktoren!L101/1000, 0)</f>
        <v>0</v>
      </c>
      <c r="N266" s="14">
        <f>IF(ISNUMBER('Refsz-Verbräuche'!N101), 'Refsz-Verbräuche'!N101*Emissionsfaktoren!M101/1000, 0)</f>
        <v>0</v>
      </c>
      <c r="O266" s="14">
        <f>IF(ISNUMBER('Refsz-Verbräuche'!O101), 'Refsz-Verbräuche'!O101*Emissionsfaktoren!N101/1000, 0)</f>
        <v>0</v>
      </c>
      <c r="P266" s="14">
        <f>IF(ISNUMBER('Refsz-Verbräuche'!P101), 'Refsz-Verbräuche'!P101*Emissionsfaktoren!O101/1000, 0)</f>
        <v>0</v>
      </c>
      <c r="Q266" s="14">
        <f>IF(ISNUMBER('Refsz-Verbräuche'!Q101), 'Refsz-Verbräuche'!Q101*Emissionsfaktoren!P101/1000, 0)</f>
        <v>0</v>
      </c>
      <c r="R266" s="14">
        <f>IF(ISNUMBER('Refsz-Verbräuche'!R101), 'Refsz-Verbräuche'!R101*Emissionsfaktoren!Q101/1000, 0)</f>
        <v>0</v>
      </c>
      <c r="S266" s="14">
        <f>IF(ISNUMBER('Refsz-Verbräuche'!S101), 'Refsz-Verbräuche'!S101*Emissionsfaktoren!R101/1000, 0)</f>
        <v>0</v>
      </c>
      <c r="T266" s="14">
        <f>IF(ISNUMBER('Refsz-Verbräuche'!T101), 'Refsz-Verbräuche'!T101*Emissionsfaktoren!S101/1000, 0)</f>
        <v>0</v>
      </c>
      <c r="U266" s="14">
        <f>IF(ISNUMBER('Refsz-Verbräuche'!U101), 'Refsz-Verbräuche'!U101*Emissionsfaktoren!T101/1000, 0)</f>
        <v>0</v>
      </c>
      <c r="V266" s="14">
        <f>IF(ISNUMBER('Refsz-Verbräuche'!V101), 'Refsz-Verbräuche'!V101*Emissionsfaktoren!U101/1000, 0)</f>
        <v>0</v>
      </c>
      <c r="W266" s="14">
        <f>IF(ISNUMBER('Refsz-Verbräuche'!W101), 'Refsz-Verbräuche'!W101*Emissionsfaktoren!V101/1000, 0)</f>
        <v>0</v>
      </c>
      <c r="X266" s="14">
        <f>IF(ISNUMBER('Refsz-Verbräuche'!X101), 'Refsz-Verbräuche'!X101*Emissionsfaktoren!W101/1000, 0)</f>
        <v>0</v>
      </c>
      <c r="Y266" s="14">
        <f>IF(ISNUMBER('Refsz-Verbräuche'!Y101), 'Refsz-Verbräuche'!Y101*Emissionsfaktoren!X101/1000, 0)</f>
        <v>0</v>
      </c>
    </row>
    <row r="267" spans="2:25" ht="16.5">
      <c r="B267" s="14">
        <v>85</v>
      </c>
      <c r="C267" s="14">
        <f>'Refsz-Verbräuche'!C102</f>
        <v>0</v>
      </c>
      <c r="D267" s="19">
        <f>'Refsz-Verbräuche'!D102</f>
        <v>0</v>
      </c>
      <c r="E267" t="s">
        <v>195</v>
      </c>
      <c r="F267" s="14">
        <f>IF(ISNUMBER('Refsz-Verbräuche'!F102), 'Refsz-Verbräuche'!F102*Emissionsfaktoren!E102/1000, 0)</f>
        <v>0</v>
      </c>
      <c r="G267" s="14">
        <f>IF(ISNUMBER('Refsz-Verbräuche'!G102), 'Refsz-Verbräuche'!G102*Emissionsfaktoren!F102/1000, 0)</f>
        <v>0</v>
      </c>
      <c r="H267" s="14">
        <f>IF(ISNUMBER('Refsz-Verbräuche'!H102), 'Refsz-Verbräuche'!H102*Emissionsfaktoren!G102/1000, 0)</f>
        <v>0</v>
      </c>
      <c r="I267" s="14">
        <f>IF(ISNUMBER('Refsz-Verbräuche'!I102), 'Refsz-Verbräuche'!I102*Emissionsfaktoren!H102/1000, 0)</f>
        <v>0</v>
      </c>
      <c r="J267" s="14">
        <f>IF(ISNUMBER('Refsz-Verbräuche'!J102), 'Refsz-Verbräuche'!J102*Emissionsfaktoren!I102/1000, 0)</f>
        <v>0</v>
      </c>
      <c r="K267" s="14">
        <f>IF(ISNUMBER('Refsz-Verbräuche'!K102), 'Refsz-Verbräuche'!K102*Emissionsfaktoren!J102/1000, 0)</f>
        <v>0</v>
      </c>
      <c r="L267" s="14">
        <f>IF(ISNUMBER('Refsz-Verbräuche'!L102), 'Refsz-Verbräuche'!L102*Emissionsfaktoren!K102/1000, 0)</f>
        <v>0</v>
      </c>
      <c r="M267" s="14">
        <f>IF(ISNUMBER('Refsz-Verbräuche'!M102), 'Refsz-Verbräuche'!M102*Emissionsfaktoren!L102/1000, 0)</f>
        <v>0</v>
      </c>
      <c r="N267" s="14">
        <f>IF(ISNUMBER('Refsz-Verbräuche'!N102), 'Refsz-Verbräuche'!N102*Emissionsfaktoren!M102/1000, 0)</f>
        <v>0</v>
      </c>
      <c r="O267" s="14">
        <f>IF(ISNUMBER('Refsz-Verbräuche'!O102), 'Refsz-Verbräuche'!O102*Emissionsfaktoren!N102/1000, 0)</f>
        <v>0</v>
      </c>
      <c r="P267" s="14">
        <f>IF(ISNUMBER('Refsz-Verbräuche'!P102), 'Refsz-Verbräuche'!P102*Emissionsfaktoren!O102/1000, 0)</f>
        <v>0</v>
      </c>
      <c r="Q267" s="14">
        <f>IF(ISNUMBER('Refsz-Verbräuche'!Q102), 'Refsz-Verbräuche'!Q102*Emissionsfaktoren!P102/1000, 0)</f>
        <v>0</v>
      </c>
      <c r="R267" s="14">
        <f>IF(ISNUMBER('Refsz-Verbräuche'!R102), 'Refsz-Verbräuche'!R102*Emissionsfaktoren!Q102/1000, 0)</f>
        <v>0</v>
      </c>
      <c r="S267" s="14">
        <f>IF(ISNUMBER('Refsz-Verbräuche'!S102), 'Refsz-Verbräuche'!S102*Emissionsfaktoren!R102/1000, 0)</f>
        <v>0</v>
      </c>
      <c r="T267" s="14">
        <f>IF(ISNUMBER('Refsz-Verbräuche'!T102), 'Refsz-Verbräuche'!T102*Emissionsfaktoren!S102/1000, 0)</f>
        <v>0</v>
      </c>
      <c r="U267" s="14">
        <f>IF(ISNUMBER('Refsz-Verbräuche'!U102), 'Refsz-Verbräuche'!U102*Emissionsfaktoren!T102/1000, 0)</f>
        <v>0</v>
      </c>
      <c r="V267" s="14">
        <f>IF(ISNUMBER('Refsz-Verbräuche'!V102), 'Refsz-Verbräuche'!V102*Emissionsfaktoren!U102/1000, 0)</f>
        <v>0</v>
      </c>
      <c r="W267" s="14">
        <f>IF(ISNUMBER('Refsz-Verbräuche'!W102), 'Refsz-Verbräuche'!W102*Emissionsfaktoren!V102/1000, 0)</f>
        <v>0</v>
      </c>
      <c r="X267" s="14">
        <f>IF(ISNUMBER('Refsz-Verbräuche'!X102), 'Refsz-Verbräuche'!X102*Emissionsfaktoren!W102/1000, 0)</f>
        <v>0</v>
      </c>
      <c r="Y267" s="14">
        <f>IF(ISNUMBER('Refsz-Verbräuche'!Y102), 'Refsz-Verbräuche'!Y102*Emissionsfaktoren!X102/1000, 0)</f>
        <v>0</v>
      </c>
    </row>
    <row r="268" spans="2:25" ht="16.5">
      <c r="B268" s="14">
        <v>86</v>
      </c>
      <c r="C268" s="14" t="str">
        <f>'Refsz-Verbräuche'!C103</f>
        <v>Wasser</v>
      </c>
      <c r="D268" s="19" t="str">
        <f>'Refsz-Verbräuche'!D103</f>
        <v>Abwasser</v>
      </c>
      <c r="E268" t="s">
        <v>195</v>
      </c>
      <c r="F268" s="14">
        <f>IF(ISNUMBER('Refsz-Verbräuche'!F103), 'Refsz-Verbräuche'!F103*Emissionsfaktoren!E103/1000, 0)</f>
        <v>0</v>
      </c>
      <c r="G268" s="14">
        <f>IF(ISNUMBER('Refsz-Verbräuche'!G103), 'Refsz-Verbräuche'!G103*Emissionsfaktoren!F103/1000, 0)</f>
        <v>0</v>
      </c>
      <c r="H268" s="14">
        <f>IF(ISNUMBER('Refsz-Verbräuche'!H103), 'Refsz-Verbräuche'!H103*Emissionsfaktoren!G103/1000, 0)</f>
        <v>0</v>
      </c>
      <c r="I268" s="14">
        <f>IF(ISNUMBER('Refsz-Verbräuche'!I103), 'Refsz-Verbräuche'!I103*Emissionsfaktoren!H103/1000, 0)</f>
        <v>0</v>
      </c>
      <c r="J268" s="14">
        <f>IF(ISNUMBER('Refsz-Verbräuche'!J103), 'Refsz-Verbräuche'!J103*Emissionsfaktoren!I103/1000, 0)</f>
        <v>0</v>
      </c>
      <c r="K268" s="14">
        <f>IF(ISNUMBER('Refsz-Verbräuche'!K103), 'Refsz-Verbräuche'!K103*Emissionsfaktoren!J103/1000, 0)</f>
        <v>0</v>
      </c>
      <c r="L268" s="14">
        <f>IF(ISNUMBER('Refsz-Verbräuche'!L103), 'Refsz-Verbräuche'!L103*Emissionsfaktoren!K103/1000, 0)</f>
        <v>0</v>
      </c>
      <c r="M268" s="14">
        <f>IF(ISNUMBER('Refsz-Verbräuche'!M103), 'Refsz-Verbräuche'!M103*Emissionsfaktoren!L103/1000, 0)</f>
        <v>0</v>
      </c>
      <c r="N268" s="14">
        <f>IF(ISNUMBER('Refsz-Verbräuche'!N103), 'Refsz-Verbräuche'!N103*Emissionsfaktoren!M103/1000, 0)</f>
        <v>0</v>
      </c>
      <c r="O268" s="14">
        <f>IF(ISNUMBER('Refsz-Verbräuche'!O103), 'Refsz-Verbräuche'!O103*Emissionsfaktoren!N103/1000, 0)</f>
        <v>0</v>
      </c>
      <c r="P268" s="14">
        <f>IF(ISNUMBER('Refsz-Verbräuche'!P103), 'Refsz-Verbräuche'!P103*Emissionsfaktoren!O103/1000, 0)</f>
        <v>0</v>
      </c>
      <c r="Q268" s="14">
        <f>IF(ISNUMBER('Refsz-Verbräuche'!Q103), 'Refsz-Verbräuche'!Q103*Emissionsfaktoren!P103/1000, 0)</f>
        <v>0</v>
      </c>
      <c r="R268" s="14">
        <f>IF(ISNUMBER('Refsz-Verbräuche'!R103), 'Refsz-Verbräuche'!R103*Emissionsfaktoren!Q103/1000, 0)</f>
        <v>0</v>
      </c>
      <c r="S268" s="14">
        <f>IF(ISNUMBER('Refsz-Verbräuche'!S103), 'Refsz-Verbräuche'!S103*Emissionsfaktoren!R103/1000, 0)</f>
        <v>0</v>
      </c>
      <c r="T268" s="14">
        <f>IF(ISNUMBER('Refsz-Verbräuche'!T103), 'Refsz-Verbräuche'!T103*Emissionsfaktoren!S103/1000, 0)</f>
        <v>0</v>
      </c>
      <c r="U268" s="14">
        <f>IF(ISNUMBER('Refsz-Verbräuche'!U103), 'Refsz-Verbräuche'!U103*Emissionsfaktoren!T103/1000, 0)</f>
        <v>0</v>
      </c>
      <c r="V268" s="14">
        <f>IF(ISNUMBER('Refsz-Verbräuche'!V103), 'Refsz-Verbräuche'!V103*Emissionsfaktoren!U103/1000, 0)</f>
        <v>0</v>
      </c>
      <c r="W268" s="14">
        <f>IF(ISNUMBER('Refsz-Verbräuche'!W103), 'Refsz-Verbräuche'!W103*Emissionsfaktoren!V103/1000, 0)</f>
        <v>0</v>
      </c>
      <c r="X268" s="14">
        <f>IF(ISNUMBER('Refsz-Verbräuche'!X103), 'Refsz-Verbräuche'!X103*Emissionsfaktoren!W103/1000, 0)</f>
        <v>0</v>
      </c>
      <c r="Y268" s="14">
        <f>IF(ISNUMBER('Refsz-Verbräuche'!Y103), 'Refsz-Verbräuche'!Y103*Emissionsfaktoren!X103/1000, 0)</f>
        <v>0</v>
      </c>
    </row>
    <row r="269" spans="2:25" ht="16.5">
      <c r="B269" s="14">
        <v>87</v>
      </c>
      <c r="C269" s="14" t="str">
        <f>'Refsz-Verbräuche'!C104</f>
        <v>Wasser</v>
      </c>
      <c r="D269" s="19" t="str">
        <f>'Refsz-Verbräuche'!D104</f>
        <v>Trinkwasser</v>
      </c>
      <c r="E269" t="s">
        <v>195</v>
      </c>
      <c r="F269" s="14">
        <f>IF(ISNUMBER('Refsz-Verbräuche'!F104), 'Refsz-Verbräuche'!F104*Emissionsfaktoren!E104/1000, 0)</f>
        <v>0</v>
      </c>
      <c r="G269" s="14">
        <f>IF(ISNUMBER('Refsz-Verbräuche'!G104), 'Refsz-Verbräuche'!G104*Emissionsfaktoren!F104/1000, 0)</f>
        <v>0</v>
      </c>
      <c r="H269" s="14">
        <f>IF(ISNUMBER('Refsz-Verbräuche'!H104), 'Refsz-Verbräuche'!H104*Emissionsfaktoren!G104/1000, 0)</f>
        <v>0</v>
      </c>
      <c r="I269" s="14">
        <f>IF(ISNUMBER('Refsz-Verbräuche'!I104), 'Refsz-Verbräuche'!I104*Emissionsfaktoren!H104/1000, 0)</f>
        <v>0</v>
      </c>
      <c r="J269" s="14">
        <f>IF(ISNUMBER('Refsz-Verbräuche'!J104), 'Refsz-Verbräuche'!J104*Emissionsfaktoren!I104/1000, 0)</f>
        <v>0</v>
      </c>
      <c r="K269" s="14">
        <f>IF(ISNUMBER('Refsz-Verbräuche'!K104), 'Refsz-Verbräuche'!K104*Emissionsfaktoren!J104/1000, 0)</f>
        <v>0</v>
      </c>
      <c r="L269" s="14">
        <f>IF(ISNUMBER('Refsz-Verbräuche'!L104), 'Refsz-Verbräuche'!L104*Emissionsfaktoren!K104/1000, 0)</f>
        <v>0</v>
      </c>
      <c r="M269" s="14">
        <f>IF(ISNUMBER('Refsz-Verbräuche'!M104), 'Refsz-Verbräuche'!M104*Emissionsfaktoren!L104/1000, 0)</f>
        <v>0</v>
      </c>
      <c r="N269" s="14">
        <f>IF(ISNUMBER('Refsz-Verbräuche'!N104), 'Refsz-Verbräuche'!N104*Emissionsfaktoren!M104/1000, 0)</f>
        <v>0</v>
      </c>
      <c r="O269" s="14">
        <f>IF(ISNUMBER('Refsz-Verbräuche'!O104), 'Refsz-Verbräuche'!O104*Emissionsfaktoren!N104/1000, 0)</f>
        <v>0</v>
      </c>
      <c r="P269" s="14">
        <f>IF(ISNUMBER('Refsz-Verbräuche'!P104), 'Refsz-Verbräuche'!P104*Emissionsfaktoren!O104/1000, 0)</f>
        <v>0</v>
      </c>
      <c r="Q269" s="14">
        <f>IF(ISNUMBER('Refsz-Verbräuche'!Q104), 'Refsz-Verbräuche'!Q104*Emissionsfaktoren!P104/1000, 0)</f>
        <v>0</v>
      </c>
      <c r="R269" s="14">
        <f>IF(ISNUMBER('Refsz-Verbräuche'!R104), 'Refsz-Verbräuche'!R104*Emissionsfaktoren!Q104/1000, 0)</f>
        <v>0</v>
      </c>
      <c r="S269" s="14">
        <f>IF(ISNUMBER('Refsz-Verbräuche'!S104), 'Refsz-Verbräuche'!S104*Emissionsfaktoren!R104/1000, 0)</f>
        <v>0</v>
      </c>
      <c r="T269" s="14">
        <f>IF(ISNUMBER('Refsz-Verbräuche'!T104), 'Refsz-Verbräuche'!T104*Emissionsfaktoren!S104/1000, 0)</f>
        <v>0</v>
      </c>
      <c r="U269" s="14">
        <f>IF(ISNUMBER('Refsz-Verbräuche'!U104), 'Refsz-Verbräuche'!U104*Emissionsfaktoren!T104/1000, 0)</f>
        <v>0</v>
      </c>
      <c r="V269" s="14">
        <f>IF(ISNUMBER('Refsz-Verbräuche'!V104), 'Refsz-Verbräuche'!V104*Emissionsfaktoren!U104/1000, 0)</f>
        <v>0</v>
      </c>
      <c r="W269" s="14">
        <f>IF(ISNUMBER('Refsz-Verbräuche'!W104), 'Refsz-Verbräuche'!W104*Emissionsfaktoren!V104/1000, 0)</f>
        <v>0</v>
      </c>
      <c r="X269" s="14">
        <f>IF(ISNUMBER('Refsz-Verbräuche'!X104), 'Refsz-Verbräuche'!X104*Emissionsfaktoren!W104/1000, 0)</f>
        <v>0</v>
      </c>
      <c r="Y269" s="14">
        <f>IF(ISNUMBER('Refsz-Verbräuche'!Y104), 'Refsz-Verbräuche'!Y104*Emissionsfaktoren!X104/1000, 0)</f>
        <v>0</v>
      </c>
    </row>
    <row r="270" spans="2:25" ht="16.5">
      <c r="B270" s="14">
        <v>88</v>
      </c>
      <c r="C270" s="14">
        <f>'Refsz-Verbräuche'!C105</f>
        <v>0</v>
      </c>
      <c r="D270" s="19">
        <f>'Refsz-Verbräuche'!D105</f>
        <v>0</v>
      </c>
      <c r="E270" t="s">
        <v>195</v>
      </c>
      <c r="F270" s="14">
        <f>IF(ISNUMBER('Refsz-Verbräuche'!F105), 'Refsz-Verbräuche'!F105*Emissionsfaktoren!E105/1000, 0)</f>
        <v>0</v>
      </c>
      <c r="G270" s="14">
        <f>IF(ISNUMBER('Refsz-Verbräuche'!G105), 'Refsz-Verbräuche'!G105*Emissionsfaktoren!F105/1000, 0)</f>
        <v>0</v>
      </c>
      <c r="H270" s="14">
        <f>IF(ISNUMBER('Refsz-Verbräuche'!H105), 'Refsz-Verbräuche'!H105*Emissionsfaktoren!G105/1000, 0)</f>
        <v>0</v>
      </c>
      <c r="I270" s="14">
        <f>IF(ISNUMBER('Refsz-Verbräuche'!I105), 'Refsz-Verbräuche'!I105*Emissionsfaktoren!H105/1000, 0)</f>
        <v>0</v>
      </c>
      <c r="J270" s="14">
        <f>IF(ISNUMBER('Refsz-Verbräuche'!J105), 'Refsz-Verbräuche'!J105*Emissionsfaktoren!I105/1000, 0)</f>
        <v>0</v>
      </c>
      <c r="K270" s="14">
        <f>IF(ISNUMBER('Refsz-Verbräuche'!K105), 'Refsz-Verbräuche'!K105*Emissionsfaktoren!J105/1000, 0)</f>
        <v>0</v>
      </c>
      <c r="L270" s="14">
        <f>IF(ISNUMBER('Refsz-Verbräuche'!L105), 'Refsz-Verbräuche'!L105*Emissionsfaktoren!K105/1000, 0)</f>
        <v>0</v>
      </c>
      <c r="M270" s="14">
        <f>IF(ISNUMBER('Refsz-Verbräuche'!M105), 'Refsz-Verbräuche'!M105*Emissionsfaktoren!L105/1000, 0)</f>
        <v>0</v>
      </c>
      <c r="N270" s="14">
        <f>IF(ISNUMBER('Refsz-Verbräuche'!N105), 'Refsz-Verbräuche'!N105*Emissionsfaktoren!M105/1000, 0)</f>
        <v>0</v>
      </c>
      <c r="O270" s="14">
        <f>IF(ISNUMBER('Refsz-Verbräuche'!O105), 'Refsz-Verbräuche'!O105*Emissionsfaktoren!N105/1000, 0)</f>
        <v>0</v>
      </c>
      <c r="P270" s="14">
        <f>IF(ISNUMBER('Refsz-Verbräuche'!P105), 'Refsz-Verbräuche'!P105*Emissionsfaktoren!O105/1000, 0)</f>
        <v>0</v>
      </c>
      <c r="Q270" s="14">
        <f>IF(ISNUMBER('Refsz-Verbräuche'!Q105), 'Refsz-Verbräuche'!Q105*Emissionsfaktoren!P105/1000, 0)</f>
        <v>0</v>
      </c>
      <c r="R270" s="14">
        <f>IF(ISNUMBER('Refsz-Verbräuche'!R105), 'Refsz-Verbräuche'!R105*Emissionsfaktoren!Q105/1000, 0)</f>
        <v>0</v>
      </c>
      <c r="S270" s="14">
        <f>IF(ISNUMBER('Refsz-Verbräuche'!S105), 'Refsz-Verbräuche'!S105*Emissionsfaktoren!R105/1000, 0)</f>
        <v>0</v>
      </c>
      <c r="T270" s="14">
        <f>IF(ISNUMBER('Refsz-Verbräuche'!T105), 'Refsz-Verbräuche'!T105*Emissionsfaktoren!S105/1000, 0)</f>
        <v>0</v>
      </c>
      <c r="U270" s="14">
        <f>IF(ISNUMBER('Refsz-Verbräuche'!U105), 'Refsz-Verbräuche'!U105*Emissionsfaktoren!T105/1000, 0)</f>
        <v>0</v>
      </c>
      <c r="V270" s="14">
        <f>IF(ISNUMBER('Refsz-Verbräuche'!V105), 'Refsz-Verbräuche'!V105*Emissionsfaktoren!U105/1000, 0)</f>
        <v>0</v>
      </c>
      <c r="W270" s="14">
        <f>IF(ISNUMBER('Refsz-Verbräuche'!W105), 'Refsz-Verbräuche'!W105*Emissionsfaktoren!V105/1000, 0)</f>
        <v>0</v>
      </c>
      <c r="X270" s="14">
        <f>IF(ISNUMBER('Refsz-Verbräuche'!X105), 'Refsz-Verbräuche'!X105*Emissionsfaktoren!W105/1000, 0)</f>
        <v>0</v>
      </c>
      <c r="Y270" s="14">
        <f>IF(ISNUMBER('Refsz-Verbräuche'!Y105), 'Refsz-Verbräuche'!Y105*Emissionsfaktoren!X105/1000, 0)</f>
        <v>0</v>
      </c>
    </row>
    <row r="271" spans="2:25" ht="16.5">
      <c r="B271" s="14">
        <v>89</v>
      </c>
      <c r="C271" s="14" t="str">
        <f>'Refsz-Verbräuche'!C106</f>
        <v>Waren und Dienstleistungen</v>
      </c>
      <c r="D271" s="19" t="str">
        <f>'Refsz-Verbräuche'!D106</f>
        <v>Recyclingpapier</v>
      </c>
      <c r="E271" t="s">
        <v>195</v>
      </c>
      <c r="F271" s="14">
        <f>IF(ISNUMBER('Refsz-Verbräuche'!F106), 'Refsz-Verbräuche'!F106*Emissionsfaktoren!E106/1000, 0)</f>
        <v>0</v>
      </c>
      <c r="G271" s="14">
        <f>IF(ISNUMBER('Refsz-Verbräuche'!G106), 'Refsz-Verbräuche'!G106*Emissionsfaktoren!F106/1000, 0)</f>
        <v>0</v>
      </c>
      <c r="H271" s="14">
        <f>IF(ISNUMBER('Refsz-Verbräuche'!H106), 'Refsz-Verbräuche'!H106*Emissionsfaktoren!G106/1000, 0)</f>
        <v>0</v>
      </c>
      <c r="I271" s="14">
        <f>IF(ISNUMBER('Refsz-Verbräuche'!I106), 'Refsz-Verbräuche'!I106*Emissionsfaktoren!H106/1000, 0)</f>
        <v>0</v>
      </c>
      <c r="J271" s="14">
        <f>IF(ISNUMBER('Refsz-Verbräuche'!J106), 'Refsz-Verbräuche'!J106*Emissionsfaktoren!I106/1000, 0)</f>
        <v>0</v>
      </c>
      <c r="K271" s="14">
        <f>IF(ISNUMBER('Refsz-Verbräuche'!K106), 'Refsz-Verbräuche'!K106*Emissionsfaktoren!J106/1000, 0)</f>
        <v>0</v>
      </c>
      <c r="L271" s="14">
        <f>IF(ISNUMBER('Refsz-Verbräuche'!L106), 'Refsz-Verbräuche'!L106*Emissionsfaktoren!K106/1000, 0)</f>
        <v>0</v>
      </c>
      <c r="M271" s="14">
        <f>IF(ISNUMBER('Refsz-Verbräuche'!M106), 'Refsz-Verbräuche'!M106*Emissionsfaktoren!L106/1000, 0)</f>
        <v>0</v>
      </c>
      <c r="N271" s="14">
        <f>IF(ISNUMBER('Refsz-Verbräuche'!N106), 'Refsz-Verbräuche'!N106*Emissionsfaktoren!M106/1000, 0)</f>
        <v>0</v>
      </c>
      <c r="O271" s="14">
        <f>IF(ISNUMBER('Refsz-Verbräuche'!O106), 'Refsz-Verbräuche'!O106*Emissionsfaktoren!N106/1000, 0)</f>
        <v>0</v>
      </c>
      <c r="P271" s="14">
        <f>IF(ISNUMBER('Refsz-Verbräuche'!P106), 'Refsz-Verbräuche'!P106*Emissionsfaktoren!O106/1000, 0)</f>
        <v>0</v>
      </c>
      <c r="Q271" s="14">
        <f>IF(ISNUMBER('Refsz-Verbräuche'!Q106), 'Refsz-Verbräuche'!Q106*Emissionsfaktoren!P106/1000, 0)</f>
        <v>0</v>
      </c>
      <c r="R271" s="14">
        <f>IF(ISNUMBER('Refsz-Verbräuche'!R106), 'Refsz-Verbräuche'!R106*Emissionsfaktoren!Q106/1000, 0)</f>
        <v>0</v>
      </c>
      <c r="S271" s="14">
        <f>IF(ISNUMBER('Refsz-Verbräuche'!S106), 'Refsz-Verbräuche'!S106*Emissionsfaktoren!R106/1000, 0)</f>
        <v>0</v>
      </c>
      <c r="T271" s="14">
        <f>IF(ISNUMBER('Refsz-Verbräuche'!T106), 'Refsz-Verbräuche'!T106*Emissionsfaktoren!S106/1000, 0)</f>
        <v>0</v>
      </c>
      <c r="U271" s="14">
        <f>IF(ISNUMBER('Refsz-Verbräuche'!U106), 'Refsz-Verbräuche'!U106*Emissionsfaktoren!T106/1000, 0)</f>
        <v>0</v>
      </c>
      <c r="V271" s="14">
        <f>IF(ISNUMBER('Refsz-Verbräuche'!V106), 'Refsz-Verbräuche'!V106*Emissionsfaktoren!U106/1000, 0)</f>
        <v>0</v>
      </c>
      <c r="W271" s="14">
        <f>IF(ISNUMBER('Refsz-Verbräuche'!W106), 'Refsz-Verbräuche'!W106*Emissionsfaktoren!V106/1000, 0)</f>
        <v>0</v>
      </c>
      <c r="X271" s="14">
        <f>IF(ISNUMBER('Refsz-Verbräuche'!X106), 'Refsz-Verbräuche'!X106*Emissionsfaktoren!W106/1000, 0)</f>
        <v>0</v>
      </c>
      <c r="Y271" s="14">
        <f>IF(ISNUMBER('Refsz-Verbräuche'!Y106), 'Refsz-Verbräuche'!Y106*Emissionsfaktoren!X106/1000, 0)</f>
        <v>0</v>
      </c>
    </row>
    <row r="272" spans="2:25" ht="16.5">
      <c r="B272" s="14">
        <v>90</v>
      </c>
      <c r="C272" s="14" t="str">
        <f>'Refsz-Verbräuche'!C107</f>
        <v>Waren und Dienstleistungen</v>
      </c>
      <c r="D272" s="19" t="str">
        <f>'Refsz-Verbräuche'!D107</f>
        <v>Frischfaserpapier</v>
      </c>
      <c r="E272" t="s">
        <v>195</v>
      </c>
      <c r="F272" s="14">
        <f>IF(ISNUMBER('Refsz-Verbräuche'!F107), 'Refsz-Verbräuche'!F107*Emissionsfaktoren!E107/1000, 0)</f>
        <v>0</v>
      </c>
      <c r="G272" s="14">
        <f>IF(ISNUMBER('Refsz-Verbräuche'!G107), 'Refsz-Verbräuche'!G107*Emissionsfaktoren!F107/1000, 0)</f>
        <v>0</v>
      </c>
      <c r="H272" s="14">
        <f>IF(ISNUMBER('Refsz-Verbräuche'!H107), 'Refsz-Verbräuche'!H107*Emissionsfaktoren!G107/1000, 0)</f>
        <v>0</v>
      </c>
      <c r="I272" s="14">
        <f>IF(ISNUMBER('Refsz-Verbräuche'!I107), 'Refsz-Verbräuche'!I107*Emissionsfaktoren!H107/1000, 0)</f>
        <v>0</v>
      </c>
      <c r="J272" s="14">
        <f>IF(ISNUMBER('Refsz-Verbräuche'!J107), 'Refsz-Verbräuche'!J107*Emissionsfaktoren!I107/1000, 0)</f>
        <v>0</v>
      </c>
      <c r="K272" s="14">
        <f>IF(ISNUMBER('Refsz-Verbräuche'!K107), 'Refsz-Verbräuche'!K107*Emissionsfaktoren!J107/1000, 0)</f>
        <v>0</v>
      </c>
      <c r="L272" s="14">
        <f>IF(ISNUMBER('Refsz-Verbräuche'!L107), 'Refsz-Verbräuche'!L107*Emissionsfaktoren!K107/1000, 0)</f>
        <v>0</v>
      </c>
      <c r="M272" s="14">
        <f>IF(ISNUMBER('Refsz-Verbräuche'!M107), 'Refsz-Verbräuche'!M107*Emissionsfaktoren!L107/1000, 0)</f>
        <v>0</v>
      </c>
      <c r="N272" s="14">
        <f>IF(ISNUMBER('Refsz-Verbräuche'!N107), 'Refsz-Verbräuche'!N107*Emissionsfaktoren!M107/1000, 0)</f>
        <v>0</v>
      </c>
      <c r="O272" s="14">
        <f>IF(ISNUMBER('Refsz-Verbräuche'!O107), 'Refsz-Verbräuche'!O107*Emissionsfaktoren!N107/1000, 0)</f>
        <v>0</v>
      </c>
      <c r="P272" s="14">
        <f>IF(ISNUMBER('Refsz-Verbräuche'!P107), 'Refsz-Verbräuche'!P107*Emissionsfaktoren!O107/1000, 0)</f>
        <v>0</v>
      </c>
      <c r="Q272" s="14">
        <f>IF(ISNUMBER('Refsz-Verbräuche'!Q107), 'Refsz-Verbräuche'!Q107*Emissionsfaktoren!P107/1000, 0)</f>
        <v>0</v>
      </c>
      <c r="R272" s="14">
        <f>IF(ISNUMBER('Refsz-Verbräuche'!R107), 'Refsz-Verbräuche'!R107*Emissionsfaktoren!Q107/1000, 0)</f>
        <v>0</v>
      </c>
      <c r="S272" s="14">
        <f>IF(ISNUMBER('Refsz-Verbräuche'!S107), 'Refsz-Verbräuche'!S107*Emissionsfaktoren!R107/1000, 0)</f>
        <v>0</v>
      </c>
      <c r="T272" s="14">
        <f>IF(ISNUMBER('Refsz-Verbräuche'!T107), 'Refsz-Verbräuche'!T107*Emissionsfaktoren!S107/1000, 0)</f>
        <v>0</v>
      </c>
      <c r="U272" s="14">
        <f>IF(ISNUMBER('Refsz-Verbräuche'!U107), 'Refsz-Verbräuche'!U107*Emissionsfaktoren!T107/1000, 0)</f>
        <v>0</v>
      </c>
      <c r="V272" s="14">
        <f>IF(ISNUMBER('Refsz-Verbräuche'!V107), 'Refsz-Verbräuche'!V107*Emissionsfaktoren!U107/1000, 0)</f>
        <v>0</v>
      </c>
      <c r="W272" s="14">
        <f>IF(ISNUMBER('Refsz-Verbräuche'!W107), 'Refsz-Verbräuche'!W107*Emissionsfaktoren!V107/1000, 0)</f>
        <v>0</v>
      </c>
      <c r="X272" s="14">
        <f>IF(ISNUMBER('Refsz-Verbräuche'!X107), 'Refsz-Verbräuche'!X107*Emissionsfaktoren!W107/1000, 0)</f>
        <v>0</v>
      </c>
      <c r="Y272" s="14">
        <f>IF(ISNUMBER('Refsz-Verbräuche'!Y107), 'Refsz-Verbräuche'!Y107*Emissionsfaktoren!X107/1000, 0)</f>
        <v>0</v>
      </c>
    </row>
    <row r="273" spans="2:25" ht="16.5">
      <c r="B273" s="14">
        <v>91</v>
      </c>
      <c r="C273" s="14" t="str">
        <f>'Refsz-Verbräuche'!C108</f>
        <v>Waren und Dienstleistungen</v>
      </c>
      <c r="D273" s="19" t="str">
        <f>'Refsz-Verbräuche'!D108</f>
        <v>Toilettenpapier (Recycling)</v>
      </c>
      <c r="E273" t="s">
        <v>195</v>
      </c>
      <c r="F273" s="14">
        <f>IF(ISNUMBER('Refsz-Verbräuche'!F108), 'Refsz-Verbräuche'!F108*Emissionsfaktoren!E108/1000, 0)</f>
        <v>0</v>
      </c>
      <c r="G273" s="14">
        <f>IF(ISNUMBER('Refsz-Verbräuche'!G108), 'Refsz-Verbräuche'!G108*Emissionsfaktoren!F108/1000, 0)</f>
        <v>0</v>
      </c>
      <c r="H273" s="14">
        <f>IF(ISNUMBER('Refsz-Verbräuche'!H108), 'Refsz-Verbräuche'!H108*Emissionsfaktoren!G108/1000, 0)</f>
        <v>0</v>
      </c>
      <c r="I273" s="14">
        <f>IF(ISNUMBER('Refsz-Verbräuche'!I108), 'Refsz-Verbräuche'!I108*Emissionsfaktoren!H108/1000, 0)</f>
        <v>0</v>
      </c>
      <c r="J273" s="14">
        <f>IF(ISNUMBER('Refsz-Verbräuche'!J108), 'Refsz-Verbräuche'!J108*Emissionsfaktoren!I108/1000, 0)</f>
        <v>0</v>
      </c>
      <c r="K273" s="14">
        <f>IF(ISNUMBER('Refsz-Verbräuche'!K108), 'Refsz-Verbräuche'!K108*Emissionsfaktoren!J108/1000, 0)</f>
        <v>0</v>
      </c>
      <c r="L273" s="14">
        <f>IF(ISNUMBER('Refsz-Verbräuche'!L108), 'Refsz-Verbräuche'!L108*Emissionsfaktoren!K108/1000, 0)</f>
        <v>0</v>
      </c>
      <c r="M273" s="14">
        <f>IF(ISNUMBER('Refsz-Verbräuche'!M108), 'Refsz-Verbräuche'!M108*Emissionsfaktoren!L108/1000, 0)</f>
        <v>0</v>
      </c>
      <c r="N273" s="14">
        <f>IF(ISNUMBER('Refsz-Verbräuche'!N108), 'Refsz-Verbräuche'!N108*Emissionsfaktoren!M108/1000, 0)</f>
        <v>0</v>
      </c>
      <c r="O273" s="14">
        <f>IF(ISNUMBER('Refsz-Verbräuche'!O108), 'Refsz-Verbräuche'!O108*Emissionsfaktoren!N108/1000, 0)</f>
        <v>0</v>
      </c>
      <c r="P273" s="14">
        <f>IF(ISNUMBER('Refsz-Verbräuche'!P108), 'Refsz-Verbräuche'!P108*Emissionsfaktoren!O108/1000, 0)</f>
        <v>0</v>
      </c>
      <c r="Q273" s="14">
        <f>IF(ISNUMBER('Refsz-Verbräuche'!Q108), 'Refsz-Verbräuche'!Q108*Emissionsfaktoren!P108/1000, 0)</f>
        <v>0</v>
      </c>
      <c r="R273" s="14">
        <f>IF(ISNUMBER('Refsz-Verbräuche'!R108), 'Refsz-Verbräuche'!R108*Emissionsfaktoren!Q108/1000, 0)</f>
        <v>0</v>
      </c>
      <c r="S273" s="14">
        <f>IF(ISNUMBER('Refsz-Verbräuche'!S108), 'Refsz-Verbräuche'!S108*Emissionsfaktoren!R108/1000, 0)</f>
        <v>0</v>
      </c>
      <c r="T273" s="14">
        <f>IF(ISNUMBER('Refsz-Verbräuche'!T108), 'Refsz-Verbräuche'!T108*Emissionsfaktoren!S108/1000, 0)</f>
        <v>0</v>
      </c>
      <c r="U273" s="14">
        <f>IF(ISNUMBER('Refsz-Verbräuche'!U108), 'Refsz-Verbräuche'!U108*Emissionsfaktoren!T108/1000, 0)</f>
        <v>0</v>
      </c>
      <c r="V273" s="14">
        <f>IF(ISNUMBER('Refsz-Verbräuche'!V108), 'Refsz-Verbräuche'!V108*Emissionsfaktoren!U108/1000, 0)</f>
        <v>0</v>
      </c>
      <c r="W273" s="14">
        <f>IF(ISNUMBER('Refsz-Verbräuche'!W108), 'Refsz-Verbräuche'!W108*Emissionsfaktoren!V108/1000, 0)</f>
        <v>0</v>
      </c>
      <c r="X273" s="14">
        <f>IF(ISNUMBER('Refsz-Verbräuche'!X108), 'Refsz-Verbräuche'!X108*Emissionsfaktoren!W108/1000, 0)</f>
        <v>0</v>
      </c>
      <c r="Y273" s="14">
        <f>IF(ISNUMBER('Refsz-Verbräuche'!Y108), 'Refsz-Verbräuche'!Y108*Emissionsfaktoren!X108/1000, 0)</f>
        <v>0</v>
      </c>
    </row>
    <row r="274" spans="2:25" ht="16.5">
      <c r="B274" s="14">
        <v>92</v>
      </c>
      <c r="C274" s="14" t="str">
        <f>'Refsz-Verbräuche'!C109</f>
        <v>Waren und Dienstleistungen</v>
      </c>
      <c r="D274" s="19" t="str">
        <f>'Refsz-Verbräuche'!D109</f>
        <v>Papierhandtücher (Recycling)</v>
      </c>
      <c r="E274" t="s">
        <v>195</v>
      </c>
      <c r="F274" s="14">
        <f>IF(ISNUMBER('Refsz-Verbräuche'!F109), 'Refsz-Verbräuche'!F109*Emissionsfaktoren!E109/1000, 0)</f>
        <v>0</v>
      </c>
      <c r="G274" s="14">
        <f>IF(ISNUMBER('Refsz-Verbräuche'!G109), 'Refsz-Verbräuche'!G109*Emissionsfaktoren!F109/1000, 0)</f>
        <v>0</v>
      </c>
      <c r="H274" s="14">
        <f>IF(ISNUMBER('Refsz-Verbräuche'!H109), 'Refsz-Verbräuche'!H109*Emissionsfaktoren!G109/1000, 0)</f>
        <v>0</v>
      </c>
      <c r="I274" s="14">
        <f>IF(ISNUMBER('Refsz-Verbräuche'!I109), 'Refsz-Verbräuche'!I109*Emissionsfaktoren!H109/1000, 0)</f>
        <v>0</v>
      </c>
      <c r="J274" s="14">
        <f>IF(ISNUMBER('Refsz-Verbräuche'!J109), 'Refsz-Verbräuche'!J109*Emissionsfaktoren!I109/1000, 0)</f>
        <v>0</v>
      </c>
      <c r="K274" s="14">
        <f>IF(ISNUMBER('Refsz-Verbräuche'!K109), 'Refsz-Verbräuche'!K109*Emissionsfaktoren!J109/1000, 0)</f>
        <v>0</v>
      </c>
      <c r="L274" s="14">
        <f>IF(ISNUMBER('Refsz-Verbräuche'!L109), 'Refsz-Verbräuche'!L109*Emissionsfaktoren!K109/1000, 0)</f>
        <v>0</v>
      </c>
      <c r="M274" s="14">
        <f>IF(ISNUMBER('Refsz-Verbräuche'!M109), 'Refsz-Verbräuche'!M109*Emissionsfaktoren!L109/1000, 0)</f>
        <v>0</v>
      </c>
      <c r="N274" s="14">
        <f>IF(ISNUMBER('Refsz-Verbräuche'!N109), 'Refsz-Verbräuche'!N109*Emissionsfaktoren!M109/1000, 0)</f>
        <v>0</v>
      </c>
      <c r="O274" s="14">
        <f>IF(ISNUMBER('Refsz-Verbräuche'!O109), 'Refsz-Verbräuche'!O109*Emissionsfaktoren!N109/1000, 0)</f>
        <v>0</v>
      </c>
      <c r="P274" s="14">
        <f>IF(ISNUMBER('Refsz-Verbräuche'!P109), 'Refsz-Verbräuche'!P109*Emissionsfaktoren!O109/1000, 0)</f>
        <v>0</v>
      </c>
      <c r="Q274" s="14">
        <f>IF(ISNUMBER('Refsz-Verbräuche'!Q109), 'Refsz-Verbräuche'!Q109*Emissionsfaktoren!P109/1000, 0)</f>
        <v>0</v>
      </c>
      <c r="R274" s="14">
        <f>IF(ISNUMBER('Refsz-Verbräuche'!R109), 'Refsz-Verbräuche'!R109*Emissionsfaktoren!Q109/1000, 0)</f>
        <v>0</v>
      </c>
      <c r="S274" s="14">
        <f>IF(ISNUMBER('Refsz-Verbräuche'!S109), 'Refsz-Verbräuche'!S109*Emissionsfaktoren!R109/1000, 0)</f>
        <v>0</v>
      </c>
      <c r="T274" s="14">
        <f>IF(ISNUMBER('Refsz-Verbräuche'!T109), 'Refsz-Verbräuche'!T109*Emissionsfaktoren!S109/1000, 0)</f>
        <v>0</v>
      </c>
      <c r="U274" s="14">
        <f>IF(ISNUMBER('Refsz-Verbräuche'!U109), 'Refsz-Verbräuche'!U109*Emissionsfaktoren!T109/1000, 0)</f>
        <v>0</v>
      </c>
      <c r="V274" s="14">
        <f>IF(ISNUMBER('Refsz-Verbräuche'!V109), 'Refsz-Verbräuche'!V109*Emissionsfaktoren!U109/1000, 0)</f>
        <v>0</v>
      </c>
      <c r="W274" s="14">
        <f>IF(ISNUMBER('Refsz-Verbräuche'!W109), 'Refsz-Verbräuche'!W109*Emissionsfaktoren!V109/1000, 0)</f>
        <v>0</v>
      </c>
      <c r="X274" s="14">
        <f>IF(ISNUMBER('Refsz-Verbräuche'!X109), 'Refsz-Verbräuche'!X109*Emissionsfaktoren!W109/1000, 0)</f>
        <v>0</v>
      </c>
      <c r="Y274" s="14">
        <f>IF(ISNUMBER('Refsz-Verbräuche'!Y109), 'Refsz-Verbräuche'!Y109*Emissionsfaktoren!X109/1000, 0)</f>
        <v>0</v>
      </c>
    </row>
    <row r="275" spans="2:25" ht="16.5">
      <c r="B275" s="14">
        <v>93</v>
      </c>
      <c r="C275" s="14">
        <f>'Refsz-Verbräuche'!C110</f>
        <v>0</v>
      </c>
      <c r="D275" s="19">
        <f>'Refsz-Verbräuche'!D110</f>
        <v>0</v>
      </c>
      <c r="E275" t="s">
        <v>195</v>
      </c>
      <c r="F275" s="14">
        <f>IF(ISNUMBER('Refsz-Verbräuche'!F110), 'Refsz-Verbräuche'!F110*Emissionsfaktoren!E110/1000, 0)</f>
        <v>0</v>
      </c>
      <c r="G275" s="14">
        <f>IF(ISNUMBER('Refsz-Verbräuche'!G110), 'Refsz-Verbräuche'!G110*Emissionsfaktoren!F110/1000, 0)</f>
        <v>0</v>
      </c>
      <c r="H275" s="14">
        <f>IF(ISNUMBER('Refsz-Verbräuche'!H110), 'Refsz-Verbräuche'!H110*Emissionsfaktoren!G110/1000, 0)</f>
        <v>0</v>
      </c>
      <c r="I275" s="14">
        <f>IF(ISNUMBER('Refsz-Verbräuche'!I110), 'Refsz-Verbräuche'!I110*Emissionsfaktoren!H110/1000, 0)</f>
        <v>0</v>
      </c>
      <c r="J275" s="14">
        <f>IF(ISNUMBER('Refsz-Verbräuche'!J110), 'Refsz-Verbräuche'!J110*Emissionsfaktoren!I110/1000, 0)</f>
        <v>0</v>
      </c>
      <c r="K275" s="14">
        <f>IF(ISNUMBER('Refsz-Verbräuche'!K110), 'Refsz-Verbräuche'!K110*Emissionsfaktoren!J110/1000, 0)</f>
        <v>0</v>
      </c>
      <c r="L275" s="14">
        <f>IF(ISNUMBER('Refsz-Verbräuche'!L110), 'Refsz-Verbräuche'!L110*Emissionsfaktoren!K110/1000, 0)</f>
        <v>0</v>
      </c>
      <c r="M275" s="14">
        <f>IF(ISNUMBER('Refsz-Verbräuche'!M110), 'Refsz-Verbräuche'!M110*Emissionsfaktoren!L110/1000, 0)</f>
        <v>0</v>
      </c>
      <c r="N275" s="14">
        <f>IF(ISNUMBER('Refsz-Verbräuche'!N110), 'Refsz-Verbräuche'!N110*Emissionsfaktoren!M110/1000, 0)</f>
        <v>0</v>
      </c>
      <c r="O275" s="14">
        <f>IF(ISNUMBER('Refsz-Verbräuche'!O110), 'Refsz-Verbräuche'!O110*Emissionsfaktoren!N110/1000, 0)</f>
        <v>0</v>
      </c>
      <c r="P275" s="14">
        <f>IF(ISNUMBER('Refsz-Verbräuche'!P110), 'Refsz-Verbräuche'!P110*Emissionsfaktoren!O110/1000, 0)</f>
        <v>0</v>
      </c>
      <c r="Q275" s="14">
        <f>IF(ISNUMBER('Refsz-Verbräuche'!Q110), 'Refsz-Verbräuche'!Q110*Emissionsfaktoren!P110/1000, 0)</f>
        <v>0</v>
      </c>
      <c r="R275" s="14">
        <f>IF(ISNUMBER('Refsz-Verbräuche'!R110), 'Refsz-Verbräuche'!R110*Emissionsfaktoren!Q110/1000, 0)</f>
        <v>0</v>
      </c>
      <c r="S275" s="14">
        <f>IF(ISNUMBER('Refsz-Verbräuche'!S110), 'Refsz-Verbräuche'!S110*Emissionsfaktoren!R110/1000, 0)</f>
        <v>0</v>
      </c>
      <c r="T275" s="14">
        <f>IF(ISNUMBER('Refsz-Verbräuche'!T110), 'Refsz-Verbräuche'!T110*Emissionsfaktoren!S110/1000, 0)</f>
        <v>0</v>
      </c>
      <c r="U275" s="14">
        <f>IF(ISNUMBER('Refsz-Verbräuche'!U110), 'Refsz-Verbräuche'!U110*Emissionsfaktoren!T110/1000, 0)</f>
        <v>0</v>
      </c>
      <c r="V275" s="14">
        <f>IF(ISNUMBER('Refsz-Verbräuche'!V110), 'Refsz-Verbräuche'!V110*Emissionsfaktoren!U110/1000, 0)</f>
        <v>0</v>
      </c>
      <c r="W275" s="14">
        <f>IF(ISNUMBER('Refsz-Verbräuche'!W110), 'Refsz-Verbräuche'!W110*Emissionsfaktoren!V110/1000, 0)</f>
        <v>0</v>
      </c>
      <c r="X275" s="14">
        <f>IF(ISNUMBER('Refsz-Verbräuche'!X110), 'Refsz-Verbräuche'!X110*Emissionsfaktoren!W110/1000, 0)</f>
        <v>0</v>
      </c>
      <c r="Y275" s="14">
        <f>IF(ISNUMBER('Refsz-Verbräuche'!Y110), 'Refsz-Verbräuche'!Y110*Emissionsfaktoren!X110/1000, 0)</f>
        <v>0</v>
      </c>
    </row>
    <row r="276" spans="2:25" ht="16.5">
      <c r="B276" s="14">
        <v>94</v>
      </c>
      <c r="C276" s="14" t="str">
        <f>'Refsz-Verbräuche'!C111</f>
        <v>Waren und Dienstleistungen</v>
      </c>
      <c r="D276" s="19" t="str">
        <f>'Refsz-Verbräuche'!D111</f>
        <v>Outgesourcte Leistungen des Rechenzentrums</v>
      </c>
      <c r="E276" t="s">
        <v>195</v>
      </c>
      <c r="F276" s="14">
        <f>IF(ISNUMBER('Refsz-Verbräuche'!F111), 'Refsz-Verbräuche'!F111*Emissionsfaktoren!E111/1000, 0)</f>
        <v>0</v>
      </c>
      <c r="G276" s="14">
        <f>IF(ISNUMBER('Refsz-Verbräuche'!G111), 'Refsz-Verbräuche'!G111*Emissionsfaktoren!F111/1000, 0)</f>
        <v>0</v>
      </c>
      <c r="H276" s="14">
        <f>IF(ISNUMBER('Refsz-Verbräuche'!H111), 'Refsz-Verbräuche'!H111*Emissionsfaktoren!G111/1000, 0)</f>
        <v>0</v>
      </c>
      <c r="I276" s="14">
        <f>IF(ISNUMBER('Refsz-Verbräuche'!I111), 'Refsz-Verbräuche'!I111*Emissionsfaktoren!H111/1000, 0)</f>
        <v>0</v>
      </c>
      <c r="J276" s="14">
        <f>IF(ISNUMBER('Refsz-Verbräuche'!J111), 'Refsz-Verbräuche'!J111*Emissionsfaktoren!I111/1000, 0)</f>
        <v>0</v>
      </c>
      <c r="K276" s="14">
        <f>IF(ISNUMBER('Refsz-Verbräuche'!K111), 'Refsz-Verbräuche'!K111*Emissionsfaktoren!J111/1000, 0)</f>
        <v>0</v>
      </c>
      <c r="L276" s="14">
        <f>IF(ISNUMBER('Refsz-Verbräuche'!L111), 'Refsz-Verbräuche'!L111*Emissionsfaktoren!K111/1000, 0)</f>
        <v>0</v>
      </c>
      <c r="M276" s="14">
        <f>IF(ISNUMBER('Refsz-Verbräuche'!M111), 'Refsz-Verbräuche'!M111*Emissionsfaktoren!L111/1000, 0)</f>
        <v>0</v>
      </c>
      <c r="N276" s="14">
        <f>IF(ISNUMBER('Refsz-Verbräuche'!N111), 'Refsz-Verbräuche'!N111*Emissionsfaktoren!M111/1000, 0)</f>
        <v>0</v>
      </c>
      <c r="O276" s="14">
        <f>IF(ISNUMBER('Refsz-Verbräuche'!O111), 'Refsz-Verbräuche'!O111*Emissionsfaktoren!N111/1000, 0)</f>
        <v>0</v>
      </c>
      <c r="P276" s="14">
        <f>IF(ISNUMBER('Refsz-Verbräuche'!P111), 'Refsz-Verbräuche'!P111*Emissionsfaktoren!O111/1000, 0)</f>
        <v>0</v>
      </c>
      <c r="Q276" s="14">
        <f>IF(ISNUMBER('Refsz-Verbräuche'!Q111), 'Refsz-Verbräuche'!Q111*Emissionsfaktoren!P111/1000, 0)</f>
        <v>0</v>
      </c>
      <c r="R276" s="14">
        <f>IF(ISNUMBER('Refsz-Verbräuche'!R111), 'Refsz-Verbräuche'!R111*Emissionsfaktoren!Q111/1000, 0)</f>
        <v>0</v>
      </c>
      <c r="S276" s="14">
        <f>IF(ISNUMBER('Refsz-Verbräuche'!S111), 'Refsz-Verbräuche'!S111*Emissionsfaktoren!R111/1000, 0)</f>
        <v>0</v>
      </c>
      <c r="T276" s="14">
        <f>IF(ISNUMBER('Refsz-Verbräuche'!T111), 'Refsz-Verbräuche'!T111*Emissionsfaktoren!S111/1000, 0)</f>
        <v>0</v>
      </c>
      <c r="U276" s="14">
        <f>IF(ISNUMBER('Refsz-Verbräuche'!U111), 'Refsz-Verbräuche'!U111*Emissionsfaktoren!T111/1000, 0)</f>
        <v>0</v>
      </c>
      <c r="V276" s="14">
        <f>IF(ISNUMBER('Refsz-Verbräuche'!V111), 'Refsz-Verbräuche'!V111*Emissionsfaktoren!U111/1000, 0)</f>
        <v>0</v>
      </c>
      <c r="W276" s="14">
        <f>IF(ISNUMBER('Refsz-Verbräuche'!W111), 'Refsz-Verbräuche'!W111*Emissionsfaktoren!V111/1000, 0)</f>
        <v>0</v>
      </c>
      <c r="X276" s="14">
        <f>IF(ISNUMBER('Refsz-Verbräuche'!X111), 'Refsz-Verbräuche'!X111*Emissionsfaktoren!W111/1000, 0)</f>
        <v>0</v>
      </c>
      <c r="Y276" s="14">
        <f>IF(ISNUMBER('Refsz-Verbräuche'!Y111), 'Refsz-Verbräuche'!Y111*Emissionsfaktoren!X111/1000, 0)</f>
        <v>0</v>
      </c>
    </row>
    <row r="277" spans="2:25" ht="16.5">
      <c r="B277" s="14">
        <v>95</v>
      </c>
      <c r="C277" s="14" t="str">
        <f>'Refsz-Verbräuche'!C112</f>
        <v>Waren und Dienstleistungen</v>
      </c>
      <c r="D277" s="19" t="str">
        <f>'Refsz-Verbräuche'!D112</f>
        <v>Beamer</v>
      </c>
      <c r="E277" t="s">
        <v>195</v>
      </c>
      <c r="F277" s="14">
        <f>IF(ISNUMBER('Refsz-Verbräuche'!F112), 'Refsz-Verbräuche'!F112*Emissionsfaktoren!E112/1000, 0)</f>
        <v>0</v>
      </c>
      <c r="G277" s="14">
        <f>IF(ISNUMBER('Refsz-Verbräuche'!G112), 'Refsz-Verbräuche'!G112*Emissionsfaktoren!F112/1000, 0)</f>
        <v>0</v>
      </c>
      <c r="H277" s="14">
        <f>IF(ISNUMBER('Refsz-Verbräuche'!H112), 'Refsz-Verbräuche'!H112*Emissionsfaktoren!G112/1000, 0)</f>
        <v>0</v>
      </c>
      <c r="I277" s="14">
        <f>IF(ISNUMBER('Refsz-Verbräuche'!I112), 'Refsz-Verbräuche'!I112*Emissionsfaktoren!H112/1000, 0)</f>
        <v>0</v>
      </c>
      <c r="J277" s="14">
        <f>IF(ISNUMBER('Refsz-Verbräuche'!J112), 'Refsz-Verbräuche'!J112*Emissionsfaktoren!I112/1000, 0)</f>
        <v>0</v>
      </c>
      <c r="K277" s="14">
        <f>IF(ISNUMBER('Refsz-Verbräuche'!K112), 'Refsz-Verbräuche'!K112*Emissionsfaktoren!J112/1000, 0)</f>
        <v>0</v>
      </c>
      <c r="L277" s="14">
        <f>IF(ISNUMBER('Refsz-Verbräuche'!L112), 'Refsz-Verbräuche'!L112*Emissionsfaktoren!K112/1000, 0)</f>
        <v>0</v>
      </c>
      <c r="M277" s="14">
        <f>IF(ISNUMBER('Refsz-Verbräuche'!M112), 'Refsz-Verbräuche'!M112*Emissionsfaktoren!L112/1000, 0)</f>
        <v>0</v>
      </c>
      <c r="N277" s="14">
        <f>IF(ISNUMBER('Refsz-Verbräuche'!N112), 'Refsz-Verbräuche'!N112*Emissionsfaktoren!M112/1000, 0)</f>
        <v>0</v>
      </c>
      <c r="O277" s="14">
        <f>IF(ISNUMBER('Refsz-Verbräuche'!O112), 'Refsz-Verbräuche'!O112*Emissionsfaktoren!N112/1000, 0)</f>
        <v>0</v>
      </c>
      <c r="P277" s="14">
        <f>IF(ISNUMBER('Refsz-Verbräuche'!P112), 'Refsz-Verbräuche'!P112*Emissionsfaktoren!O112/1000, 0)</f>
        <v>0</v>
      </c>
      <c r="Q277" s="14">
        <f>IF(ISNUMBER('Refsz-Verbräuche'!Q112), 'Refsz-Verbräuche'!Q112*Emissionsfaktoren!P112/1000, 0)</f>
        <v>0</v>
      </c>
      <c r="R277" s="14">
        <f>IF(ISNUMBER('Refsz-Verbräuche'!R112), 'Refsz-Verbräuche'!R112*Emissionsfaktoren!Q112/1000, 0)</f>
        <v>0</v>
      </c>
      <c r="S277" s="14">
        <f>IF(ISNUMBER('Refsz-Verbräuche'!S112), 'Refsz-Verbräuche'!S112*Emissionsfaktoren!R112/1000, 0)</f>
        <v>0</v>
      </c>
      <c r="T277" s="14">
        <f>IF(ISNUMBER('Refsz-Verbräuche'!T112), 'Refsz-Verbräuche'!T112*Emissionsfaktoren!S112/1000, 0)</f>
        <v>0</v>
      </c>
      <c r="U277" s="14">
        <f>IF(ISNUMBER('Refsz-Verbräuche'!U112), 'Refsz-Verbräuche'!U112*Emissionsfaktoren!T112/1000, 0)</f>
        <v>0</v>
      </c>
      <c r="V277" s="14">
        <f>IF(ISNUMBER('Refsz-Verbräuche'!V112), 'Refsz-Verbräuche'!V112*Emissionsfaktoren!U112/1000, 0)</f>
        <v>0</v>
      </c>
      <c r="W277" s="14">
        <f>IF(ISNUMBER('Refsz-Verbräuche'!W112), 'Refsz-Verbräuche'!W112*Emissionsfaktoren!V112/1000, 0)</f>
        <v>0</v>
      </c>
      <c r="X277" s="14">
        <f>IF(ISNUMBER('Refsz-Verbräuche'!X112), 'Refsz-Verbräuche'!X112*Emissionsfaktoren!W112/1000, 0)</f>
        <v>0</v>
      </c>
      <c r="Y277" s="14">
        <f>IF(ISNUMBER('Refsz-Verbräuche'!Y112), 'Refsz-Verbräuche'!Y112*Emissionsfaktoren!X112/1000, 0)</f>
        <v>0</v>
      </c>
    </row>
    <row r="278" spans="2:25" ht="16.5">
      <c r="B278" s="14">
        <v>96</v>
      </c>
      <c r="C278" s="14" t="str">
        <f>'Refsz-Verbräuche'!C113</f>
        <v>Waren und Dienstleistungen</v>
      </c>
      <c r="D278" s="19" t="str">
        <f>'Refsz-Verbräuche'!D113</f>
        <v>Notebook/Laptop</v>
      </c>
      <c r="E278" t="s">
        <v>195</v>
      </c>
      <c r="F278" s="14">
        <f>IF(ISNUMBER('Refsz-Verbräuche'!F113), 'Refsz-Verbräuche'!F113*Emissionsfaktoren!E113/1000, 0)</f>
        <v>0</v>
      </c>
      <c r="G278" s="14">
        <f>IF(ISNUMBER('Refsz-Verbräuche'!G113), 'Refsz-Verbräuche'!G113*Emissionsfaktoren!F113/1000, 0)</f>
        <v>0</v>
      </c>
      <c r="H278" s="14">
        <f>IF(ISNUMBER('Refsz-Verbräuche'!H113), 'Refsz-Verbräuche'!H113*Emissionsfaktoren!G113/1000, 0)</f>
        <v>0</v>
      </c>
      <c r="I278" s="14">
        <f>IF(ISNUMBER('Refsz-Verbräuche'!I113), 'Refsz-Verbräuche'!I113*Emissionsfaktoren!H113/1000, 0)</f>
        <v>0</v>
      </c>
      <c r="J278" s="14">
        <f>IF(ISNUMBER('Refsz-Verbräuche'!J113), 'Refsz-Verbräuche'!J113*Emissionsfaktoren!I113/1000, 0)</f>
        <v>0</v>
      </c>
      <c r="K278" s="14">
        <f>IF(ISNUMBER('Refsz-Verbräuche'!K113), 'Refsz-Verbräuche'!K113*Emissionsfaktoren!J113/1000, 0)</f>
        <v>0</v>
      </c>
      <c r="L278" s="14">
        <f>IF(ISNUMBER('Refsz-Verbräuche'!L113), 'Refsz-Verbräuche'!L113*Emissionsfaktoren!K113/1000, 0)</f>
        <v>0</v>
      </c>
      <c r="M278" s="14">
        <f>IF(ISNUMBER('Refsz-Verbräuche'!M113), 'Refsz-Verbräuche'!M113*Emissionsfaktoren!L113/1000, 0)</f>
        <v>0</v>
      </c>
      <c r="N278" s="14">
        <f>IF(ISNUMBER('Refsz-Verbräuche'!N113), 'Refsz-Verbräuche'!N113*Emissionsfaktoren!M113/1000, 0)</f>
        <v>0</v>
      </c>
      <c r="O278" s="14">
        <f>IF(ISNUMBER('Refsz-Verbräuche'!O113), 'Refsz-Verbräuche'!O113*Emissionsfaktoren!N113/1000, 0)</f>
        <v>0</v>
      </c>
      <c r="P278" s="14">
        <f>IF(ISNUMBER('Refsz-Verbräuche'!P113), 'Refsz-Verbräuche'!P113*Emissionsfaktoren!O113/1000, 0)</f>
        <v>0</v>
      </c>
      <c r="Q278" s="14">
        <f>IF(ISNUMBER('Refsz-Verbräuche'!Q113), 'Refsz-Verbräuche'!Q113*Emissionsfaktoren!P113/1000, 0)</f>
        <v>0</v>
      </c>
      <c r="R278" s="14">
        <f>IF(ISNUMBER('Refsz-Verbräuche'!R113), 'Refsz-Verbräuche'!R113*Emissionsfaktoren!Q113/1000, 0)</f>
        <v>0</v>
      </c>
      <c r="S278" s="14">
        <f>IF(ISNUMBER('Refsz-Verbräuche'!S113), 'Refsz-Verbräuche'!S113*Emissionsfaktoren!R113/1000, 0)</f>
        <v>0</v>
      </c>
      <c r="T278" s="14">
        <f>IF(ISNUMBER('Refsz-Verbräuche'!T113), 'Refsz-Verbräuche'!T113*Emissionsfaktoren!S113/1000, 0)</f>
        <v>0</v>
      </c>
      <c r="U278" s="14">
        <f>IF(ISNUMBER('Refsz-Verbräuche'!U113), 'Refsz-Verbräuche'!U113*Emissionsfaktoren!T113/1000, 0)</f>
        <v>0</v>
      </c>
      <c r="V278" s="14">
        <f>IF(ISNUMBER('Refsz-Verbräuche'!V113), 'Refsz-Verbräuche'!V113*Emissionsfaktoren!U113/1000, 0)</f>
        <v>0</v>
      </c>
      <c r="W278" s="14">
        <f>IF(ISNUMBER('Refsz-Verbräuche'!W113), 'Refsz-Verbräuche'!W113*Emissionsfaktoren!V113/1000, 0)</f>
        <v>0</v>
      </c>
      <c r="X278" s="14">
        <f>IF(ISNUMBER('Refsz-Verbräuche'!X113), 'Refsz-Verbräuche'!X113*Emissionsfaktoren!W113/1000, 0)</f>
        <v>0</v>
      </c>
      <c r="Y278" s="14">
        <f>IF(ISNUMBER('Refsz-Verbräuche'!Y113), 'Refsz-Verbräuche'!Y113*Emissionsfaktoren!X113/1000, 0)</f>
        <v>0</v>
      </c>
    </row>
    <row r="279" spans="2:25" ht="16.5">
      <c r="B279" s="14">
        <v>97</v>
      </c>
      <c r="C279" s="14" t="str">
        <f>'Refsz-Verbräuche'!C114</f>
        <v>Waren und Dienstleistungen</v>
      </c>
      <c r="D279" s="19" t="str">
        <f>'Refsz-Verbräuche'!D114</f>
        <v>Desktop-PC mit Monitor</v>
      </c>
      <c r="E279" t="s">
        <v>195</v>
      </c>
      <c r="F279" s="14">
        <f>IF(ISNUMBER('Refsz-Verbräuche'!F114), 'Refsz-Verbräuche'!F114*Emissionsfaktoren!E114/1000, 0)</f>
        <v>0</v>
      </c>
      <c r="G279" s="14">
        <f>IF(ISNUMBER('Refsz-Verbräuche'!G114), 'Refsz-Verbräuche'!G114*Emissionsfaktoren!F114/1000, 0)</f>
        <v>0</v>
      </c>
      <c r="H279" s="14">
        <f>IF(ISNUMBER('Refsz-Verbräuche'!H114), 'Refsz-Verbräuche'!H114*Emissionsfaktoren!G114/1000, 0)</f>
        <v>0</v>
      </c>
      <c r="I279" s="14">
        <f>IF(ISNUMBER('Refsz-Verbräuche'!I114), 'Refsz-Verbräuche'!I114*Emissionsfaktoren!H114/1000, 0)</f>
        <v>0</v>
      </c>
      <c r="J279" s="14">
        <f>IF(ISNUMBER('Refsz-Verbräuche'!J114), 'Refsz-Verbräuche'!J114*Emissionsfaktoren!I114/1000, 0)</f>
        <v>0</v>
      </c>
      <c r="K279" s="14">
        <f>IF(ISNUMBER('Refsz-Verbräuche'!K114), 'Refsz-Verbräuche'!K114*Emissionsfaktoren!J114/1000, 0)</f>
        <v>0</v>
      </c>
      <c r="L279" s="14">
        <f>IF(ISNUMBER('Refsz-Verbräuche'!L114), 'Refsz-Verbräuche'!L114*Emissionsfaktoren!K114/1000, 0)</f>
        <v>0</v>
      </c>
      <c r="M279" s="14">
        <f>IF(ISNUMBER('Refsz-Verbräuche'!M114), 'Refsz-Verbräuche'!M114*Emissionsfaktoren!L114/1000, 0)</f>
        <v>0</v>
      </c>
      <c r="N279" s="14">
        <f>IF(ISNUMBER('Refsz-Verbräuche'!N114), 'Refsz-Verbräuche'!N114*Emissionsfaktoren!M114/1000, 0)</f>
        <v>0</v>
      </c>
      <c r="O279" s="14">
        <f>IF(ISNUMBER('Refsz-Verbräuche'!O114), 'Refsz-Verbräuche'!O114*Emissionsfaktoren!N114/1000, 0)</f>
        <v>0</v>
      </c>
      <c r="P279" s="14">
        <f>IF(ISNUMBER('Refsz-Verbräuche'!P114), 'Refsz-Verbräuche'!P114*Emissionsfaktoren!O114/1000, 0)</f>
        <v>0</v>
      </c>
      <c r="Q279" s="14">
        <f>IF(ISNUMBER('Refsz-Verbräuche'!Q114), 'Refsz-Verbräuche'!Q114*Emissionsfaktoren!P114/1000, 0)</f>
        <v>0</v>
      </c>
      <c r="R279" s="14">
        <f>IF(ISNUMBER('Refsz-Verbräuche'!R114), 'Refsz-Verbräuche'!R114*Emissionsfaktoren!Q114/1000, 0)</f>
        <v>0</v>
      </c>
      <c r="S279" s="14">
        <f>IF(ISNUMBER('Refsz-Verbräuche'!S114), 'Refsz-Verbräuche'!S114*Emissionsfaktoren!R114/1000, 0)</f>
        <v>0</v>
      </c>
      <c r="T279" s="14">
        <f>IF(ISNUMBER('Refsz-Verbräuche'!T114), 'Refsz-Verbräuche'!T114*Emissionsfaktoren!S114/1000, 0)</f>
        <v>0</v>
      </c>
      <c r="U279" s="14">
        <f>IF(ISNUMBER('Refsz-Verbräuche'!U114), 'Refsz-Verbräuche'!U114*Emissionsfaktoren!T114/1000, 0)</f>
        <v>0</v>
      </c>
      <c r="V279" s="14">
        <f>IF(ISNUMBER('Refsz-Verbräuche'!V114), 'Refsz-Verbräuche'!V114*Emissionsfaktoren!U114/1000, 0)</f>
        <v>0</v>
      </c>
      <c r="W279" s="14">
        <f>IF(ISNUMBER('Refsz-Verbräuche'!W114), 'Refsz-Verbräuche'!W114*Emissionsfaktoren!V114/1000, 0)</f>
        <v>0</v>
      </c>
      <c r="X279" s="14">
        <f>IF(ISNUMBER('Refsz-Verbräuche'!X114), 'Refsz-Verbräuche'!X114*Emissionsfaktoren!W114/1000, 0)</f>
        <v>0</v>
      </c>
      <c r="Y279" s="14">
        <f>IF(ISNUMBER('Refsz-Verbräuche'!Y114), 'Refsz-Verbräuche'!Y114*Emissionsfaktoren!X114/1000, 0)</f>
        <v>0</v>
      </c>
    </row>
    <row r="280" spans="2:25" ht="16.5">
      <c r="B280" s="14">
        <v>98</v>
      </c>
      <c r="C280" s="14" t="str">
        <f>'Refsz-Verbräuche'!C115</f>
        <v>Waren und Dienstleistungen</v>
      </c>
      <c r="D280" s="19" t="str">
        <f>'Refsz-Verbräuche'!D115</f>
        <v>Docking-Station</v>
      </c>
      <c r="E280" t="s">
        <v>195</v>
      </c>
      <c r="F280" s="14">
        <f>IF(ISNUMBER('Refsz-Verbräuche'!F115), 'Refsz-Verbräuche'!F115*Emissionsfaktoren!E115/1000, 0)</f>
        <v>0</v>
      </c>
      <c r="G280" s="14">
        <f>IF(ISNUMBER('Refsz-Verbräuche'!G115), 'Refsz-Verbräuche'!G115*Emissionsfaktoren!F115/1000, 0)</f>
        <v>0</v>
      </c>
      <c r="H280" s="14">
        <f>IF(ISNUMBER('Refsz-Verbräuche'!H115), 'Refsz-Verbräuche'!H115*Emissionsfaktoren!G115/1000, 0)</f>
        <v>0</v>
      </c>
      <c r="I280" s="14">
        <f>IF(ISNUMBER('Refsz-Verbräuche'!I115), 'Refsz-Verbräuche'!I115*Emissionsfaktoren!H115/1000, 0)</f>
        <v>0</v>
      </c>
      <c r="J280" s="14">
        <f>IF(ISNUMBER('Refsz-Verbräuche'!J115), 'Refsz-Verbräuche'!J115*Emissionsfaktoren!I115/1000, 0)</f>
        <v>0</v>
      </c>
      <c r="K280" s="14">
        <f>IF(ISNUMBER('Refsz-Verbräuche'!K115), 'Refsz-Verbräuche'!K115*Emissionsfaktoren!J115/1000, 0)</f>
        <v>0</v>
      </c>
      <c r="L280" s="14">
        <f>IF(ISNUMBER('Refsz-Verbräuche'!L115), 'Refsz-Verbräuche'!L115*Emissionsfaktoren!K115/1000, 0)</f>
        <v>0</v>
      </c>
      <c r="M280" s="14">
        <f>IF(ISNUMBER('Refsz-Verbräuche'!M115), 'Refsz-Verbräuche'!M115*Emissionsfaktoren!L115/1000, 0)</f>
        <v>0</v>
      </c>
      <c r="N280" s="14">
        <f>IF(ISNUMBER('Refsz-Verbräuche'!N115), 'Refsz-Verbräuche'!N115*Emissionsfaktoren!M115/1000, 0)</f>
        <v>0</v>
      </c>
      <c r="O280" s="14">
        <f>IF(ISNUMBER('Refsz-Verbräuche'!O115), 'Refsz-Verbräuche'!O115*Emissionsfaktoren!N115/1000, 0)</f>
        <v>0</v>
      </c>
      <c r="P280" s="14">
        <f>IF(ISNUMBER('Refsz-Verbräuche'!P115), 'Refsz-Verbräuche'!P115*Emissionsfaktoren!O115/1000, 0)</f>
        <v>0</v>
      </c>
      <c r="Q280" s="14">
        <f>IF(ISNUMBER('Refsz-Verbräuche'!Q115), 'Refsz-Verbräuche'!Q115*Emissionsfaktoren!P115/1000, 0)</f>
        <v>0</v>
      </c>
      <c r="R280" s="14">
        <f>IF(ISNUMBER('Refsz-Verbräuche'!R115), 'Refsz-Verbräuche'!R115*Emissionsfaktoren!Q115/1000, 0)</f>
        <v>0</v>
      </c>
      <c r="S280" s="14">
        <f>IF(ISNUMBER('Refsz-Verbräuche'!S115), 'Refsz-Verbräuche'!S115*Emissionsfaktoren!R115/1000, 0)</f>
        <v>0</v>
      </c>
      <c r="T280" s="14">
        <f>IF(ISNUMBER('Refsz-Verbräuche'!T115), 'Refsz-Verbräuche'!T115*Emissionsfaktoren!S115/1000, 0)</f>
        <v>0</v>
      </c>
      <c r="U280" s="14">
        <f>IF(ISNUMBER('Refsz-Verbräuche'!U115), 'Refsz-Verbräuche'!U115*Emissionsfaktoren!T115/1000, 0)</f>
        <v>0</v>
      </c>
      <c r="V280" s="14">
        <f>IF(ISNUMBER('Refsz-Verbräuche'!V115), 'Refsz-Verbräuche'!V115*Emissionsfaktoren!U115/1000, 0)</f>
        <v>0</v>
      </c>
      <c r="W280" s="14">
        <f>IF(ISNUMBER('Refsz-Verbräuche'!W115), 'Refsz-Verbräuche'!W115*Emissionsfaktoren!V115/1000, 0)</f>
        <v>0</v>
      </c>
      <c r="X280" s="14">
        <f>IF(ISNUMBER('Refsz-Verbräuche'!X115), 'Refsz-Verbräuche'!X115*Emissionsfaktoren!W115/1000, 0)</f>
        <v>0</v>
      </c>
      <c r="Y280" s="14">
        <f>IF(ISNUMBER('Refsz-Verbräuche'!Y115), 'Refsz-Verbräuche'!Y115*Emissionsfaktoren!X115/1000, 0)</f>
        <v>0</v>
      </c>
    </row>
    <row r="281" spans="2:25" ht="16.5">
      <c r="B281" s="14">
        <v>99</v>
      </c>
      <c r="C281" s="14" t="str">
        <f>'Refsz-Verbräuche'!C116</f>
        <v>Waren und Dienstleistungen</v>
      </c>
      <c r="D281" s="19" t="str">
        <f>'Refsz-Verbräuche'!D116</f>
        <v>Laserdrucker</v>
      </c>
      <c r="E281" t="s">
        <v>195</v>
      </c>
      <c r="F281" s="14">
        <f>IF(ISNUMBER('Refsz-Verbräuche'!F116), 'Refsz-Verbräuche'!F116*Emissionsfaktoren!E116/1000, 0)</f>
        <v>0</v>
      </c>
      <c r="G281" s="14">
        <f>IF(ISNUMBER('Refsz-Verbräuche'!G116), 'Refsz-Verbräuche'!G116*Emissionsfaktoren!F116/1000, 0)</f>
        <v>0</v>
      </c>
      <c r="H281" s="14">
        <f>IF(ISNUMBER('Refsz-Verbräuche'!H116), 'Refsz-Verbräuche'!H116*Emissionsfaktoren!G116/1000, 0)</f>
        <v>0</v>
      </c>
      <c r="I281" s="14">
        <f>IF(ISNUMBER('Refsz-Verbräuche'!I116), 'Refsz-Verbräuche'!I116*Emissionsfaktoren!H116/1000, 0)</f>
        <v>0</v>
      </c>
      <c r="J281" s="14">
        <f>IF(ISNUMBER('Refsz-Verbräuche'!J116), 'Refsz-Verbräuche'!J116*Emissionsfaktoren!I116/1000, 0)</f>
        <v>0</v>
      </c>
      <c r="K281" s="14">
        <f>IF(ISNUMBER('Refsz-Verbräuche'!K116), 'Refsz-Verbräuche'!K116*Emissionsfaktoren!J116/1000, 0)</f>
        <v>0</v>
      </c>
      <c r="L281" s="14">
        <f>IF(ISNUMBER('Refsz-Verbräuche'!L116), 'Refsz-Verbräuche'!L116*Emissionsfaktoren!K116/1000, 0)</f>
        <v>0</v>
      </c>
      <c r="M281" s="14">
        <f>IF(ISNUMBER('Refsz-Verbräuche'!M116), 'Refsz-Verbräuche'!M116*Emissionsfaktoren!L116/1000, 0)</f>
        <v>0</v>
      </c>
      <c r="N281" s="14">
        <f>IF(ISNUMBER('Refsz-Verbräuche'!N116), 'Refsz-Verbräuche'!N116*Emissionsfaktoren!M116/1000, 0)</f>
        <v>0</v>
      </c>
      <c r="O281" s="14">
        <f>IF(ISNUMBER('Refsz-Verbräuche'!O116), 'Refsz-Verbräuche'!O116*Emissionsfaktoren!N116/1000, 0)</f>
        <v>0</v>
      </c>
      <c r="P281" s="14">
        <f>IF(ISNUMBER('Refsz-Verbräuche'!P116), 'Refsz-Verbräuche'!P116*Emissionsfaktoren!O116/1000, 0)</f>
        <v>0</v>
      </c>
      <c r="Q281" s="14">
        <f>IF(ISNUMBER('Refsz-Verbräuche'!Q116), 'Refsz-Verbräuche'!Q116*Emissionsfaktoren!P116/1000, 0)</f>
        <v>0</v>
      </c>
      <c r="R281" s="14">
        <f>IF(ISNUMBER('Refsz-Verbräuche'!R116), 'Refsz-Verbräuche'!R116*Emissionsfaktoren!Q116/1000, 0)</f>
        <v>0</v>
      </c>
      <c r="S281" s="14">
        <f>IF(ISNUMBER('Refsz-Verbräuche'!S116), 'Refsz-Verbräuche'!S116*Emissionsfaktoren!R116/1000, 0)</f>
        <v>0</v>
      </c>
      <c r="T281" s="14">
        <f>IF(ISNUMBER('Refsz-Verbräuche'!T116), 'Refsz-Verbräuche'!T116*Emissionsfaktoren!S116/1000, 0)</f>
        <v>0</v>
      </c>
      <c r="U281" s="14">
        <f>IF(ISNUMBER('Refsz-Verbräuche'!U116), 'Refsz-Verbräuche'!U116*Emissionsfaktoren!T116/1000, 0)</f>
        <v>0</v>
      </c>
      <c r="V281" s="14">
        <f>IF(ISNUMBER('Refsz-Verbräuche'!V116), 'Refsz-Verbräuche'!V116*Emissionsfaktoren!U116/1000, 0)</f>
        <v>0</v>
      </c>
      <c r="W281" s="14">
        <f>IF(ISNUMBER('Refsz-Verbräuche'!W116), 'Refsz-Verbräuche'!W116*Emissionsfaktoren!V116/1000, 0)</f>
        <v>0</v>
      </c>
      <c r="X281" s="14">
        <f>IF(ISNUMBER('Refsz-Verbräuche'!X116), 'Refsz-Verbräuche'!X116*Emissionsfaktoren!W116/1000, 0)</f>
        <v>0</v>
      </c>
      <c r="Y281" s="14">
        <f>IF(ISNUMBER('Refsz-Verbräuche'!Y116), 'Refsz-Verbräuche'!Y116*Emissionsfaktoren!X116/1000, 0)</f>
        <v>0</v>
      </c>
    </row>
    <row r="282" spans="2:25" ht="16.5">
      <c r="B282" s="14">
        <v>100</v>
      </c>
      <c r="C282" s="14" t="str">
        <f>'Refsz-Verbräuche'!C117</f>
        <v>Waren und Dienstleistungen</v>
      </c>
      <c r="D282" s="19" t="str">
        <f>'Refsz-Verbräuche'!D117</f>
        <v>Multifunktionsdrucker klein (31 x 44 x 42 cm)</v>
      </c>
      <c r="E282" t="s">
        <v>195</v>
      </c>
      <c r="F282" s="14">
        <f>IF(ISNUMBER('Refsz-Verbräuche'!F117), 'Refsz-Verbräuche'!F117*Emissionsfaktoren!E117/1000, 0)</f>
        <v>0</v>
      </c>
      <c r="G282" s="14">
        <f>IF(ISNUMBER('Refsz-Verbräuche'!G117), 'Refsz-Verbräuche'!G117*Emissionsfaktoren!F117/1000, 0)</f>
        <v>0</v>
      </c>
      <c r="H282" s="14">
        <f>IF(ISNUMBER('Refsz-Verbräuche'!H117), 'Refsz-Verbräuche'!H117*Emissionsfaktoren!G117/1000, 0)</f>
        <v>0</v>
      </c>
      <c r="I282" s="14">
        <f>IF(ISNUMBER('Refsz-Verbräuche'!I117), 'Refsz-Verbräuche'!I117*Emissionsfaktoren!H117/1000, 0)</f>
        <v>0</v>
      </c>
      <c r="J282" s="14">
        <f>IF(ISNUMBER('Refsz-Verbräuche'!J117), 'Refsz-Verbräuche'!J117*Emissionsfaktoren!I117/1000, 0)</f>
        <v>0</v>
      </c>
      <c r="K282" s="14">
        <f>IF(ISNUMBER('Refsz-Verbräuche'!K117), 'Refsz-Verbräuche'!K117*Emissionsfaktoren!J117/1000, 0)</f>
        <v>0</v>
      </c>
      <c r="L282" s="14">
        <f>IF(ISNUMBER('Refsz-Verbräuche'!L117), 'Refsz-Verbräuche'!L117*Emissionsfaktoren!K117/1000, 0)</f>
        <v>0</v>
      </c>
      <c r="M282" s="14">
        <f>IF(ISNUMBER('Refsz-Verbräuche'!M117), 'Refsz-Verbräuche'!M117*Emissionsfaktoren!L117/1000, 0)</f>
        <v>0</v>
      </c>
      <c r="N282" s="14">
        <f>IF(ISNUMBER('Refsz-Verbräuche'!N117), 'Refsz-Verbräuche'!N117*Emissionsfaktoren!M117/1000, 0)</f>
        <v>0</v>
      </c>
      <c r="O282" s="14">
        <f>IF(ISNUMBER('Refsz-Verbräuche'!O117), 'Refsz-Verbräuche'!O117*Emissionsfaktoren!N117/1000, 0)</f>
        <v>0</v>
      </c>
      <c r="P282" s="14">
        <f>IF(ISNUMBER('Refsz-Verbräuche'!P117), 'Refsz-Verbräuche'!P117*Emissionsfaktoren!O117/1000, 0)</f>
        <v>0</v>
      </c>
      <c r="Q282" s="14">
        <f>IF(ISNUMBER('Refsz-Verbräuche'!Q117), 'Refsz-Verbräuche'!Q117*Emissionsfaktoren!P117/1000, 0)</f>
        <v>0</v>
      </c>
      <c r="R282" s="14">
        <f>IF(ISNUMBER('Refsz-Verbräuche'!R117), 'Refsz-Verbräuche'!R117*Emissionsfaktoren!Q117/1000, 0)</f>
        <v>0</v>
      </c>
      <c r="S282" s="14">
        <f>IF(ISNUMBER('Refsz-Verbräuche'!S117), 'Refsz-Verbräuche'!S117*Emissionsfaktoren!R117/1000, 0)</f>
        <v>0</v>
      </c>
      <c r="T282" s="14">
        <f>IF(ISNUMBER('Refsz-Verbräuche'!T117), 'Refsz-Verbräuche'!T117*Emissionsfaktoren!S117/1000, 0)</f>
        <v>0</v>
      </c>
      <c r="U282" s="14">
        <f>IF(ISNUMBER('Refsz-Verbräuche'!U117), 'Refsz-Verbräuche'!U117*Emissionsfaktoren!T117/1000, 0)</f>
        <v>0</v>
      </c>
      <c r="V282" s="14">
        <f>IF(ISNUMBER('Refsz-Verbräuche'!V117), 'Refsz-Verbräuche'!V117*Emissionsfaktoren!U117/1000, 0)</f>
        <v>0</v>
      </c>
      <c r="W282" s="14">
        <f>IF(ISNUMBER('Refsz-Verbräuche'!W117), 'Refsz-Verbräuche'!W117*Emissionsfaktoren!V117/1000, 0)</f>
        <v>0</v>
      </c>
      <c r="X282" s="14">
        <f>IF(ISNUMBER('Refsz-Verbräuche'!X117), 'Refsz-Verbräuche'!X117*Emissionsfaktoren!W117/1000, 0)</f>
        <v>0</v>
      </c>
      <c r="Y282" s="14">
        <f>IF(ISNUMBER('Refsz-Verbräuche'!Y117), 'Refsz-Verbräuche'!Y117*Emissionsfaktoren!X117/1000, 0)</f>
        <v>0</v>
      </c>
    </row>
    <row r="283" spans="2:25" ht="16.5">
      <c r="B283" s="14">
        <v>101</v>
      </c>
      <c r="C283" s="14" t="str">
        <f>'Refsz-Verbräuche'!C118</f>
        <v>Waren und Dienstleistungen</v>
      </c>
      <c r="D283" s="19" t="str">
        <f>'Refsz-Verbräuche'!D118</f>
        <v>Multifunktionsdrucker mittel (54 x 56 x 52 cm)</v>
      </c>
      <c r="E283" t="s">
        <v>195</v>
      </c>
      <c r="F283" s="14">
        <f>IF(ISNUMBER('Refsz-Verbräuche'!F118), 'Refsz-Verbräuche'!F118*Emissionsfaktoren!E118/1000, 0)</f>
        <v>0</v>
      </c>
      <c r="G283" s="14">
        <f>IF(ISNUMBER('Refsz-Verbräuche'!G118), 'Refsz-Verbräuche'!G118*Emissionsfaktoren!F118/1000, 0)</f>
        <v>0</v>
      </c>
      <c r="H283" s="14">
        <f>IF(ISNUMBER('Refsz-Verbräuche'!H118), 'Refsz-Verbräuche'!H118*Emissionsfaktoren!G118/1000, 0)</f>
        <v>0</v>
      </c>
      <c r="I283" s="14">
        <f>IF(ISNUMBER('Refsz-Verbräuche'!I118), 'Refsz-Verbräuche'!I118*Emissionsfaktoren!H118/1000, 0)</f>
        <v>0</v>
      </c>
      <c r="J283" s="14">
        <f>IF(ISNUMBER('Refsz-Verbräuche'!J118), 'Refsz-Verbräuche'!J118*Emissionsfaktoren!I118/1000, 0)</f>
        <v>0</v>
      </c>
      <c r="K283" s="14">
        <f>IF(ISNUMBER('Refsz-Verbräuche'!K118), 'Refsz-Verbräuche'!K118*Emissionsfaktoren!J118/1000, 0)</f>
        <v>0</v>
      </c>
      <c r="L283" s="14">
        <f>IF(ISNUMBER('Refsz-Verbräuche'!L118), 'Refsz-Verbräuche'!L118*Emissionsfaktoren!K118/1000, 0)</f>
        <v>0</v>
      </c>
      <c r="M283" s="14">
        <f>IF(ISNUMBER('Refsz-Verbräuche'!M118), 'Refsz-Verbräuche'!M118*Emissionsfaktoren!L118/1000, 0)</f>
        <v>0</v>
      </c>
      <c r="N283" s="14">
        <f>IF(ISNUMBER('Refsz-Verbräuche'!N118), 'Refsz-Verbräuche'!N118*Emissionsfaktoren!M118/1000, 0)</f>
        <v>0</v>
      </c>
      <c r="O283" s="14">
        <f>IF(ISNUMBER('Refsz-Verbräuche'!O118), 'Refsz-Verbräuche'!O118*Emissionsfaktoren!N118/1000, 0)</f>
        <v>0</v>
      </c>
      <c r="P283" s="14">
        <f>IF(ISNUMBER('Refsz-Verbräuche'!P118), 'Refsz-Verbräuche'!P118*Emissionsfaktoren!O118/1000, 0)</f>
        <v>0</v>
      </c>
      <c r="Q283" s="14">
        <f>IF(ISNUMBER('Refsz-Verbräuche'!Q118), 'Refsz-Verbräuche'!Q118*Emissionsfaktoren!P118/1000, 0)</f>
        <v>0</v>
      </c>
      <c r="R283" s="14">
        <f>IF(ISNUMBER('Refsz-Verbräuche'!R118), 'Refsz-Verbräuche'!R118*Emissionsfaktoren!Q118/1000, 0)</f>
        <v>0</v>
      </c>
      <c r="S283" s="14">
        <f>IF(ISNUMBER('Refsz-Verbräuche'!S118), 'Refsz-Verbräuche'!S118*Emissionsfaktoren!R118/1000, 0)</f>
        <v>0</v>
      </c>
      <c r="T283" s="14">
        <f>IF(ISNUMBER('Refsz-Verbräuche'!T118), 'Refsz-Verbräuche'!T118*Emissionsfaktoren!S118/1000, 0)</f>
        <v>0</v>
      </c>
      <c r="U283" s="14">
        <f>IF(ISNUMBER('Refsz-Verbräuche'!U118), 'Refsz-Verbräuche'!U118*Emissionsfaktoren!T118/1000, 0)</f>
        <v>0</v>
      </c>
      <c r="V283" s="14">
        <f>IF(ISNUMBER('Refsz-Verbräuche'!V118), 'Refsz-Verbräuche'!V118*Emissionsfaktoren!U118/1000, 0)</f>
        <v>0</v>
      </c>
      <c r="W283" s="14">
        <f>IF(ISNUMBER('Refsz-Verbräuche'!W118), 'Refsz-Verbräuche'!W118*Emissionsfaktoren!V118/1000, 0)</f>
        <v>0</v>
      </c>
      <c r="X283" s="14">
        <f>IF(ISNUMBER('Refsz-Verbräuche'!X118), 'Refsz-Verbräuche'!X118*Emissionsfaktoren!W118/1000, 0)</f>
        <v>0</v>
      </c>
      <c r="Y283" s="14">
        <f>IF(ISNUMBER('Refsz-Verbräuche'!Y118), 'Refsz-Verbräuche'!Y118*Emissionsfaktoren!X118/1000, 0)</f>
        <v>0</v>
      </c>
    </row>
    <row r="284" spans="2:25" ht="16.5">
      <c r="B284" s="14">
        <v>102</v>
      </c>
      <c r="C284" s="14" t="str">
        <f>'Refsz-Verbräuche'!C119</f>
        <v>Waren und Dienstleistungen</v>
      </c>
      <c r="D284" s="19" t="str">
        <f>'Refsz-Verbräuche'!D119</f>
        <v>Multifunktionsdrucker groß (114 x 65 x 59 cm)</v>
      </c>
      <c r="E284" t="s">
        <v>195</v>
      </c>
      <c r="F284" s="14">
        <f>IF(ISNUMBER('Refsz-Verbräuche'!F119), 'Refsz-Verbräuche'!F119*Emissionsfaktoren!E119/1000, 0)</f>
        <v>0</v>
      </c>
      <c r="G284" s="14">
        <f>IF(ISNUMBER('Refsz-Verbräuche'!G119), 'Refsz-Verbräuche'!G119*Emissionsfaktoren!F119/1000, 0)</f>
        <v>0</v>
      </c>
      <c r="H284" s="14">
        <f>IF(ISNUMBER('Refsz-Verbräuche'!H119), 'Refsz-Verbräuche'!H119*Emissionsfaktoren!G119/1000, 0)</f>
        <v>0</v>
      </c>
      <c r="I284" s="14">
        <f>IF(ISNUMBER('Refsz-Verbräuche'!I119), 'Refsz-Verbräuche'!I119*Emissionsfaktoren!H119/1000, 0)</f>
        <v>0</v>
      </c>
      <c r="J284" s="14">
        <f>IF(ISNUMBER('Refsz-Verbräuche'!J119), 'Refsz-Verbräuche'!J119*Emissionsfaktoren!I119/1000, 0)</f>
        <v>0</v>
      </c>
      <c r="K284" s="14">
        <f>IF(ISNUMBER('Refsz-Verbräuche'!K119), 'Refsz-Verbräuche'!K119*Emissionsfaktoren!J119/1000, 0)</f>
        <v>0</v>
      </c>
      <c r="L284" s="14">
        <f>IF(ISNUMBER('Refsz-Verbräuche'!L119), 'Refsz-Verbräuche'!L119*Emissionsfaktoren!K119/1000, 0)</f>
        <v>0</v>
      </c>
      <c r="M284" s="14">
        <f>IF(ISNUMBER('Refsz-Verbräuche'!M119), 'Refsz-Verbräuche'!M119*Emissionsfaktoren!L119/1000, 0)</f>
        <v>0</v>
      </c>
      <c r="N284" s="14">
        <f>IF(ISNUMBER('Refsz-Verbräuche'!N119), 'Refsz-Verbräuche'!N119*Emissionsfaktoren!M119/1000, 0)</f>
        <v>0</v>
      </c>
      <c r="O284" s="14">
        <f>IF(ISNUMBER('Refsz-Verbräuche'!O119), 'Refsz-Verbräuche'!O119*Emissionsfaktoren!N119/1000, 0)</f>
        <v>0</v>
      </c>
      <c r="P284" s="14">
        <f>IF(ISNUMBER('Refsz-Verbräuche'!P119), 'Refsz-Verbräuche'!P119*Emissionsfaktoren!O119/1000, 0)</f>
        <v>0</v>
      </c>
      <c r="Q284" s="14">
        <f>IF(ISNUMBER('Refsz-Verbräuche'!Q119), 'Refsz-Verbräuche'!Q119*Emissionsfaktoren!P119/1000, 0)</f>
        <v>0</v>
      </c>
      <c r="R284" s="14">
        <f>IF(ISNUMBER('Refsz-Verbräuche'!R119), 'Refsz-Verbräuche'!R119*Emissionsfaktoren!Q119/1000, 0)</f>
        <v>0</v>
      </c>
      <c r="S284" s="14">
        <f>IF(ISNUMBER('Refsz-Verbräuche'!S119), 'Refsz-Verbräuche'!S119*Emissionsfaktoren!R119/1000, 0)</f>
        <v>0</v>
      </c>
      <c r="T284" s="14">
        <f>IF(ISNUMBER('Refsz-Verbräuche'!T119), 'Refsz-Verbräuche'!T119*Emissionsfaktoren!S119/1000, 0)</f>
        <v>0</v>
      </c>
      <c r="U284" s="14">
        <f>IF(ISNUMBER('Refsz-Verbräuche'!U119), 'Refsz-Verbräuche'!U119*Emissionsfaktoren!T119/1000, 0)</f>
        <v>0</v>
      </c>
      <c r="V284" s="14">
        <f>IF(ISNUMBER('Refsz-Verbräuche'!V119), 'Refsz-Verbräuche'!V119*Emissionsfaktoren!U119/1000, 0)</f>
        <v>0</v>
      </c>
      <c r="W284" s="14">
        <f>IF(ISNUMBER('Refsz-Verbräuche'!W119), 'Refsz-Verbräuche'!W119*Emissionsfaktoren!V119/1000, 0)</f>
        <v>0</v>
      </c>
      <c r="X284" s="14">
        <f>IF(ISNUMBER('Refsz-Verbräuche'!X119), 'Refsz-Verbräuche'!X119*Emissionsfaktoren!W119/1000, 0)</f>
        <v>0</v>
      </c>
      <c r="Y284" s="14">
        <f>IF(ISNUMBER('Refsz-Verbräuche'!Y119), 'Refsz-Verbräuche'!Y119*Emissionsfaktoren!X119/1000, 0)</f>
        <v>0</v>
      </c>
    </row>
    <row r="285" spans="2:25" ht="16.5">
      <c r="B285" s="14">
        <v>103</v>
      </c>
      <c r="C285" s="14" t="str">
        <f>'Refsz-Verbräuche'!C120</f>
        <v>Waren und Dienstleistungen</v>
      </c>
      <c r="D285" s="19" t="str">
        <f>'Refsz-Verbräuche'!D120</f>
        <v>Toner</v>
      </c>
      <c r="E285" t="s">
        <v>195</v>
      </c>
      <c r="F285" s="14">
        <f>IF(ISNUMBER('Refsz-Verbräuche'!F120), 'Refsz-Verbräuche'!F120*Emissionsfaktoren!E120/1000, 0)</f>
        <v>0</v>
      </c>
      <c r="G285" s="14">
        <f>IF(ISNUMBER('Refsz-Verbräuche'!G120), 'Refsz-Verbräuche'!G120*Emissionsfaktoren!F120/1000, 0)</f>
        <v>0</v>
      </c>
      <c r="H285" s="14">
        <f>IF(ISNUMBER('Refsz-Verbräuche'!H120), 'Refsz-Verbräuche'!H120*Emissionsfaktoren!G120/1000, 0)</f>
        <v>0</v>
      </c>
      <c r="I285" s="14">
        <f>IF(ISNUMBER('Refsz-Verbräuche'!I120), 'Refsz-Verbräuche'!I120*Emissionsfaktoren!H120/1000, 0)</f>
        <v>0</v>
      </c>
      <c r="J285" s="14">
        <f>IF(ISNUMBER('Refsz-Verbräuche'!J120), 'Refsz-Verbräuche'!J120*Emissionsfaktoren!I120/1000, 0)</f>
        <v>0</v>
      </c>
      <c r="K285" s="14">
        <f>IF(ISNUMBER('Refsz-Verbräuche'!K120), 'Refsz-Verbräuche'!K120*Emissionsfaktoren!J120/1000, 0)</f>
        <v>0</v>
      </c>
      <c r="L285" s="14">
        <f>IF(ISNUMBER('Refsz-Verbräuche'!L120), 'Refsz-Verbräuche'!L120*Emissionsfaktoren!K120/1000, 0)</f>
        <v>0</v>
      </c>
      <c r="M285" s="14">
        <f>IF(ISNUMBER('Refsz-Verbräuche'!M120), 'Refsz-Verbräuche'!M120*Emissionsfaktoren!L120/1000, 0)</f>
        <v>0</v>
      </c>
      <c r="N285" s="14">
        <f>IF(ISNUMBER('Refsz-Verbräuche'!N120), 'Refsz-Verbräuche'!N120*Emissionsfaktoren!M120/1000, 0)</f>
        <v>0</v>
      </c>
      <c r="O285" s="14">
        <f>IF(ISNUMBER('Refsz-Verbräuche'!O120), 'Refsz-Verbräuche'!O120*Emissionsfaktoren!N120/1000, 0)</f>
        <v>0</v>
      </c>
      <c r="P285" s="14">
        <f>IF(ISNUMBER('Refsz-Verbräuche'!P120), 'Refsz-Verbräuche'!P120*Emissionsfaktoren!O120/1000, 0)</f>
        <v>0</v>
      </c>
      <c r="Q285" s="14">
        <f>IF(ISNUMBER('Refsz-Verbräuche'!Q120), 'Refsz-Verbräuche'!Q120*Emissionsfaktoren!P120/1000, 0)</f>
        <v>0</v>
      </c>
      <c r="R285" s="14">
        <f>IF(ISNUMBER('Refsz-Verbräuche'!R120), 'Refsz-Verbräuche'!R120*Emissionsfaktoren!Q120/1000, 0)</f>
        <v>0</v>
      </c>
      <c r="S285" s="14">
        <f>IF(ISNUMBER('Refsz-Verbräuche'!S120), 'Refsz-Verbräuche'!S120*Emissionsfaktoren!R120/1000, 0)</f>
        <v>0</v>
      </c>
      <c r="T285" s="14">
        <f>IF(ISNUMBER('Refsz-Verbräuche'!T120), 'Refsz-Verbräuche'!T120*Emissionsfaktoren!S120/1000, 0)</f>
        <v>0</v>
      </c>
      <c r="U285" s="14">
        <f>IF(ISNUMBER('Refsz-Verbräuche'!U120), 'Refsz-Verbräuche'!U120*Emissionsfaktoren!T120/1000, 0)</f>
        <v>0</v>
      </c>
      <c r="V285" s="14">
        <f>IF(ISNUMBER('Refsz-Verbräuche'!V120), 'Refsz-Verbräuche'!V120*Emissionsfaktoren!U120/1000, 0)</f>
        <v>0</v>
      </c>
      <c r="W285" s="14">
        <f>IF(ISNUMBER('Refsz-Verbräuche'!W120), 'Refsz-Verbräuche'!W120*Emissionsfaktoren!V120/1000, 0)</f>
        <v>0</v>
      </c>
      <c r="X285" s="14">
        <f>IF(ISNUMBER('Refsz-Verbräuche'!X120), 'Refsz-Verbräuche'!X120*Emissionsfaktoren!W120/1000, 0)</f>
        <v>0</v>
      </c>
      <c r="Y285" s="14">
        <f>IF(ISNUMBER('Refsz-Verbräuche'!Y120), 'Refsz-Verbräuche'!Y120*Emissionsfaktoren!X120/1000, 0)</f>
        <v>0</v>
      </c>
    </row>
    <row r="286" spans="2:25" ht="16.5">
      <c r="B286" s="14">
        <v>104</v>
      </c>
      <c r="C286" s="14">
        <f>'Refsz-Verbräuche'!C121</f>
        <v>0</v>
      </c>
      <c r="D286" s="19">
        <f>'Refsz-Verbräuche'!D121</f>
        <v>0</v>
      </c>
      <c r="E286" t="s">
        <v>195</v>
      </c>
      <c r="F286" s="14">
        <f>IF(ISNUMBER('Refsz-Verbräuche'!F121), 'Refsz-Verbräuche'!F121*Emissionsfaktoren!E121/1000, 0)</f>
        <v>0</v>
      </c>
      <c r="G286" s="14">
        <f>IF(ISNUMBER('Refsz-Verbräuche'!G121), 'Refsz-Verbräuche'!G121*Emissionsfaktoren!F121/1000, 0)</f>
        <v>0</v>
      </c>
      <c r="H286" s="14">
        <f>IF(ISNUMBER('Refsz-Verbräuche'!H121), 'Refsz-Verbräuche'!H121*Emissionsfaktoren!G121/1000, 0)</f>
        <v>0</v>
      </c>
      <c r="I286" s="14">
        <f>IF(ISNUMBER('Refsz-Verbräuche'!I121), 'Refsz-Verbräuche'!I121*Emissionsfaktoren!H121/1000, 0)</f>
        <v>0</v>
      </c>
      <c r="J286" s="14">
        <f>IF(ISNUMBER('Refsz-Verbräuche'!#REF!), 'Refsz-Verbräuche'!#REF!*Emissionsfaktoren!I121/1000, 0)</f>
        <v>0</v>
      </c>
      <c r="K286" s="14">
        <f>IF(ISNUMBER('Refsz-Verbräuche'!K121), 'Refsz-Verbräuche'!K121*Emissionsfaktoren!J121/1000, 0)</f>
        <v>0</v>
      </c>
      <c r="L286" s="14">
        <f>IF(ISNUMBER('Refsz-Verbräuche'!L121), 'Refsz-Verbräuche'!L121*Emissionsfaktoren!K121/1000, 0)</f>
        <v>0</v>
      </c>
      <c r="M286" s="14">
        <f>IF(ISNUMBER('Refsz-Verbräuche'!M121), 'Refsz-Verbräuche'!M121*Emissionsfaktoren!L121/1000, 0)</f>
        <v>0</v>
      </c>
      <c r="N286" s="14">
        <f>IF(ISNUMBER('Refsz-Verbräuche'!N121), 'Refsz-Verbräuche'!N121*Emissionsfaktoren!M121/1000, 0)</f>
        <v>0</v>
      </c>
      <c r="O286" s="14">
        <f>IF(ISNUMBER('Refsz-Verbräuche'!O121), 'Refsz-Verbräuche'!O121*Emissionsfaktoren!N121/1000, 0)</f>
        <v>0</v>
      </c>
      <c r="P286" s="14">
        <f>IF(ISNUMBER('Refsz-Verbräuche'!P121), 'Refsz-Verbräuche'!P121*Emissionsfaktoren!O121/1000, 0)</f>
        <v>0</v>
      </c>
      <c r="Q286" s="14">
        <f>IF(ISNUMBER('Refsz-Verbräuche'!Q121), 'Refsz-Verbräuche'!Q121*Emissionsfaktoren!P121/1000, 0)</f>
        <v>0</v>
      </c>
      <c r="R286" s="14">
        <f>IF(ISNUMBER('Refsz-Verbräuche'!R121), 'Refsz-Verbräuche'!R121*Emissionsfaktoren!Q121/1000, 0)</f>
        <v>0</v>
      </c>
      <c r="S286" s="14">
        <f>IF(ISNUMBER('Refsz-Verbräuche'!S121), 'Refsz-Verbräuche'!S121*Emissionsfaktoren!R121/1000, 0)</f>
        <v>0</v>
      </c>
      <c r="T286" s="14">
        <f>IF(ISNUMBER('Refsz-Verbräuche'!T121), 'Refsz-Verbräuche'!T121*Emissionsfaktoren!S121/1000, 0)</f>
        <v>0</v>
      </c>
      <c r="U286" s="14">
        <f>IF(ISNUMBER('Refsz-Verbräuche'!U121), 'Refsz-Verbräuche'!U121*Emissionsfaktoren!T121/1000, 0)</f>
        <v>0</v>
      </c>
      <c r="V286" s="14">
        <f>IF(ISNUMBER('Refsz-Verbräuche'!V121), 'Refsz-Verbräuche'!V121*Emissionsfaktoren!U121/1000, 0)</f>
        <v>0</v>
      </c>
      <c r="W286" s="14">
        <f>IF(ISNUMBER('Refsz-Verbräuche'!W121), 'Refsz-Verbräuche'!W121*Emissionsfaktoren!V121/1000, 0)</f>
        <v>0</v>
      </c>
      <c r="X286" s="14">
        <f>IF(ISNUMBER('Refsz-Verbräuche'!X121), 'Refsz-Verbräuche'!X121*Emissionsfaktoren!W121/1000, 0)</f>
        <v>0</v>
      </c>
      <c r="Y286" s="14">
        <f>IF(ISNUMBER('Refsz-Verbräuche'!Y121), 'Refsz-Verbräuche'!Y121*Emissionsfaktoren!X121/1000, 0)</f>
        <v>0</v>
      </c>
    </row>
    <row r="287" spans="2:25" ht="16.5">
      <c r="B287" s="14">
        <v>105</v>
      </c>
      <c r="C287" s="14" t="str">
        <f>'Refsz-Verbräuche'!C122</f>
        <v>Abfall</v>
      </c>
      <c r="D287" s="19" t="str">
        <f>'Refsz-Verbräuche'!D122</f>
        <v>Bioabfall, Grünschnitt (Kompostierung)</v>
      </c>
      <c r="E287" t="s">
        <v>195</v>
      </c>
      <c r="F287" s="14">
        <f>IF(ISNUMBER('Refsz-Verbräuche'!F122), 'Refsz-Verbräuche'!F122*Emissionsfaktoren!E122/1000, 0)</f>
        <v>0</v>
      </c>
      <c r="G287" s="14">
        <f>IF(ISNUMBER('Refsz-Verbräuche'!G122), 'Refsz-Verbräuche'!G122*Emissionsfaktoren!F122/1000, 0)</f>
        <v>0</v>
      </c>
      <c r="H287" s="14">
        <f>IF(ISNUMBER('Refsz-Verbräuche'!H122), 'Refsz-Verbräuche'!H122*Emissionsfaktoren!G122/1000, 0)</f>
        <v>0</v>
      </c>
      <c r="I287" s="14">
        <f>IF(ISNUMBER('Refsz-Verbräuche'!I122), 'Refsz-Verbräuche'!I122*Emissionsfaktoren!H122/1000, 0)</f>
        <v>0</v>
      </c>
      <c r="J287" s="14">
        <f>IF(ISNUMBER('Refsz-Verbräuche'!J122), 'Refsz-Verbräuche'!J122*Emissionsfaktoren!I122/1000, 0)</f>
        <v>0</v>
      </c>
      <c r="K287" s="14">
        <f>IF(ISNUMBER('Refsz-Verbräuche'!K122), 'Refsz-Verbräuche'!K122*Emissionsfaktoren!J122/1000, 0)</f>
        <v>0</v>
      </c>
      <c r="L287" s="14">
        <f>IF(ISNUMBER('Refsz-Verbräuche'!L122), 'Refsz-Verbräuche'!L122*Emissionsfaktoren!K122/1000, 0)</f>
        <v>0</v>
      </c>
      <c r="M287" s="14">
        <f>IF(ISNUMBER('Refsz-Verbräuche'!M122), 'Refsz-Verbräuche'!M122*Emissionsfaktoren!L122/1000, 0)</f>
        <v>0</v>
      </c>
      <c r="N287" s="14">
        <f>IF(ISNUMBER('Refsz-Verbräuche'!N122), 'Refsz-Verbräuche'!N122*Emissionsfaktoren!M122/1000, 0)</f>
        <v>0</v>
      </c>
      <c r="O287" s="14">
        <f>IF(ISNUMBER('Refsz-Verbräuche'!O122), 'Refsz-Verbräuche'!O122*Emissionsfaktoren!N122/1000, 0)</f>
        <v>0</v>
      </c>
      <c r="P287" s="14">
        <f>IF(ISNUMBER('Refsz-Verbräuche'!P122), 'Refsz-Verbräuche'!P122*Emissionsfaktoren!O122/1000, 0)</f>
        <v>0</v>
      </c>
      <c r="Q287" s="14">
        <f>IF(ISNUMBER('Refsz-Verbräuche'!Q122), 'Refsz-Verbräuche'!Q122*Emissionsfaktoren!P122/1000, 0)</f>
        <v>0</v>
      </c>
      <c r="R287" s="14">
        <f>IF(ISNUMBER('Refsz-Verbräuche'!R122), 'Refsz-Verbräuche'!R122*Emissionsfaktoren!Q122/1000, 0)</f>
        <v>0</v>
      </c>
      <c r="S287" s="14">
        <f>IF(ISNUMBER('Refsz-Verbräuche'!S122), 'Refsz-Verbräuche'!S122*Emissionsfaktoren!R122/1000, 0)</f>
        <v>0</v>
      </c>
      <c r="T287" s="14">
        <f>IF(ISNUMBER('Refsz-Verbräuche'!T122), 'Refsz-Verbräuche'!T122*Emissionsfaktoren!S122/1000, 0)</f>
        <v>0</v>
      </c>
      <c r="U287" s="14">
        <f>IF(ISNUMBER('Refsz-Verbräuche'!U122), 'Refsz-Verbräuche'!U122*Emissionsfaktoren!T122/1000, 0)</f>
        <v>0</v>
      </c>
      <c r="V287" s="14">
        <f>IF(ISNUMBER('Refsz-Verbräuche'!V122), 'Refsz-Verbräuche'!V122*Emissionsfaktoren!U122/1000, 0)</f>
        <v>0</v>
      </c>
      <c r="W287" s="14">
        <f>IF(ISNUMBER('Refsz-Verbräuche'!W122), 'Refsz-Verbräuche'!W122*Emissionsfaktoren!V122/1000, 0)</f>
        <v>0</v>
      </c>
      <c r="X287" s="14">
        <f>IF(ISNUMBER('Refsz-Verbräuche'!X122), 'Refsz-Verbräuche'!X122*Emissionsfaktoren!W122/1000, 0)</f>
        <v>0</v>
      </c>
      <c r="Y287" s="14">
        <f>IF(ISNUMBER('Refsz-Verbräuche'!Y122), 'Refsz-Verbräuche'!Y122*Emissionsfaktoren!X122/1000, 0)</f>
        <v>0</v>
      </c>
    </row>
    <row r="288" spans="2:25" ht="16.5">
      <c r="B288" s="14">
        <v>106</v>
      </c>
      <c r="C288" s="14" t="str">
        <f>'Refsz-Verbräuche'!C123</f>
        <v>Abfall</v>
      </c>
      <c r="D288" s="19" t="str">
        <f>'Refsz-Verbräuche'!D123</f>
        <v>Bioabfall (Verbrennung)</v>
      </c>
      <c r="E288" t="s">
        <v>195</v>
      </c>
      <c r="F288" s="14">
        <f>IF(ISNUMBER('Refsz-Verbräuche'!F123), 'Refsz-Verbräuche'!F123*Emissionsfaktoren!E123/1000, 0)</f>
        <v>0</v>
      </c>
      <c r="G288" s="14">
        <f>IF(ISNUMBER('Refsz-Verbräuche'!G123), 'Refsz-Verbräuche'!G123*Emissionsfaktoren!F123/1000, 0)</f>
        <v>0</v>
      </c>
      <c r="H288" s="14">
        <f>IF(ISNUMBER('Refsz-Verbräuche'!H123), 'Refsz-Verbräuche'!H123*Emissionsfaktoren!G123/1000, 0)</f>
        <v>0</v>
      </c>
      <c r="I288" s="14">
        <f>IF(ISNUMBER('Refsz-Verbräuche'!I123), 'Refsz-Verbräuche'!I123*Emissionsfaktoren!H123/1000, 0)</f>
        <v>0</v>
      </c>
      <c r="J288" s="14">
        <f>IF(ISNUMBER('Refsz-Verbräuche'!J123), 'Refsz-Verbräuche'!J123*Emissionsfaktoren!I123/1000, 0)</f>
        <v>0</v>
      </c>
      <c r="K288" s="14">
        <f>IF(ISNUMBER('Refsz-Verbräuche'!K123), 'Refsz-Verbräuche'!K123*Emissionsfaktoren!J123/1000, 0)</f>
        <v>0</v>
      </c>
      <c r="L288" s="14">
        <f>IF(ISNUMBER('Refsz-Verbräuche'!L123), 'Refsz-Verbräuche'!L123*Emissionsfaktoren!K123/1000, 0)</f>
        <v>0</v>
      </c>
      <c r="M288" s="14">
        <f>IF(ISNUMBER('Refsz-Verbräuche'!M123), 'Refsz-Verbräuche'!M123*Emissionsfaktoren!L123/1000, 0)</f>
        <v>0</v>
      </c>
      <c r="N288" s="14">
        <f>IF(ISNUMBER('Refsz-Verbräuche'!N123), 'Refsz-Verbräuche'!N123*Emissionsfaktoren!M123/1000, 0)</f>
        <v>0</v>
      </c>
      <c r="O288" s="14">
        <f>IF(ISNUMBER('Refsz-Verbräuche'!O123), 'Refsz-Verbräuche'!O123*Emissionsfaktoren!N123/1000, 0)</f>
        <v>0</v>
      </c>
      <c r="P288" s="14">
        <f>IF(ISNUMBER('Refsz-Verbräuche'!P123), 'Refsz-Verbräuche'!P123*Emissionsfaktoren!O123/1000, 0)</f>
        <v>0</v>
      </c>
      <c r="Q288" s="14">
        <f>IF(ISNUMBER('Refsz-Verbräuche'!Q123), 'Refsz-Verbräuche'!Q123*Emissionsfaktoren!P123/1000, 0)</f>
        <v>0</v>
      </c>
      <c r="R288" s="14">
        <f>IF(ISNUMBER('Refsz-Verbräuche'!R123), 'Refsz-Verbräuche'!R123*Emissionsfaktoren!Q123/1000, 0)</f>
        <v>0</v>
      </c>
      <c r="S288" s="14">
        <f>IF(ISNUMBER('Refsz-Verbräuche'!S123), 'Refsz-Verbräuche'!S123*Emissionsfaktoren!R123/1000, 0)</f>
        <v>0</v>
      </c>
      <c r="T288" s="14">
        <f>IF(ISNUMBER('Refsz-Verbräuche'!T123), 'Refsz-Verbräuche'!T123*Emissionsfaktoren!S123/1000, 0)</f>
        <v>0</v>
      </c>
      <c r="U288" s="14">
        <f>IF(ISNUMBER('Refsz-Verbräuche'!U123), 'Refsz-Verbräuche'!U123*Emissionsfaktoren!T123/1000, 0)</f>
        <v>0</v>
      </c>
      <c r="V288" s="14">
        <f>IF(ISNUMBER('Refsz-Verbräuche'!V123), 'Refsz-Verbräuche'!V123*Emissionsfaktoren!U123/1000, 0)</f>
        <v>0</v>
      </c>
      <c r="W288" s="14">
        <f>IF(ISNUMBER('Refsz-Verbräuche'!W123), 'Refsz-Verbräuche'!W123*Emissionsfaktoren!V123/1000, 0)</f>
        <v>0</v>
      </c>
      <c r="X288" s="14">
        <f>IF(ISNUMBER('Refsz-Verbräuche'!X123), 'Refsz-Verbräuche'!X123*Emissionsfaktoren!W123/1000, 0)</f>
        <v>0</v>
      </c>
      <c r="Y288" s="14">
        <f>IF(ISNUMBER('Refsz-Verbräuche'!Y123), 'Refsz-Verbräuche'!Y123*Emissionsfaktoren!X123/1000, 0)</f>
        <v>0</v>
      </c>
    </row>
    <row r="289" spans="2:25" ht="16.5">
      <c r="B289" s="14">
        <v>107</v>
      </c>
      <c r="C289" s="14" t="str">
        <f>'Refsz-Verbräuche'!C124</f>
        <v>Abfall</v>
      </c>
      <c r="D289" s="19" t="str">
        <f>'Refsz-Verbräuche'!D124</f>
        <v>Papierabfall</v>
      </c>
      <c r="E289" t="s">
        <v>195</v>
      </c>
      <c r="F289" s="14">
        <f>IF(ISNUMBER('Refsz-Verbräuche'!F124), 'Refsz-Verbräuche'!F124*Emissionsfaktoren!E124/1000, 0)</f>
        <v>0</v>
      </c>
      <c r="G289" s="14">
        <f>IF(ISNUMBER('Refsz-Verbräuche'!G124), 'Refsz-Verbräuche'!G124*Emissionsfaktoren!F124/1000, 0)</f>
        <v>0</v>
      </c>
      <c r="H289" s="14">
        <f>IF(ISNUMBER('Refsz-Verbräuche'!H124), 'Refsz-Verbräuche'!H124*Emissionsfaktoren!G124/1000, 0)</f>
        <v>0</v>
      </c>
      <c r="I289" s="14">
        <f>IF(ISNUMBER('Refsz-Verbräuche'!I124), 'Refsz-Verbräuche'!I124*Emissionsfaktoren!H124/1000, 0)</f>
        <v>0</v>
      </c>
      <c r="J289" s="14">
        <f>IF(ISNUMBER('Refsz-Verbräuche'!J124), 'Refsz-Verbräuche'!J124*Emissionsfaktoren!I124/1000, 0)</f>
        <v>0</v>
      </c>
      <c r="K289" s="14">
        <f>IF(ISNUMBER('Refsz-Verbräuche'!K124), 'Refsz-Verbräuche'!K124*Emissionsfaktoren!J124/1000, 0)</f>
        <v>0</v>
      </c>
      <c r="L289" s="14">
        <f>IF(ISNUMBER('Refsz-Verbräuche'!L124), 'Refsz-Verbräuche'!L124*Emissionsfaktoren!K124/1000, 0)</f>
        <v>0</v>
      </c>
      <c r="M289" s="14">
        <f>IF(ISNUMBER('Refsz-Verbräuche'!M124), 'Refsz-Verbräuche'!M124*Emissionsfaktoren!L124/1000, 0)</f>
        <v>0</v>
      </c>
      <c r="N289" s="14">
        <f>IF(ISNUMBER('Refsz-Verbräuche'!N124), 'Refsz-Verbräuche'!N124*Emissionsfaktoren!M124/1000, 0)</f>
        <v>0</v>
      </c>
      <c r="O289" s="14">
        <f>IF(ISNUMBER('Refsz-Verbräuche'!O124), 'Refsz-Verbräuche'!O124*Emissionsfaktoren!N124/1000, 0)</f>
        <v>0</v>
      </c>
      <c r="P289" s="14">
        <f>IF(ISNUMBER('Refsz-Verbräuche'!P124), 'Refsz-Verbräuche'!P124*Emissionsfaktoren!O124/1000, 0)</f>
        <v>0</v>
      </c>
      <c r="Q289" s="14">
        <f>IF(ISNUMBER('Refsz-Verbräuche'!Q124), 'Refsz-Verbräuche'!Q124*Emissionsfaktoren!P124/1000, 0)</f>
        <v>0</v>
      </c>
      <c r="R289" s="14">
        <f>IF(ISNUMBER('Refsz-Verbräuche'!R124), 'Refsz-Verbräuche'!R124*Emissionsfaktoren!Q124/1000, 0)</f>
        <v>0</v>
      </c>
      <c r="S289" s="14">
        <f>IF(ISNUMBER('Refsz-Verbräuche'!S124), 'Refsz-Verbräuche'!S124*Emissionsfaktoren!R124/1000, 0)</f>
        <v>0</v>
      </c>
      <c r="T289" s="14">
        <f>IF(ISNUMBER('Refsz-Verbräuche'!T124), 'Refsz-Verbräuche'!T124*Emissionsfaktoren!S124/1000, 0)</f>
        <v>0</v>
      </c>
      <c r="U289" s="14">
        <f>IF(ISNUMBER('Refsz-Verbräuche'!U124), 'Refsz-Verbräuche'!U124*Emissionsfaktoren!T124/1000, 0)</f>
        <v>0</v>
      </c>
      <c r="V289" s="14">
        <f>IF(ISNUMBER('Refsz-Verbräuche'!V124), 'Refsz-Verbräuche'!V124*Emissionsfaktoren!U124/1000, 0)</f>
        <v>0</v>
      </c>
      <c r="W289" s="14">
        <f>IF(ISNUMBER('Refsz-Verbräuche'!W124), 'Refsz-Verbräuche'!W124*Emissionsfaktoren!V124/1000, 0)</f>
        <v>0</v>
      </c>
      <c r="X289" s="14">
        <f>IF(ISNUMBER('Refsz-Verbräuche'!X124), 'Refsz-Verbräuche'!X124*Emissionsfaktoren!W124/1000, 0)</f>
        <v>0</v>
      </c>
      <c r="Y289" s="14">
        <f>IF(ISNUMBER('Refsz-Verbräuche'!Y124), 'Refsz-Verbräuche'!Y124*Emissionsfaktoren!X124/1000, 0)</f>
        <v>0</v>
      </c>
    </row>
    <row r="290" spans="2:25" ht="16.5">
      <c r="B290" s="14">
        <v>108</v>
      </c>
      <c r="C290" s="14" t="str">
        <f>'Refsz-Verbräuche'!C125</f>
        <v>Abfall</v>
      </c>
      <c r="D290" s="19" t="str">
        <f>'Refsz-Verbräuche'!D125</f>
        <v>Plastik- und Verpackungsabfall</v>
      </c>
      <c r="E290" t="s">
        <v>195</v>
      </c>
      <c r="F290" s="14">
        <f>IF(ISNUMBER('Refsz-Verbräuche'!F125), 'Refsz-Verbräuche'!F125*Emissionsfaktoren!E125/1000, 0)</f>
        <v>0</v>
      </c>
      <c r="G290" s="14">
        <f>IF(ISNUMBER('Refsz-Verbräuche'!G125), 'Refsz-Verbräuche'!G125*Emissionsfaktoren!F125/1000, 0)</f>
        <v>0</v>
      </c>
      <c r="H290" s="14">
        <f>IF(ISNUMBER('Refsz-Verbräuche'!H125), 'Refsz-Verbräuche'!H125*Emissionsfaktoren!G125/1000, 0)</f>
        <v>0</v>
      </c>
      <c r="I290" s="14">
        <f>IF(ISNUMBER('Refsz-Verbräuche'!I125), 'Refsz-Verbräuche'!I125*Emissionsfaktoren!H125/1000, 0)</f>
        <v>0</v>
      </c>
      <c r="J290" s="14">
        <f>IF(ISNUMBER('Refsz-Verbräuche'!J125), 'Refsz-Verbräuche'!J125*Emissionsfaktoren!I125/1000, 0)</f>
        <v>0</v>
      </c>
      <c r="K290" s="14">
        <f>IF(ISNUMBER('Refsz-Verbräuche'!K125), 'Refsz-Verbräuche'!K125*Emissionsfaktoren!J125/1000, 0)</f>
        <v>0</v>
      </c>
      <c r="L290" s="14">
        <f>IF(ISNUMBER('Refsz-Verbräuche'!L125), 'Refsz-Verbräuche'!L125*Emissionsfaktoren!K125/1000, 0)</f>
        <v>0</v>
      </c>
      <c r="M290" s="14">
        <f>IF(ISNUMBER('Refsz-Verbräuche'!M125), 'Refsz-Verbräuche'!M125*Emissionsfaktoren!L125/1000, 0)</f>
        <v>0</v>
      </c>
      <c r="N290" s="14">
        <f>IF(ISNUMBER('Refsz-Verbräuche'!N125), 'Refsz-Verbräuche'!N125*Emissionsfaktoren!M125/1000, 0)</f>
        <v>0</v>
      </c>
      <c r="O290" s="14">
        <f>IF(ISNUMBER('Refsz-Verbräuche'!O125), 'Refsz-Verbräuche'!O125*Emissionsfaktoren!N125/1000, 0)</f>
        <v>0</v>
      </c>
      <c r="P290" s="14">
        <f>IF(ISNUMBER('Refsz-Verbräuche'!P125), 'Refsz-Verbräuche'!P125*Emissionsfaktoren!O125/1000, 0)</f>
        <v>0</v>
      </c>
      <c r="Q290" s="14">
        <f>IF(ISNUMBER('Refsz-Verbräuche'!Q125), 'Refsz-Verbräuche'!Q125*Emissionsfaktoren!P125/1000, 0)</f>
        <v>0</v>
      </c>
      <c r="R290" s="14">
        <f>IF(ISNUMBER('Refsz-Verbräuche'!R125), 'Refsz-Verbräuche'!R125*Emissionsfaktoren!Q125/1000, 0)</f>
        <v>0</v>
      </c>
      <c r="S290" s="14">
        <f>IF(ISNUMBER('Refsz-Verbräuche'!S125), 'Refsz-Verbräuche'!S125*Emissionsfaktoren!R125/1000, 0)</f>
        <v>0</v>
      </c>
      <c r="T290" s="14">
        <f>IF(ISNUMBER('Refsz-Verbräuche'!T125), 'Refsz-Verbräuche'!T125*Emissionsfaktoren!S125/1000, 0)</f>
        <v>0</v>
      </c>
      <c r="U290" s="14">
        <f>IF(ISNUMBER('Refsz-Verbräuche'!U125), 'Refsz-Verbräuche'!U125*Emissionsfaktoren!T125/1000, 0)</f>
        <v>0</v>
      </c>
      <c r="V290" s="14">
        <f>IF(ISNUMBER('Refsz-Verbräuche'!V125), 'Refsz-Verbräuche'!V125*Emissionsfaktoren!U125/1000, 0)</f>
        <v>0</v>
      </c>
      <c r="W290" s="14">
        <f>IF(ISNUMBER('Refsz-Verbräuche'!W125), 'Refsz-Verbräuche'!W125*Emissionsfaktoren!V125/1000, 0)</f>
        <v>0</v>
      </c>
      <c r="X290" s="14">
        <f>IF(ISNUMBER('Refsz-Verbräuche'!X125), 'Refsz-Verbräuche'!X125*Emissionsfaktoren!W125/1000, 0)</f>
        <v>0</v>
      </c>
      <c r="Y290" s="14">
        <f>IF(ISNUMBER('Refsz-Verbräuche'!Y125), 'Refsz-Verbräuche'!Y125*Emissionsfaktoren!X125/1000, 0)</f>
        <v>0</v>
      </c>
    </row>
    <row r="291" spans="2:25" ht="16.5">
      <c r="B291" s="14">
        <v>109</v>
      </c>
      <c r="C291" s="14" t="str">
        <f>'Refsz-Verbräuche'!C126</f>
        <v>Abfall</v>
      </c>
      <c r="D291" s="19" t="str">
        <f>'Refsz-Verbräuche'!D126</f>
        <v>Restmüll</v>
      </c>
      <c r="E291" t="s">
        <v>195</v>
      </c>
      <c r="F291" s="14">
        <f>IF(ISNUMBER('Refsz-Verbräuche'!F126), 'Refsz-Verbräuche'!F126*Emissionsfaktoren!E126/1000, 0)</f>
        <v>0</v>
      </c>
      <c r="G291" s="14">
        <f>IF(ISNUMBER('Refsz-Verbräuche'!G126), 'Refsz-Verbräuche'!G126*Emissionsfaktoren!F126/1000, 0)</f>
        <v>0</v>
      </c>
      <c r="H291" s="14">
        <f>IF(ISNUMBER('Refsz-Verbräuche'!H126), 'Refsz-Verbräuche'!H126*Emissionsfaktoren!G126/1000, 0)</f>
        <v>0</v>
      </c>
      <c r="I291" s="14">
        <f>IF(ISNUMBER('Refsz-Verbräuche'!I126), 'Refsz-Verbräuche'!I126*Emissionsfaktoren!H126/1000, 0)</f>
        <v>0</v>
      </c>
      <c r="J291" s="14">
        <f>IF(ISNUMBER('Refsz-Verbräuche'!J126), 'Refsz-Verbräuche'!J126*Emissionsfaktoren!I126/1000, 0)</f>
        <v>0</v>
      </c>
      <c r="K291" s="14">
        <f>IF(ISNUMBER('Refsz-Verbräuche'!K126), 'Refsz-Verbräuche'!K126*Emissionsfaktoren!J126/1000, 0)</f>
        <v>0</v>
      </c>
      <c r="L291" s="14">
        <f>IF(ISNUMBER('Refsz-Verbräuche'!L126), 'Refsz-Verbräuche'!L126*Emissionsfaktoren!K126/1000, 0)</f>
        <v>0</v>
      </c>
      <c r="M291" s="14">
        <f>IF(ISNUMBER('Refsz-Verbräuche'!M126), 'Refsz-Verbräuche'!M126*Emissionsfaktoren!L126/1000, 0)</f>
        <v>0</v>
      </c>
      <c r="N291" s="14">
        <f>IF(ISNUMBER('Refsz-Verbräuche'!N126), 'Refsz-Verbräuche'!N126*Emissionsfaktoren!M126/1000, 0)</f>
        <v>0</v>
      </c>
      <c r="O291" s="14">
        <f>IF(ISNUMBER('Refsz-Verbräuche'!O126), 'Refsz-Verbräuche'!O126*Emissionsfaktoren!N126/1000, 0)</f>
        <v>0</v>
      </c>
      <c r="P291" s="14">
        <f>IF(ISNUMBER('Refsz-Verbräuche'!P126), 'Refsz-Verbräuche'!P126*Emissionsfaktoren!O126/1000, 0)</f>
        <v>0</v>
      </c>
      <c r="Q291" s="14">
        <f>IF(ISNUMBER('Refsz-Verbräuche'!Q126), 'Refsz-Verbräuche'!Q126*Emissionsfaktoren!P126/1000, 0)</f>
        <v>0</v>
      </c>
      <c r="R291" s="14">
        <f>IF(ISNUMBER('Refsz-Verbräuche'!R126), 'Refsz-Verbräuche'!R126*Emissionsfaktoren!Q126/1000, 0)</f>
        <v>0</v>
      </c>
      <c r="S291" s="14">
        <f>IF(ISNUMBER('Refsz-Verbräuche'!S126), 'Refsz-Verbräuche'!S126*Emissionsfaktoren!R126/1000, 0)</f>
        <v>0</v>
      </c>
      <c r="T291" s="14">
        <f>IF(ISNUMBER('Refsz-Verbräuche'!T126), 'Refsz-Verbräuche'!T126*Emissionsfaktoren!S126/1000, 0)</f>
        <v>0</v>
      </c>
      <c r="U291" s="14">
        <f>IF(ISNUMBER('Refsz-Verbräuche'!U126), 'Refsz-Verbräuche'!U126*Emissionsfaktoren!T126/1000, 0)</f>
        <v>0</v>
      </c>
      <c r="V291" s="14">
        <f>IF(ISNUMBER('Refsz-Verbräuche'!V126), 'Refsz-Verbräuche'!V126*Emissionsfaktoren!U126/1000, 0)</f>
        <v>0</v>
      </c>
      <c r="W291" s="14">
        <f>IF(ISNUMBER('Refsz-Verbräuche'!W126), 'Refsz-Verbräuche'!W126*Emissionsfaktoren!V126/1000, 0)</f>
        <v>0</v>
      </c>
      <c r="X291" s="14">
        <f>IF(ISNUMBER('Refsz-Verbräuche'!X126), 'Refsz-Verbräuche'!X126*Emissionsfaktoren!W126/1000, 0)</f>
        <v>0</v>
      </c>
      <c r="Y291" s="14">
        <f>IF(ISNUMBER('Refsz-Verbräuche'!Y126), 'Refsz-Verbräuche'!Y126*Emissionsfaktoren!X126/1000, 0)</f>
        <v>0</v>
      </c>
    </row>
    <row r="292" spans="2:25" ht="16.5">
      <c r="B292" s="14">
        <v>110</v>
      </c>
      <c r="C292" s="14" t="str">
        <f>'Refsz-Verbräuche'!C127</f>
        <v>Abfall</v>
      </c>
      <c r="D292" s="19" t="str">
        <f>'Refsz-Verbräuche'!D127</f>
        <v>Sperrmüll</v>
      </c>
      <c r="E292" t="s">
        <v>195</v>
      </c>
      <c r="F292" s="14">
        <f>IF(ISNUMBER('Refsz-Verbräuche'!F127), 'Refsz-Verbräuche'!F127*Emissionsfaktoren!E127/1000, 0)</f>
        <v>0</v>
      </c>
      <c r="G292" s="14">
        <f>IF(ISNUMBER('Refsz-Verbräuche'!G127), 'Refsz-Verbräuche'!G127*Emissionsfaktoren!F127/1000, 0)</f>
        <v>0</v>
      </c>
      <c r="H292" s="14">
        <f>IF(ISNUMBER('Refsz-Verbräuche'!H127), 'Refsz-Verbräuche'!H127*Emissionsfaktoren!G127/1000, 0)</f>
        <v>0</v>
      </c>
      <c r="I292" s="14">
        <f>IF(ISNUMBER('Refsz-Verbräuche'!I127), 'Refsz-Verbräuche'!I127*Emissionsfaktoren!H127/1000, 0)</f>
        <v>0</v>
      </c>
      <c r="J292" s="14">
        <f>IF(ISNUMBER('Refsz-Verbräuche'!J127), 'Refsz-Verbräuche'!J127*Emissionsfaktoren!I127/1000, 0)</f>
        <v>0</v>
      </c>
      <c r="K292" s="14">
        <f>IF(ISNUMBER('Refsz-Verbräuche'!K127), 'Refsz-Verbräuche'!K127*Emissionsfaktoren!J127/1000, 0)</f>
        <v>0</v>
      </c>
      <c r="L292" s="14">
        <f>IF(ISNUMBER('Refsz-Verbräuche'!L127), 'Refsz-Verbräuche'!L127*Emissionsfaktoren!K127/1000, 0)</f>
        <v>0</v>
      </c>
      <c r="M292" s="14">
        <f>IF(ISNUMBER('Refsz-Verbräuche'!M127), 'Refsz-Verbräuche'!M127*Emissionsfaktoren!L127/1000, 0)</f>
        <v>0</v>
      </c>
      <c r="N292" s="14">
        <f>IF(ISNUMBER('Refsz-Verbräuche'!N127), 'Refsz-Verbräuche'!N127*Emissionsfaktoren!M127/1000, 0)</f>
        <v>0</v>
      </c>
      <c r="O292" s="14">
        <f>IF(ISNUMBER('Refsz-Verbräuche'!O127), 'Refsz-Verbräuche'!O127*Emissionsfaktoren!N127/1000, 0)</f>
        <v>0</v>
      </c>
      <c r="P292" s="14">
        <f>IF(ISNUMBER('Refsz-Verbräuche'!P127), 'Refsz-Verbräuche'!P127*Emissionsfaktoren!O127/1000, 0)</f>
        <v>0</v>
      </c>
      <c r="Q292" s="14">
        <f>IF(ISNUMBER('Refsz-Verbräuche'!Q127), 'Refsz-Verbräuche'!Q127*Emissionsfaktoren!P127/1000, 0)</f>
        <v>0</v>
      </c>
      <c r="R292" s="14">
        <f>IF(ISNUMBER('Refsz-Verbräuche'!R127), 'Refsz-Verbräuche'!R127*Emissionsfaktoren!Q127/1000, 0)</f>
        <v>0</v>
      </c>
      <c r="S292" s="14">
        <f>IF(ISNUMBER('Refsz-Verbräuche'!S127), 'Refsz-Verbräuche'!S127*Emissionsfaktoren!R127/1000, 0)</f>
        <v>0</v>
      </c>
      <c r="T292" s="14">
        <f>IF(ISNUMBER('Refsz-Verbräuche'!T127), 'Refsz-Verbräuche'!T127*Emissionsfaktoren!S127/1000, 0)</f>
        <v>0</v>
      </c>
      <c r="U292" s="14">
        <f>IF(ISNUMBER('Refsz-Verbräuche'!U127), 'Refsz-Verbräuche'!U127*Emissionsfaktoren!T127/1000, 0)</f>
        <v>0</v>
      </c>
      <c r="V292" s="14">
        <f>IF(ISNUMBER('Refsz-Verbräuche'!V127), 'Refsz-Verbräuche'!V127*Emissionsfaktoren!U127/1000, 0)</f>
        <v>0</v>
      </c>
      <c r="W292" s="14">
        <f>IF(ISNUMBER('Refsz-Verbräuche'!W127), 'Refsz-Verbräuche'!W127*Emissionsfaktoren!V127/1000, 0)</f>
        <v>0</v>
      </c>
      <c r="X292" s="14">
        <f>IF(ISNUMBER('Refsz-Verbräuche'!X127), 'Refsz-Verbräuche'!X127*Emissionsfaktoren!W127/1000, 0)</f>
        <v>0</v>
      </c>
      <c r="Y292" s="14">
        <f>IF(ISNUMBER('Refsz-Verbräuche'!Y127), 'Refsz-Verbräuche'!Y127*Emissionsfaktoren!X127/1000, 0)</f>
        <v>0</v>
      </c>
    </row>
    <row r="293" spans="2:25" ht="16.5">
      <c r="B293" s="14">
        <v>111</v>
      </c>
      <c r="C293" s="14" t="str">
        <f>'Refsz-Verbräuche'!C128</f>
        <v>Abfall</v>
      </c>
      <c r="D293" s="19" t="str">
        <f>'Refsz-Verbräuche'!D128</f>
        <v>Altholz</v>
      </c>
      <c r="E293" t="s">
        <v>195</v>
      </c>
      <c r="F293" s="14">
        <f>IF(ISNUMBER('Refsz-Verbräuche'!F128), 'Refsz-Verbräuche'!F128*Emissionsfaktoren!E128/1000, 0)</f>
        <v>0</v>
      </c>
      <c r="G293" s="14">
        <f>IF(ISNUMBER('Refsz-Verbräuche'!G128), 'Refsz-Verbräuche'!G128*Emissionsfaktoren!F128/1000, 0)</f>
        <v>0</v>
      </c>
      <c r="H293" s="14">
        <f>IF(ISNUMBER('Refsz-Verbräuche'!H128), 'Refsz-Verbräuche'!H128*Emissionsfaktoren!G128/1000, 0)</f>
        <v>0</v>
      </c>
      <c r="I293" s="14">
        <f>IF(ISNUMBER('Refsz-Verbräuche'!I128), 'Refsz-Verbräuche'!I128*Emissionsfaktoren!H128/1000, 0)</f>
        <v>0</v>
      </c>
      <c r="J293" s="14">
        <f>IF(ISNUMBER('Refsz-Verbräuche'!J128), 'Refsz-Verbräuche'!J128*Emissionsfaktoren!I128/1000, 0)</f>
        <v>0</v>
      </c>
      <c r="K293" s="14">
        <f>IF(ISNUMBER('Refsz-Verbräuche'!K128), 'Refsz-Verbräuche'!K128*Emissionsfaktoren!J128/1000, 0)</f>
        <v>0</v>
      </c>
      <c r="L293" s="14">
        <f>IF(ISNUMBER('Refsz-Verbräuche'!L128), 'Refsz-Verbräuche'!L128*Emissionsfaktoren!K128/1000, 0)</f>
        <v>0</v>
      </c>
      <c r="M293" s="14">
        <f>IF(ISNUMBER('Refsz-Verbräuche'!M128), 'Refsz-Verbräuche'!M128*Emissionsfaktoren!L128/1000, 0)</f>
        <v>0</v>
      </c>
      <c r="N293" s="14">
        <f>IF(ISNUMBER('Refsz-Verbräuche'!N128), 'Refsz-Verbräuche'!N128*Emissionsfaktoren!M128/1000, 0)</f>
        <v>0</v>
      </c>
      <c r="O293" s="14">
        <f>IF(ISNUMBER('Refsz-Verbräuche'!O128), 'Refsz-Verbräuche'!O128*Emissionsfaktoren!N128/1000, 0)</f>
        <v>0</v>
      </c>
      <c r="P293" s="14">
        <f>IF(ISNUMBER('Refsz-Verbräuche'!P128), 'Refsz-Verbräuche'!P128*Emissionsfaktoren!O128/1000, 0)</f>
        <v>0</v>
      </c>
      <c r="Q293" s="14">
        <f>IF(ISNUMBER('Refsz-Verbräuche'!Q128), 'Refsz-Verbräuche'!Q128*Emissionsfaktoren!P128/1000, 0)</f>
        <v>0</v>
      </c>
      <c r="R293" s="14">
        <f>IF(ISNUMBER('Refsz-Verbräuche'!R128), 'Refsz-Verbräuche'!R128*Emissionsfaktoren!Q128/1000, 0)</f>
        <v>0</v>
      </c>
      <c r="S293" s="14">
        <f>IF(ISNUMBER('Refsz-Verbräuche'!S128), 'Refsz-Verbräuche'!S128*Emissionsfaktoren!R128/1000, 0)</f>
        <v>0</v>
      </c>
      <c r="T293" s="14">
        <f>IF(ISNUMBER('Refsz-Verbräuche'!T128), 'Refsz-Verbräuche'!T128*Emissionsfaktoren!S128/1000, 0)</f>
        <v>0</v>
      </c>
      <c r="U293" s="14">
        <f>IF(ISNUMBER('Refsz-Verbräuche'!U128), 'Refsz-Verbräuche'!U128*Emissionsfaktoren!T128/1000, 0)</f>
        <v>0</v>
      </c>
      <c r="V293" s="14">
        <f>IF(ISNUMBER('Refsz-Verbräuche'!V128), 'Refsz-Verbräuche'!V128*Emissionsfaktoren!U128/1000, 0)</f>
        <v>0</v>
      </c>
      <c r="W293" s="14">
        <f>IF(ISNUMBER('Refsz-Verbräuche'!W128), 'Refsz-Verbräuche'!W128*Emissionsfaktoren!V128/1000, 0)</f>
        <v>0</v>
      </c>
      <c r="X293" s="14">
        <f>IF(ISNUMBER('Refsz-Verbräuche'!X128), 'Refsz-Verbräuche'!X128*Emissionsfaktoren!W128/1000, 0)</f>
        <v>0</v>
      </c>
      <c r="Y293" s="14">
        <f>IF(ISNUMBER('Refsz-Verbräuche'!Y128), 'Refsz-Verbräuche'!Y128*Emissionsfaktoren!X128/1000, 0)</f>
        <v>0</v>
      </c>
    </row>
    <row r="294" spans="2:25" ht="16.5">
      <c r="B294" s="14">
        <v>112</v>
      </c>
      <c r="C294" s="14" t="str">
        <f>'Refsz-Verbräuche'!C129</f>
        <v>Abfall</v>
      </c>
      <c r="D294" s="19" t="str">
        <f>'Refsz-Verbräuche'!D129</f>
        <v>Altglas</v>
      </c>
      <c r="E294" t="s">
        <v>195</v>
      </c>
      <c r="F294" s="14">
        <f>IF(ISNUMBER('Refsz-Verbräuche'!F129), 'Refsz-Verbräuche'!F129*Emissionsfaktoren!E129/1000, 0)</f>
        <v>0</v>
      </c>
      <c r="G294" s="14">
        <f>IF(ISNUMBER('Refsz-Verbräuche'!G129), 'Refsz-Verbräuche'!G129*Emissionsfaktoren!F129/1000, 0)</f>
        <v>0</v>
      </c>
      <c r="H294" s="14">
        <f>IF(ISNUMBER('Refsz-Verbräuche'!H129), 'Refsz-Verbräuche'!H129*Emissionsfaktoren!G129/1000, 0)</f>
        <v>0</v>
      </c>
      <c r="I294" s="14">
        <f>IF(ISNUMBER('Refsz-Verbräuche'!I129), 'Refsz-Verbräuche'!I129*Emissionsfaktoren!H129/1000, 0)</f>
        <v>0</v>
      </c>
      <c r="J294" s="14">
        <f>IF(ISNUMBER('Refsz-Verbräuche'!J129), 'Refsz-Verbräuche'!J129*Emissionsfaktoren!I129/1000, 0)</f>
        <v>0</v>
      </c>
      <c r="K294" s="14">
        <f>IF(ISNUMBER('Refsz-Verbräuche'!K129), 'Refsz-Verbräuche'!K129*Emissionsfaktoren!J129/1000, 0)</f>
        <v>0</v>
      </c>
      <c r="L294" s="14">
        <f>IF(ISNUMBER('Refsz-Verbräuche'!L129), 'Refsz-Verbräuche'!L129*Emissionsfaktoren!K129/1000, 0)</f>
        <v>0</v>
      </c>
      <c r="M294" s="14">
        <f>IF(ISNUMBER('Refsz-Verbräuche'!M129), 'Refsz-Verbräuche'!M129*Emissionsfaktoren!L129/1000, 0)</f>
        <v>0</v>
      </c>
      <c r="N294" s="14">
        <f>IF(ISNUMBER('Refsz-Verbräuche'!N129), 'Refsz-Verbräuche'!N129*Emissionsfaktoren!M129/1000, 0)</f>
        <v>0</v>
      </c>
      <c r="O294" s="14">
        <f>IF(ISNUMBER('Refsz-Verbräuche'!O129), 'Refsz-Verbräuche'!O129*Emissionsfaktoren!N129/1000, 0)</f>
        <v>0</v>
      </c>
      <c r="P294" s="14">
        <f>IF(ISNUMBER('Refsz-Verbräuche'!P129), 'Refsz-Verbräuche'!P129*Emissionsfaktoren!O129/1000, 0)</f>
        <v>0</v>
      </c>
      <c r="Q294" s="14">
        <f>IF(ISNUMBER('Refsz-Verbräuche'!Q129), 'Refsz-Verbräuche'!Q129*Emissionsfaktoren!P129/1000, 0)</f>
        <v>0</v>
      </c>
      <c r="R294" s="14">
        <f>IF(ISNUMBER('Refsz-Verbräuche'!R129), 'Refsz-Verbräuche'!R129*Emissionsfaktoren!Q129/1000, 0)</f>
        <v>0</v>
      </c>
      <c r="S294" s="14">
        <f>IF(ISNUMBER('Refsz-Verbräuche'!S129), 'Refsz-Verbräuche'!S129*Emissionsfaktoren!R129/1000, 0)</f>
        <v>0</v>
      </c>
      <c r="T294" s="14">
        <f>IF(ISNUMBER('Refsz-Verbräuche'!T129), 'Refsz-Verbräuche'!T129*Emissionsfaktoren!S129/1000, 0)</f>
        <v>0</v>
      </c>
      <c r="U294" s="14">
        <f>IF(ISNUMBER('Refsz-Verbräuche'!U129), 'Refsz-Verbräuche'!U129*Emissionsfaktoren!T129/1000, 0)</f>
        <v>0</v>
      </c>
      <c r="V294" s="14">
        <f>IF(ISNUMBER('Refsz-Verbräuche'!V129), 'Refsz-Verbräuche'!V129*Emissionsfaktoren!U129/1000, 0)</f>
        <v>0</v>
      </c>
      <c r="W294" s="14">
        <f>IF(ISNUMBER('Refsz-Verbräuche'!W129), 'Refsz-Verbräuche'!W129*Emissionsfaktoren!V129/1000, 0)</f>
        <v>0</v>
      </c>
      <c r="X294" s="14">
        <f>IF(ISNUMBER('Refsz-Verbräuche'!X129), 'Refsz-Verbräuche'!X129*Emissionsfaktoren!W129/1000, 0)</f>
        <v>0</v>
      </c>
      <c r="Y294" s="14">
        <f>IF(ISNUMBER('Refsz-Verbräuche'!Y129), 'Refsz-Verbräuche'!Y129*Emissionsfaktoren!X129/1000, 0)</f>
        <v>0</v>
      </c>
    </row>
    <row r="295" spans="2:25" ht="16.5">
      <c r="B295" s="14">
        <v>113</v>
      </c>
      <c r="C295" s="14" t="str">
        <f>'Refsz-Verbräuche'!C130</f>
        <v>Abfall</v>
      </c>
      <c r="D295" s="19" t="str">
        <f>'Refsz-Verbräuche'!D130</f>
        <v>E-Großgeräte (Abfall)</v>
      </c>
      <c r="E295" t="s">
        <v>195</v>
      </c>
      <c r="F295" s="14">
        <f>IF(ISNUMBER('Refsz-Verbräuche'!F130), 'Refsz-Verbräuche'!F130*Emissionsfaktoren!E130/1000, 0)</f>
        <v>0</v>
      </c>
      <c r="G295" s="14">
        <f>IF(ISNUMBER('Refsz-Verbräuche'!G130), 'Refsz-Verbräuche'!G130*Emissionsfaktoren!F130/1000, 0)</f>
        <v>0</v>
      </c>
      <c r="H295" s="14">
        <f>IF(ISNUMBER('Refsz-Verbräuche'!H130), 'Refsz-Verbräuche'!H130*Emissionsfaktoren!G130/1000, 0)</f>
        <v>0</v>
      </c>
      <c r="I295" s="14">
        <f>IF(ISNUMBER('Refsz-Verbräuche'!I130), 'Refsz-Verbräuche'!I130*Emissionsfaktoren!H130/1000, 0)</f>
        <v>0</v>
      </c>
      <c r="J295" s="14">
        <f>IF(ISNUMBER('Refsz-Verbräuche'!J130), 'Refsz-Verbräuche'!J130*Emissionsfaktoren!I130/1000, 0)</f>
        <v>0</v>
      </c>
      <c r="K295" s="14">
        <f>IF(ISNUMBER('Refsz-Verbräuche'!K130), 'Refsz-Verbräuche'!K130*Emissionsfaktoren!J130/1000, 0)</f>
        <v>0</v>
      </c>
      <c r="L295" s="14">
        <f>IF(ISNUMBER('Refsz-Verbräuche'!L130), 'Refsz-Verbräuche'!L130*Emissionsfaktoren!K130/1000, 0)</f>
        <v>0</v>
      </c>
      <c r="M295" s="14">
        <f>IF(ISNUMBER('Refsz-Verbräuche'!M130), 'Refsz-Verbräuche'!M130*Emissionsfaktoren!L130/1000, 0)</f>
        <v>0</v>
      </c>
      <c r="N295" s="14">
        <f>IF(ISNUMBER('Refsz-Verbräuche'!N130), 'Refsz-Verbräuche'!N130*Emissionsfaktoren!M130/1000, 0)</f>
        <v>0</v>
      </c>
      <c r="O295" s="14">
        <f>IF(ISNUMBER('Refsz-Verbräuche'!O130), 'Refsz-Verbräuche'!O130*Emissionsfaktoren!N130/1000, 0)</f>
        <v>0</v>
      </c>
      <c r="P295" s="14">
        <f>IF(ISNUMBER('Refsz-Verbräuche'!P130), 'Refsz-Verbräuche'!P130*Emissionsfaktoren!O130/1000, 0)</f>
        <v>0</v>
      </c>
      <c r="Q295" s="14">
        <f>IF(ISNUMBER('Refsz-Verbräuche'!Q130), 'Refsz-Verbräuche'!Q130*Emissionsfaktoren!P130/1000, 0)</f>
        <v>0</v>
      </c>
      <c r="R295" s="14">
        <f>IF(ISNUMBER('Refsz-Verbräuche'!R130), 'Refsz-Verbräuche'!R130*Emissionsfaktoren!Q130/1000, 0)</f>
        <v>0</v>
      </c>
      <c r="S295" s="14">
        <f>IF(ISNUMBER('Refsz-Verbräuche'!S130), 'Refsz-Verbräuche'!S130*Emissionsfaktoren!R130/1000, 0)</f>
        <v>0</v>
      </c>
      <c r="T295" s="14">
        <f>IF(ISNUMBER('Refsz-Verbräuche'!T130), 'Refsz-Verbräuche'!T130*Emissionsfaktoren!S130/1000, 0)</f>
        <v>0</v>
      </c>
      <c r="U295" s="14">
        <f>IF(ISNUMBER('Refsz-Verbräuche'!U130), 'Refsz-Verbräuche'!U130*Emissionsfaktoren!T130/1000, 0)</f>
        <v>0</v>
      </c>
      <c r="V295" s="14">
        <f>IF(ISNUMBER('Refsz-Verbräuche'!V130), 'Refsz-Verbräuche'!V130*Emissionsfaktoren!U130/1000, 0)</f>
        <v>0</v>
      </c>
      <c r="W295" s="14">
        <f>IF(ISNUMBER('Refsz-Verbräuche'!W130), 'Refsz-Verbräuche'!W130*Emissionsfaktoren!V130/1000, 0)</f>
        <v>0</v>
      </c>
      <c r="X295" s="14">
        <f>IF(ISNUMBER('Refsz-Verbräuche'!X130), 'Refsz-Verbräuche'!X130*Emissionsfaktoren!W130/1000, 0)</f>
        <v>0</v>
      </c>
      <c r="Y295" s="14">
        <f>IF(ISNUMBER('Refsz-Verbräuche'!Y130), 'Refsz-Verbräuche'!Y130*Emissionsfaktoren!X130/1000, 0)</f>
        <v>0</v>
      </c>
    </row>
    <row r="296" spans="2:25" ht="16.5">
      <c r="B296" s="14">
        <v>114</v>
      </c>
      <c r="C296" s="14" t="str">
        <f>'Refsz-Verbräuche'!C131</f>
        <v>Abfall</v>
      </c>
      <c r="D296" s="19" t="str">
        <f>'Refsz-Verbräuche'!D131</f>
        <v>Metalle (Abfall)</v>
      </c>
      <c r="E296" t="s">
        <v>195</v>
      </c>
      <c r="F296" s="14">
        <f>IF(ISNUMBER('Refsz-Verbräuche'!F131), 'Refsz-Verbräuche'!F131*Emissionsfaktoren!E131/1000, 0)</f>
        <v>0</v>
      </c>
      <c r="G296" s="14">
        <f>IF(ISNUMBER('Refsz-Verbräuche'!G131), 'Refsz-Verbräuche'!G131*Emissionsfaktoren!F131/1000, 0)</f>
        <v>0</v>
      </c>
      <c r="H296" s="14">
        <f>IF(ISNUMBER('Refsz-Verbräuche'!H131), 'Refsz-Verbräuche'!H131*Emissionsfaktoren!G131/1000, 0)</f>
        <v>0</v>
      </c>
      <c r="I296" s="14">
        <f>IF(ISNUMBER('Refsz-Verbräuche'!I131), 'Refsz-Verbräuche'!I131*Emissionsfaktoren!H131/1000, 0)</f>
        <v>0</v>
      </c>
      <c r="J296" s="14">
        <f>IF(ISNUMBER('Refsz-Verbräuche'!J131), 'Refsz-Verbräuche'!J131*Emissionsfaktoren!I131/1000, 0)</f>
        <v>0</v>
      </c>
      <c r="K296" s="14">
        <f>IF(ISNUMBER('Refsz-Verbräuche'!K131), 'Refsz-Verbräuche'!K131*Emissionsfaktoren!J131/1000, 0)</f>
        <v>0</v>
      </c>
      <c r="L296" s="14">
        <f>IF(ISNUMBER('Refsz-Verbräuche'!L131), 'Refsz-Verbräuche'!L131*Emissionsfaktoren!K131/1000, 0)</f>
        <v>0</v>
      </c>
      <c r="M296" s="14">
        <f>IF(ISNUMBER('Refsz-Verbräuche'!M131), 'Refsz-Verbräuche'!M131*Emissionsfaktoren!L131/1000, 0)</f>
        <v>0</v>
      </c>
      <c r="N296" s="14">
        <f>IF(ISNUMBER('Refsz-Verbräuche'!N131), 'Refsz-Verbräuche'!N131*Emissionsfaktoren!M131/1000, 0)</f>
        <v>0</v>
      </c>
      <c r="O296" s="14">
        <f>IF(ISNUMBER('Refsz-Verbräuche'!O131), 'Refsz-Verbräuche'!O131*Emissionsfaktoren!N131/1000, 0)</f>
        <v>0</v>
      </c>
      <c r="P296" s="14">
        <f>IF(ISNUMBER('Refsz-Verbräuche'!P131), 'Refsz-Verbräuche'!P131*Emissionsfaktoren!O131/1000, 0)</f>
        <v>0</v>
      </c>
      <c r="Q296" s="14">
        <f>IF(ISNUMBER('Refsz-Verbräuche'!Q131), 'Refsz-Verbräuche'!Q131*Emissionsfaktoren!P131/1000, 0)</f>
        <v>0</v>
      </c>
      <c r="R296" s="14">
        <f>IF(ISNUMBER('Refsz-Verbräuche'!R131), 'Refsz-Verbräuche'!R131*Emissionsfaktoren!Q131/1000, 0)</f>
        <v>0</v>
      </c>
      <c r="S296" s="14">
        <f>IF(ISNUMBER('Refsz-Verbräuche'!S131), 'Refsz-Verbräuche'!S131*Emissionsfaktoren!R131/1000, 0)</f>
        <v>0</v>
      </c>
      <c r="T296" s="14">
        <f>IF(ISNUMBER('Refsz-Verbräuche'!T131), 'Refsz-Verbräuche'!T131*Emissionsfaktoren!S131/1000, 0)</f>
        <v>0</v>
      </c>
      <c r="U296" s="14">
        <f>IF(ISNUMBER('Refsz-Verbräuche'!U131), 'Refsz-Verbräuche'!U131*Emissionsfaktoren!T131/1000, 0)</f>
        <v>0</v>
      </c>
      <c r="V296" s="14">
        <f>IF(ISNUMBER('Refsz-Verbräuche'!V131), 'Refsz-Verbräuche'!V131*Emissionsfaktoren!U131/1000, 0)</f>
        <v>0</v>
      </c>
      <c r="W296" s="14">
        <f>IF(ISNUMBER('Refsz-Verbräuche'!W131), 'Refsz-Verbräuche'!W131*Emissionsfaktoren!V131/1000, 0)</f>
        <v>0</v>
      </c>
      <c r="X296" s="14">
        <f>IF(ISNUMBER('Refsz-Verbräuche'!X131), 'Refsz-Verbräuche'!X131*Emissionsfaktoren!W131/1000, 0)</f>
        <v>0</v>
      </c>
      <c r="Y296" s="14">
        <f>IF(ISNUMBER('Refsz-Verbräuche'!Y131), 'Refsz-Verbräuche'!Y131*Emissionsfaktoren!X131/1000, 0)</f>
        <v>0</v>
      </c>
    </row>
    <row r="297" spans="2:25" ht="16.5">
      <c r="B297" s="14">
        <v>115</v>
      </c>
      <c r="C297" s="14" t="str">
        <f>'Refsz-Verbräuche'!C132</f>
        <v>Abfall</v>
      </c>
      <c r="D297" s="19" t="str">
        <f>'Refsz-Verbräuche'!D132</f>
        <v>Bauschutt</v>
      </c>
      <c r="E297" t="s">
        <v>195</v>
      </c>
      <c r="F297" s="14">
        <f>IF(ISNUMBER('Refsz-Verbräuche'!F132), 'Refsz-Verbräuche'!F132*Emissionsfaktoren!E132/1000, 0)</f>
        <v>0</v>
      </c>
      <c r="G297" s="14">
        <f>IF(ISNUMBER('Refsz-Verbräuche'!G132), 'Refsz-Verbräuche'!G132*Emissionsfaktoren!F132/1000, 0)</f>
        <v>0</v>
      </c>
      <c r="H297" s="14">
        <f>IF(ISNUMBER('Refsz-Verbräuche'!H132), 'Refsz-Verbräuche'!H132*Emissionsfaktoren!G132/1000, 0)</f>
        <v>0</v>
      </c>
      <c r="I297" s="14">
        <f>IF(ISNUMBER('Refsz-Verbräuche'!I132), 'Refsz-Verbräuche'!I132*Emissionsfaktoren!H132/1000, 0)</f>
        <v>0</v>
      </c>
      <c r="J297" s="14">
        <f>IF(ISNUMBER('Refsz-Verbräuche'!J132), 'Refsz-Verbräuche'!J132*Emissionsfaktoren!I132/1000, 0)</f>
        <v>0</v>
      </c>
      <c r="K297" s="14">
        <f>IF(ISNUMBER('Refsz-Verbräuche'!K132), 'Refsz-Verbräuche'!K132*Emissionsfaktoren!J132/1000, 0)</f>
        <v>0</v>
      </c>
      <c r="L297" s="14">
        <f>IF(ISNUMBER('Refsz-Verbräuche'!L132), 'Refsz-Verbräuche'!L132*Emissionsfaktoren!K132/1000, 0)</f>
        <v>0</v>
      </c>
      <c r="M297" s="14">
        <f>IF(ISNUMBER('Refsz-Verbräuche'!M132), 'Refsz-Verbräuche'!M132*Emissionsfaktoren!L132/1000, 0)</f>
        <v>0</v>
      </c>
      <c r="N297" s="14">
        <f>IF(ISNUMBER('Refsz-Verbräuche'!N132), 'Refsz-Verbräuche'!N132*Emissionsfaktoren!M132/1000, 0)</f>
        <v>0</v>
      </c>
      <c r="O297" s="14">
        <f>IF(ISNUMBER('Refsz-Verbräuche'!O132), 'Refsz-Verbräuche'!O132*Emissionsfaktoren!N132/1000, 0)</f>
        <v>0</v>
      </c>
      <c r="P297" s="14">
        <f>IF(ISNUMBER('Refsz-Verbräuche'!P132), 'Refsz-Verbräuche'!P132*Emissionsfaktoren!O132/1000, 0)</f>
        <v>0</v>
      </c>
      <c r="Q297" s="14">
        <f>IF(ISNUMBER('Refsz-Verbräuche'!Q132), 'Refsz-Verbräuche'!Q132*Emissionsfaktoren!P132/1000, 0)</f>
        <v>0</v>
      </c>
      <c r="R297" s="14">
        <f>IF(ISNUMBER('Refsz-Verbräuche'!R132), 'Refsz-Verbräuche'!R132*Emissionsfaktoren!Q132/1000, 0)</f>
        <v>0</v>
      </c>
      <c r="S297" s="14">
        <f>IF(ISNUMBER('Refsz-Verbräuche'!S132), 'Refsz-Verbräuche'!S132*Emissionsfaktoren!R132/1000, 0)</f>
        <v>0</v>
      </c>
      <c r="T297" s="14">
        <f>IF(ISNUMBER('Refsz-Verbräuche'!T132), 'Refsz-Verbräuche'!T132*Emissionsfaktoren!S132/1000, 0)</f>
        <v>0</v>
      </c>
      <c r="U297" s="14">
        <f>IF(ISNUMBER('Refsz-Verbräuche'!U132), 'Refsz-Verbräuche'!U132*Emissionsfaktoren!T132/1000, 0)</f>
        <v>0</v>
      </c>
      <c r="V297" s="14">
        <f>IF(ISNUMBER('Refsz-Verbräuche'!V132), 'Refsz-Verbräuche'!V132*Emissionsfaktoren!U132/1000, 0)</f>
        <v>0</v>
      </c>
      <c r="W297" s="14">
        <f>IF(ISNUMBER('Refsz-Verbräuche'!W132), 'Refsz-Verbräuche'!W132*Emissionsfaktoren!V132/1000, 0)</f>
        <v>0</v>
      </c>
      <c r="X297" s="14">
        <f>IF(ISNUMBER('Refsz-Verbräuche'!X132), 'Refsz-Verbräuche'!X132*Emissionsfaktoren!W132/1000, 0)</f>
        <v>0</v>
      </c>
      <c r="Y297" s="14">
        <f>IF(ISNUMBER('Refsz-Verbräuche'!Y132), 'Refsz-Verbräuche'!Y132*Emissionsfaktoren!X132/1000, 0)</f>
        <v>0</v>
      </c>
    </row>
    <row r="298" spans="2:25" ht="16.5">
      <c r="B298" s="14">
        <v>116</v>
      </c>
      <c r="C298" s="14">
        <f>'Refsz-Verbräuche'!C133</f>
        <v>0</v>
      </c>
      <c r="D298" s="19">
        <f>'Refsz-Verbräuche'!D133</f>
        <v>0</v>
      </c>
      <c r="E298" t="s">
        <v>195</v>
      </c>
      <c r="F298" s="14">
        <f>IF(ISNUMBER('Refsz-Verbräuche'!F133), 'Refsz-Verbräuche'!F133*Emissionsfaktoren!E133/1000, 0)</f>
        <v>0</v>
      </c>
      <c r="G298" s="14">
        <f>IF(ISNUMBER('Refsz-Verbräuche'!G133), 'Refsz-Verbräuche'!G133*Emissionsfaktoren!F133/1000, 0)</f>
        <v>0</v>
      </c>
      <c r="H298" s="14">
        <f>IF(ISNUMBER('Refsz-Verbräuche'!H133), 'Refsz-Verbräuche'!H133*Emissionsfaktoren!G133/1000, 0)</f>
        <v>0</v>
      </c>
      <c r="I298" s="14">
        <f>IF(ISNUMBER('Refsz-Verbräuche'!I133), 'Refsz-Verbräuche'!I133*Emissionsfaktoren!H133/1000, 0)</f>
        <v>0</v>
      </c>
      <c r="J298" s="14">
        <f>IF(ISNUMBER('Refsz-Verbräuche'!J133), 'Refsz-Verbräuche'!J133*Emissionsfaktoren!I133/1000, 0)</f>
        <v>0</v>
      </c>
      <c r="K298" s="14">
        <f>IF(ISNUMBER('Refsz-Verbräuche'!K133), 'Refsz-Verbräuche'!K133*Emissionsfaktoren!J133/1000, 0)</f>
        <v>0</v>
      </c>
      <c r="L298" s="14">
        <f>IF(ISNUMBER('Refsz-Verbräuche'!L133), 'Refsz-Verbräuche'!L133*Emissionsfaktoren!K133/1000, 0)</f>
        <v>0</v>
      </c>
      <c r="M298" s="14">
        <f>IF(ISNUMBER('Refsz-Verbräuche'!M133), 'Refsz-Verbräuche'!M133*Emissionsfaktoren!L133/1000, 0)</f>
        <v>0</v>
      </c>
      <c r="N298" s="14">
        <f>IF(ISNUMBER('Refsz-Verbräuche'!N133), 'Refsz-Verbräuche'!N133*Emissionsfaktoren!M133/1000, 0)</f>
        <v>0</v>
      </c>
      <c r="O298" s="14">
        <f>IF(ISNUMBER('Refsz-Verbräuche'!O133), 'Refsz-Verbräuche'!O133*Emissionsfaktoren!N133/1000, 0)</f>
        <v>0</v>
      </c>
      <c r="P298" s="14">
        <f>IF(ISNUMBER('Refsz-Verbräuche'!P133), 'Refsz-Verbräuche'!P133*Emissionsfaktoren!O133/1000, 0)</f>
        <v>0</v>
      </c>
      <c r="Q298" s="14">
        <f>IF(ISNUMBER('Refsz-Verbräuche'!Q133), 'Refsz-Verbräuche'!Q133*Emissionsfaktoren!P133/1000, 0)</f>
        <v>0</v>
      </c>
      <c r="R298" s="14">
        <f>IF(ISNUMBER('Refsz-Verbräuche'!R133), 'Refsz-Verbräuche'!R133*Emissionsfaktoren!Q133/1000, 0)</f>
        <v>0</v>
      </c>
      <c r="S298" s="14">
        <f>IF(ISNUMBER('Refsz-Verbräuche'!S133), 'Refsz-Verbräuche'!S133*Emissionsfaktoren!R133/1000, 0)</f>
        <v>0</v>
      </c>
      <c r="T298" s="14">
        <f>IF(ISNUMBER('Refsz-Verbräuche'!T133), 'Refsz-Verbräuche'!T133*Emissionsfaktoren!S133/1000, 0)</f>
        <v>0</v>
      </c>
      <c r="U298" s="14">
        <f>IF(ISNUMBER('Refsz-Verbräuche'!U133), 'Refsz-Verbräuche'!U133*Emissionsfaktoren!T133/1000, 0)</f>
        <v>0</v>
      </c>
      <c r="V298" s="14">
        <f>IF(ISNUMBER('Refsz-Verbräuche'!V133), 'Refsz-Verbräuche'!V133*Emissionsfaktoren!U133/1000, 0)</f>
        <v>0</v>
      </c>
      <c r="W298" s="14">
        <f>IF(ISNUMBER('Refsz-Verbräuche'!W133), 'Refsz-Verbräuche'!W133*Emissionsfaktoren!V133/1000, 0)</f>
        <v>0</v>
      </c>
      <c r="X298" s="14">
        <f>IF(ISNUMBER('Refsz-Verbräuche'!X133), 'Refsz-Verbräuche'!X133*Emissionsfaktoren!W133/1000, 0)</f>
        <v>0</v>
      </c>
      <c r="Y298" s="14">
        <f>IF(ISNUMBER('Refsz-Verbräuche'!Y133), 'Refsz-Verbräuche'!Y133*Emissionsfaktoren!X133/1000, 0)</f>
        <v>0</v>
      </c>
    </row>
    <row r="299" spans="2:25" ht="16.5">
      <c r="B299" s="14">
        <v>117</v>
      </c>
      <c r="C299" s="14" t="str">
        <f>'Refsz-Verbräuche'!C134</f>
        <v>Baugüter</v>
      </c>
      <c r="D299" s="19" t="str">
        <f>'Refsz-Verbräuche'!D134</f>
        <v>Branntkalk</v>
      </c>
      <c r="E299" t="s">
        <v>195</v>
      </c>
      <c r="F299" s="14">
        <f>IF(ISNUMBER('Refsz-Verbräuche'!F134), 'Refsz-Verbräuche'!F134*Emissionsfaktoren!E134/1000, 0)</f>
        <v>0</v>
      </c>
      <c r="G299" s="14">
        <f>IF(ISNUMBER('Refsz-Verbräuche'!G134), 'Refsz-Verbräuche'!G134*Emissionsfaktoren!F134/1000, 0)</f>
        <v>0</v>
      </c>
      <c r="H299" s="14">
        <f>IF(ISNUMBER('Refsz-Verbräuche'!H134), 'Refsz-Verbräuche'!H134*Emissionsfaktoren!G134/1000, 0)</f>
        <v>0</v>
      </c>
      <c r="I299" s="14">
        <f>IF(ISNUMBER('Refsz-Verbräuche'!I134), 'Refsz-Verbräuche'!I134*Emissionsfaktoren!H134/1000, 0)</f>
        <v>0</v>
      </c>
      <c r="J299" s="14">
        <f>IF(ISNUMBER('Refsz-Verbräuche'!J134), 'Refsz-Verbräuche'!J134*Emissionsfaktoren!I134/1000, 0)</f>
        <v>0</v>
      </c>
      <c r="K299" s="14">
        <f>IF(ISNUMBER('Refsz-Verbräuche'!K134), 'Refsz-Verbräuche'!K134*Emissionsfaktoren!J134/1000, 0)</f>
        <v>0</v>
      </c>
      <c r="L299" s="14">
        <f>IF(ISNUMBER('Refsz-Verbräuche'!L134), 'Refsz-Verbräuche'!L134*Emissionsfaktoren!K134/1000, 0)</f>
        <v>0</v>
      </c>
      <c r="M299" s="14">
        <f>IF(ISNUMBER('Refsz-Verbräuche'!M134), 'Refsz-Verbräuche'!M134*Emissionsfaktoren!L134/1000, 0)</f>
        <v>0</v>
      </c>
      <c r="N299" s="14">
        <f>IF(ISNUMBER('Refsz-Verbräuche'!N134), 'Refsz-Verbräuche'!N134*Emissionsfaktoren!M134/1000, 0)</f>
        <v>0</v>
      </c>
      <c r="O299" s="14">
        <f>IF(ISNUMBER('Refsz-Verbräuche'!O134), 'Refsz-Verbräuche'!O134*Emissionsfaktoren!N134/1000, 0)</f>
        <v>0</v>
      </c>
      <c r="P299" s="14">
        <f>IF(ISNUMBER('Refsz-Verbräuche'!P134), 'Refsz-Verbräuche'!P134*Emissionsfaktoren!O134/1000, 0)</f>
        <v>0</v>
      </c>
      <c r="Q299" s="14">
        <f>IF(ISNUMBER('Refsz-Verbräuche'!Q134), 'Refsz-Verbräuche'!Q134*Emissionsfaktoren!P134/1000, 0)</f>
        <v>0</v>
      </c>
      <c r="R299" s="14">
        <f>IF(ISNUMBER('Refsz-Verbräuche'!R134), 'Refsz-Verbräuche'!R134*Emissionsfaktoren!Q134/1000, 0)</f>
        <v>0</v>
      </c>
      <c r="S299" s="14">
        <f>IF(ISNUMBER('Refsz-Verbräuche'!S134), 'Refsz-Verbräuche'!S134*Emissionsfaktoren!R134/1000, 0)</f>
        <v>0</v>
      </c>
      <c r="T299" s="14">
        <f>IF(ISNUMBER('Refsz-Verbräuche'!T134), 'Refsz-Verbräuche'!T134*Emissionsfaktoren!S134/1000, 0)</f>
        <v>0</v>
      </c>
      <c r="U299" s="14">
        <f>IF(ISNUMBER('Refsz-Verbräuche'!U134), 'Refsz-Verbräuche'!U134*Emissionsfaktoren!T134/1000, 0)</f>
        <v>0</v>
      </c>
      <c r="V299" s="14">
        <f>IF(ISNUMBER('Refsz-Verbräuche'!V134), 'Refsz-Verbräuche'!V134*Emissionsfaktoren!U134/1000, 0)</f>
        <v>0</v>
      </c>
      <c r="W299" s="14">
        <f>IF(ISNUMBER('Refsz-Verbräuche'!W134), 'Refsz-Verbräuche'!W134*Emissionsfaktoren!V134/1000, 0)</f>
        <v>0</v>
      </c>
      <c r="X299" s="14">
        <f>IF(ISNUMBER('Refsz-Verbräuche'!X134), 'Refsz-Verbräuche'!X134*Emissionsfaktoren!W134/1000, 0)</f>
        <v>0</v>
      </c>
      <c r="Y299" s="14">
        <f>IF(ISNUMBER('Refsz-Verbräuche'!Y134), 'Refsz-Verbräuche'!Y134*Emissionsfaktoren!X134/1000, 0)</f>
        <v>0</v>
      </c>
    </row>
    <row r="300" spans="2:25" ht="16.5">
      <c r="B300" s="14">
        <v>118</v>
      </c>
      <c r="C300" s="14" t="str">
        <f>'Refsz-Verbräuche'!C135</f>
        <v>Baugüter</v>
      </c>
      <c r="D300" s="19" t="str">
        <f>'Refsz-Verbräuche'!D135</f>
        <v>Gips</v>
      </c>
      <c r="E300" t="s">
        <v>195</v>
      </c>
      <c r="F300" s="14">
        <f>IF(ISNUMBER('Refsz-Verbräuche'!F135), 'Refsz-Verbräuche'!F135*Emissionsfaktoren!E135/1000, 0)</f>
        <v>0</v>
      </c>
      <c r="G300" s="14">
        <f>IF(ISNUMBER('Refsz-Verbräuche'!G135), 'Refsz-Verbräuche'!G135*Emissionsfaktoren!F135/1000, 0)</f>
        <v>0</v>
      </c>
      <c r="H300" s="14">
        <f>IF(ISNUMBER('Refsz-Verbräuche'!H135), 'Refsz-Verbräuche'!H135*Emissionsfaktoren!G135/1000, 0)</f>
        <v>0</v>
      </c>
      <c r="I300" s="14">
        <f>IF(ISNUMBER('Refsz-Verbräuche'!I135), 'Refsz-Verbräuche'!I135*Emissionsfaktoren!H135/1000, 0)</f>
        <v>0</v>
      </c>
      <c r="J300" s="14">
        <f>IF(ISNUMBER('Refsz-Verbräuche'!J135), 'Refsz-Verbräuche'!J135*Emissionsfaktoren!I135/1000, 0)</f>
        <v>0</v>
      </c>
      <c r="K300" s="14">
        <f>IF(ISNUMBER('Refsz-Verbräuche'!K135), 'Refsz-Verbräuche'!K135*Emissionsfaktoren!J135/1000, 0)</f>
        <v>0</v>
      </c>
      <c r="L300" s="14">
        <f>IF(ISNUMBER('Refsz-Verbräuche'!L135), 'Refsz-Verbräuche'!L135*Emissionsfaktoren!K135/1000, 0)</f>
        <v>0</v>
      </c>
      <c r="M300" s="14">
        <f>IF(ISNUMBER('Refsz-Verbräuche'!M135), 'Refsz-Verbräuche'!M135*Emissionsfaktoren!L135/1000, 0)</f>
        <v>0</v>
      </c>
      <c r="N300" s="14">
        <f>IF(ISNUMBER('Refsz-Verbräuche'!N135), 'Refsz-Verbräuche'!N135*Emissionsfaktoren!M135/1000, 0)</f>
        <v>0</v>
      </c>
      <c r="O300" s="14">
        <f>IF(ISNUMBER('Refsz-Verbräuche'!O135), 'Refsz-Verbräuche'!O135*Emissionsfaktoren!N135/1000, 0)</f>
        <v>0</v>
      </c>
      <c r="P300" s="14">
        <f>IF(ISNUMBER('Refsz-Verbräuche'!P135), 'Refsz-Verbräuche'!P135*Emissionsfaktoren!O135/1000, 0)</f>
        <v>0</v>
      </c>
      <c r="Q300" s="14">
        <f>IF(ISNUMBER('Refsz-Verbräuche'!Q135), 'Refsz-Verbräuche'!Q135*Emissionsfaktoren!P135/1000, 0)</f>
        <v>0</v>
      </c>
      <c r="R300" s="14">
        <f>IF(ISNUMBER('Refsz-Verbräuche'!R135), 'Refsz-Verbräuche'!R135*Emissionsfaktoren!Q135/1000, 0)</f>
        <v>0</v>
      </c>
      <c r="S300" s="14">
        <f>IF(ISNUMBER('Refsz-Verbräuche'!S135), 'Refsz-Verbräuche'!S135*Emissionsfaktoren!R135/1000, 0)</f>
        <v>0</v>
      </c>
      <c r="T300" s="14">
        <f>IF(ISNUMBER('Refsz-Verbräuche'!T135), 'Refsz-Verbräuche'!T135*Emissionsfaktoren!S135/1000, 0)</f>
        <v>0</v>
      </c>
      <c r="U300" s="14">
        <f>IF(ISNUMBER('Refsz-Verbräuche'!U135), 'Refsz-Verbräuche'!U135*Emissionsfaktoren!T135/1000, 0)</f>
        <v>0</v>
      </c>
      <c r="V300" s="14">
        <f>IF(ISNUMBER('Refsz-Verbräuche'!V135), 'Refsz-Verbräuche'!V135*Emissionsfaktoren!U135/1000, 0)</f>
        <v>0</v>
      </c>
      <c r="W300" s="14">
        <f>IF(ISNUMBER('Refsz-Verbräuche'!W135), 'Refsz-Verbräuche'!W135*Emissionsfaktoren!V135/1000, 0)</f>
        <v>0</v>
      </c>
      <c r="X300" s="14">
        <f>IF(ISNUMBER('Refsz-Verbräuche'!X135), 'Refsz-Verbräuche'!X135*Emissionsfaktoren!W135/1000, 0)</f>
        <v>0</v>
      </c>
      <c r="Y300" s="14">
        <f>IF(ISNUMBER('Refsz-Verbräuche'!Y135), 'Refsz-Verbräuche'!Y135*Emissionsfaktoren!X135/1000, 0)</f>
        <v>0</v>
      </c>
    </row>
    <row r="301" spans="2:25" ht="16.5">
      <c r="B301" s="14">
        <v>119</v>
      </c>
      <c r="C301" s="14" t="str">
        <f>'Refsz-Verbräuche'!C136</f>
        <v>Baugüter</v>
      </c>
      <c r="D301" s="19" t="str">
        <f>'Refsz-Verbräuche'!D136</f>
        <v>Gipsplatte</v>
      </c>
      <c r="E301" t="s">
        <v>195</v>
      </c>
      <c r="F301" s="14">
        <f>IF(ISNUMBER('Refsz-Verbräuche'!F136), 'Refsz-Verbräuche'!F136*Emissionsfaktoren!E136/1000, 0)</f>
        <v>0</v>
      </c>
      <c r="G301" s="14">
        <f>IF(ISNUMBER('Refsz-Verbräuche'!G136), 'Refsz-Verbräuche'!G136*Emissionsfaktoren!F136/1000, 0)</f>
        <v>0</v>
      </c>
      <c r="H301" s="14">
        <f>IF(ISNUMBER('Refsz-Verbräuche'!H136), 'Refsz-Verbräuche'!H136*Emissionsfaktoren!G136/1000, 0)</f>
        <v>0</v>
      </c>
      <c r="I301" s="14">
        <f>IF(ISNUMBER('Refsz-Verbräuche'!I136), 'Refsz-Verbräuche'!I136*Emissionsfaktoren!H136/1000, 0)</f>
        <v>0</v>
      </c>
      <c r="J301" s="14">
        <f>IF(ISNUMBER('Refsz-Verbräuche'!J136), 'Refsz-Verbräuche'!J136*Emissionsfaktoren!I136/1000, 0)</f>
        <v>0</v>
      </c>
      <c r="K301" s="14">
        <f>IF(ISNUMBER('Refsz-Verbräuche'!K136), 'Refsz-Verbräuche'!K136*Emissionsfaktoren!J136/1000, 0)</f>
        <v>0</v>
      </c>
      <c r="L301" s="14">
        <f>IF(ISNUMBER('Refsz-Verbräuche'!L136), 'Refsz-Verbräuche'!L136*Emissionsfaktoren!K136/1000, 0)</f>
        <v>0</v>
      </c>
      <c r="M301" s="14">
        <f>IF(ISNUMBER('Refsz-Verbräuche'!M136), 'Refsz-Verbräuche'!M136*Emissionsfaktoren!L136/1000, 0)</f>
        <v>0</v>
      </c>
      <c r="N301" s="14">
        <f>IF(ISNUMBER('Refsz-Verbräuche'!N136), 'Refsz-Verbräuche'!N136*Emissionsfaktoren!M136/1000, 0)</f>
        <v>0</v>
      </c>
      <c r="O301" s="14">
        <f>IF(ISNUMBER('Refsz-Verbräuche'!O136), 'Refsz-Verbräuche'!O136*Emissionsfaktoren!N136/1000, 0)</f>
        <v>0</v>
      </c>
      <c r="P301" s="14">
        <f>IF(ISNUMBER('Refsz-Verbräuche'!P136), 'Refsz-Verbräuche'!P136*Emissionsfaktoren!O136/1000, 0)</f>
        <v>0</v>
      </c>
      <c r="Q301" s="14">
        <f>IF(ISNUMBER('Refsz-Verbräuche'!Q136), 'Refsz-Verbräuche'!Q136*Emissionsfaktoren!P136/1000, 0)</f>
        <v>0</v>
      </c>
      <c r="R301" s="14">
        <f>IF(ISNUMBER('Refsz-Verbräuche'!R136), 'Refsz-Verbräuche'!R136*Emissionsfaktoren!Q136/1000, 0)</f>
        <v>0</v>
      </c>
      <c r="S301" s="14">
        <f>IF(ISNUMBER('Refsz-Verbräuche'!S136), 'Refsz-Verbräuche'!S136*Emissionsfaktoren!R136/1000, 0)</f>
        <v>0</v>
      </c>
      <c r="T301" s="14">
        <f>IF(ISNUMBER('Refsz-Verbräuche'!T136), 'Refsz-Verbräuche'!T136*Emissionsfaktoren!S136/1000, 0)</f>
        <v>0</v>
      </c>
      <c r="U301" s="14">
        <f>IF(ISNUMBER('Refsz-Verbräuche'!U136), 'Refsz-Verbräuche'!U136*Emissionsfaktoren!T136/1000, 0)</f>
        <v>0</v>
      </c>
      <c r="V301" s="14">
        <f>IF(ISNUMBER('Refsz-Verbräuche'!V136), 'Refsz-Verbräuche'!V136*Emissionsfaktoren!U136/1000, 0)</f>
        <v>0</v>
      </c>
      <c r="W301" s="14">
        <f>IF(ISNUMBER('Refsz-Verbräuche'!W136), 'Refsz-Verbräuche'!W136*Emissionsfaktoren!V136/1000, 0)</f>
        <v>0</v>
      </c>
      <c r="X301" s="14">
        <f>IF(ISNUMBER('Refsz-Verbräuche'!X136), 'Refsz-Verbräuche'!X136*Emissionsfaktoren!W136/1000, 0)</f>
        <v>0</v>
      </c>
      <c r="Y301" s="14">
        <f>IF(ISNUMBER('Refsz-Verbräuche'!Y136), 'Refsz-Verbräuche'!Y136*Emissionsfaktoren!X136/1000, 0)</f>
        <v>0</v>
      </c>
    </row>
    <row r="302" spans="2:25" ht="16.5">
      <c r="B302" s="14">
        <v>120</v>
      </c>
      <c r="C302" s="14" t="str">
        <f>'Refsz-Verbräuche'!C137</f>
        <v>Baugüter</v>
      </c>
      <c r="D302" s="19" t="str">
        <f>'Refsz-Verbräuche'!D137</f>
        <v>Glas (flach)</v>
      </c>
      <c r="E302" t="s">
        <v>195</v>
      </c>
      <c r="F302" s="14">
        <f>IF(ISNUMBER('Refsz-Verbräuche'!F137), 'Refsz-Verbräuche'!F137*Emissionsfaktoren!E137/1000, 0)</f>
        <v>0</v>
      </c>
      <c r="G302" s="14">
        <f>IF(ISNUMBER('Refsz-Verbräuche'!G137), 'Refsz-Verbräuche'!G137*Emissionsfaktoren!F137/1000, 0)</f>
        <v>0</v>
      </c>
      <c r="H302" s="14">
        <f>IF(ISNUMBER('Refsz-Verbräuche'!H137), 'Refsz-Verbräuche'!H137*Emissionsfaktoren!G137/1000, 0)</f>
        <v>0</v>
      </c>
      <c r="I302" s="14">
        <f>IF(ISNUMBER('Refsz-Verbräuche'!I137), 'Refsz-Verbräuche'!I137*Emissionsfaktoren!H137/1000, 0)</f>
        <v>0</v>
      </c>
      <c r="J302" s="14">
        <f>IF(ISNUMBER('Refsz-Verbräuche'!J137), 'Refsz-Verbräuche'!J137*Emissionsfaktoren!I137/1000, 0)</f>
        <v>0</v>
      </c>
      <c r="K302" s="14">
        <f>IF(ISNUMBER('Refsz-Verbräuche'!K137), 'Refsz-Verbräuche'!K137*Emissionsfaktoren!J137/1000, 0)</f>
        <v>0</v>
      </c>
      <c r="L302" s="14">
        <f>IF(ISNUMBER('Refsz-Verbräuche'!L137), 'Refsz-Verbräuche'!L137*Emissionsfaktoren!K137/1000, 0)</f>
        <v>0</v>
      </c>
      <c r="M302" s="14">
        <f>IF(ISNUMBER('Refsz-Verbräuche'!M137), 'Refsz-Verbräuche'!M137*Emissionsfaktoren!L137/1000, 0)</f>
        <v>0</v>
      </c>
      <c r="N302" s="14">
        <f>IF(ISNUMBER('Refsz-Verbräuche'!N137), 'Refsz-Verbräuche'!N137*Emissionsfaktoren!M137/1000, 0)</f>
        <v>0</v>
      </c>
      <c r="O302" s="14">
        <f>IF(ISNUMBER('Refsz-Verbräuche'!O137), 'Refsz-Verbräuche'!O137*Emissionsfaktoren!N137/1000, 0)</f>
        <v>0</v>
      </c>
      <c r="P302" s="14">
        <f>IF(ISNUMBER('Refsz-Verbräuche'!P137), 'Refsz-Verbräuche'!P137*Emissionsfaktoren!O137/1000, 0)</f>
        <v>0</v>
      </c>
      <c r="Q302" s="14">
        <f>IF(ISNUMBER('Refsz-Verbräuche'!Q137), 'Refsz-Verbräuche'!Q137*Emissionsfaktoren!P137/1000, 0)</f>
        <v>0</v>
      </c>
      <c r="R302" s="14">
        <f>IF(ISNUMBER('Refsz-Verbräuche'!R137), 'Refsz-Verbräuche'!R137*Emissionsfaktoren!Q137/1000, 0)</f>
        <v>0</v>
      </c>
      <c r="S302" s="14">
        <f>IF(ISNUMBER('Refsz-Verbräuche'!S137), 'Refsz-Verbräuche'!S137*Emissionsfaktoren!R137/1000, 0)</f>
        <v>0</v>
      </c>
      <c r="T302" s="14">
        <f>IF(ISNUMBER('Refsz-Verbräuche'!T137), 'Refsz-Verbräuche'!T137*Emissionsfaktoren!S137/1000, 0)</f>
        <v>0</v>
      </c>
      <c r="U302" s="14">
        <f>IF(ISNUMBER('Refsz-Verbräuche'!U137), 'Refsz-Verbräuche'!U137*Emissionsfaktoren!T137/1000, 0)</f>
        <v>0</v>
      </c>
      <c r="V302" s="14">
        <f>IF(ISNUMBER('Refsz-Verbräuche'!V137), 'Refsz-Verbräuche'!V137*Emissionsfaktoren!U137/1000, 0)</f>
        <v>0</v>
      </c>
      <c r="W302" s="14">
        <f>IF(ISNUMBER('Refsz-Verbräuche'!W137), 'Refsz-Verbräuche'!W137*Emissionsfaktoren!V137/1000, 0)</f>
        <v>0</v>
      </c>
      <c r="X302" s="14">
        <f>IF(ISNUMBER('Refsz-Verbräuche'!X137), 'Refsz-Verbräuche'!X137*Emissionsfaktoren!W137/1000, 0)</f>
        <v>0</v>
      </c>
      <c r="Y302" s="14">
        <f>IF(ISNUMBER('Refsz-Verbräuche'!Y137), 'Refsz-Verbräuche'!Y137*Emissionsfaktoren!X137/1000, 0)</f>
        <v>0</v>
      </c>
    </row>
    <row r="303" spans="2:25" ht="16.5">
      <c r="B303" s="14">
        <v>121</v>
      </c>
      <c r="C303" s="14" t="str">
        <f>'Refsz-Verbräuche'!C138</f>
        <v>Baugüter</v>
      </c>
      <c r="D303" s="19" t="str">
        <f>'Refsz-Verbräuche'!D138</f>
        <v>Gussasphalt</v>
      </c>
      <c r="E303" t="s">
        <v>195</v>
      </c>
      <c r="F303" s="14">
        <f>IF(ISNUMBER('Refsz-Verbräuche'!F138), 'Refsz-Verbräuche'!F138*Emissionsfaktoren!E138/1000, 0)</f>
        <v>0</v>
      </c>
      <c r="G303" s="14">
        <f>IF(ISNUMBER('Refsz-Verbräuche'!G138), 'Refsz-Verbräuche'!G138*Emissionsfaktoren!F138/1000, 0)</f>
        <v>0</v>
      </c>
      <c r="H303" s="14">
        <f>IF(ISNUMBER('Refsz-Verbräuche'!H138), 'Refsz-Verbräuche'!H138*Emissionsfaktoren!G138/1000, 0)</f>
        <v>0</v>
      </c>
      <c r="I303" s="14">
        <f>IF(ISNUMBER('Refsz-Verbräuche'!I138), 'Refsz-Verbräuche'!I138*Emissionsfaktoren!H138/1000, 0)</f>
        <v>0</v>
      </c>
      <c r="J303" s="14">
        <f>IF(ISNUMBER('Refsz-Verbräuche'!J138), 'Refsz-Verbräuche'!J138*Emissionsfaktoren!I138/1000, 0)</f>
        <v>0</v>
      </c>
      <c r="K303" s="14">
        <f>IF(ISNUMBER('Refsz-Verbräuche'!K138), 'Refsz-Verbräuche'!K138*Emissionsfaktoren!J138/1000, 0)</f>
        <v>0</v>
      </c>
      <c r="L303" s="14">
        <f>IF(ISNUMBER('Refsz-Verbräuche'!L138), 'Refsz-Verbräuche'!L138*Emissionsfaktoren!K138/1000, 0)</f>
        <v>0</v>
      </c>
      <c r="M303" s="14">
        <f>IF(ISNUMBER('Refsz-Verbräuche'!M138), 'Refsz-Verbräuche'!M138*Emissionsfaktoren!L138/1000, 0)</f>
        <v>0</v>
      </c>
      <c r="N303" s="14">
        <f>IF(ISNUMBER('Refsz-Verbräuche'!N138), 'Refsz-Verbräuche'!N138*Emissionsfaktoren!M138/1000, 0)</f>
        <v>0</v>
      </c>
      <c r="O303" s="14">
        <f>IF(ISNUMBER('Refsz-Verbräuche'!O138), 'Refsz-Verbräuche'!O138*Emissionsfaktoren!N138/1000, 0)</f>
        <v>0</v>
      </c>
      <c r="P303" s="14">
        <f>IF(ISNUMBER('Refsz-Verbräuche'!P138), 'Refsz-Verbräuche'!P138*Emissionsfaktoren!O138/1000, 0)</f>
        <v>0</v>
      </c>
      <c r="Q303" s="14">
        <f>IF(ISNUMBER('Refsz-Verbräuche'!Q138), 'Refsz-Verbräuche'!Q138*Emissionsfaktoren!P138/1000, 0)</f>
        <v>0</v>
      </c>
      <c r="R303" s="14">
        <f>IF(ISNUMBER('Refsz-Verbräuche'!R138), 'Refsz-Verbräuche'!R138*Emissionsfaktoren!Q138/1000, 0)</f>
        <v>0</v>
      </c>
      <c r="S303" s="14">
        <f>IF(ISNUMBER('Refsz-Verbräuche'!S138), 'Refsz-Verbräuche'!S138*Emissionsfaktoren!R138/1000, 0)</f>
        <v>0</v>
      </c>
      <c r="T303" s="14">
        <f>IF(ISNUMBER('Refsz-Verbräuche'!T138), 'Refsz-Verbräuche'!T138*Emissionsfaktoren!S138/1000, 0)</f>
        <v>0</v>
      </c>
      <c r="U303" s="14">
        <f>IF(ISNUMBER('Refsz-Verbräuche'!U138), 'Refsz-Verbräuche'!U138*Emissionsfaktoren!T138/1000, 0)</f>
        <v>0</v>
      </c>
      <c r="V303" s="14">
        <f>IF(ISNUMBER('Refsz-Verbräuche'!V138), 'Refsz-Verbräuche'!V138*Emissionsfaktoren!U138/1000, 0)</f>
        <v>0</v>
      </c>
      <c r="W303" s="14">
        <f>IF(ISNUMBER('Refsz-Verbräuche'!W138), 'Refsz-Verbräuche'!W138*Emissionsfaktoren!V138/1000, 0)</f>
        <v>0</v>
      </c>
      <c r="X303" s="14">
        <f>IF(ISNUMBER('Refsz-Verbräuche'!X138), 'Refsz-Verbräuche'!X138*Emissionsfaktoren!W138/1000, 0)</f>
        <v>0</v>
      </c>
      <c r="Y303" s="14">
        <f>IF(ISNUMBER('Refsz-Verbräuche'!Y138), 'Refsz-Verbräuche'!Y138*Emissionsfaktoren!X138/1000, 0)</f>
        <v>0</v>
      </c>
    </row>
    <row r="304" spans="2:25" ht="16.5">
      <c r="B304" s="14">
        <v>122</v>
      </c>
      <c r="C304" s="14" t="str">
        <f>'Refsz-Verbräuche'!C139</f>
        <v>Baugüter</v>
      </c>
      <c r="D304" s="19" t="str">
        <f>'Refsz-Verbräuche'!D139</f>
        <v>Kalksandstein</v>
      </c>
      <c r="E304" t="s">
        <v>195</v>
      </c>
      <c r="F304" s="14">
        <f>IF(ISNUMBER('Refsz-Verbräuche'!F139), 'Refsz-Verbräuche'!F139*Emissionsfaktoren!E139/1000, 0)</f>
        <v>0</v>
      </c>
      <c r="G304" s="14">
        <f>IF(ISNUMBER('Refsz-Verbräuche'!G139), 'Refsz-Verbräuche'!G139*Emissionsfaktoren!F139/1000, 0)</f>
        <v>0</v>
      </c>
      <c r="H304" s="14">
        <f>IF(ISNUMBER('Refsz-Verbräuche'!H139), 'Refsz-Verbräuche'!H139*Emissionsfaktoren!G139/1000, 0)</f>
        <v>0</v>
      </c>
      <c r="I304" s="14">
        <f>IF(ISNUMBER('Refsz-Verbräuche'!I139), 'Refsz-Verbräuche'!I139*Emissionsfaktoren!H139/1000, 0)</f>
        <v>0</v>
      </c>
      <c r="J304" s="14">
        <f>IF(ISNUMBER('Refsz-Verbräuche'!J139), 'Refsz-Verbräuche'!J139*Emissionsfaktoren!I139/1000, 0)</f>
        <v>0</v>
      </c>
      <c r="K304" s="14">
        <f>IF(ISNUMBER('Refsz-Verbräuche'!K139), 'Refsz-Verbräuche'!K139*Emissionsfaktoren!J139/1000, 0)</f>
        <v>0</v>
      </c>
      <c r="L304" s="14">
        <f>IF(ISNUMBER('Refsz-Verbräuche'!L139), 'Refsz-Verbräuche'!L139*Emissionsfaktoren!K139/1000, 0)</f>
        <v>0</v>
      </c>
      <c r="M304" s="14">
        <f>IF(ISNUMBER('Refsz-Verbräuche'!M139), 'Refsz-Verbräuche'!M139*Emissionsfaktoren!L139/1000, 0)</f>
        <v>0</v>
      </c>
      <c r="N304" s="14">
        <f>IF(ISNUMBER('Refsz-Verbräuche'!N139), 'Refsz-Verbräuche'!N139*Emissionsfaktoren!M139/1000, 0)</f>
        <v>0</v>
      </c>
      <c r="O304" s="14">
        <f>IF(ISNUMBER('Refsz-Verbräuche'!O139), 'Refsz-Verbräuche'!O139*Emissionsfaktoren!N139/1000, 0)</f>
        <v>0</v>
      </c>
      <c r="P304" s="14">
        <f>IF(ISNUMBER('Refsz-Verbräuche'!P139), 'Refsz-Verbräuche'!P139*Emissionsfaktoren!O139/1000, 0)</f>
        <v>0</v>
      </c>
      <c r="Q304" s="14">
        <f>IF(ISNUMBER('Refsz-Verbräuche'!Q139), 'Refsz-Verbräuche'!Q139*Emissionsfaktoren!P139/1000, 0)</f>
        <v>0</v>
      </c>
      <c r="R304" s="14">
        <f>IF(ISNUMBER('Refsz-Verbräuche'!R139), 'Refsz-Verbräuche'!R139*Emissionsfaktoren!Q139/1000, 0)</f>
        <v>0</v>
      </c>
      <c r="S304" s="14">
        <f>IF(ISNUMBER('Refsz-Verbräuche'!S139), 'Refsz-Verbräuche'!S139*Emissionsfaktoren!R139/1000, 0)</f>
        <v>0</v>
      </c>
      <c r="T304" s="14">
        <f>IF(ISNUMBER('Refsz-Verbräuche'!T139), 'Refsz-Verbräuche'!T139*Emissionsfaktoren!S139/1000, 0)</f>
        <v>0</v>
      </c>
      <c r="U304" s="14">
        <f>IF(ISNUMBER('Refsz-Verbräuche'!U139), 'Refsz-Verbräuche'!U139*Emissionsfaktoren!T139/1000, 0)</f>
        <v>0</v>
      </c>
      <c r="V304" s="14">
        <f>IF(ISNUMBER('Refsz-Verbräuche'!V139), 'Refsz-Verbräuche'!V139*Emissionsfaktoren!U139/1000, 0)</f>
        <v>0</v>
      </c>
      <c r="W304" s="14">
        <f>IF(ISNUMBER('Refsz-Verbräuche'!W139), 'Refsz-Verbräuche'!W139*Emissionsfaktoren!V139/1000, 0)</f>
        <v>0</v>
      </c>
      <c r="X304" s="14">
        <f>IF(ISNUMBER('Refsz-Verbräuche'!X139), 'Refsz-Verbräuche'!X139*Emissionsfaktoren!W139/1000, 0)</f>
        <v>0</v>
      </c>
      <c r="Y304" s="14">
        <f>IF(ISNUMBER('Refsz-Verbräuche'!Y139), 'Refsz-Verbräuche'!Y139*Emissionsfaktoren!X139/1000, 0)</f>
        <v>0</v>
      </c>
    </row>
    <row r="305" spans="2:25" ht="16.5">
      <c r="B305" s="14">
        <v>123</v>
      </c>
      <c r="C305" s="14" t="str">
        <f>'Refsz-Verbräuche'!C140</f>
        <v>Baugüter</v>
      </c>
      <c r="D305" s="19" t="str">
        <f>'Refsz-Verbräuche'!D140</f>
        <v>Porenbetonstein</v>
      </c>
      <c r="E305" t="s">
        <v>195</v>
      </c>
      <c r="F305" s="14">
        <f>IF(ISNUMBER('Refsz-Verbräuche'!F140), 'Refsz-Verbräuche'!F140*Emissionsfaktoren!E140/1000, 0)</f>
        <v>0</v>
      </c>
      <c r="G305" s="14">
        <f>IF(ISNUMBER('Refsz-Verbräuche'!G140), 'Refsz-Verbräuche'!G140*Emissionsfaktoren!F140/1000, 0)</f>
        <v>0</v>
      </c>
      <c r="H305" s="14">
        <f>IF(ISNUMBER('Refsz-Verbräuche'!H140), 'Refsz-Verbräuche'!H140*Emissionsfaktoren!G140/1000, 0)</f>
        <v>0</v>
      </c>
      <c r="I305" s="14">
        <f>IF(ISNUMBER('Refsz-Verbräuche'!I140), 'Refsz-Verbräuche'!I140*Emissionsfaktoren!H140/1000, 0)</f>
        <v>0</v>
      </c>
      <c r="J305" s="14">
        <f>IF(ISNUMBER('Refsz-Verbräuche'!J140), 'Refsz-Verbräuche'!J140*Emissionsfaktoren!I140/1000, 0)</f>
        <v>0</v>
      </c>
      <c r="K305" s="14">
        <f>IF(ISNUMBER('Refsz-Verbräuche'!K140), 'Refsz-Verbräuche'!K140*Emissionsfaktoren!J140/1000, 0)</f>
        <v>0</v>
      </c>
      <c r="L305" s="14">
        <f>IF(ISNUMBER('Refsz-Verbräuche'!L140), 'Refsz-Verbräuche'!L140*Emissionsfaktoren!K140/1000, 0)</f>
        <v>0</v>
      </c>
      <c r="M305" s="14">
        <f>IF(ISNUMBER('Refsz-Verbräuche'!M140), 'Refsz-Verbräuche'!M140*Emissionsfaktoren!L140/1000, 0)</f>
        <v>0</v>
      </c>
      <c r="N305" s="14">
        <f>IF(ISNUMBER('Refsz-Verbräuche'!N140), 'Refsz-Verbräuche'!N140*Emissionsfaktoren!M140/1000, 0)</f>
        <v>0</v>
      </c>
      <c r="O305" s="14">
        <f>IF(ISNUMBER('Refsz-Verbräuche'!O140), 'Refsz-Verbräuche'!O140*Emissionsfaktoren!N140/1000, 0)</f>
        <v>0</v>
      </c>
      <c r="P305" s="14">
        <f>IF(ISNUMBER('Refsz-Verbräuche'!P140), 'Refsz-Verbräuche'!P140*Emissionsfaktoren!O140/1000, 0)</f>
        <v>0</v>
      </c>
      <c r="Q305" s="14">
        <f>IF(ISNUMBER('Refsz-Verbräuche'!Q140), 'Refsz-Verbräuche'!Q140*Emissionsfaktoren!P140/1000, 0)</f>
        <v>0</v>
      </c>
      <c r="R305" s="14">
        <f>IF(ISNUMBER('Refsz-Verbräuche'!R140), 'Refsz-Verbräuche'!R140*Emissionsfaktoren!Q140/1000, 0)</f>
        <v>0</v>
      </c>
      <c r="S305" s="14">
        <f>IF(ISNUMBER('Refsz-Verbräuche'!S140), 'Refsz-Verbräuche'!S140*Emissionsfaktoren!R140/1000, 0)</f>
        <v>0</v>
      </c>
      <c r="T305" s="14">
        <f>IF(ISNUMBER('Refsz-Verbräuche'!T140), 'Refsz-Verbräuche'!T140*Emissionsfaktoren!S140/1000, 0)</f>
        <v>0</v>
      </c>
      <c r="U305" s="14">
        <f>IF(ISNUMBER('Refsz-Verbräuche'!U140), 'Refsz-Verbräuche'!U140*Emissionsfaktoren!T140/1000, 0)</f>
        <v>0</v>
      </c>
      <c r="V305" s="14">
        <f>IF(ISNUMBER('Refsz-Verbräuche'!V140), 'Refsz-Verbräuche'!V140*Emissionsfaktoren!U140/1000, 0)</f>
        <v>0</v>
      </c>
      <c r="W305" s="14">
        <f>IF(ISNUMBER('Refsz-Verbräuche'!W140), 'Refsz-Verbräuche'!W140*Emissionsfaktoren!V140/1000, 0)</f>
        <v>0</v>
      </c>
      <c r="X305" s="14">
        <f>IF(ISNUMBER('Refsz-Verbräuche'!X140), 'Refsz-Verbräuche'!X140*Emissionsfaktoren!W140/1000, 0)</f>
        <v>0</v>
      </c>
      <c r="Y305" s="14">
        <f>IF(ISNUMBER('Refsz-Verbräuche'!Y140), 'Refsz-Verbräuche'!Y140*Emissionsfaktoren!X140/1000, 0)</f>
        <v>0</v>
      </c>
    </row>
    <row r="306" spans="2:25" ht="16.5">
      <c r="B306" s="14">
        <v>124</v>
      </c>
      <c r="C306" s="14" t="str">
        <f>'Refsz-Verbräuche'!C141</f>
        <v>Baugüter</v>
      </c>
      <c r="D306" s="19" t="str">
        <f>'Refsz-Verbräuche'!D141</f>
        <v>Steinwolle</v>
      </c>
      <c r="E306" t="s">
        <v>195</v>
      </c>
      <c r="F306" s="14">
        <f>IF(ISNUMBER('Refsz-Verbräuche'!F141), 'Refsz-Verbräuche'!F141*Emissionsfaktoren!E141/1000, 0)</f>
        <v>0</v>
      </c>
      <c r="G306" s="14">
        <f>IF(ISNUMBER('Refsz-Verbräuche'!G141), 'Refsz-Verbräuche'!G141*Emissionsfaktoren!F141/1000, 0)</f>
        <v>0</v>
      </c>
      <c r="H306" s="14">
        <f>IF(ISNUMBER('Refsz-Verbräuche'!H141), 'Refsz-Verbräuche'!H141*Emissionsfaktoren!G141/1000, 0)</f>
        <v>0</v>
      </c>
      <c r="I306" s="14">
        <f>IF(ISNUMBER('Refsz-Verbräuche'!I141), 'Refsz-Verbräuche'!I141*Emissionsfaktoren!H141/1000, 0)</f>
        <v>0</v>
      </c>
      <c r="J306" s="14">
        <f>IF(ISNUMBER('Refsz-Verbräuche'!J141), 'Refsz-Verbräuche'!J141*Emissionsfaktoren!I141/1000, 0)</f>
        <v>0</v>
      </c>
      <c r="K306" s="14">
        <f>IF(ISNUMBER('Refsz-Verbräuche'!K141), 'Refsz-Verbräuche'!K141*Emissionsfaktoren!J141/1000, 0)</f>
        <v>0</v>
      </c>
      <c r="L306" s="14">
        <f>IF(ISNUMBER('Refsz-Verbräuche'!L141), 'Refsz-Verbräuche'!L141*Emissionsfaktoren!K141/1000, 0)</f>
        <v>0</v>
      </c>
      <c r="M306" s="14">
        <f>IF(ISNUMBER('Refsz-Verbräuche'!M141), 'Refsz-Verbräuche'!M141*Emissionsfaktoren!L141/1000, 0)</f>
        <v>0</v>
      </c>
      <c r="N306" s="14">
        <f>IF(ISNUMBER('Refsz-Verbräuche'!N141), 'Refsz-Verbräuche'!N141*Emissionsfaktoren!M141/1000, 0)</f>
        <v>0</v>
      </c>
      <c r="O306" s="14">
        <f>IF(ISNUMBER('Refsz-Verbräuche'!O141), 'Refsz-Verbräuche'!O141*Emissionsfaktoren!N141/1000, 0)</f>
        <v>0</v>
      </c>
      <c r="P306" s="14">
        <f>IF(ISNUMBER('Refsz-Verbräuche'!P141), 'Refsz-Verbräuche'!P141*Emissionsfaktoren!O141/1000, 0)</f>
        <v>0</v>
      </c>
      <c r="Q306" s="14">
        <f>IF(ISNUMBER('Refsz-Verbräuche'!Q141), 'Refsz-Verbräuche'!Q141*Emissionsfaktoren!P141/1000, 0)</f>
        <v>0</v>
      </c>
      <c r="R306" s="14">
        <f>IF(ISNUMBER('Refsz-Verbräuche'!R141), 'Refsz-Verbräuche'!R141*Emissionsfaktoren!Q141/1000, 0)</f>
        <v>0</v>
      </c>
      <c r="S306" s="14">
        <f>IF(ISNUMBER('Refsz-Verbräuche'!S141), 'Refsz-Verbräuche'!S141*Emissionsfaktoren!R141/1000, 0)</f>
        <v>0</v>
      </c>
      <c r="T306" s="14">
        <f>IF(ISNUMBER('Refsz-Verbräuche'!T141), 'Refsz-Verbräuche'!T141*Emissionsfaktoren!S141/1000, 0)</f>
        <v>0</v>
      </c>
      <c r="U306" s="14">
        <f>IF(ISNUMBER('Refsz-Verbräuche'!U141), 'Refsz-Verbräuche'!U141*Emissionsfaktoren!T141/1000, 0)</f>
        <v>0</v>
      </c>
      <c r="V306" s="14">
        <f>IF(ISNUMBER('Refsz-Verbräuche'!V141), 'Refsz-Verbräuche'!V141*Emissionsfaktoren!U141/1000, 0)</f>
        <v>0</v>
      </c>
      <c r="W306" s="14">
        <f>IF(ISNUMBER('Refsz-Verbräuche'!W141), 'Refsz-Verbräuche'!W141*Emissionsfaktoren!V141/1000, 0)</f>
        <v>0</v>
      </c>
      <c r="X306" s="14">
        <f>IF(ISNUMBER('Refsz-Verbräuche'!X141), 'Refsz-Verbräuche'!X141*Emissionsfaktoren!W141/1000, 0)</f>
        <v>0</v>
      </c>
      <c r="Y306" s="14">
        <f>IF(ISNUMBER('Refsz-Verbräuche'!Y141), 'Refsz-Verbräuche'!Y141*Emissionsfaktoren!X141/1000, 0)</f>
        <v>0</v>
      </c>
    </row>
    <row r="307" spans="2:25" ht="16.5">
      <c r="B307" s="14">
        <v>125</v>
      </c>
      <c r="C307" s="14" t="str">
        <f>'Refsz-Verbräuche'!C142</f>
        <v>Baugüter</v>
      </c>
      <c r="D307" s="19" t="str">
        <f>'Refsz-Verbräuche'!D142</f>
        <v>Tonziegel (fürs Dach)</v>
      </c>
      <c r="E307" t="s">
        <v>195</v>
      </c>
      <c r="F307" s="14">
        <f>IF(ISNUMBER('Refsz-Verbräuche'!F142), 'Refsz-Verbräuche'!F142*Emissionsfaktoren!E142/1000, 0)</f>
        <v>0</v>
      </c>
      <c r="G307" s="14">
        <f>IF(ISNUMBER('Refsz-Verbräuche'!G142), 'Refsz-Verbräuche'!G142*Emissionsfaktoren!F142/1000, 0)</f>
        <v>0</v>
      </c>
      <c r="H307" s="14">
        <f>IF(ISNUMBER('Refsz-Verbräuche'!H142), 'Refsz-Verbräuche'!H142*Emissionsfaktoren!G142/1000, 0)</f>
        <v>0</v>
      </c>
      <c r="I307" s="14">
        <f>IF(ISNUMBER('Refsz-Verbräuche'!I142), 'Refsz-Verbräuche'!I142*Emissionsfaktoren!H142/1000, 0)</f>
        <v>0</v>
      </c>
      <c r="J307" s="14">
        <f>IF(ISNUMBER('Refsz-Verbräuche'!J142), 'Refsz-Verbräuche'!J142*Emissionsfaktoren!I142/1000, 0)</f>
        <v>0</v>
      </c>
      <c r="K307" s="14">
        <f>IF(ISNUMBER('Refsz-Verbräuche'!K142), 'Refsz-Verbräuche'!K142*Emissionsfaktoren!J142/1000, 0)</f>
        <v>0</v>
      </c>
      <c r="L307" s="14">
        <f>IF(ISNUMBER('Refsz-Verbräuche'!L142), 'Refsz-Verbräuche'!L142*Emissionsfaktoren!K142/1000, 0)</f>
        <v>0</v>
      </c>
      <c r="M307" s="14">
        <f>IF(ISNUMBER('Refsz-Verbräuche'!M142), 'Refsz-Verbräuche'!M142*Emissionsfaktoren!L142/1000, 0)</f>
        <v>0</v>
      </c>
      <c r="N307" s="14">
        <f>IF(ISNUMBER('Refsz-Verbräuche'!N142), 'Refsz-Verbräuche'!N142*Emissionsfaktoren!M142/1000, 0)</f>
        <v>0</v>
      </c>
      <c r="O307" s="14">
        <f>IF(ISNUMBER('Refsz-Verbräuche'!O142), 'Refsz-Verbräuche'!O142*Emissionsfaktoren!N142/1000, 0)</f>
        <v>0</v>
      </c>
      <c r="P307" s="14">
        <f>IF(ISNUMBER('Refsz-Verbräuche'!P142), 'Refsz-Verbräuche'!P142*Emissionsfaktoren!O142/1000, 0)</f>
        <v>0</v>
      </c>
      <c r="Q307" s="14">
        <f>IF(ISNUMBER('Refsz-Verbräuche'!Q142), 'Refsz-Verbräuche'!Q142*Emissionsfaktoren!P142/1000, 0)</f>
        <v>0</v>
      </c>
      <c r="R307" s="14">
        <f>IF(ISNUMBER('Refsz-Verbräuche'!R142), 'Refsz-Verbräuche'!R142*Emissionsfaktoren!Q142/1000, 0)</f>
        <v>0</v>
      </c>
      <c r="S307" s="14">
        <f>IF(ISNUMBER('Refsz-Verbräuche'!S142), 'Refsz-Verbräuche'!S142*Emissionsfaktoren!R142/1000, 0)</f>
        <v>0</v>
      </c>
      <c r="T307" s="14">
        <f>IF(ISNUMBER('Refsz-Verbräuche'!T142), 'Refsz-Verbräuche'!T142*Emissionsfaktoren!S142/1000, 0)</f>
        <v>0</v>
      </c>
      <c r="U307" s="14">
        <f>IF(ISNUMBER('Refsz-Verbräuche'!U142), 'Refsz-Verbräuche'!U142*Emissionsfaktoren!T142/1000, 0)</f>
        <v>0</v>
      </c>
      <c r="V307" s="14">
        <f>IF(ISNUMBER('Refsz-Verbräuche'!V142), 'Refsz-Verbräuche'!V142*Emissionsfaktoren!U142/1000, 0)</f>
        <v>0</v>
      </c>
      <c r="W307" s="14">
        <f>IF(ISNUMBER('Refsz-Verbräuche'!W142), 'Refsz-Verbräuche'!W142*Emissionsfaktoren!V142/1000, 0)</f>
        <v>0</v>
      </c>
      <c r="X307" s="14">
        <f>IF(ISNUMBER('Refsz-Verbräuche'!X142), 'Refsz-Verbräuche'!X142*Emissionsfaktoren!W142/1000, 0)</f>
        <v>0</v>
      </c>
      <c r="Y307" s="14">
        <f>IF(ISNUMBER('Refsz-Verbräuche'!Y142), 'Refsz-Verbräuche'!Y142*Emissionsfaktoren!X142/1000, 0)</f>
        <v>0</v>
      </c>
    </row>
    <row r="308" spans="2:25" ht="16.5">
      <c r="B308" s="14">
        <v>126</v>
      </c>
      <c r="C308" s="14" t="str">
        <f>'Refsz-Verbräuche'!C143</f>
        <v>Baugüter</v>
      </c>
      <c r="D308" s="19" t="str">
        <f>'Refsz-Verbräuche'!D143</f>
        <v>Zement (Portland)</v>
      </c>
      <c r="E308" t="s">
        <v>195</v>
      </c>
      <c r="F308" s="14">
        <f>IF(ISNUMBER('Refsz-Verbräuche'!F143), 'Refsz-Verbräuche'!F143*Emissionsfaktoren!E143/1000, 0)</f>
        <v>0</v>
      </c>
      <c r="G308" s="14">
        <f>IF(ISNUMBER('Refsz-Verbräuche'!G143), 'Refsz-Verbräuche'!G143*Emissionsfaktoren!F143/1000, 0)</f>
        <v>0</v>
      </c>
      <c r="H308" s="14">
        <f>IF(ISNUMBER('Refsz-Verbräuche'!H143), 'Refsz-Verbräuche'!H143*Emissionsfaktoren!G143/1000, 0)</f>
        <v>0</v>
      </c>
      <c r="I308" s="14">
        <f>IF(ISNUMBER('Refsz-Verbräuche'!I143), 'Refsz-Verbräuche'!I143*Emissionsfaktoren!H143/1000, 0)</f>
        <v>0</v>
      </c>
      <c r="J308" s="14">
        <f>IF(ISNUMBER('Refsz-Verbräuche'!J143), 'Refsz-Verbräuche'!J143*Emissionsfaktoren!I143/1000, 0)</f>
        <v>0</v>
      </c>
      <c r="K308" s="14">
        <f>IF(ISNUMBER('Refsz-Verbräuche'!K143), 'Refsz-Verbräuche'!K143*Emissionsfaktoren!J143/1000, 0)</f>
        <v>0</v>
      </c>
      <c r="L308" s="14">
        <f>IF(ISNUMBER('Refsz-Verbräuche'!L143), 'Refsz-Verbräuche'!L143*Emissionsfaktoren!K143/1000, 0)</f>
        <v>0</v>
      </c>
      <c r="M308" s="14">
        <f>IF(ISNUMBER('Refsz-Verbräuche'!M143), 'Refsz-Verbräuche'!M143*Emissionsfaktoren!L143/1000, 0)</f>
        <v>0</v>
      </c>
      <c r="N308" s="14">
        <f>IF(ISNUMBER('Refsz-Verbräuche'!N143), 'Refsz-Verbräuche'!N143*Emissionsfaktoren!M143/1000, 0)</f>
        <v>0</v>
      </c>
      <c r="O308" s="14">
        <f>IF(ISNUMBER('Refsz-Verbräuche'!O143), 'Refsz-Verbräuche'!O143*Emissionsfaktoren!N143/1000, 0)</f>
        <v>0</v>
      </c>
      <c r="P308" s="14">
        <f>IF(ISNUMBER('Refsz-Verbräuche'!P143), 'Refsz-Verbräuche'!P143*Emissionsfaktoren!O143/1000, 0)</f>
        <v>0</v>
      </c>
      <c r="Q308" s="14">
        <f>IF(ISNUMBER('Refsz-Verbräuche'!Q143), 'Refsz-Verbräuche'!Q143*Emissionsfaktoren!P143/1000, 0)</f>
        <v>0</v>
      </c>
      <c r="R308" s="14">
        <f>IF(ISNUMBER('Refsz-Verbräuche'!R143), 'Refsz-Verbräuche'!R143*Emissionsfaktoren!Q143/1000, 0)</f>
        <v>0</v>
      </c>
      <c r="S308" s="14">
        <f>IF(ISNUMBER('Refsz-Verbräuche'!S143), 'Refsz-Verbräuche'!S143*Emissionsfaktoren!R143/1000, 0)</f>
        <v>0</v>
      </c>
      <c r="T308" s="14">
        <f>IF(ISNUMBER('Refsz-Verbräuche'!T143), 'Refsz-Verbräuche'!T143*Emissionsfaktoren!S143/1000, 0)</f>
        <v>0</v>
      </c>
      <c r="U308" s="14">
        <f>IF(ISNUMBER('Refsz-Verbräuche'!U143), 'Refsz-Verbräuche'!U143*Emissionsfaktoren!T143/1000, 0)</f>
        <v>0</v>
      </c>
      <c r="V308" s="14">
        <f>IF(ISNUMBER('Refsz-Verbräuche'!V143), 'Refsz-Verbräuche'!V143*Emissionsfaktoren!U143/1000, 0)</f>
        <v>0</v>
      </c>
      <c r="W308" s="14">
        <f>IF(ISNUMBER('Refsz-Verbräuche'!W143), 'Refsz-Verbräuche'!W143*Emissionsfaktoren!V143/1000, 0)</f>
        <v>0</v>
      </c>
      <c r="X308" s="14">
        <f>IF(ISNUMBER('Refsz-Verbräuche'!X143), 'Refsz-Verbräuche'!X143*Emissionsfaktoren!W143/1000, 0)</f>
        <v>0</v>
      </c>
      <c r="Y308" s="14">
        <f>IF(ISNUMBER('Refsz-Verbräuche'!Y143), 'Refsz-Verbräuche'!Y143*Emissionsfaktoren!X143/1000, 0)</f>
        <v>0</v>
      </c>
    </row>
    <row r="309" spans="2:25" ht="16.5">
      <c r="B309" s="14">
        <v>127</v>
      </c>
      <c r="C309" s="14" t="str">
        <f>'Refsz-Verbräuche'!C144</f>
        <v>Baugüter</v>
      </c>
      <c r="D309" s="19" t="str">
        <f>'Refsz-Verbräuche'!D144</f>
        <v>Kies</v>
      </c>
      <c r="E309" t="s">
        <v>195</v>
      </c>
      <c r="F309" s="14">
        <f>IF(ISNUMBER('Refsz-Verbräuche'!F144), 'Refsz-Verbräuche'!F144*Emissionsfaktoren!E144/1000, 0)</f>
        <v>0</v>
      </c>
      <c r="G309" s="14">
        <f>IF(ISNUMBER('Refsz-Verbräuche'!G144), 'Refsz-Verbräuche'!G144*Emissionsfaktoren!F144/1000, 0)</f>
        <v>0</v>
      </c>
      <c r="H309" s="14">
        <f>IF(ISNUMBER('Refsz-Verbräuche'!H144), 'Refsz-Verbräuche'!H144*Emissionsfaktoren!G144/1000, 0)</f>
        <v>0</v>
      </c>
      <c r="I309" s="14">
        <f>IF(ISNUMBER('Refsz-Verbräuche'!I144), 'Refsz-Verbräuche'!I144*Emissionsfaktoren!H144/1000, 0)</f>
        <v>0</v>
      </c>
      <c r="J309" s="14">
        <f>IF(ISNUMBER('Refsz-Verbräuche'!J144), 'Refsz-Verbräuche'!J144*Emissionsfaktoren!I144/1000, 0)</f>
        <v>0</v>
      </c>
      <c r="K309" s="14">
        <f>IF(ISNUMBER('Refsz-Verbräuche'!K144), 'Refsz-Verbräuche'!K144*Emissionsfaktoren!J144/1000, 0)</f>
        <v>0</v>
      </c>
      <c r="L309" s="14">
        <f>IF(ISNUMBER('Refsz-Verbräuche'!L144), 'Refsz-Verbräuche'!L144*Emissionsfaktoren!K144/1000, 0)</f>
        <v>0</v>
      </c>
      <c r="M309" s="14">
        <f>IF(ISNUMBER('Refsz-Verbräuche'!M144), 'Refsz-Verbräuche'!M144*Emissionsfaktoren!L144/1000, 0)</f>
        <v>0</v>
      </c>
      <c r="N309" s="14">
        <f>IF(ISNUMBER('Refsz-Verbräuche'!N144), 'Refsz-Verbräuche'!N144*Emissionsfaktoren!M144/1000, 0)</f>
        <v>0</v>
      </c>
      <c r="O309" s="14">
        <f>IF(ISNUMBER('Refsz-Verbräuche'!O144), 'Refsz-Verbräuche'!O144*Emissionsfaktoren!N144/1000, 0)</f>
        <v>0</v>
      </c>
      <c r="P309" s="14">
        <f>IF(ISNUMBER('Refsz-Verbräuche'!P144), 'Refsz-Verbräuche'!P144*Emissionsfaktoren!O144/1000, 0)</f>
        <v>0</v>
      </c>
      <c r="Q309" s="14">
        <f>IF(ISNUMBER('Refsz-Verbräuche'!Q144), 'Refsz-Verbräuche'!Q144*Emissionsfaktoren!P144/1000, 0)</f>
        <v>0</v>
      </c>
      <c r="R309" s="14">
        <f>IF(ISNUMBER('Refsz-Verbräuche'!R144), 'Refsz-Verbräuche'!R144*Emissionsfaktoren!Q144/1000, 0)</f>
        <v>0</v>
      </c>
      <c r="S309" s="14">
        <f>IF(ISNUMBER('Refsz-Verbräuche'!S144), 'Refsz-Verbräuche'!S144*Emissionsfaktoren!R144/1000, 0)</f>
        <v>0</v>
      </c>
      <c r="T309" s="14">
        <f>IF(ISNUMBER('Refsz-Verbräuche'!T144), 'Refsz-Verbräuche'!T144*Emissionsfaktoren!S144/1000, 0)</f>
        <v>0</v>
      </c>
      <c r="U309" s="14">
        <f>IF(ISNUMBER('Refsz-Verbräuche'!U144), 'Refsz-Verbräuche'!U144*Emissionsfaktoren!T144/1000, 0)</f>
        <v>0</v>
      </c>
      <c r="V309" s="14">
        <f>IF(ISNUMBER('Refsz-Verbräuche'!V144), 'Refsz-Verbräuche'!V144*Emissionsfaktoren!U144/1000, 0)</f>
        <v>0</v>
      </c>
      <c r="W309" s="14">
        <f>IF(ISNUMBER('Refsz-Verbräuche'!W144), 'Refsz-Verbräuche'!W144*Emissionsfaktoren!V144/1000, 0)</f>
        <v>0</v>
      </c>
      <c r="X309" s="14">
        <f>IF(ISNUMBER('Refsz-Verbräuche'!X144), 'Refsz-Verbräuche'!X144*Emissionsfaktoren!W144/1000, 0)</f>
        <v>0</v>
      </c>
      <c r="Y309" s="14">
        <f>IF(ISNUMBER('Refsz-Verbräuche'!Y144), 'Refsz-Verbräuche'!Y144*Emissionsfaktoren!X144/1000, 0)</f>
        <v>0</v>
      </c>
    </row>
    <row r="310" spans="2:25" ht="16.5">
      <c r="B310" s="14">
        <v>128</v>
      </c>
      <c r="C310" s="14" t="str">
        <f>'Refsz-Verbräuche'!C145</f>
        <v>Baugüter</v>
      </c>
      <c r="D310" s="19" t="str">
        <f>'Refsz-Verbräuche'!D145</f>
        <v>Sand</v>
      </c>
      <c r="E310" t="s">
        <v>195</v>
      </c>
      <c r="F310" s="14">
        <f>IF(ISNUMBER('Refsz-Verbräuche'!F145), 'Refsz-Verbräuche'!F145*Emissionsfaktoren!E145/1000, 0)</f>
        <v>0</v>
      </c>
      <c r="G310" s="14">
        <f>IF(ISNUMBER('Refsz-Verbräuche'!G145), 'Refsz-Verbräuche'!G145*Emissionsfaktoren!F145/1000, 0)</f>
        <v>0</v>
      </c>
      <c r="H310" s="14">
        <f>IF(ISNUMBER('Refsz-Verbräuche'!H145), 'Refsz-Verbräuche'!H145*Emissionsfaktoren!G145/1000, 0)</f>
        <v>0</v>
      </c>
      <c r="I310" s="14">
        <f>IF(ISNUMBER('Refsz-Verbräuche'!I145), 'Refsz-Verbräuche'!I145*Emissionsfaktoren!H145/1000, 0)</f>
        <v>0</v>
      </c>
      <c r="J310" s="14">
        <f>IF(ISNUMBER('Refsz-Verbräuche'!J145), 'Refsz-Verbräuche'!J145*Emissionsfaktoren!I145/1000, 0)</f>
        <v>0</v>
      </c>
      <c r="K310" s="14">
        <f>IF(ISNUMBER('Refsz-Verbräuche'!K145), 'Refsz-Verbräuche'!K145*Emissionsfaktoren!J145/1000, 0)</f>
        <v>0</v>
      </c>
      <c r="L310" s="14">
        <f>IF(ISNUMBER('Refsz-Verbräuche'!L145), 'Refsz-Verbräuche'!L145*Emissionsfaktoren!K145/1000, 0)</f>
        <v>0</v>
      </c>
      <c r="M310" s="14">
        <f>IF(ISNUMBER('Refsz-Verbräuche'!M145), 'Refsz-Verbräuche'!M145*Emissionsfaktoren!L145/1000, 0)</f>
        <v>0</v>
      </c>
      <c r="N310" s="14">
        <f>IF(ISNUMBER('Refsz-Verbräuche'!N145), 'Refsz-Verbräuche'!N145*Emissionsfaktoren!M145/1000, 0)</f>
        <v>0</v>
      </c>
      <c r="O310" s="14">
        <f>IF(ISNUMBER('Refsz-Verbräuche'!O145), 'Refsz-Verbräuche'!O145*Emissionsfaktoren!N145/1000, 0)</f>
        <v>0</v>
      </c>
      <c r="P310" s="14">
        <f>IF(ISNUMBER('Refsz-Verbräuche'!P145), 'Refsz-Verbräuche'!P145*Emissionsfaktoren!O145/1000, 0)</f>
        <v>0</v>
      </c>
      <c r="Q310" s="14">
        <f>IF(ISNUMBER('Refsz-Verbräuche'!Q145), 'Refsz-Verbräuche'!Q145*Emissionsfaktoren!P145/1000, 0)</f>
        <v>0</v>
      </c>
      <c r="R310" s="14">
        <f>IF(ISNUMBER('Refsz-Verbräuche'!R145), 'Refsz-Verbräuche'!R145*Emissionsfaktoren!Q145/1000, 0)</f>
        <v>0</v>
      </c>
      <c r="S310" s="14">
        <f>IF(ISNUMBER('Refsz-Verbräuche'!S145), 'Refsz-Verbräuche'!S145*Emissionsfaktoren!R145/1000, 0)</f>
        <v>0</v>
      </c>
      <c r="T310" s="14">
        <f>IF(ISNUMBER('Refsz-Verbräuche'!T145), 'Refsz-Verbräuche'!T145*Emissionsfaktoren!S145/1000, 0)</f>
        <v>0</v>
      </c>
      <c r="U310" s="14">
        <f>IF(ISNUMBER('Refsz-Verbräuche'!U145), 'Refsz-Verbräuche'!U145*Emissionsfaktoren!T145/1000, 0)</f>
        <v>0</v>
      </c>
      <c r="V310" s="14">
        <f>IF(ISNUMBER('Refsz-Verbräuche'!V145), 'Refsz-Verbräuche'!V145*Emissionsfaktoren!U145/1000, 0)</f>
        <v>0</v>
      </c>
      <c r="W310" s="14">
        <f>IF(ISNUMBER('Refsz-Verbräuche'!W145), 'Refsz-Verbräuche'!W145*Emissionsfaktoren!V145/1000, 0)</f>
        <v>0</v>
      </c>
      <c r="X310" s="14">
        <f>IF(ISNUMBER('Refsz-Verbräuche'!X145), 'Refsz-Verbräuche'!X145*Emissionsfaktoren!W145/1000, 0)</f>
        <v>0</v>
      </c>
      <c r="Y310" s="14">
        <f>IF(ISNUMBER('Refsz-Verbräuche'!Y145), 'Refsz-Verbräuche'!Y145*Emissionsfaktoren!X145/1000, 0)</f>
        <v>0</v>
      </c>
    </row>
    <row r="311" spans="2:25" ht="16.5">
      <c r="B311" s="14">
        <v>129</v>
      </c>
      <c r="C311" s="14" t="str">
        <f>'Refsz-Verbräuche'!C146</f>
        <v>Baugüter</v>
      </c>
      <c r="D311" s="19" t="str">
        <f>'Refsz-Verbräuche'!D146</f>
        <v>Kupferdraht</v>
      </c>
      <c r="E311" t="s">
        <v>195</v>
      </c>
      <c r="F311" s="14">
        <f>IF(ISNUMBER('Refsz-Verbräuche'!F146), 'Refsz-Verbräuche'!F146*Emissionsfaktoren!E146/1000, 0)</f>
        <v>0</v>
      </c>
      <c r="G311" s="14">
        <f>IF(ISNUMBER('Refsz-Verbräuche'!G146), 'Refsz-Verbräuche'!G146*Emissionsfaktoren!F146/1000, 0)</f>
        <v>0</v>
      </c>
      <c r="H311" s="14">
        <f>IF(ISNUMBER('Refsz-Verbräuche'!H146), 'Refsz-Verbräuche'!H146*Emissionsfaktoren!G146/1000, 0)</f>
        <v>0</v>
      </c>
      <c r="I311" s="14">
        <f>IF(ISNUMBER('Refsz-Verbräuche'!I146), 'Refsz-Verbräuche'!I146*Emissionsfaktoren!H146/1000, 0)</f>
        <v>0</v>
      </c>
      <c r="J311" s="14">
        <f>IF(ISNUMBER('Refsz-Verbräuche'!J146), 'Refsz-Verbräuche'!J146*Emissionsfaktoren!I146/1000, 0)</f>
        <v>0</v>
      </c>
      <c r="K311" s="14">
        <f>IF(ISNUMBER('Refsz-Verbräuche'!K146), 'Refsz-Verbräuche'!K146*Emissionsfaktoren!J146/1000, 0)</f>
        <v>0</v>
      </c>
      <c r="L311" s="14">
        <f>IF(ISNUMBER('Refsz-Verbräuche'!L146), 'Refsz-Verbräuche'!L146*Emissionsfaktoren!K146/1000, 0)</f>
        <v>0</v>
      </c>
      <c r="M311" s="14">
        <f>IF(ISNUMBER('Refsz-Verbräuche'!M146), 'Refsz-Verbräuche'!M146*Emissionsfaktoren!L146/1000, 0)</f>
        <v>0</v>
      </c>
      <c r="N311" s="14">
        <f>IF(ISNUMBER('Refsz-Verbräuche'!N146), 'Refsz-Verbräuche'!N146*Emissionsfaktoren!M146/1000, 0)</f>
        <v>0</v>
      </c>
      <c r="O311" s="14">
        <f>IF(ISNUMBER('Refsz-Verbräuche'!O146), 'Refsz-Verbräuche'!O146*Emissionsfaktoren!N146/1000, 0)</f>
        <v>0</v>
      </c>
      <c r="P311" s="14">
        <f>IF(ISNUMBER('Refsz-Verbräuche'!P146), 'Refsz-Verbräuche'!P146*Emissionsfaktoren!O146/1000, 0)</f>
        <v>0</v>
      </c>
      <c r="Q311" s="14">
        <f>IF(ISNUMBER('Refsz-Verbräuche'!Q146), 'Refsz-Verbräuche'!Q146*Emissionsfaktoren!P146/1000, 0)</f>
        <v>0</v>
      </c>
      <c r="R311" s="14">
        <f>IF(ISNUMBER('Refsz-Verbräuche'!R146), 'Refsz-Verbräuche'!R146*Emissionsfaktoren!Q146/1000, 0)</f>
        <v>0</v>
      </c>
      <c r="S311" s="14">
        <f>IF(ISNUMBER('Refsz-Verbräuche'!S146), 'Refsz-Verbräuche'!S146*Emissionsfaktoren!R146/1000, 0)</f>
        <v>0</v>
      </c>
      <c r="T311" s="14">
        <f>IF(ISNUMBER('Refsz-Verbräuche'!T146), 'Refsz-Verbräuche'!T146*Emissionsfaktoren!S146/1000, 0)</f>
        <v>0</v>
      </c>
      <c r="U311" s="14">
        <f>IF(ISNUMBER('Refsz-Verbräuche'!U146), 'Refsz-Verbräuche'!U146*Emissionsfaktoren!T146/1000, 0)</f>
        <v>0</v>
      </c>
      <c r="V311" s="14">
        <f>IF(ISNUMBER('Refsz-Verbräuche'!V146), 'Refsz-Verbräuche'!V146*Emissionsfaktoren!U146/1000, 0)</f>
        <v>0</v>
      </c>
      <c r="W311" s="14">
        <f>IF(ISNUMBER('Refsz-Verbräuche'!W146), 'Refsz-Verbräuche'!W146*Emissionsfaktoren!V146/1000, 0)</f>
        <v>0</v>
      </c>
      <c r="X311" s="14">
        <f>IF(ISNUMBER('Refsz-Verbräuche'!X146), 'Refsz-Verbräuche'!X146*Emissionsfaktoren!W146/1000, 0)</f>
        <v>0</v>
      </c>
      <c r="Y311" s="14">
        <f>IF(ISNUMBER('Refsz-Verbräuche'!Y146), 'Refsz-Verbräuche'!Y146*Emissionsfaktoren!X146/1000, 0)</f>
        <v>0</v>
      </c>
    </row>
    <row r="312" spans="2:25" ht="16.5">
      <c r="B312" s="14">
        <v>130</v>
      </c>
      <c r="C312" s="14" t="str">
        <f>'Refsz-Verbräuche'!C147</f>
        <v>Baugüter</v>
      </c>
      <c r="D312" s="19" t="str">
        <f>'Refsz-Verbräuche'!D147</f>
        <v>Kupferrohr</v>
      </c>
      <c r="E312" t="s">
        <v>195</v>
      </c>
      <c r="F312" s="14">
        <f>IF(ISNUMBER('Refsz-Verbräuche'!F147), 'Refsz-Verbräuche'!F147*Emissionsfaktoren!E147/1000, 0)</f>
        <v>0</v>
      </c>
      <c r="G312" s="14">
        <f>IF(ISNUMBER('Refsz-Verbräuche'!G147), 'Refsz-Verbräuche'!G147*Emissionsfaktoren!F147/1000, 0)</f>
        <v>0</v>
      </c>
      <c r="H312" s="14">
        <f>IF(ISNUMBER('Refsz-Verbräuche'!H147), 'Refsz-Verbräuche'!H147*Emissionsfaktoren!G147/1000, 0)</f>
        <v>0</v>
      </c>
      <c r="I312" s="14">
        <f>IF(ISNUMBER('Refsz-Verbräuche'!I147), 'Refsz-Verbräuche'!I147*Emissionsfaktoren!H147/1000, 0)</f>
        <v>0</v>
      </c>
      <c r="J312" s="14">
        <f>IF(ISNUMBER('Refsz-Verbräuche'!J147), 'Refsz-Verbräuche'!J147*Emissionsfaktoren!I147/1000, 0)</f>
        <v>0</v>
      </c>
      <c r="K312" s="14">
        <f>IF(ISNUMBER('Refsz-Verbräuche'!K147), 'Refsz-Verbräuche'!K147*Emissionsfaktoren!J147/1000, 0)</f>
        <v>0</v>
      </c>
      <c r="L312" s="14">
        <f>IF(ISNUMBER('Refsz-Verbräuche'!L147), 'Refsz-Verbräuche'!L147*Emissionsfaktoren!K147/1000, 0)</f>
        <v>0</v>
      </c>
      <c r="M312" s="14">
        <f>IF(ISNUMBER('Refsz-Verbräuche'!M147), 'Refsz-Verbräuche'!M147*Emissionsfaktoren!L147/1000, 0)</f>
        <v>0</v>
      </c>
      <c r="N312" s="14">
        <f>IF(ISNUMBER('Refsz-Verbräuche'!N147), 'Refsz-Verbräuche'!N147*Emissionsfaktoren!M147/1000, 0)</f>
        <v>0</v>
      </c>
      <c r="O312" s="14">
        <f>IF(ISNUMBER('Refsz-Verbräuche'!O147), 'Refsz-Verbräuche'!O147*Emissionsfaktoren!N147/1000, 0)</f>
        <v>0</v>
      </c>
      <c r="P312" s="14">
        <f>IF(ISNUMBER('Refsz-Verbräuche'!P147), 'Refsz-Verbräuche'!P147*Emissionsfaktoren!O147/1000, 0)</f>
        <v>0</v>
      </c>
      <c r="Q312" s="14">
        <f>IF(ISNUMBER('Refsz-Verbräuche'!Q147), 'Refsz-Verbräuche'!Q147*Emissionsfaktoren!P147/1000, 0)</f>
        <v>0</v>
      </c>
      <c r="R312" s="14">
        <f>IF(ISNUMBER('Refsz-Verbräuche'!R147), 'Refsz-Verbräuche'!R147*Emissionsfaktoren!Q147/1000, 0)</f>
        <v>0</v>
      </c>
      <c r="S312" s="14">
        <f>IF(ISNUMBER('Refsz-Verbräuche'!S147), 'Refsz-Verbräuche'!S147*Emissionsfaktoren!R147/1000, 0)</f>
        <v>0</v>
      </c>
      <c r="T312" s="14">
        <f>IF(ISNUMBER('Refsz-Verbräuche'!T147), 'Refsz-Verbräuche'!T147*Emissionsfaktoren!S147/1000, 0)</f>
        <v>0</v>
      </c>
      <c r="U312" s="14">
        <f>IF(ISNUMBER('Refsz-Verbräuche'!U147), 'Refsz-Verbräuche'!U147*Emissionsfaktoren!T147/1000, 0)</f>
        <v>0</v>
      </c>
      <c r="V312" s="14">
        <f>IF(ISNUMBER('Refsz-Verbräuche'!V147), 'Refsz-Verbräuche'!V147*Emissionsfaktoren!U147/1000, 0)</f>
        <v>0</v>
      </c>
      <c r="W312" s="14">
        <f>IF(ISNUMBER('Refsz-Verbräuche'!W147), 'Refsz-Verbräuche'!W147*Emissionsfaktoren!V147/1000, 0)</f>
        <v>0</v>
      </c>
      <c r="X312" s="14">
        <f>IF(ISNUMBER('Refsz-Verbräuche'!X147), 'Refsz-Verbräuche'!X147*Emissionsfaktoren!W147/1000, 0)</f>
        <v>0</v>
      </c>
      <c r="Y312" s="14">
        <f>IF(ISNUMBER('Refsz-Verbräuche'!Y147), 'Refsz-Verbräuche'!Y147*Emissionsfaktoren!X147/1000, 0)</f>
        <v>0</v>
      </c>
    </row>
    <row r="313" spans="2:25" ht="16.5">
      <c r="B313" s="14">
        <v>131</v>
      </c>
      <c r="C313" s="14" t="str">
        <f>'Refsz-Verbräuche'!C148</f>
        <v>Baugüter</v>
      </c>
      <c r="D313" s="19" t="str">
        <f>'Refsz-Verbräuche'!D148</f>
        <v>Stahl-Blech</v>
      </c>
      <c r="E313" t="s">
        <v>195</v>
      </c>
      <c r="F313" s="14">
        <f>IF(ISNUMBER('Refsz-Verbräuche'!F148), 'Refsz-Verbräuche'!F148*Emissionsfaktoren!E148/1000, 0)</f>
        <v>0</v>
      </c>
      <c r="G313" s="14">
        <f>IF(ISNUMBER('Refsz-Verbräuche'!G148), 'Refsz-Verbräuche'!G148*Emissionsfaktoren!F148/1000, 0)</f>
        <v>0</v>
      </c>
      <c r="H313" s="14">
        <f>IF(ISNUMBER('Refsz-Verbräuche'!H148), 'Refsz-Verbräuche'!H148*Emissionsfaktoren!G148/1000, 0)</f>
        <v>0</v>
      </c>
      <c r="I313" s="14">
        <f>IF(ISNUMBER('Refsz-Verbräuche'!I148), 'Refsz-Verbräuche'!I148*Emissionsfaktoren!H148/1000, 0)</f>
        <v>0</v>
      </c>
      <c r="J313" s="14">
        <f>IF(ISNUMBER('Refsz-Verbräuche'!J148), 'Refsz-Verbräuche'!J148*Emissionsfaktoren!I148/1000, 0)</f>
        <v>0</v>
      </c>
      <c r="K313" s="14">
        <f>IF(ISNUMBER('Refsz-Verbräuche'!K148), 'Refsz-Verbräuche'!K148*Emissionsfaktoren!J148/1000, 0)</f>
        <v>0</v>
      </c>
      <c r="L313" s="14">
        <f>IF(ISNUMBER('Refsz-Verbräuche'!L148), 'Refsz-Verbräuche'!L148*Emissionsfaktoren!K148/1000, 0)</f>
        <v>0</v>
      </c>
      <c r="M313" s="14">
        <f>IF(ISNUMBER('Refsz-Verbräuche'!M148), 'Refsz-Verbräuche'!M148*Emissionsfaktoren!L148/1000, 0)</f>
        <v>0</v>
      </c>
      <c r="N313" s="14">
        <f>IF(ISNUMBER('Refsz-Verbräuche'!N148), 'Refsz-Verbräuche'!N148*Emissionsfaktoren!M148/1000, 0)</f>
        <v>0</v>
      </c>
      <c r="O313" s="14">
        <f>IF(ISNUMBER('Refsz-Verbräuche'!O148), 'Refsz-Verbräuche'!O148*Emissionsfaktoren!N148/1000, 0)</f>
        <v>0</v>
      </c>
      <c r="P313" s="14">
        <f>IF(ISNUMBER('Refsz-Verbräuche'!P148), 'Refsz-Verbräuche'!P148*Emissionsfaktoren!O148/1000, 0)</f>
        <v>0</v>
      </c>
      <c r="Q313" s="14">
        <f>IF(ISNUMBER('Refsz-Verbräuche'!Q148), 'Refsz-Verbräuche'!Q148*Emissionsfaktoren!P148/1000, 0)</f>
        <v>0</v>
      </c>
      <c r="R313" s="14">
        <f>IF(ISNUMBER('Refsz-Verbräuche'!R148), 'Refsz-Verbräuche'!R148*Emissionsfaktoren!Q148/1000, 0)</f>
        <v>0</v>
      </c>
      <c r="S313" s="14">
        <f>IF(ISNUMBER('Refsz-Verbräuche'!S148), 'Refsz-Verbräuche'!S148*Emissionsfaktoren!R148/1000, 0)</f>
        <v>0</v>
      </c>
      <c r="T313" s="14">
        <f>IF(ISNUMBER('Refsz-Verbräuche'!T148), 'Refsz-Verbräuche'!T148*Emissionsfaktoren!S148/1000, 0)</f>
        <v>0</v>
      </c>
      <c r="U313" s="14">
        <f>IF(ISNUMBER('Refsz-Verbräuche'!U148), 'Refsz-Verbräuche'!U148*Emissionsfaktoren!T148/1000, 0)</f>
        <v>0</v>
      </c>
      <c r="V313" s="14">
        <f>IF(ISNUMBER('Refsz-Verbräuche'!V148), 'Refsz-Verbräuche'!V148*Emissionsfaktoren!U148/1000, 0)</f>
        <v>0</v>
      </c>
      <c r="W313" s="14">
        <f>IF(ISNUMBER('Refsz-Verbräuche'!W148), 'Refsz-Verbräuche'!W148*Emissionsfaktoren!V148/1000, 0)</f>
        <v>0</v>
      </c>
      <c r="X313" s="14">
        <f>IF(ISNUMBER('Refsz-Verbräuche'!X148), 'Refsz-Verbräuche'!X148*Emissionsfaktoren!W148/1000, 0)</f>
        <v>0</v>
      </c>
      <c r="Y313" s="14">
        <f>IF(ISNUMBER('Refsz-Verbräuche'!Y148), 'Refsz-Verbräuche'!Y148*Emissionsfaktoren!X148/1000, 0)</f>
        <v>0</v>
      </c>
    </row>
    <row r="314" spans="2:25" ht="16.5">
      <c r="B314" s="14">
        <v>132</v>
      </c>
      <c r="C314" s="14" t="str">
        <f>'Refsz-Verbräuche'!C149</f>
        <v>Baugüter</v>
      </c>
      <c r="D314" s="19" t="str">
        <f>'Refsz-Verbräuche'!D149</f>
        <v>Stahl-Blech verzinkt</v>
      </c>
      <c r="E314" t="s">
        <v>195</v>
      </c>
      <c r="F314" s="14">
        <f>IF(ISNUMBER('Refsz-Verbräuche'!F149), 'Refsz-Verbräuche'!F149*Emissionsfaktoren!E149/1000, 0)</f>
        <v>0</v>
      </c>
      <c r="G314" s="14">
        <f>IF(ISNUMBER('Refsz-Verbräuche'!G149), 'Refsz-Verbräuche'!G149*Emissionsfaktoren!F149/1000, 0)</f>
        <v>0</v>
      </c>
      <c r="H314" s="14">
        <f>IF(ISNUMBER('Refsz-Verbräuche'!H149), 'Refsz-Verbräuche'!H149*Emissionsfaktoren!G149/1000, 0)</f>
        <v>0</v>
      </c>
      <c r="I314" s="14">
        <f>IF(ISNUMBER('Refsz-Verbräuche'!I149), 'Refsz-Verbräuche'!I149*Emissionsfaktoren!H149/1000, 0)</f>
        <v>0</v>
      </c>
      <c r="J314" s="14">
        <f>IF(ISNUMBER('Refsz-Verbräuche'!J149), 'Refsz-Verbräuche'!J149*Emissionsfaktoren!I149/1000, 0)</f>
        <v>0</v>
      </c>
      <c r="K314" s="14">
        <f>IF(ISNUMBER('Refsz-Verbräuche'!K149), 'Refsz-Verbräuche'!K149*Emissionsfaktoren!J149/1000, 0)</f>
        <v>0</v>
      </c>
      <c r="L314" s="14">
        <f>IF(ISNUMBER('Refsz-Verbräuche'!L149), 'Refsz-Verbräuche'!L149*Emissionsfaktoren!K149/1000, 0)</f>
        <v>0</v>
      </c>
      <c r="M314" s="14">
        <f>IF(ISNUMBER('Refsz-Verbräuche'!M149), 'Refsz-Verbräuche'!M149*Emissionsfaktoren!L149/1000, 0)</f>
        <v>0</v>
      </c>
      <c r="N314" s="14">
        <f>IF(ISNUMBER('Refsz-Verbräuche'!N149), 'Refsz-Verbräuche'!N149*Emissionsfaktoren!M149/1000, 0)</f>
        <v>0</v>
      </c>
      <c r="O314" s="14">
        <f>IF(ISNUMBER('Refsz-Verbräuche'!O149), 'Refsz-Verbräuche'!O149*Emissionsfaktoren!N149/1000, 0)</f>
        <v>0</v>
      </c>
      <c r="P314" s="14">
        <f>IF(ISNUMBER('Refsz-Verbräuche'!P149), 'Refsz-Verbräuche'!P149*Emissionsfaktoren!O149/1000, 0)</f>
        <v>0</v>
      </c>
      <c r="Q314" s="14">
        <f>IF(ISNUMBER('Refsz-Verbräuche'!Q149), 'Refsz-Verbräuche'!Q149*Emissionsfaktoren!P149/1000, 0)</f>
        <v>0</v>
      </c>
      <c r="R314" s="14">
        <f>IF(ISNUMBER('Refsz-Verbräuche'!R149), 'Refsz-Verbräuche'!R149*Emissionsfaktoren!Q149/1000, 0)</f>
        <v>0</v>
      </c>
      <c r="S314" s="14">
        <f>IF(ISNUMBER('Refsz-Verbräuche'!S149), 'Refsz-Verbräuche'!S149*Emissionsfaktoren!R149/1000, 0)</f>
        <v>0</v>
      </c>
      <c r="T314" s="14">
        <f>IF(ISNUMBER('Refsz-Verbräuche'!T149), 'Refsz-Verbräuche'!T149*Emissionsfaktoren!S149/1000, 0)</f>
        <v>0</v>
      </c>
      <c r="U314" s="14">
        <f>IF(ISNUMBER('Refsz-Verbräuche'!U149), 'Refsz-Verbräuche'!U149*Emissionsfaktoren!T149/1000, 0)</f>
        <v>0</v>
      </c>
      <c r="V314" s="14">
        <f>IF(ISNUMBER('Refsz-Verbräuche'!V149), 'Refsz-Verbräuche'!V149*Emissionsfaktoren!U149/1000, 0)</f>
        <v>0</v>
      </c>
      <c r="W314" s="14">
        <f>IF(ISNUMBER('Refsz-Verbräuche'!W149), 'Refsz-Verbräuche'!W149*Emissionsfaktoren!V149/1000, 0)</f>
        <v>0</v>
      </c>
      <c r="X314" s="14">
        <f>IF(ISNUMBER('Refsz-Verbräuche'!X149), 'Refsz-Verbräuche'!X149*Emissionsfaktoren!W149/1000, 0)</f>
        <v>0</v>
      </c>
      <c r="Y314" s="14">
        <f>IF(ISNUMBER('Refsz-Verbräuche'!Y149), 'Refsz-Verbräuche'!Y149*Emissionsfaktoren!X149/1000, 0)</f>
        <v>0</v>
      </c>
    </row>
    <row r="315" spans="2:25" ht="16.5">
      <c r="B315" s="14">
        <v>133</v>
      </c>
      <c r="C315" s="14" t="str">
        <f>'Refsz-Verbräuche'!C150</f>
        <v>Baugüter</v>
      </c>
      <c r="D315" s="19" t="str">
        <f>'Refsz-Verbräuche'!D150</f>
        <v>Stahl-Elektro</v>
      </c>
      <c r="E315" t="s">
        <v>195</v>
      </c>
      <c r="F315" s="14">
        <f>IF(ISNUMBER('Refsz-Verbräuche'!F150), 'Refsz-Verbräuche'!F150*Emissionsfaktoren!E150/1000, 0)</f>
        <v>0</v>
      </c>
      <c r="G315" s="14">
        <f>IF(ISNUMBER('Refsz-Verbräuche'!G150), 'Refsz-Verbräuche'!G150*Emissionsfaktoren!F150/1000, 0)</f>
        <v>0</v>
      </c>
      <c r="H315" s="14">
        <f>IF(ISNUMBER('Refsz-Verbräuche'!H150), 'Refsz-Verbräuche'!H150*Emissionsfaktoren!G150/1000, 0)</f>
        <v>0</v>
      </c>
      <c r="I315" s="14">
        <f>IF(ISNUMBER('Refsz-Verbräuche'!I150), 'Refsz-Verbräuche'!I150*Emissionsfaktoren!H150/1000, 0)</f>
        <v>0</v>
      </c>
      <c r="J315" s="14">
        <f>IF(ISNUMBER('Refsz-Verbräuche'!J150), 'Refsz-Verbräuche'!J150*Emissionsfaktoren!I150/1000, 0)</f>
        <v>0</v>
      </c>
      <c r="K315" s="14">
        <f>IF(ISNUMBER('Refsz-Verbräuche'!K150), 'Refsz-Verbräuche'!K150*Emissionsfaktoren!J150/1000, 0)</f>
        <v>0</v>
      </c>
      <c r="L315" s="14">
        <f>IF(ISNUMBER('Refsz-Verbräuche'!L150), 'Refsz-Verbräuche'!L150*Emissionsfaktoren!K150/1000, 0)</f>
        <v>0</v>
      </c>
      <c r="M315" s="14">
        <f>IF(ISNUMBER('Refsz-Verbräuche'!M150), 'Refsz-Verbräuche'!M150*Emissionsfaktoren!L150/1000, 0)</f>
        <v>0</v>
      </c>
      <c r="N315" s="14">
        <f>IF(ISNUMBER('Refsz-Verbräuche'!N150), 'Refsz-Verbräuche'!N150*Emissionsfaktoren!M150/1000, 0)</f>
        <v>0</v>
      </c>
      <c r="O315" s="14">
        <f>IF(ISNUMBER('Refsz-Verbräuche'!O150), 'Refsz-Verbräuche'!O150*Emissionsfaktoren!N150/1000, 0)</f>
        <v>0</v>
      </c>
      <c r="P315" s="14">
        <f>IF(ISNUMBER('Refsz-Verbräuche'!P150), 'Refsz-Verbräuche'!P150*Emissionsfaktoren!O150/1000, 0)</f>
        <v>0</v>
      </c>
      <c r="Q315" s="14">
        <f>IF(ISNUMBER('Refsz-Verbräuche'!Q150), 'Refsz-Verbräuche'!Q150*Emissionsfaktoren!P150/1000, 0)</f>
        <v>0</v>
      </c>
      <c r="R315" s="14">
        <f>IF(ISNUMBER('Refsz-Verbräuche'!R150), 'Refsz-Verbräuche'!R150*Emissionsfaktoren!Q150/1000, 0)</f>
        <v>0</v>
      </c>
      <c r="S315" s="14">
        <f>IF(ISNUMBER('Refsz-Verbräuche'!S150), 'Refsz-Verbräuche'!S150*Emissionsfaktoren!R150/1000, 0)</f>
        <v>0</v>
      </c>
      <c r="T315" s="14">
        <f>IF(ISNUMBER('Refsz-Verbräuche'!T150), 'Refsz-Verbräuche'!T150*Emissionsfaktoren!S150/1000, 0)</f>
        <v>0</v>
      </c>
      <c r="U315" s="14">
        <f>IF(ISNUMBER('Refsz-Verbräuche'!U150), 'Refsz-Verbräuche'!U150*Emissionsfaktoren!T150/1000, 0)</f>
        <v>0</v>
      </c>
      <c r="V315" s="14">
        <f>IF(ISNUMBER('Refsz-Verbräuche'!V150), 'Refsz-Verbräuche'!V150*Emissionsfaktoren!U150/1000, 0)</f>
        <v>0</v>
      </c>
      <c r="W315" s="14">
        <f>IF(ISNUMBER('Refsz-Verbräuche'!W150), 'Refsz-Verbräuche'!W150*Emissionsfaktoren!V150/1000, 0)</f>
        <v>0</v>
      </c>
      <c r="X315" s="14">
        <f>IF(ISNUMBER('Refsz-Verbräuche'!X150), 'Refsz-Verbräuche'!X150*Emissionsfaktoren!W150/1000, 0)</f>
        <v>0</v>
      </c>
      <c r="Y315" s="14">
        <f>IF(ISNUMBER('Refsz-Verbräuche'!Y150), 'Refsz-Verbräuche'!Y150*Emissionsfaktoren!X150/1000, 0)</f>
        <v>0</v>
      </c>
    </row>
    <row r="316" spans="2:25" ht="16.5">
      <c r="B316" s="14">
        <v>134</v>
      </c>
      <c r="C316" s="14" t="str">
        <f>'Refsz-Verbräuche'!C151</f>
        <v>Baugüter</v>
      </c>
      <c r="D316" s="19" t="str">
        <f>'Refsz-Verbräuche'!D151</f>
        <v>Stahl-mix</v>
      </c>
      <c r="E316" t="s">
        <v>195</v>
      </c>
      <c r="F316" s="14">
        <f>IF(ISNUMBER('Refsz-Verbräuche'!F151), 'Refsz-Verbräuche'!F151*Emissionsfaktoren!E151/1000, 0)</f>
        <v>0</v>
      </c>
      <c r="G316" s="14">
        <f>IF(ISNUMBER('Refsz-Verbräuche'!G151), 'Refsz-Verbräuche'!G151*Emissionsfaktoren!F151/1000, 0)</f>
        <v>0</v>
      </c>
      <c r="H316" s="14">
        <f>IF(ISNUMBER('Refsz-Verbräuche'!H151), 'Refsz-Verbräuche'!H151*Emissionsfaktoren!G151/1000, 0)</f>
        <v>0</v>
      </c>
      <c r="I316" s="14">
        <f>IF(ISNUMBER('Refsz-Verbräuche'!I151), 'Refsz-Verbräuche'!I151*Emissionsfaktoren!H151/1000, 0)</f>
        <v>0</v>
      </c>
      <c r="J316" s="14">
        <f>IF(ISNUMBER('Refsz-Verbräuche'!J151), 'Refsz-Verbräuche'!J151*Emissionsfaktoren!I151/1000, 0)</f>
        <v>0</v>
      </c>
      <c r="K316" s="14">
        <f>IF(ISNUMBER('Refsz-Verbräuche'!K151), 'Refsz-Verbräuche'!K151*Emissionsfaktoren!J151/1000, 0)</f>
        <v>0</v>
      </c>
      <c r="L316" s="14">
        <f>IF(ISNUMBER('Refsz-Verbräuche'!L151), 'Refsz-Verbräuche'!L151*Emissionsfaktoren!K151/1000, 0)</f>
        <v>0</v>
      </c>
      <c r="M316" s="14">
        <f>IF(ISNUMBER('Refsz-Verbräuche'!M151), 'Refsz-Verbräuche'!M151*Emissionsfaktoren!L151/1000, 0)</f>
        <v>0</v>
      </c>
      <c r="N316" s="14">
        <f>IF(ISNUMBER('Refsz-Verbräuche'!N151), 'Refsz-Verbräuche'!N151*Emissionsfaktoren!M151/1000, 0)</f>
        <v>0</v>
      </c>
      <c r="O316" s="14">
        <f>IF(ISNUMBER('Refsz-Verbräuche'!O151), 'Refsz-Verbräuche'!O151*Emissionsfaktoren!N151/1000, 0)</f>
        <v>0</v>
      </c>
      <c r="P316" s="14">
        <f>IF(ISNUMBER('Refsz-Verbräuche'!P151), 'Refsz-Verbräuche'!P151*Emissionsfaktoren!O151/1000, 0)</f>
        <v>0</v>
      </c>
      <c r="Q316" s="14">
        <f>IF(ISNUMBER('Refsz-Verbräuche'!Q151), 'Refsz-Verbräuche'!Q151*Emissionsfaktoren!P151/1000, 0)</f>
        <v>0</v>
      </c>
      <c r="R316" s="14">
        <f>IF(ISNUMBER('Refsz-Verbräuche'!R151), 'Refsz-Verbräuche'!R151*Emissionsfaktoren!Q151/1000, 0)</f>
        <v>0</v>
      </c>
      <c r="S316" s="14">
        <f>IF(ISNUMBER('Refsz-Verbräuche'!S151), 'Refsz-Verbräuche'!S151*Emissionsfaktoren!R151/1000, 0)</f>
        <v>0</v>
      </c>
      <c r="T316" s="14">
        <f>IF(ISNUMBER('Refsz-Verbräuche'!T151), 'Refsz-Verbräuche'!T151*Emissionsfaktoren!S151/1000, 0)</f>
        <v>0</v>
      </c>
      <c r="U316" s="14">
        <f>IF(ISNUMBER('Refsz-Verbräuche'!U151), 'Refsz-Verbräuche'!U151*Emissionsfaktoren!T151/1000, 0)</f>
        <v>0</v>
      </c>
      <c r="V316" s="14">
        <f>IF(ISNUMBER('Refsz-Verbräuche'!V151), 'Refsz-Verbräuche'!V151*Emissionsfaktoren!U151/1000, 0)</f>
        <v>0</v>
      </c>
      <c r="W316" s="14">
        <f>IF(ISNUMBER('Refsz-Verbräuche'!W151), 'Refsz-Verbräuche'!W151*Emissionsfaktoren!V151/1000, 0)</f>
        <v>0</v>
      </c>
      <c r="X316" s="14">
        <f>IF(ISNUMBER('Refsz-Verbräuche'!X151), 'Refsz-Verbräuche'!X151*Emissionsfaktoren!W151/1000, 0)</f>
        <v>0</v>
      </c>
      <c r="Y316" s="14">
        <f>IF(ISNUMBER('Refsz-Verbräuche'!Y151), 'Refsz-Verbräuche'!Y151*Emissionsfaktoren!X151/1000, 0)</f>
        <v>0</v>
      </c>
    </row>
    <row r="317" spans="2:25" ht="16.5">
      <c r="B317" s="14">
        <v>135</v>
      </c>
      <c r="C317" s="14" t="str">
        <f>'Refsz-Verbräuche'!C152</f>
        <v>Baugüter</v>
      </c>
      <c r="D317" s="19" t="str">
        <f>'Refsz-Verbräuche'!D152</f>
        <v>Beton</v>
      </c>
      <c r="E317" t="s">
        <v>195</v>
      </c>
      <c r="F317" s="14">
        <f>IF(ISNUMBER('Refsz-Verbräuche'!F152), 'Refsz-Verbräuche'!F152*Emissionsfaktoren!E152/1000, 0)</f>
        <v>0</v>
      </c>
      <c r="G317" s="14">
        <f>IF(ISNUMBER('Refsz-Verbräuche'!G152), 'Refsz-Verbräuche'!G152*Emissionsfaktoren!F152/1000, 0)</f>
        <v>0</v>
      </c>
      <c r="H317" s="14">
        <f>IF(ISNUMBER('Refsz-Verbräuche'!H152), 'Refsz-Verbräuche'!H152*Emissionsfaktoren!G152/1000, 0)</f>
        <v>0</v>
      </c>
      <c r="I317" s="14">
        <f>IF(ISNUMBER('Refsz-Verbräuche'!I152), 'Refsz-Verbräuche'!I152*Emissionsfaktoren!H152/1000, 0)</f>
        <v>0</v>
      </c>
      <c r="J317" s="14">
        <f>IF(ISNUMBER('Refsz-Verbräuche'!J152), 'Refsz-Verbräuche'!J152*Emissionsfaktoren!I152/1000, 0)</f>
        <v>0</v>
      </c>
      <c r="K317" s="14">
        <f>IF(ISNUMBER('Refsz-Verbräuche'!K152), 'Refsz-Verbräuche'!K152*Emissionsfaktoren!J152/1000, 0)</f>
        <v>0</v>
      </c>
      <c r="L317" s="14">
        <f>IF(ISNUMBER('Refsz-Verbräuche'!L152), 'Refsz-Verbräuche'!L152*Emissionsfaktoren!K152/1000, 0)</f>
        <v>0</v>
      </c>
      <c r="M317" s="14">
        <f>IF(ISNUMBER('Refsz-Verbräuche'!M152), 'Refsz-Verbräuche'!M152*Emissionsfaktoren!L152/1000, 0)</f>
        <v>0</v>
      </c>
      <c r="N317" s="14">
        <f>IF(ISNUMBER('Refsz-Verbräuche'!N152), 'Refsz-Verbräuche'!N152*Emissionsfaktoren!M152/1000, 0)</f>
        <v>0</v>
      </c>
      <c r="O317" s="14">
        <f>IF(ISNUMBER('Refsz-Verbräuche'!O152), 'Refsz-Verbräuche'!O152*Emissionsfaktoren!N152/1000, 0)</f>
        <v>0</v>
      </c>
      <c r="P317" s="14">
        <f>IF(ISNUMBER('Refsz-Verbräuche'!P152), 'Refsz-Verbräuche'!P152*Emissionsfaktoren!O152/1000, 0)</f>
        <v>0</v>
      </c>
      <c r="Q317" s="14">
        <f>IF(ISNUMBER('Refsz-Verbräuche'!Q152), 'Refsz-Verbräuche'!Q152*Emissionsfaktoren!P152/1000, 0)</f>
        <v>0</v>
      </c>
      <c r="R317" s="14">
        <f>IF(ISNUMBER('Refsz-Verbräuche'!R152), 'Refsz-Verbräuche'!R152*Emissionsfaktoren!Q152/1000, 0)</f>
        <v>0</v>
      </c>
      <c r="S317" s="14">
        <f>IF(ISNUMBER('Refsz-Verbräuche'!S152), 'Refsz-Verbräuche'!S152*Emissionsfaktoren!R152/1000, 0)</f>
        <v>0</v>
      </c>
      <c r="T317" s="14">
        <f>IF(ISNUMBER('Refsz-Verbräuche'!T152), 'Refsz-Verbräuche'!T152*Emissionsfaktoren!S152/1000, 0)</f>
        <v>0</v>
      </c>
      <c r="U317" s="14">
        <f>IF(ISNUMBER('Refsz-Verbräuche'!U152), 'Refsz-Verbräuche'!U152*Emissionsfaktoren!T152/1000, 0)</f>
        <v>0</v>
      </c>
      <c r="V317" s="14">
        <f>IF(ISNUMBER('Refsz-Verbräuche'!V152), 'Refsz-Verbräuche'!V152*Emissionsfaktoren!U152/1000, 0)</f>
        <v>0</v>
      </c>
      <c r="W317" s="14">
        <f>IF(ISNUMBER('Refsz-Verbräuche'!W152), 'Refsz-Verbräuche'!W152*Emissionsfaktoren!V152/1000, 0)</f>
        <v>0</v>
      </c>
      <c r="X317" s="14">
        <f>IF(ISNUMBER('Refsz-Verbräuche'!X152), 'Refsz-Verbräuche'!X152*Emissionsfaktoren!W152/1000, 0)</f>
        <v>0</v>
      </c>
      <c r="Y317" s="14">
        <f>IF(ISNUMBER('Refsz-Verbräuche'!Y152), 'Refsz-Verbräuche'!Y152*Emissionsfaktoren!X152/1000, 0)</f>
        <v>0</v>
      </c>
    </row>
    <row r="318" spans="2:25" ht="16.5">
      <c r="B318" s="14">
        <v>136</v>
      </c>
      <c r="C318" s="14" t="str">
        <f>'Refsz-Verbräuche'!C153</f>
        <v>Baugüter</v>
      </c>
      <c r="D318" s="19" t="str">
        <f>'Refsz-Verbräuche'!D153</f>
        <v>Glaswolle</v>
      </c>
      <c r="E318" t="s">
        <v>195</v>
      </c>
      <c r="F318" s="14">
        <f>IF(ISNUMBER('Refsz-Verbräuche'!F153), 'Refsz-Verbräuche'!F153*Emissionsfaktoren!E153/1000, 0)</f>
        <v>0</v>
      </c>
      <c r="G318" s="14">
        <f>IF(ISNUMBER('Refsz-Verbräuche'!G153), 'Refsz-Verbräuche'!G153*Emissionsfaktoren!F153/1000, 0)</f>
        <v>0</v>
      </c>
      <c r="H318" s="14">
        <f>IF(ISNUMBER('Refsz-Verbräuche'!H153), 'Refsz-Verbräuche'!H153*Emissionsfaktoren!G153/1000, 0)</f>
        <v>0</v>
      </c>
      <c r="I318" s="14">
        <f>IF(ISNUMBER('Refsz-Verbräuche'!I153), 'Refsz-Verbräuche'!I153*Emissionsfaktoren!H153/1000, 0)</f>
        <v>0</v>
      </c>
      <c r="J318" s="14">
        <f>IF(ISNUMBER('Refsz-Verbräuche'!J153), 'Refsz-Verbräuche'!J153*Emissionsfaktoren!I153/1000, 0)</f>
        <v>0</v>
      </c>
      <c r="K318" s="14">
        <f>IF(ISNUMBER('Refsz-Verbräuche'!K153), 'Refsz-Verbräuche'!K153*Emissionsfaktoren!J153/1000, 0)</f>
        <v>0</v>
      </c>
      <c r="L318" s="14">
        <f>IF(ISNUMBER('Refsz-Verbräuche'!L153), 'Refsz-Verbräuche'!L153*Emissionsfaktoren!K153/1000, 0)</f>
        <v>0</v>
      </c>
      <c r="M318" s="14">
        <f>IF(ISNUMBER('Refsz-Verbräuche'!M153), 'Refsz-Verbräuche'!M153*Emissionsfaktoren!L153/1000, 0)</f>
        <v>0</v>
      </c>
      <c r="N318" s="14">
        <f>IF(ISNUMBER('Refsz-Verbräuche'!N153), 'Refsz-Verbräuche'!N153*Emissionsfaktoren!M153/1000, 0)</f>
        <v>0</v>
      </c>
      <c r="O318" s="14">
        <f>IF(ISNUMBER('Refsz-Verbräuche'!O153), 'Refsz-Verbräuche'!O153*Emissionsfaktoren!N153/1000, 0)</f>
        <v>0</v>
      </c>
      <c r="P318" s="14">
        <f>IF(ISNUMBER('Refsz-Verbräuche'!P153), 'Refsz-Verbräuche'!P153*Emissionsfaktoren!O153/1000, 0)</f>
        <v>0</v>
      </c>
      <c r="Q318" s="14">
        <f>IF(ISNUMBER('Refsz-Verbräuche'!Q153), 'Refsz-Verbräuche'!Q153*Emissionsfaktoren!P153/1000, 0)</f>
        <v>0</v>
      </c>
      <c r="R318" s="14">
        <f>IF(ISNUMBER('Refsz-Verbräuche'!R153), 'Refsz-Verbräuche'!R153*Emissionsfaktoren!Q153/1000, 0)</f>
        <v>0</v>
      </c>
      <c r="S318" s="14">
        <f>IF(ISNUMBER('Refsz-Verbräuche'!S153), 'Refsz-Verbräuche'!S153*Emissionsfaktoren!R153/1000, 0)</f>
        <v>0</v>
      </c>
      <c r="T318" s="14">
        <f>IF(ISNUMBER('Refsz-Verbräuche'!T153), 'Refsz-Verbräuche'!T153*Emissionsfaktoren!S153/1000, 0)</f>
        <v>0</v>
      </c>
      <c r="U318" s="14">
        <f>IF(ISNUMBER('Refsz-Verbräuche'!U153), 'Refsz-Verbräuche'!U153*Emissionsfaktoren!T153/1000, 0)</f>
        <v>0</v>
      </c>
      <c r="V318" s="14">
        <f>IF(ISNUMBER('Refsz-Verbräuche'!V153), 'Refsz-Verbräuche'!V153*Emissionsfaktoren!U153/1000, 0)</f>
        <v>0</v>
      </c>
      <c r="W318" s="14">
        <f>IF(ISNUMBER('Refsz-Verbräuche'!W153), 'Refsz-Verbräuche'!W153*Emissionsfaktoren!V153/1000, 0)</f>
        <v>0</v>
      </c>
      <c r="X318" s="14">
        <f>IF(ISNUMBER('Refsz-Verbräuche'!X153), 'Refsz-Verbräuche'!X153*Emissionsfaktoren!W153/1000, 0)</f>
        <v>0</v>
      </c>
      <c r="Y318" s="14">
        <f>IF(ISNUMBER('Refsz-Verbräuche'!Y153), 'Refsz-Verbräuche'!Y153*Emissionsfaktoren!X153/1000, 0)</f>
        <v>0</v>
      </c>
    </row>
    <row r="319" spans="2:25" ht="16.5">
      <c r="B319" s="14">
        <v>137</v>
      </c>
      <c r="C319" s="14" t="str">
        <f>'Refsz-Verbräuche'!C154</f>
        <v>Baugüter</v>
      </c>
      <c r="D319" s="19" t="str">
        <f>'Refsz-Verbräuche'!D154</f>
        <v>Konstruktionsvollholz</v>
      </c>
      <c r="E319" t="s">
        <v>195</v>
      </c>
      <c r="F319" s="14">
        <f>IF(ISNUMBER('Refsz-Verbräuche'!F154), 'Refsz-Verbräuche'!F154*Emissionsfaktoren!E154/1000, 0)</f>
        <v>0</v>
      </c>
      <c r="G319" s="14">
        <f>IF(ISNUMBER('Refsz-Verbräuche'!G154), 'Refsz-Verbräuche'!G154*Emissionsfaktoren!F154/1000, 0)</f>
        <v>0</v>
      </c>
      <c r="H319" s="14">
        <f>IF(ISNUMBER('Refsz-Verbräuche'!H154), 'Refsz-Verbräuche'!H154*Emissionsfaktoren!G154/1000, 0)</f>
        <v>0</v>
      </c>
      <c r="I319" s="14">
        <f>IF(ISNUMBER('Refsz-Verbräuche'!I154), 'Refsz-Verbräuche'!I154*Emissionsfaktoren!H154/1000, 0)</f>
        <v>0</v>
      </c>
      <c r="J319" s="14">
        <f>IF(ISNUMBER('Refsz-Verbräuche'!J154), 'Refsz-Verbräuche'!J154*Emissionsfaktoren!I154/1000, 0)</f>
        <v>0</v>
      </c>
      <c r="K319" s="14">
        <f>IF(ISNUMBER('Refsz-Verbräuche'!K154), 'Refsz-Verbräuche'!K154*Emissionsfaktoren!J154/1000, 0)</f>
        <v>0</v>
      </c>
      <c r="L319" s="14">
        <f>IF(ISNUMBER('Refsz-Verbräuche'!L154), 'Refsz-Verbräuche'!L154*Emissionsfaktoren!K154/1000, 0)</f>
        <v>0</v>
      </c>
      <c r="M319" s="14">
        <f>IF(ISNUMBER('Refsz-Verbräuche'!M154), 'Refsz-Verbräuche'!M154*Emissionsfaktoren!L154/1000, 0)</f>
        <v>0</v>
      </c>
      <c r="N319" s="14">
        <f>IF(ISNUMBER('Refsz-Verbräuche'!N154), 'Refsz-Verbräuche'!N154*Emissionsfaktoren!M154/1000, 0)</f>
        <v>0</v>
      </c>
      <c r="O319" s="14">
        <f>IF(ISNUMBER('Refsz-Verbräuche'!O154), 'Refsz-Verbräuche'!O154*Emissionsfaktoren!N154/1000, 0)</f>
        <v>0</v>
      </c>
      <c r="P319" s="14">
        <f>IF(ISNUMBER('Refsz-Verbräuche'!P154), 'Refsz-Verbräuche'!P154*Emissionsfaktoren!O154/1000, 0)</f>
        <v>0</v>
      </c>
      <c r="Q319" s="14">
        <f>IF(ISNUMBER('Refsz-Verbräuche'!Q154), 'Refsz-Verbräuche'!Q154*Emissionsfaktoren!P154/1000, 0)</f>
        <v>0</v>
      </c>
      <c r="R319" s="14">
        <f>IF(ISNUMBER('Refsz-Verbräuche'!R154), 'Refsz-Verbräuche'!R154*Emissionsfaktoren!Q154/1000, 0)</f>
        <v>0</v>
      </c>
      <c r="S319" s="14">
        <f>IF(ISNUMBER('Refsz-Verbräuche'!S154), 'Refsz-Verbräuche'!S154*Emissionsfaktoren!R154/1000, 0)</f>
        <v>0</v>
      </c>
      <c r="T319" s="14">
        <f>IF(ISNUMBER('Refsz-Verbräuche'!T154), 'Refsz-Verbräuche'!T154*Emissionsfaktoren!S154/1000, 0)</f>
        <v>0</v>
      </c>
      <c r="U319" s="14">
        <f>IF(ISNUMBER('Refsz-Verbräuche'!U154), 'Refsz-Verbräuche'!U154*Emissionsfaktoren!T154/1000, 0)</f>
        <v>0</v>
      </c>
      <c r="V319" s="14">
        <f>IF(ISNUMBER('Refsz-Verbräuche'!V154), 'Refsz-Verbräuche'!V154*Emissionsfaktoren!U154/1000, 0)</f>
        <v>0</v>
      </c>
      <c r="W319" s="14">
        <f>IF(ISNUMBER('Refsz-Verbräuche'!W154), 'Refsz-Verbräuche'!W154*Emissionsfaktoren!V154/1000, 0)</f>
        <v>0</v>
      </c>
      <c r="X319" s="14">
        <f>IF(ISNUMBER('Refsz-Verbräuche'!X154), 'Refsz-Verbräuche'!X154*Emissionsfaktoren!W154/1000, 0)</f>
        <v>0</v>
      </c>
      <c r="Y319" s="14">
        <f>IF(ISNUMBER('Refsz-Verbräuche'!Y154), 'Refsz-Verbräuche'!Y154*Emissionsfaktoren!X154/1000, 0)</f>
        <v>0</v>
      </c>
    </row>
    <row r="320" spans="2:25" ht="16.5">
      <c r="B320" s="14">
        <v>138</v>
      </c>
      <c r="C320" s="14" t="str">
        <f>'Refsz-Verbräuche'!C155</f>
        <v>Baugüter</v>
      </c>
      <c r="D320" s="19" t="str">
        <f>'Refsz-Verbräuche'!D155</f>
        <v>Spanplatte</v>
      </c>
      <c r="E320" t="s">
        <v>195</v>
      </c>
      <c r="F320" s="14">
        <f>IF(ISNUMBER('Refsz-Verbräuche'!F155), 'Refsz-Verbräuche'!F155*Emissionsfaktoren!E155/1000, 0)</f>
        <v>0</v>
      </c>
      <c r="G320" s="14">
        <f>IF(ISNUMBER('Refsz-Verbräuche'!G155), 'Refsz-Verbräuche'!G155*Emissionsfaktoren!F155/1000, 0)</f>
        <v>0</v>
      </c>
      <c r="H320" s="14">
        <f>IF(ISNUMBER('Refsz-Verbräuche'!H155), 'Refsz-Verbräuche'!H155*Emissionsfaktoren!G155/1000, 0)</f>
        <v>0</v>
      </c>
      <c r="I320" s="14">
        <f>IF(ISNUMBER('Refsz-Verbräuche'!I155), 'Refsz-Verbräuche'!I155*Emissionsfaktoren!H155/1000, 0)</f>
        <v>0</v>
      </c>
      <c r="J320" s="14">
        <f>IF(ISNUMBER('Refsz-Verbräuche'!J155), 'Refsz-Verbräuche'!J155*Emissionsfaktoren!I155/1000, 0)</f>
        <v>0</v>
      </c>
      <c r="K320" s="14">
        <f>IF(ISNUMBER('Refsz-Verbräuche'!K155), 'Refsz-Verbräuche'!K155*Emissionsfaktoren!J155/1000, 0)</f>
        <v>0</v>
      </c>
      <c r="L320" s="14">
        <f>IF(ISNUMBER('Refsz-Verbräuche'!L155), 'Refsz-Verbräuche'!L155*Emissionsfaktoren!K155/1000, 0)</f>
        <v>0</v>
      </c>
      <c r="M320" s="14">
        <f>IF(ISNUMBER('Refsz-Verbräuche'!M155), 'Refsz-Verbräuche'!M155*Emissionsfaktoren!L155/1000, 0)</f>
        <v>0</v>
      </c>
      <c r="N320" s="14">
        <f>IF(ISNUMBER('Refsz-Verbräuche'!N155), 'Refsz-Verbräuche'!N155*Emissionsfaktoren!M155/1000, 0)</f>
        <v>0</v>
      </c>
      <c r="O320" s="14">
        <f>IF(ISNUMBER('Refsz-Verbräuche'!O155), 'Refsz-Verbräuche'!O155*Emissionsfaktoren!N155/1000, 0)</f>
        <v>0</v>
      </c>
      <c r="P320" s="14">
        <f>IF(ISNUMBER('Refsz-Verbräuche'!P155), 'Refsz-Verbräuche'!P155*Emissionsfaktoren!O155/1000, 0)</f>
        <v>0</v>
      </c>
      <c r="Q320" s="14">
        <f>IF(ISNUMBER('Refsz-Verbräuche'!Q155), 'Refsz-Verbräuche'!Q155*Emissionsfaktoren!P155/1000, 0)</f>
        <v>0</v>
      </c>
      <c r="R320" s="14">
        <f>IF(ISNUMBER('Refsz-Verbräuche'!R155), 'Refsz-Verbräuche'!R155*Emissionsfaktoren!Q155/1000, 0)</f>
        <v>0</v>
      </c>
      <c r="S320" s="14">
        <f>IF(ISNUMBER('Refsz-Verbräuche'!S155), 'Refsz-Verbräuche'!S155*Emissionsfaktoren!R155/1000, 0)</f>
        <v>0</v>
      </c>
      <c r="T320" s="14">
        <f>IF(ISNUMBER('Refsz-Verbräuche'!T155), 'Refsz-Verbräuche'!T155*Emissionsfaktoren!S155/1000, 0)</f>
        <v>0</v>
      </c>
      <c r="U320" s="14">
        <f>IF(ISNUMBER('Refsz-Verbräuche'!U155), 'Refsz-Verbräuche'!U155*Emissionsfaktoren!T155/1000, 0)</f>
        <v>0</v>
      </c>
      <c r="V320" s="14">
        <f>IF(ISNUMBER('Refsz-Verbräuche'!V155), 'Refsz-Verbräuche'!V155*Emissionsfaktoren!U155/1000, 0)</f>
        <v>0</v>
      </c>
      <c r="W320" s="14">
        <f>IF(ISNUMBER('Refsz-Verbräuche'!W155), 'Refsz-Verbräuche'!W155*Emissionsfaktoren!V155/1000, 0)</f>
        <v>0</v>
      </c>
      <c r="X320" s="14">
        <f>IF(ISNUMBER('Refsz-Verbräuche'!X155), 'Refsz-Verbräuche'!X155*Emissionsfaktoren!W155/1000, 0)</f>
        <v>0</v>
      </c>
      <c r="Y320" s="14">
        <f>IF(ISNUMBER('Refsz-Verbräuche'!Y155), 'Refsz-Verbräuche'!Y155*Emissionsfaktoren!X155/1000, 0)</f>
        <v>0</v>
      </c>
    </row>
    <row r="321" spans="2:25" ht="16.5">
      <c r="B321" s="14">
        <v>139</v>
      </c>
      <c r="C321" s="14" t="str">
        <f>'Refsz-Verbräuche'!C156</f>
        <v>Baugüter</v>
      </c>
      <c r="D321" s="19" t="str">
        <f>'Refsz-Verbräuche'!D156</f>
        <v>Perlit</v>
      </c>
      <c r="E321" t="s">
        <v>195</v>
      </c>
      <c r="F321" s="14">
        <f>IF(ISNUMBER('Refsz-Verbräuche'!F156), 'Refsz-Verbräuche'!F156*Emissionsfaktoren!E156/1000, 0)</f>
        <v>0</v>
      </c>
      <c r="G321" s="14">
        <f>IF(ISNUMBER('Refsz-Verbräuche'!G156), 'Refsz-Verbräuche'!G156*Emissionsfaktoren!F156/1000, 0)</f>
        <v>0</v>
      </c>
      <c r="H321" s="14">
        <f>IF(ISNUMBER('Refsz-Verbräuche'!H156), 'Refsz-Verbräuche'!H156*Emissionsfaktoren!G156/1000, 0)</f>
        <v>0</v>
      </c>
      <c r="I321" s="14">
        <f>IF(ISNUMBER('Refsz-Verbräuche'!I156), 'Refsz-Verbräuche'!I156*Emissionsfaktoren!H156/1000, 0)</f>
        <v>0</v>
      </c>
      <c r="J321" s="14">
        <f>IF(ISNUMBER('Refsz-Verbräuche'!J156), 'Refsz-Verbräuche'!J156*Emissionsfaktoren!I156/1000, 0)</f>
        <v>0</v>
      </c>
      <c r="K321" s="14">
        <f>IF(ISNUMBER('Refsz-Verbräuche'!K156), 'Refsz-Verbräuche'!K156*Emissionsfaktoren!J156/1000, 0)</f>
        <v>0</v>
      </c>
      <c r="L321" s="14">
        <f>IF(ISNUMBER('Refsz-Verbräuche'!L156), 'Refsz-Verbräuche'!L156*Emissionsfaktoren!K156/1000, 0)</f>
        <v>0</v>
      </c>
      <c r="M321" s="14">
        <f>IF(ISNUMBER('Refsz-Verbräuche'!M156), 'Refsz-Verbräuche'!M156*Emissionsfaktoren!L156/1000, 0)</f>
        <v>0</v>
      </c>
      <c r="N321" s="14">
        <f>IF(ISNUMBER('Refsz-Verbräuche'!N156), 'Refsz-Verbräuche'!N156*Emissionsfaktoren!M156/1000, 0)</f>
        <v>0</v>
      </c>
      <c r="O321" s="14">
        <f>IF(ISNUMBER('Refsz-Verbräuche'!O156), 'Refsz-Verbräuche'!O156*Emissionsfaktoren!N156/1000, 0)</f>
        <v>0</v>
      </c>
      <c r="P321" s="14">
        <f>IF(ISNUMBER('Refsz-Verbräuche'!P156), 'Refsz-Verbräuche'!P156*Emissionsfaktoren!O156/1000, 0)</f>
        <v>0</v>
      </c>
      <c r="Q321" s="14">
        <f>IF(ISNUMBER('Refsz-Verbräuche'!Q156), 'Refsz-Verbräuche'!Q156*Emissionsfaktoren!P156/1000, 0)</f>
        <v>0</v>
      </c>
      <c r="R321" s="14">
        <f>IF(ISNUMBER('Refsz-Verbräuche'!R156), 'Refsz-Verbräuche'!R156*Emissionsfaktoren!Q156/1000, 0)</f>
        <v>0</v>
      </c>
      <c r="S321" s="14">
        <f>IF(ISNUMBER('Refsz-Verbräuche'!S156), 'Refsz-Verbräuche'!S156*Emissionsfaktoren!R156/1000, 0)</f>
        <v>0</v>
      </c>
      <c r="T321" s="14">
        <f>IF(ISNUMBER('Refsz-Verbräuche'!T156), 'Refsz-Verbräuche'!T156*Emissionsfaktoren!S156/1000, 0)</f>
        <v>0</v>
      </c>
      <c r="U321" s="14">
        <f>IF(ISNUMBER('Refsz-Verbräuche'!U156), 'Refsz-Verbräuche'!U156*Emissionsfaktoren!T156/1000, 0)</f>
        <v>0</v>
      </c>
      <c r="V321" s="14">
        <f>IF(ISNUMBER('Refsz-Verbräuche'!V156), 'Refsz-Verbräuche'!V156*Emissionsfaktoren!U156/1000, 0)</f>
        <v>0</v>
      </c>
      <c r="W321" s="14">
        <f>IF(ISNUMBER('Refsz-Verbräuche'!W156), 'Refsz-Verbräuche'!W156*Emissionsfaktoren!V156/1000, 0)</f>
        <v>0</v>
      </c>
      <c r="X321" s="14">
        <f>IF(ISNUMBER('Refsz-Verbräuche'!X156), 'Refsz-Verbräuche'!X156*Emissionsfaktoren!W156/1000, 0)</f>
        <v>0</v>
      </c>
      <c r="Y321" s="14">
        <f>IF(ISNUMBER('Refsz-Verbräuche'!Y156), 'Refsz-Verbräuche'!Y156*Emissionsfaktoren!X156/1000, 0)</f>
        <v>0</v>
      </c>
    </row>
    <row r="322" spans="2:25" ht="16.5">
      <c r="B322" s="14">
        <v>140</v>
      </c>
      <c r="C322" s="14" t="str">
        <f>'Refsz-Verbräuche'!C157</f>
        <v>Baugüter</v>
      </c>
      <c r="D322" s="19" t="str">
        <f>'Refsz-Verbräuche'!D157</f>
        <v>Stahlbeton Fertigteil Decke (20cm Dicke)</v>
      </c>
      <c r="E322" t="s">
        <v>195</v>
      </c>
      <c r="F322" s="14">
        <f>IF(ISNUMBER('Refsz-Verbräuche'!F157), 'Refsz-Verbräuche'!F157*Emissionsfaktoren!E157/1000, 0)</f>
        <v>0</v>
      </c>
      <c r="G322" s="14">
        <f>IF(ISNUMBER('Refsz-Verbräuche'!G157), 'Refsz-Verbräuche'!G157*Emissionsfaktoren!F157/1000, 0)</f>
        <v>0</v>
      </c>
      <c r="H322" s="14">
        <f>IF(ISNUMBER('Refsz-Verbräuche'!H157), 'Refsz-Verbräuche'!H157*Emissionsfaktoren!G157/1000, 0)</f>
        <v>0</v>
      </c>
      <c r="I322" s="14">
        <f>IF(ISNUMBER('Refsz-Verbräuche'!I157), 'Refsz-Verbräuche'!I157*Emissionsfaktoren!H157/1000, 0)</f>
        <v>0</v>
      </c>
      <c r="J322" s="14">
        <f>IF(ISNUMBER('Refsz-Verbräuche'!J157), 'Refsz-Verbräuche'!J157*Emissionsfaktoren!I157/1000, 0)</f>
        <v>0</v>
      </c>
      <c r="K322" s="14">
        <f>IF(ISNUMBER('Refsz-Verbräuche'!K157), 'Refsz-Verbräuche'!K157*Emissionsfaktoren!J157/1000, 0)</f>
        <v>0</v>
      </c>
      <c r="L322" s="14">
        <f>IF(ISNUMBER('Refsz-Verbräuche'!L157), 'Refsz-Verbräuche'!L157*Emissionsfaktoren!K157/1000, 0)</f>
        <v>0</v>
      </c>
      <c r="M322" s="14">
        <f>IF(ISNUMBER('Refsz-Verbräuche'!M157), 'Refsz-Verbräuche'!M157*Emissionsfaktoren!L157/1000, 0)</f>
        <v>0</v>
      </c>
      <c r="N322" s="14">
        <f>IF(ISNUMBER('Refsz-Verbräuche'!N157), 'Refsz-Verbräuche'!N157*Emissionsfaktoren!M157/1000, 0)</f>
        <v>0</v>
      </c>
      <c r="O322" s="14">
        <f>IF(ISNUMBER('Refsz-Verbräuche'!O157), 'Refsz-Verbräuche'!O157*Emissionsfaktoren!N157/1000, 0)</f>
        <v>0</v>
      </c>
      <c r="P322" s="14">
        <f>IF(ISNUMBER('Refsz-Verbräuche'!P157), 'Refsz-Verbräuche'!P157*Emissionsfaktoren!O157/1000, 0)</f>
        <v>0</v>
      </c>
      <c r="Q322" s="14">
        <f>IF(ISNUMBER('Refsz-Verbräuche'!Q157), 'Refsz-Verbräuche'!Q157*Emissionsfaktoren!P157/1000, 0)</f>
        <v>0</v>
      </c>
      <c r="R322" s="14">
        <f>IF(ISNUMBER('Refsz-Verbräuche'!R157), 'Refsz-Verbräuche'!R157*Emissionsfaktoren!Q157/1000, 0)</f>
        <v>0</v>
      </c>
      <c r="S322" s="14">
        <f>IF(ISNUMBER('Refsz-Verbräuche'!S157), 'Refsz-Verbräuche'!S157*Emissionsfaktoren!R157/1000, 0)</f>
        <v>0</v>
      </c>
      <c r="T322" s="14">
        <f>IF(ISNUMBER('Refsz-Verbräuche'!T157), 'Refsz-Verbräuche'!T157*Emissionsfaktoren!S157/1000, 0)</f>
        <v>0</v>
      </c>
      <c r="U322" s="14">
        <f>IF(ISNUMBER('Refsz-Verbräuche'!U157), 'Refsz-Verbräuche'!U157*Emissionsfaktoren!T157/1000, 0)</f>
        <v>0</v>
      </c>
      <c r="V322" s="14">
        <f>IF(ISNUMBER('Refsz-Verbräuche'!V157), 'Refsz-Verbräuche'!V157*Emissionsfaktoren!U157/1000, 0)</f>
        <v>0</v>
      </c>
      <c r="W322" s="14">
        <f>IF(ISNUMBER('Refsz-Verbräuche'!W157), 'Refsz-Verbräuche'!W157*Emissionsfaktoren!V157/1000, 0)</f>
        <v>0</v>
      </c>
      <c r="X322" s="14">
        <f>IF(ISNUMBER('Refsz-Verbräuche'!X157), 'Refsz-Verbräuche'!X157*Emissionsfaktoren!W157/1000, 0)</f>
        <v>0</v>
      </c>
      <c r="Y322" s="14">
        <f>IF(ISNUMBER('Refsz-Verbräuche'!Y157), 'Refsz-Verbräuche'!Y157*Emissionsfaktoren!X157/1000, 0)</f>
        <v>0</v>
      </c>
    </row>
    <row r="323" spans="2:25" ht="16.5">
      <c r="B323" s="14">
        <v>141</v>
      </c>
      <c r="C323" s="14" t="str">
        <f>'Refsz-Verbräuche'!C158</f>
        <v>Baugüter</v>
      </c>
      <c r="D323" s="19" t="str">
        <f>'Refsz-Verbräuche'!D158</f>
        <v>Stahlbeton Fertigteil Wand (12cm Dicke)</v>
      </c>
      <c r="E323" t="s">
        <v>195</v>
      </c>
      <c r="F323" s="14">
        <f>IF(ISNUMBER('Refsz-Verbräuche'!F158), 'Refsz-Verbräuche'!F158*Emissionsfaktoren!E158/1000, 0)</f>
        <v>0</v>
      </c>
      <c r="G323" s="14">
        <f>IF(ISNUMBER('Refsz-Verbräuche'!G158), 'Refsz-Verbräuche'!G158*Emissionsfaktoren!F158/1000, 0)</f>
        <v>0</v>
      </c>
      <c r="H323" s="14">
        <f>IF(ISNUMBER('Refsz-Verbräuche'!H158), 'Refsz-Verbräuche'!H158*Emissionsfaktoren!G158/1000, 0)</f>
        <v>0</v>
      </c>
      <c r="I323" s="14">
        <f>IF(ISNUMBER('Refsz-Verbräuche'!I158), 'Refsz-Verbräuche'!I158*Emissionsfaktoren!H158/1000, 0)</f>
        <v>0</v>
      </c>
      <c r="J323" s="14">
        <f>IF(ISNUMBER('Refsz-Verbräuche'!J158), 'Refsz-Verbräuche'!J158*Emissionsfaktoren!I158/1000, 0)</f>
        <v>0</v>
      </c>
      <c r="K323" s="14">
        <f>IF(ISNUMBER('Refsz-Verbräuche'!K158), 'Refsz-Verbräuche'!K158*Emissionsfaktoren!J158/1000, 0)</f>
        <v>0</v>
      </c>
      <c r="L323" s="14">
        <f>IF(ISNUMBER('Refsz-Verbräuche'!L158), 'Refsz-Verbräuche'!L158*Emissionsfaktoren!K158/1000, 0)</f>
        <v>0</v>
      </c>
      <c r="M323" s="14">
        <f>IF(ISNUMBER('Refsz-Verbräuche'!M158), 'Refsz-Verbräuche'!M158*Emissionsfaktoren!L158/1000, 0)</f>
        <v>0</v>
      </c>
      <c r="N323" s="14">
        <f>IF(ISNUMBER('Refsz-Verbräuche'!N158), 'Refsz-Verbräuche'!N158*Emissionsfaktoren!M158/1000, 0)</f>
        <v>0</v>
      </c>
      <c r="O323" s="14">
        <f>IF(ISNUMBER('Refsz-Verbräuche'!O158), 'Refsz-Verbräuche'!O158*Emissionsfaktoren!N158/1000, 0)</f>
        <v>0</v>
      </c>
      <c r="P323" s="14">
        <f>IF(ISNUMBER('Refsz-Verbräuche'!P158), 'Refsz-Verbräuche'!P158*Emissionsfaktoren!O158/1000, 0)</f>
        <v>0</v>
      </c>
      <c r="Q323" s="14">
        <f>IF(ISNUMBER('Refsz-Verbräuche'!Q158), 'Refsz-Verbräuche'!Q158*Emissionsfaktoren!P158/1000, 0)</f>
        <v>0</v>
      </c>
      <c r="R323" s="14">
        <f>IF(ISNUMBER('Refsz-Verbräuche'!R158), 'Refsz-Verbräuche'!R158*Emissionsfaktoren!Q158/1000, 0)</f>
        <v>0</v>
      </c>
      <c r="S323" s="14">
        <f>IF(ISNUMBER('Refsz-Verbräuche'!S158), 'Refsz-Verbräuche'!S158*Emissionsfaktoren!R158/1000, 0)</f>
        <v>0</v>
      </c>
      <c r="T323" s="14">
        <f>IF(ISNUMBER('Refsz-Verbräuche'!T158), 'Refsz-Verbräuche'!T158*Emissionsfaktoren!S158/1000, 0)</f>
        <v>0</v>
      </c>
      <c r="U323" s="14">
        <f>IF(ISNUMBER('Refsz-Verbräuche'!U158), 'Refsz-Verbräuche'!U158*Emissionsfaktoren!T158/1000, 0)</f>
        <v>0</v>
      </c>
      <c r="V323" s="14">
        <f>IF(ISNUMBER('Refsz-Verbräuche'!V158), 'Refsz-Verbräuche'!V158*Emissionsfaktoren!U158/1000, 0)</f>
        <v>0</v>
      </c>
      <c r="W323" s="14">
        <f>IF(ISNUMBER('Refsz-Verbräuche'!W158), 'Refsz-Verbräuche'!W158*Emissionsfaktoren!V158/1000, 0)</f>
        <v>0</v>
      </c>
      <c r="X323" s="14">
        <f>IF(ISNUMBER('Refsz-Verbräuche'!X158), 'Refsz-Verbräuche'!X158*Emissionsfaktoren!W158/1000, 0)</f>
        <v>0</v>
      </c>
      <c r="Y323" s="14">
        <f>IF(ISNUMBER('Refsz-Verbräuche'!Y158), 'Refsz-Verbräuche'!Y158*Emissionsfaktoren!X158/1000, 0)</f>
        <v>0</v>
      </c>
    </row>
    <row r="324" spans="2:25" ht="16.5">
      <c r="B324" s="14">
        <v>142</v>
      </c>
      <c r="C324" s="14" t="str">
        <f>'Refsz-Verbräuche'!C159</f>
        <v>Baugüter</v>
      </c>
      <c r="D324" s="19" t="str">
        <f>'Refsz-Verbräuche'!D159</f>
        <v xml:space="preserve">Stahlbeton Fertigteil Treppe (1,1 m Breite, 9 Stufen a 16 cm) </v>
      </c>
      <c r="E324" t="s">
        <v>195</v>
      </c>
      <c r="F324" s="14">
        <f>IF(ISNUMBER('Refsz-Verbräuche'!F159), 'Refsz-Verbräuche'!F159*Emissionsfaktoren!E159/1000, 0)</f>
        <v>0</v>
      </c>
      <c r="G324" s="14">
        <f>IF(ISNUMBER('Refsz-Verbräuche'!G159), 'Refsz-Verbräuche'!G159*Emissionsfaktoren!F159/1000, 0)</f>
        <v>0</v>
      </c>
      <c r="H324" s="14">
        <f>IF(ISNUMBER('Refsz-Verbräuche'!H159), 'Refsz-Verbräuche'!H159*Emissionsfaktoren!G159/1000, 0)</f>
        <v>0</v>
      </c>
      <c r="I324" s="14">
        <f>IF(ISNUMBER('Refsz-Verbräuche'!I159), 'Refsz-Verbräuche'!I159*Emissionsfaktoren!H159/1000, 0)</f>
        <v>0</v>
      </c>
      <c r="J324" s="14">
        <f>IF(ISNUMBER('Refsz-Verbräuche'!J159), 'Refsz-Verbräuche'!J159*Emissionsfaktoren!I159/1000, 0)</f>
        <v>0</v>
      </c>
      <c r="K324" s="14">
        <f>IF(ISNUMBER('Refsz-Verbräuche'!K159), 'Refsz-Verbräuche'!K159*Emissionsfaktoren!J159/1000, 0)</f>
        <v>0</v>
      </c>
      <c r="L324" s="14">
        <f>IF(ISNUMBER('Refsz-Verbräuche'!L159), 'Refsz-Verbräuche'!L159*Emissionsfaktoren!K159/1000, 0)</f>
        <v>0</v>
      </c>
      <c r="M324" s="14">
        <f>IF(ISNUMBER('Refsz-Verbräuche'!M159), 'Refsz-Verbräuche'!M159*Emissionsfaktoren!L159/1000, 0)</f>
        <v>0</v>
      </c>
      <c r="N324" s="14">
        <f>IF(ISNUMBER('Refsz-Verbräuche'!N159), 'Refsz-Verbräuche'!N159*Emissionsfaktoren!M159/1000, 0)</f>
        <v>0</v>
      </c>
      <c r="O324" s="14">
        <f>IF(ISNUMBER('Refsz-Verbräuche'!O159), 'Refsz-Verbräuche'!O159*Emissionsfaktoren!N159/1000, 0)</f>
        <v>0</v>
      </c>
      <c r="P324" s="14">
        <f>IF(ISNUMBER('Refsz-Verbräuche'!P159), 'Refsz-Verbräuche'!P159*Emissionsfaktoren!O159/1000, 0)</f>
        <v>0</v>
      </c>
      <c r="Q324" s="14">
        <f>IF(ISNUMBER('Refsz-Verbräuche'!Q159), 'Refsz-Verbräuche'!Q159*Emissionsfaktoren!P159/1000, 0)</f>
        <v>0</v>
      </c>
      <c r="R324" s="14">
        <f>IF(ISNUMBER('Refsz-Verbräuche'!R159), 'Refsz-Verbräuche'!R159*Emissionsfaktoren!Q159/1000, 0)</f>
        <v>0</v>
      </c>
      <c r="S324" s="14">
        <f>IF(ISNUMBER('Refsz-Verbräuche'!S159), 'Refsz-Verbräuche'!S159*Emissionsfaktoren!R159/1000, 0)</f>
        <v>0</v>
      </c>
      <c r="T324" s="14">
        <f>IF(ISNUMBER('Refsz-Verbräuche'!T159), 'Refsz-Verbräuche'!T159*Emissionsfaktoren!S159/1000, 0)</f>
        <v>0</v>
      </c>
      <c r="U324" s="14">
        <f>IF(ISNUMBER('Refsz-Verbräuche'!U159), 'Refsz-Verbräuche'!U159*Emissionsfaktoren!T159/1000, 0)</f>
        <v>0</v>
      </c>
      <c r="V324" s="14">
        <f>IF(ISNUMBER('Refsz-Verbräuche'!V159), 'Refsz-Verbräuche'!V159*Emissionsfaktoren!U159/1000, 0)</f>
        <v>0</v>
      </c>
      <c r="W324" s="14">
        <f>IF(ISNUMBER('Refsz-Verbräuche'!W159), 'Refsz-Verbräuche'!W159*Emissionsfaktoren!V159/1000, 0)</f>
        <v>0</v>
      </c>
      <c r="X324" s="14">
        <f>IF(ISNUMBER('Refsz-Verbräuche'!X159), 'Refsz-Verbräuche'!X159*Emissionsfaktoren!W159/1000, 0)</f>
        <v>0</v>
      </c>
      <c r="Y324" s="14">
        <f>IF(ISNUMBER('Refsz-Verbräuche'!Y159), 'Refsz-Verbräuche'!Y159*Emissionsfaktoren!X159/1000, 0)</f>
        <v>0</v>
      </c>
    </row>
    <row r="325" spans="2:25" ht="16.5">
      <c r="B325" s="14">
        <v>143</v>
      </c>
      <c r="C325" s="14" t="str">
        <f>'Refsz-Verbräuche'!C160</f>
        <v>Baugüter</v>
      </c>
      <c r="D325" s="19" t="str">
        <f>'Refsz-Verbräuche'!D160</f>
        <v>Mineralwolle</v>
      </c>
      <c r="E325" t="s">
        <v>195</v>
      </c>
      <c r="F325" s="14">
        <f>IF(ISNUMBER('Refsz-Verbräuche'!F160), 'Refsz-Verbräuche'!F160*Emissionsfaktoren!E160/1000, 0)</f>
        <v>0</v>
      </c>
      <c r="G325" s="14">
        <f>IF(ISNUMBER('Refsz-Verbräuche'!G160), 'Refsz-Verbräuche'!G160*Emissionsfaktoren!F160/1000, 0)</f>
        <v>0</v>
      </c>
      <c r="H325" s="14">
        <f>IF(ISNUMBER('Refsz-Verbräuche'!H160), 'Refsz-Verbräuche'!H160*Emissionsfaktoren!G160/1000, 0)</f>
        <v>0</v>
      </c>
      <c r="I325" s="14">
        <f>IF(ISNUMBER('Refsz-Verbräuche'!I160), 'Refsz-Verbräuche'!I160*Emissionsfaktoren!H160/1000, 0)</f>
        <v>0</v>
      </c>
      <c r="J325" s="14">
        <f>IF(ISNUMBER('Refsz-Verbräuche'!J160), 'Refsz-Verbräuche'!J160*Emissionsfaktoren!I160/1000, 0)</f>
        <v>0</v>
      </c>
      <c r="K325" s="14">
        <f>IF(ISNUMBER('Refsz-Verbräuche'!K160), 'Refsz-Verbräuche'!K160*Emissionsfaktoren!J160/1000, 0)</f>
        <v>0</v>
      </c>
      <c r="L325" s="14">
        <f>IF(ISNUMBER('Refsz-Verbräuche'!L160), 'Refsz-Verbräuche'!L160*Emissionsfaktoren!K160/1000, 0)</f>
        <v>0</v>
      </c>
      <c r="M325" s="14">
        <f>IF(ISNUMBER('Refsz-Verbräuche'!M160), 'Refsz-Verbräuche'!M160*Emissionsfaktoren!L160/1000, 0)</f>
        <v>0</v>
      </c>
      <c r="N325" s="14">
        <f>IF(ISNUMBER('Refsz-Verbräuche'!N160), 'Refsz-Verbräuche'!N160*Emissionsfaktoren!M160/1000, 0)</f>
        <v>0</v>
      </c>
      <c r="O325" s="14">
        <f>IF(ISNUMBER('Refsz-Verbräuche'!O160), 'Refsz-Verbräuche'!O160*Emissionsfaktoren!N160/1000, 0)</f>
        <v>0</v>
      </c>
      <c r="P325" s="14">
        <f>IF(ISNUMBER('Refsz-Verbräuche'!P160), 'Refsz-Verbräuche'!P160*Emissionsfaktoren!O160/1000, 0)</f>
        <v>0</v>
      </c>
      <c r="Q325" s="14">
        <f>IF(ISNUMBER('Refsz-Verbräuche'!Q160), 'Refsz-Verbräuche'!Q160*Emissionsfaktoren!P160/1000, 0)</f>
        <v>0</v>
      </c>
      <c r="R325" s="14">
        <f>IF(ISNUMBER('Refsz-Verbräuche'!R160), 'Refsz-Verbräuche'!R160*Emissionsfaktoren!Q160/1000, 0)</f>
        <v>0</v>
      </c>
      <c r="S325" s="14">
        <f>IF(ISNUMBER('Refsz-Verbräuche'!S160), 'Refsz-Verbräuche'!S160*Emissionsfaktoren!R160/1000, 0)</f>
        <v>0</v>
      </c>
      <c r="T325" s="14">
        <f>IF(ISNUMBER('Refsz-Verbräuche'!T160), 'Refsz-Verbräuche'!T160*Emissionsfaktoren!S160/1000, 0)</f>
        <v>0</v>
      </c>
      <c r="U325" s="14">
        <f>IF(ISNUMBER('Refsz-Verbräuche'!U160), 'Refsz-Verbräuche'!U160*Emissionsfaktoren!T160/1000, 0)</f>
        <v>0</v>
      </c>
      <c r="V325" s="14">
        <f>IF(ISNUMBER('Refsz-Verbräuche'!V160), 'Refsz-Verbräuche'!V160*Emissionsfaktoren!U160/1000, 0)</f>
        <v>0</v>
      </c>
      <c r="W325" s="14">
        <f>IF(ISNUMBER('Refsz-Verbräuche'!W160), 'Refsz-Verbräuche'!W160*Emissionsfaktoren!V160/1000, 0)</f>
        <v>0</v>
      </c>
      <c r="X325" s="14">
        <f>IF(ISNUMBER('Refsz-Verbräuche'!X160), 'Refsz-Verbräuche'!X160*Emissionsfaktoren!W160/1000, 0)</f>
        <v>0</v>
      </c>
      <c r="Y325" s="14">
        <f>IF(ISNUMBER('Refsz-Verbräuche'!Y160), 'Refsz-Verbräuche'!Y160*Emissionsfaktoren!X160/1000, 0)</f>
        <v>0</v>
      </c>
    </row>
    <row r="326" spans="2:25" ht="16.5">
      <c r="B326" s="14">
        <v>144</v>
      </c>
      <c r="C326" s="14" t="str">
        <f>'Refsz-Verbräuche'!C161</f>
        <v>Baugüter</v>
      </c>
      <c r="D326" s="19" t="str">
        <f>'Refsz-Verbräuche'!D161</f>
        <v>Mauerziegel (ungefüllt)</v>
      </c>
      <c r="E326" t="s">
        <v>195</v>
      </c>
      <c r="F326" s="14">
        <f>IF(ISNUMBER('Refsz-Verbräuche'!F161), 'Refsz-Verbräuche'!F161*Emissionsfaktoren!E161/1000, 0)</f>
        <v>0</v>
      </c>
      <c r="G326" s="14">
        <f>IF(ISNUMBER('Refsz-Verbräuche'!G161), 'Refsz-Verbräuche'!G161*Emissionsfaktoren!F161/1000, 0)</f>
        <v>0</v>
      </c>
      <c r="H326" s="14">
        <f>IF(ISNUMBER('Refsz-Verbräuche'!H161), 'Refsz-Verbräuche'!H161*Emissionsfaktoren!G161/1000, 0)</f>
        <v>0</v>
      </c>
      <c r="I326" s="14">
        <f>IF(ISNUMBER('Refsz-Verbräuche'!I161), 'Refsz-Verbräuche'!I161*Emissionsfaktoren!H161/1000, 0)</f>
        <v>0</v>
      </c>
      <c r="J326" s="14">
        <f>IF(ISNUMBER('Refsz-Verbräuche'!J161), 'Refsz-Verbräuche'!J161*Emissionsfaktoren!I161/1000, 0)</f>
        <v>0</v>
      </c>
      <c r="K326" s="14">
        <f>IF(ISNUMBER('Refsz-Verbräuche'!K161), 'Refsz-Verbräuche'!K161*Emissionsfaktoren!J161/1000, 0)</f>
        <v>0</v>
      </c>
      <c r="L326" s="14">
        <f>IF(ISNUMBER('Refsz-Verbräuche'!L161), 'Refsz-Verbräuche'!L161*Emissionsfaktoren!K161/1000, 0)</f>
        <v>0</v>
      </c>
      <c r="M326" s="14">
        <f>IF(ISNUMBER('Refsz-Verbräuche'!M161), 'Refsz-Verbräuche'!M161*Emissionsfaktoren!L161/1000, 0)</f>
        <v>0</v>
      </c>
      <c r="N326" s="14">
        <f>IF(ISNUMBER('Refsz-Verbräuche'!N161), 'Refsz-Verbräuche'!N161*Emissionsfaktoren!M161/1000, 0)</f>
        <v>0</v>
      </c>
      <c r="O326" s="14">
        <f>IF(ISNUMBER('Refsz-Verbräuche'!O161), 'Refsz-Verbräuche'!O161*Emissionsfaktoren!N161/1000, 0)</f>
        <v>0</v>
      </c>
      <c r="P326" s="14">
        <f>IF(ISNUMBER('Refsz-Verbräuche'!P161), 'Refsz-Verbräuche'!P161*Emissionsfaktoren!O161/1000, 0)</f>
        <v>0</v>
      </c>
      <c r="Q326" s="14">
        <f>IF(ISNUMBER('Refsz-Verbräuche'!Q161), 'Refsz-Verbräuche'!Q161*Emissionsfaktoren!P161/1000, 0)</f>
        <v>0</v>
      </c>
      <c r="R326" s="14">
        <f>IF(ISNUMBER('Refsz-Verbräuche'!R161), 'Refsz-Verbräuche'!R161*Emissionsfaktoren!Q161/1000, 0)</f>
        <v>0</v>
      </c>
      <c r="S326" s="14">
        <f>IF(ISNUMBER('Refsz-Verbräuche'!S161), 'Refsz-Verbräuche'!S161*Emissionsfaktoren!R161/1000, 0)</f>
        <v>0</v>
      </c>
      <c r="T326" s="14">
        <f>IF(ISNUMBER('Refsz-Verbräuche'!T161), 'Refsz-Verbräuche'!T161*Emissionsfaktoren!S161/1000, 0)</f>
        <v>0</v>
      </c>
      <c r="U326" s="14">
        <f>IF(ISNUMBER('Refsz-Verbräuche'!U161), 'Refsz-Verbräuche'!U161*Emissionsfaktoren!T161/1000, 0)</f>
        <v>0</v>
      </c>
      <c r="V326" s="14">
        <f>IF(ISNUMBER('Refsz-Verbräuche'!V161), 'Refsz-Verbräuche'!V161*Emissionsfaktoren!U161/1000, 0)</f>
        <v>0</v>
      </c>
      <c r="W326" s="14">
        <f>IF(ISNUMBER('Refsz-Verbräuche'!W161), 'Refsz-Verbräuche'!W161*Emissionsfaktoren!V161/1000, 0)</f>
        <v>0</v>
      </c>
      <c r="X326" s="14">
        <f>IF(ISNUMBER('Refsz-Verbräuche'!X161), 'Refsz-Verbräuche'!X161*Emissionsfaktoren!W161/1000, 0)</f>
        <v>0</v>
      </c>
      <c r="Y326" s="14">
        <f>IF(ISNUMBER('Refsz-Verbräuche'!Y161), 'Refsz-Verbräuche'!Y161*Emissionsfaktoren!X161/1000, 0)</f>
        <v>0</v>
      </c>
    </row>
    <row r="327" spans="2:25" ht="16.5">
      <c r="B327" s="14">
        <v>145</v>
      </c>
      <c r="C327" s="14">
        <f>'Refsz-Verbräuche'!C162</f>
        <v>0</v>
      </c>
      <c r="D327" s="19">
        <f>'Refsz-Verbräuche'!D162</f>
        <v>0</v>
      </c>
      <c r="E327" t="s">
        <v>195</v>
      </c>
      <c r="F327" s="14">
        <f>IF(ISNUMBER('Refsz-Verbräuche'!F162), 'Refsz-Verbräuche'!F162*Emissionsfaktoren!E162/1000, 0)</f>
        <v>0</v>
      </c>
      <c r="G327" s="14">
        <f>IF(ISNUMBER('Refsz-Verbräuche'!G162), 'Refsz-Verbräuche'!G162*Emissionsfaktoren!F162/1000, 0)</f>
        <v>0</v>
      </c>
      <c r="H327" s="14">
        <f>IF(ISNUMBER('Refsz-Verbräuche'!H162), 'Refsz-Verbräuche'!H162*Emissionsfaktoren!G162/1000, 0)</f>
        <v>0</v>
      </c>
      <c r="I327" s="14">
        <f>IF(ISNUMBER('Refsz-Verbräuche'!I162), 'Refsz-Verbräuche'!I162*Emissionsfaktoren!H162/1000, 0)</f>
        <v>0</v>
      </c>
      <c r="J327" s="14">
        <f>IF(ISNUMBER('Refsz-Verbräuche'!J162), 'Refsz-Verbräuche'!J162*Emissionsfaktoren!I162/1000, 0)</f>
        <v>0</v>
      </c>
      <c r="K327" s="14">
        <f>IF(ISNUMBER('Refsz-Verbräuche'!K162), 'Refsz-Verbräuche'!K162*Emissionsfaktoren!J162/1000, 0)</f>
        <v>0</v>
      </c>
      <c r="L327" s="14">
        <f>IF(ISNUMBER('Refsz-Verbräuche'!L162), 'Refsz-Verbräuche'!L162*Emissionsfaktoren!K162/1000, 0)</f>
        <v>0</v>
      </c>
      <c r="M327" s="14">
        <f>IF(ISNUMBER('Refsz-Verbräuche'!M162), 'Refsz-Verbräuche'!M162*Emissionsfaktoren!L162/1000, 0)</f>
        <v>0</v>
      </c>
      <c r="N327" s="14">
        <f>IF(ISNUMBER('Refsz-Verbräuche'!N162), 'Refsz-Verbräuche'!N162*Emissionsfaktoren!M162/1000, 0)</f>
        <v>0</v>
      </c>
      <c r="O327" s="14">
        <f>IF(ISNUMBER('Refsz-Verbräuche'!O162), 'Refsz-Verbräuche'!O162*Emissionsfaktoren!N162/1000, 0)</f>
        <v>0</v>
      </c>
      <c r="P327" s="14">
        <f>IF(ISNUMBER('Refsz-Verbräuche'!P162), 'Refsz-Verbräuche'!P162*Emissionsfaktoren!O162/1000, 0)</f>
        <v>0</v>
      </c>
      <c r="Q327" s="14">
        <f>IF(ISNUMBER('Refsz-Verbräuche'!Q162), 'Refsz-Verbräuche'!Q162*Emissionsfaktoren!P162/1000, 0)</f>
        <v>0</v>
      </c>
      <c r="R327" s="14">
        <f>IF(ISNUMBER('Refsz-Verbräuche'!R162), 'Refsz-Verbräuche'!R162*Emissionsfaktoren!Q162/1000, 0)</f>
        <v>0</v>
      </c>
      <c r="S327" s="14">
        <f>IF(ISNUMBER('Refsz-Verbräuche'!S162), 'Refsz-Verbräuche'!S162*Emissionsfaktoren!R162/1000, 0)</f>
        <v>0</v>
      </c>
      <c r="T327" s="14">
        <f>IF(ISNUMBER('Refsz-Verbräuche'!T162), 'Refsz-Verbräuche'!T162*Emissionsfaktoren!S162/1000, 0)</f>
        <v>0</v>
      </c>
      <c r="U327" s="14">
        <f>IF(ISNUMBER('Refsz-Verbräuche'!U162), 'Refsz-Verbräuche'!U162*Emissionsfaktoren!T162/1000, 0)</f>
        <v>0</v>
      </c>
      <c r="V327" s="14">
        <f>IF(ISNUMBER('Refsz-Verbräuche'!V162), 'Refsz-Verbräuche'!V162*Emissionsfaktoren!U162/1000, 0)</f>
        <v>0</v>
      </c>
      <c r="W327" s="14">
        <f>IF(ISNUMBER('Refsz-Verbräuche'!W162), 'Refsz-Verbräuche'!W162*Emissionsfaktoren!V162/1000, 0)</f>
        <v>0</v>
      </c>
      <c r="X327" s="14">
        <f>IF(ISNUMBER('Refsz-Verbräuche'!X162), 'Refsz-Verbräuche'!X162*Emissionsfaktoren!W162/1000, 0)</f>
        <v>0</v>
      </c>
      <c r="Y327" s="14">
        <f>IF(ISNUMBER('Refsz-Verbräuche'!Y162), 'Refsz-Verbräuche'!Y162*Emissionsfaktoren!X162/1000, 0)</f>
        <v>0</v>
      </c>
    </row>
    <row r="328" spans="2:25" ht="16.5">
      <c r="B328" s="14">
        <v>146</v>
      </c>
      <c r="C328" s="14" t="str">
        <f>'Refsz-Verbräuche'!C163</f>
        <v>Waren mit negativem GWP total</v>
      </c>
      <c r="D328" s="19" t="str">
        <f>'Refsz-Verbräuche'!D163</f>
        <v>Holzfaserdämmpatte (flexibe Matte)</v>
      </c>
      <c r="E328" t="s">
        <v>195</v>
      </c>
      <c r="F328" s="14">
        <f>IF(ISNUMBER('Refsz-Verbräuche'!F163), 'Refsz-Verbräuche'!F163*Emissionsfaktoren!E163/1000, 0)</f>
        <v>0</v>
      </c>
      <c r="G328" s="14">
        <f>IF(ISNUMBER('Refsz-Verbräuche'!G163), 'Refsz-Verbräuche'!G163*Emissionsfaktoren!F163/1000, 0)</f>
        <v>0</v>
      </c>
      <c r="H328" s="14">
        <f>IF(ISNUMBER('Refsz-Verbräuche'!H163), 'Refsz-Verbräuche'!H163*Emissionsfaktoren!G163/1000, 0)</f>
        <v>0</v>
      </c>
      <c r="I328" s="14">
        <f>IF(ISNUMBER('Refsz-Verbräuche'!I163), 'Refsz-Verbräuche'!I163*Emissionsfaktoren!H163/1000, 0)</f>
        <v>0</v>
      </c>
      <c r="J328" s="14">
        <f>IF(ISNUMBER('Refsz-Verbräuche'!J163), 'Refsz-Verbräuche'!J163*Emissionsfaktoren!I163/1000, 0)</f>
        <v>0</v>
      </c>
      <c r="K328" s="14">
        <f>IF(ISNUMBER('Refsz-Verbräuche'!K163), 'Refsz-Verbräuche'!K163*Emissionsfaktoren!J163/1000, 0)</f>
        <v>0</v>
      </c>
      <c r="L328" s="14">
        <f>IF(ISNUMBER('Refsz-Verbräuche'!L163), 'Refsz-Verbräuche'!L163*Emissionsfaktoren!K163/1000, 0)</f>
        <v>0</v>
      </c>
      <c r="M328" s="14">
        <f>IF(ISNUMBER('Refsz-Verbräuche'!M163), 'Refsz-Verbräuche'!M163*Emissionsfaktoren!L163/1000, 0)</f>
        <v>0</v>
      </c>
      <c r="N328" s="14">
        <f>IF(ISNUMBER('Refsz-Verbräuche'!N163), 'Refsz-Verbräuche'!N163*Emissionsfaktoren!M163/1000, 0)</f>
        <v>0</v>
      </c>
      <c r="O328" s="14">
        <f>IF(ISNUMBER('Refsz-Verbräuche'!O163), 'Refsz-Verbräuche'!O163*Emissionsfaktoren!N163/1000, 0)</f>
        <v>0</v>
      </c>
      <c r="P328" s="14">
        <f>IF(ISNUMBER('Refsz-Verbräuche'!P163), 'Refsz-Verbräuche'!P163*Emissionsfaktoren!O163/1000, 0)</f>
        <v>0</v>
      </c>
      <c r="Q328" s="14">
        <f>IF(ISNUMBER('Refsz-Verbräuche'!Q163), 'Refsz-Verbräuche'!Q163*Emissionsfaktoren!P163/1000, 0)</f>
        <v>0</v>
      </c>
      <c r="R328" s="14">
        <f>IF(ISNUMBER('Refsz-Verbräuche'!R163), 'Refsz-Verbräuche'!R163*Emissionsfaktoren!Q163/1000, 0)</f>
        <v>0</v>
      </c>
      <c r="S328" s="14">
        <f>IF(ISNUMBER('Refsz-Verbräuche'!S163), 'Refsz-Verbräuche'!S163*Emissionsfaktoren!R163/1000, 0)</f>
        <v>0</v>
      </c>
      <c r="T328" s="14">
        <f>IF(ISNUMBER('Refsz-Verbräuche'!T163), 'Refsz-Verbräuche'!T163*Emissionsfaktoren!S163/1000, 0)</f>
        <v>0</v>
      </c>
      <c r="U328" s="14">
        <f>IF(ISNUMBER('Refsz-Verbräuche'!U163), 'Refsz-Verbräuche'!U163*Emissionsfaktoren!T163/1000, 0)</f>
        <v>0</v>
      </c>
      <c r="V328" s="14">
        <f>IF(ISNUMBER('Refsz-Verbräuche'!V163), 'Refsz-Verbräuche'!V163*Emissionsfaktoren!U163/1000, 0)</f>
        <v>0</v>
      </c>
      <c r="W328" s="14">
        <f>IF(ISNUMBER('Refsz-Verbräuche'!W163), 'Refsz-Verbräuche'!W163*Emissionsfaktoren!V163/1000, 0)</f>
        <v>0</v>
      </c>
      <c r="X328" s="14">
        <f>IF(ISNUMBER('Refsz-Verbräuche'!X163), 'Refsz-Verbräuche'!X163*Emissionsfaktoren!W163/1000, 0)</f>
        <v>0</v>
      </c>
      <c r="Y328" s="14">
        <f>IF(ISNUMBER('Refsz-Verbräuche'!Y163), 'Refsz-Verbräuche'!Y163*Emissionsfaktoren!X163/1000, 0)</f>
        <v>0</v>
      </c>
    </row>
    <row r="329" spans="2:25" ht="16.5">
      <c r="B329" s="14">
        <v>147</v>
      </c>
      <c r="C329" s="14">
        <f>'Refsz-Verbräuche'!C164</f>
        <v>0</v>
      </c>
      <c r="D329" s="19">
        <f>'Refsz-Verbräuche'!D164</f>
        <v>0</v>
      </c>
      <c r="E329" t="s">
        <v>195</v>
      </c>
      <c r="F329" s="14">
        <f>IF(ISNUMBER('Refsz-Verbräuche'!F164), 'Refsz-Verbräuche'!F164*Emissionsfaktoren!E164/1000, 0)</f>
        <v>0</v>
      </c>
      <c r="G329" s="14">
        <f>IF(ISNUMBER('Refsz-Verbräuche'!G164), 'Refsz-Verbräuche'!G164*Emissionsfaktoren!F164/1000, 0)</f>
        <v>0</v>
      </c>
      <c r="H329" s="14">
        <f>IF(ISNUMBER('Refsz-Verbräuche'!H164), 'Refsz-Verbräuche'!H164*Emissionsfaktoren!G164/1000, 0)</f>
        <v>0</v>
      </c>
      <c r="I329" s="14">
        <f>IF(ISNUMBER('Refsz-Verbräuche'!I164), 'Refsz-Verbräuche'!I164*Emissionsfaktoren!H164/1000, 0)</f>
        <v>0</v>
      </c>
      <c r="J329" s="14">
        <f>IF(ISNUMBER('Refsz-Verbräuche'!J164), 'Refsz-Verbräuche'!J164*Emissionsfaktoren!I164/1000, 0)</f>
        <v>0</v>
      </c>
      <c r="K329" s="14">
        <f>IF(ISNUMBER('Refsz-Verbräuche'!K164), 'Refsz-Verbräuche'!K164*Emissionsfaktoren!J164/1000, 0)</f>
        <v>0</v>
      </c>
      <c r="L329" s="14">
        <f>IF(ISNUMBER('Refsz-Verbräuche'!L164), 'Refsz-Verbräuche'!L164*Emissionsfaktoren!K164/1000, 0)</f>
        <v>0</v>
      </c>
      <c r="M329" s="14">
        <f>IF(ISNUMBER('Refsz-Verbräuche'!M164), 'Refsz-Verbräuche'!M164*Emissionsfaktoren!L164/1000, 0)</f>
        <v>0</v>
      </c>
      <c r="N329" s="14">
        <f>IF(ISNUMBER('Refsz-Verbräuche'!N164), 'Refsz-Verbräuche'!N164*Emissionsfaktoren!M164/1000, 0)</f>
        <v>0</v>
      </c>
      <c r="O329" s="14">
        <f>IF(ISNUMBER('Refsz-Verbräuche'!O164), 'Refsz-Verbräuche'!O164*Emissionsfaktoren!N164/1000, 0)</f>
        <v>0</v>
      </c>
      <c r="P329" s="14">
        <f>IF(ISNUMBER('Refsz-Verbräuche'!P164), 'Refsz-Verbräuche'!P164*Emissionsfaktoren!O164/1000, 0)</f>
        <v>0</v>
      </c>
      <c r="Q329" s="14">
        <f>IF(ISNUMBER('Refsz-Verbräuche'!Q164), 'Refsz-Verbräuche'!Q164*Emissionsfaktoren!P164/1000, 0)</f>
        <v>0</v>
      </c>
      <c r="R329" s="14">
        <f>IF(ISNUMBER('Refsz-Verbräuche'!R164), 'Refsz-Verbräuche'!R164*Emissionsfaktoren!Q164/1000, 0)</f>
        <v>0</v>
      </c>
      <c r="S329" s="14">
        <f>IF(ISNUMBER('Refsz-Verbräuche'!S164), 'Refsz-Verbräuche'!S164*Emissionsfaktoren!R164/1000, 0)</f>
        <v>0</v>
      </c>
      <c r="T329" s="14">
        <f>IF(ISNUMBER('Refsz-Verbräuche'!T164), 'Refsz-Verbräuche'!T164*Emissionsfaktoren!S164/1000, 0)</f>
        <v>0</v>
      </c>
      <c r="U329" s="14">
        <f>IF(ISNUMBER('Refsz-Verbräuche'!U164), 'Refsz-Verbräuche'!U164*Emissionsfaktoren!T164/1000, 0)</f>
        <v>0</v>
      </c>
      <c r="V329" s="14">
        <f>IF(ISNUMBER('Refsz-Verbräuche'!V164), 'Refsz-Verbräuche'!V164*Emissionsfaktoren!U164/1000, 0)</f>
        <v>0</v>
      </c>
      <c r="W329" s="14">
        <f>IF(ISNUMBER('Refsz-Verbräuche'!W164), 'Refsz-Verbräuche'!W164*Emissionsfaktoren!V164/1000, 0)</f>
        <v>0</v>
      </c>
      <c r="X329" s="14">
        <f>IF(ISNUMBER('Refsz-Verbräuche'!X164), 'Refsz-Verbräuche'!X164*Emissionsfaktoren!W164/1000, 0)</f>
        <v>0</v>
      </c>
      <c r="Y329" s="14">
        <f>IF(ISNUMBER('Refsz-Verbräuche'!Y164), 'Refsz-Verbräuche'!Y164*Emissionsfaktoren!X164/1000, 0)</f>
        <v>0</v>
      </c>
    </row>
    <row r="330" spans="2:25" ht="16.5">
      <c r="B330" s="14">
        <v>148</v>
      </c>
      <c r="C330" s="14" t="str">
        <f>'Refsz-Verbräuche'!C165</f>
        <v>Kompensation</v>
      </c>
      <c r="D330" s="19" t="str">
        <f>'Refsz-Verbräuche'!D165</f>
        <v>Kompensation</v>
      </c>
      <c r="E330" t="s">
        <v>195</v>
      </c>
      <c r="F330" s="14">
        <f>IF(ISNUMBER('Refsz-Verbräuche'!F165), 'Refsz-Verbräuche'!F165*Emissionsfaktoren!E165/1000, 0)</f>
        <v>0</v>
      </c>
      <c r="G330" s="14">
        <f>IF(ISNUMBER('Refsz-Verbräuche'!G165), 'Refsz-Verbräuche'!G165*Emissionsfaktoren!F165/1000, 0)</f>
        <v>0</v>
      </c>
      <c r="H330" s="14">
        <f>IF(ISNUMBER('Refsz-Verbräuche'!H165), 'Refsz-Verbräuche'!H165*Emissionsfaktoren!G165/1000, 0)</f>
        <v>0</v>
      </c>
      <c r="I330" s="14">
        <f>IF(ISNUMBER('Refsz-Verbräuche'!I165), 'Refsz-Verbräuche'!I165*Emissionsfaktoren!H165/1000, 0)</f>
        <v>0</v>
      </c>
      <c r="J330" s="14">
        <f>IF(ISNUMBER('Refsz-Verbräuche'!J165), 'Refsz-Verbräuche'!J165*Emissionsfaktoren!I165/1000, 0)</f>
        <v>0</v>
      </c>
      <c r="K330" s="14">
        <f>IF(ISNUMBER('Refsz-Verbräuche'!K165), 'Refsz-Verbräuche'!K165*Emissionsfaktoren!J165/1000, 0)</f>
        <v>0</v>
      </c>
      <c r="L330" s="14">
        <f>IF(ISNUMBER('Refsz-Verbräuche'!L165), 'Refsz-Verbräuche'!L165*Emissionsfaktoren!K165/1000, 0)</f>
        <v>0</v>
      </c>
      <c r="M330" s="14">
        <f>IF(ISNUMBER('Refsz-Verbräuche'!M165), 'Refsz-Verbräuche'!M165*Emissionsfaktoren!L165/1000, 0)</f>
        <v>0</v>
      </c>
      <c r="N330" s="14">
        <f>IF(ISNUMBER('Refsz-Verbräuche'!N165), 'Refsz-Verbräuche'!N165*Emissionsfaktoren!M165/1000, 0)</f>
        <v>0</v>
      </c>
      <c r="O330" s="14">
        <f>IF(ISNUMBER('Refsz-Verbräuche'!O165), 'Refsz-Verbräuche'!O165*Emissionsfaktoren!N165/1000, 0)</f>
        <v>0</v>
      </c>
      <c r="P330" s="14">
        <f>IF(ISNUMBER('Refsz-Verbräuche'!P165), 'Refsz-Verbräuche'!P165*Emissionsfaktoren!O165/1000, 0)</f>
        <v>0</v>
      </c>
      <c r="Q330" s="14">
        <f>IF(ISNUMBER('Refsz-Verbräuche'!Q165), 'Refsz-Verbräuche'!Q165*Emissionsfaktoren!P165/1000, 0)</f>
        <v>0</v>
      </c>
      <c r="R330" s="14">
        <f>IF(ISNUMBER('Refsz-Verbräuche'!R165), 'Refsz-Verbräuche'!R165*Emissionsfaktoren!Q165/1000, 0)</f>
        <v>0</v>
      </c>
      <c r="S330" s="14">
        <f>IF(ISNUMBER('Refsz-Verbräuche'!S165), 'Refsz-Verbräuche'!S165*Emissionsfaktoren!R165/1000, 0)</f>
        <v>0</v>
      </c>
      <c r="T330" s="14">
        <f>IF(ISNUMBER('Refsz-Verbräuche'!T165), 'Refsz-Verbräuche'!T165*Emissionsfaktoren!S165/1000, 0)</f>
        <v>0</v>
      </c>
      <c r="U330" s="14">
        <f>IF(ISNUMBER('Refsz-Verbräuche'!U165), 'Refsz-Verbräuche'!U165*Emissionsfaktoren!T165/1000, 0)</f>
        <v>0</v>
      </c>
      <c r="V330" s="14">
        <f>IF(ISNUMBER('Refsz-Verbräuche'!V165), 'Refsz-Verbräuche'!V165*Emissionsfaktoren!U165/1000, 0)</f>
        <v>0</v>
      </c>
      <c r="W330" s="14">
        <f>IF(ISNUMBER('Refsz-Verbräuche'!W165), 'Refsz-Verbräuche'!W165*Emissionsfaktoren!V165/1000, 0)</f>
        <v>0</v>
      </c>
      <c r="X330" s="14">
        <f>IF(ISNUMBER('Refsz-Verbräuche'!X165), 'Refsz-Verbräuche'!X165*Emissionsfaktoren!W165/1000, 0)</f>
        <v>0</v>
      </c>
      <c r="Y330" s="14">
        <f>IF(ISNUMBER('Refsz-Verbräuche'!Y165), 'Refsz-Verbräuche'!Y165*Emissionsfaktoren!X165/1000, 0)</f>
        <v>0</v>
      </c>
    </row>
    <row r="331" spans="2:25" ht="16.5">
      <c r="B331" s="14">
        <v>149</v>
      </c>
      <c r="C331" s="14">
        <f>'Refsz-Verbräuche'!C166</f>
        <v>0</v>
      </c>
      <c r="D331" s="19">
        <f>'Refsz-Verbräuche'!D166</f>
        <v>0</v>
      </c>
      <c r="E331" t="s">
        <v>195</v>
      </c>
      <c r="F331" s="14">
        <f>IF(ISNUMBER('Refsz-Verbräuche'!F166), 'Refsz-Verbräuche'!F166*Emissionsfaktoren!E166/1000, 0)</f>
        <v>0</v>
      </c>
      <c r="G331" s="14">
        <f>IF(ISNUMBER('Refsz-Verbräuche'!G166), 'Refsz-Verbräuche'!G166*Emissionsfaktoren!F166/1000, 0)</f>
        <v>0</v>
      </c>
      <c r="H331" s="14">
        <f>IF(ISNUMBER('Refsz-Verbräuche'!H166), 'Refsz-Verbräuche'!H166*Emissionsfaktoren!G166/1000, 0)</f>
        <v>0</v>
      </c>
      <c r="I331" s="14">
        <f>IF(ISNUMBER('Refsz-Verbräuche'!I166), 'Refsz-Verbräuche'!I166*Emissionsfaktoren!H166/1000, 0)</f>
        <v>0</v>
      </c>
      <c r="J331" s="14">
        <f>IF(ISNUMBER('Refsz-Verbräuche'!J166), 'Refsz-Verbräuche'!J166*Emissionsfaktoren!I166/1000, 0)</f>
        <v>0</v>
      </c>
      <c r="K331" s="14">
        <f>IF(ISNUMBER('Refsz-Verbräuche'!K166), 'Refsz-Verbräuche'!K166*Emissionsfaktoren!J166/1000, 0)</f>
        <v>0</v>
      </c>
      <c r="L331" s="14">
        <f>IF(ISNUMBER('Refsz-Verbräuche'!L166), 'Refsz-Verbräuche'!L166*Emissionsfaktoren!K166/1000, 0)</f>
        <v>0</v>
      </c>
      <c r="M331" s="14">
        <f>IF(ISNUMBER('Refsz-Verbräuche'!M166), 'Refsz-Verbräuche'!M166*Emissionsfaktoren!L166/1000, 0)</f>
        <v>0</v>
      </c>
      <c r="N331" s="14">
        <f>IF(ISNUMBER('Refsz-Verbräuche'!N166), 'Refsz-Verbräuche'!N166*Emissionsfaktoren!M166/1000, 0)</f>
        <v>0</v>
      </c>
      <c r="O331" s="14">
        <f>IF(ISNUMBER('Refsz-Verbräuche'!O166), 'Refsz-Verbräuche'!O166*Emissionsfaktoren!N166/1000, 0)</f>
        <v>0</v>
      </c>
      <c r="P331" s="14">
        <f>IF(ISNUMBER('Refsz-Verbräuche'!P166), 'Refsz-Verbräuche'!P166*Emissionsfaktoren!O166/1000, 0)</f>
        <v>0</v>
      </c>
      <c r="Q331" s="14">
        <f>IF(ISNUMBER('Refsz-Verbräuche'!Q166), 'Refsz-Verbräuche'!Q166*Emissionsfaktoren!P166/1000, 0)</f>
        <v>0</v>
      </c>
      <c r="R331" s="14">
        <f>IF(ISNUMBER('Refsz-Verbräuche'!R166), 'Refsz-Verbräuche'!R166*Emissionsfaktoren!Q166/1000, 0)</f>
        <v>0</v>
      </c>
      <c r="S331" s="14">
        <f>IF(ISNUMBER('Refsz-Verbräuche'!S166), 'Refsz-Verbräuche'!S166*Emissionsfaktoren!R166/1000, 0)</f>
        <v>0</v>
      </c>
      <c r="T331" s="14">
        <f>IF(ISNUMBER('Refsz-Verbräuche'!T166), 'Refsz-Verbräuche'!T166*Emissionsfaktoren!S166/1000, 0)</f>
        <v>0</v>
      </c>
      <c r="U331" s="14">
        <f>IF(ISNUMBER('Refsz-Verbräuche'!U166), 'Refsz-Verbräuche'!U166*Emissionsfaktoren!T166/1000, 0)</f>
        <v>0</v>
      </c>
      <c r="V331" s="14">
        <f>IF(ISNUMBER('Refsz-Verbräuche'!V166), 'Refsz-Verbräuche'!V166*Emissionsfaktoren!U166/1000, 0)</f>
        <v>0</v>
      </c>
      <c r="W331" s="14">
        <f>IF(ISNUMBER('Refsz-Verbräuche'!W166), 'Refsz-Verbräuche'!W166*Emissionsfaktoren!V166/1000, 0)</f>
        <v>0</v>
      </c>
      <c r="X331" s="14">
        <f>IF(ISNUMBER('Refsz-Verbräuche'!X166), 'Refsz-Verbräuche'!X166*Emissionsfaktoren!W166/1000, 0)</f>
        <v>0</v>
      </c>
      <c r="Y331" s="14">
        <f>IF(ISNUMBER('Refsz-Verbräuche'!Y166), 'Refsz-Verbräuche'!Y166*Emissionsfaktoren!X166/1000, 0)</f>
        <v>0</v>
      </c>
    </row>
    <row r="332" spans="2:25" ht="16.5">
      <c r="B332" s="14">
        <v>150</v>
      </c>
      <c r="C332" s="14">
        <f>'Refsz-Verbräuche'!C167</f>
        <v>0</v>
      </c>
      <c r="D332" s="19">
        <f>'Refsz-Verbräuche'!D167</f>
        <v>0</v>
      </c>
      <c r="E332" t="s">
        <v>195</v>
      </c>
      <c r="F332" s="14">
        <f>IF(ISNUMBER('Refsz-Verbräuche'!F167), 'Refsz-Verbräuche'!F167*Emissionsfaktoren!E167/1000, 0)</f>
        <v>0</v>
      </c>
      <c r="G332" s="14">
        <f>IF(ISNUMBER('Refsz-Verbräuche'!G167), 'Refsz-Verbräuche'!G167*Emissionsfaktoren!F167/1000, 0)</f>
        <v>0</v>
      </c>
      <c r="H332" s="14">
        <f>IF(ISNUMBER('Refsz-Verbräuche'!H167), 'Refsz-Verbräuche'!H167*Emissionsfaktoren!G167/1000, 0)</f>
        <v>0</v>
      </c>
      <c r="I332" s="14">
        <f>IF(ISNUMBER('Refsz-Verbräuche'!I167), 'Refsz-Verbräuche'!I167*Emissionsfaktoren!H167/1000, 0)</f>
        <v>0</v>
      </c>
      <c r="J332" s="14">
        <f>IF(ISNUMBER('Refsz-Verbräuche'!J167), 'Refsz-Verbräuche'!J167*Emissionsfaktoren!I167/1000, 0)</f>
        <v>0</v>
      </c>
      <c r="K332" s="14">
        <f>IF(ISNUMBER('Refsz-Verbräuche'!K167), 'Refsz-Verbräuche'!K167*Emissionsfaktoren!J167/1000, 0)</f>
        <v>0</v>
      </c>
      <c r="L332" s="14">
        <f>IF(ISNUMBER('Refsz-Verbräuche'!L167), 'Refsz-Verbräuche'!L167*Emissionsfaktoren!K167/1000, 0)</f>
        <v>0</v>
      </c>
      <c r="M332" s="14">
        <f>IF(ISNUMBER('Refsz-Verbräuche'!M167), 'Refsz-Verbräuche'!M167*Emissionsfaktoren!L167/1000, 0)</f>
        <v>0</v>
      </c>
      <c r="N332" s="14">
        <f>IF(ISNUMBER('Refsz-Verbräuche'!N167), 'Refsz-Verbräuche'!N167*Emissionsfaktoren!M167/1000, 0)</f>
        <v>0</v>
      </c>
      <c r="O332" s="14">
        <f>IF(ISNUMBER('Refsz-Verbräuche'!O167), 'Refsz-Verbräuche'!O167*Emissionsfaktoren!N167/1000, 0)</f>
        <v>0</v>
      </c>
      <c r="P332" s="14">
        <f>IF(ISNUMBER('Refsz-Verbräuche'!P167), 'Refsz-Verbräuche'!P167*Emissionsfaktoren!O167/1000, 0)</f>
        <v>0</v>
      </c>
      <c r="Q332" s="14">
        <f>IF(ISNUMBER('Refsz-Verbräuche'!Q167), 'Refsz-Verbräuche'!Q167*Emissionsfaktoren!P167/1000, 0)</f>
        <v>0</v>
      </c>
      <c r="R332" s="14">
        <f>IF(ISNUMBER('Refsz-Verbräuche'!R167), 'Refsz-Verbräuche'!R167*Emissionsfaktoren!Q167/1000, 0)</f>
        <v>0</v>
      </c>
      <c r="S332" s="14">
        <f>IF(ISNUMBER('Refsz-Verbräuche'!S167), 'Refsz-Verbräuche'!S167*Emissionsfaktoren!R167/1000, 0)</f>
        <v>0</v>
      </c>
      <c r="T332" s="14">
        <f>IF(ISNUMBER('Refsz-Verbräuche'!T167), 'Refsz-Verbräuche'!T167*Emissionsfaktoren!S167/1000, 0)</f>
        <v>0</v>
      </c>
      <c r="U332" s="14">
        <f>IF(ISNUMBER('Refsz-Verbräuche'!U167), 'Refsz-Verbräuche'!U167*Emissionsfaktoren!T167/1000, 0)</f>
        <v>0</v>
      </c>
      <c r="V332" s="14">
        <f>IF(ISNUMBER('Refsz-Verbräuche'!V167), 'Refsz-Verbräuche'!V167*Emissionsfaktoren!U167/1000, 0)</f>
        <v>0</v>
      </c>
      <c r="W332" s="14">
        <f>IF(ISNUMBER('Refsz-Verbräuche'!W167), 'Refsz-Verbräuche'!W167*Emissionsfaktoren!V167/1000, 0)</f>
        <v>0</v>
      </c>
      <c r="X332" s="14">
        <f>IF(ISNUMBER('Refsz-Verbräuche'!X167), 'Refsz-Verbräuche'!X167*Emissionsfaktoren!W167/1000, 0)</f>
        <v>0</v>
      </c>
      <c r="Y332" s="14">
        <f>IF(ISNUMBER('Refsz-Verbräuche'!Y167), 'Refsz-Verbräuche'!Y167*Emissionsfaktoren!X167/1000, 0)</f>
        <v>0</v>
      </c>
    </row>
    <row r="333" spans="2:25" ht="16.5">
      <c r="B333" s="14">
        <v>151</v>
      </c>
      <c r="C333" s="14">
        <f>'Refsz-Verbräuche'!C168</f>
        <v>0</v>
      </c>
      <c r="D333" s="19">
        <f>'Refsz-Verbräuche'!D168</f>
        <v>0</v>
      </c>
      <c r="E333" t="s">
        <v>195</v>
      </c>
      <c r="F333" s="14">
        <f>IF(ISNUMBER('Refsz-Verbräuche'!F168), 'Refsz-Verbräuche'!F168*Emissionsfaktoren!E168/1000, 0)</f>
        <v>0</v>
      </c>
      <c r="G333" s="14">
        <f>IF(ISNUMBER('Refsz-Verbräuche'!G168), 'Refsz-Verbräuche'!G168*Emissionsfaktoren!F168/1000, 0)</f>
        <v>0</v>
      </c>
      <c r="H333" s="14">
        <f>IF(ISNUMBER('Refsz-Verbräuche'!H168), 'Refsz-Verbräuche'!H168*Emissionsfaktoren!G168/1000, 0)</f>
        <v>0</v>
      </c>
      <c r="I333" s="14">
        <f>IF(ISNUMBER('Refsz-Verbräuche'!I168), 'Refsz-Verbräuche'!I168*Emissionsfaktoren!H168/1000, 0)</f>
        <v>0</v>
      </c>
      <c r="J333" s="14">
        <f>IF(ISNUMBER('Refsz-Verbräuche'!J168), 'Refsz-Verbräuche'!J168*Emissionsfaktoren!I168/1000, 0)</f>
        <v>0</v>
      </c>
      <c r="K333" s="14">
        <f>IF(ISNUMBER('Refsz-Verbräuche'!K168), 'Refsz-Verbräuche'!K168*Emissionsfaktoren!J168/1000, 0)</f>
        <v>0</v>
      </c>
      <c r="L333" s="14">
        <f>IF(ISNUMBER('Refsz-Verbräuche'!L168), 'Refsz-Verbräuche'!L168*Emissionsfaktoren!K168/1000, 0)</f>
        <v>0</v>
      </c>
      <c r="M333" s="14">
        <f>IF(ISNUMBER('Refsz-Verbräuche'!M168), 'Refsz-Verbräuche'!M168*Emissionsfaktoren!L168/1000, 0)</f>
        <v>0</v>
      </c>
      <c r="N333" s="14">
        <f>IF(ISNUMBER('Refsz-Verbräuche'!N168), 'Refsz-Verbräuche'!N168*Emissionsfaktoren!M168/1000, 0)</f>
        <v>0</v>
      </c>
      <c r="O333" s="14">
        <f>IF(ISNUMBER('Refsz-Verbräuche'!O168), 'Refsz-Verbräuche'!O168*Emissionsfaktoren!N168/1000, 0)</f>
        <v>0</v>
      </c>
      <c r="P333" s="14">
        <f>IF(ISNUMBER('Refsz-Verbräuche'!P168), 'Refsz-Verbräuche'!P168*Emissionsfaktoren!O168/1000, 0)</f>
        <v>0</v>
      </c>
      <c r="Q333" s="14">
        <f>IF(ISNUMBER('Refsz-Verbräuche'!Q168), 'Refsz-Verbräuche'!Q168*Emissionsfaktoren!P168/1000, 0)</f>
        <v>0</v>
      </c>
      <c r="R333" s="14">
        <f>IF(ISNUMBER('Refsz-Verbräuche'!R168), 'Refsz-Verbräuche'!R168*Emissionsfaktoren!Q168/1000, 0)</f>
        <v>0</v>
      </c>
      <c r="S333" s="14">
        <f>IF(ISNUMBER('Refsz-Verbräuche'!S168), 'Refsz-Verbräuche'!S168*Emissionsfaktoren!R168/1000, 0)</f>
        <v>0</v>
      </c>
      <c r="T333" s="14">
        <f>IF(ISNUMBER('Refsz-Verbräuche'!T168), 'Refsz-Verbräuche'!T168*Emissionsfaktoren!S168/1000, 0)</f>
        <v>0</v>
      </c>
      <c r="U333" s="14">
        <f>IF(ISNUMBER('Refsz-Verbräuche'!U168), 'Refsz-Verbräuche'!U168*Emissionsfaktoren!T168/1000, 0)</f>
        <v>0</v>
      </c>
      <c r="V333" s="14">
        <f>IF(ISNUMBER('Refsz-Verbräuche'!V168), 'Refsz-Verbräuche'!V168*Emissionsfaktoren!U168/1000, 0)</f>
        <v>0</v>
      </c>
      <c r="W333" s="14">
        <f>IF(ISNUMBER('Refsz-Verbräuche'!W168), 'Refsz-Verbräuche'!W168*Emissionsfaktoren!V168/1000, 0)</f>
        <v>0</v>
      </c>
      <c r="X333" s="14">
        <f>IF(ISNUMBER('Refsz-Verbräuche'!X168), 'Refsz-Verbräuche'!X168*Emissionsfaktoren!W168/1000, 0)</f>
        <v>0</v>
      </c>
      <c r="Y333" s="14">
        <f>IF(ISNUMBER('Refsz-Verbräuche'!Y168), 'Refsz-Verbräuche'!Y168*Emissionsfaktoren!X168/1000, 0)</f>
        <v>0</v>
      </c>
    </row>
    <row r="334" spans="2:25" ht="16.5">
      <c r="B334" s="14">
        <v>152</v>
      </c>
      <c r="C334" s="14">
        <f>'Refsz-Verbräuche'!C169</f>
        <v>0</v>
      </c>
      <c r="D334" s="19">
        <f>'Refsz-Verbräuche'!D169</f>
        <v>0</v>
      </c>
      <c r="E334" t="s">
        <v>195</v>
      </c>
      <c r="F334" s="14">
        <f>IF(ISNUMBER('Refsz-Verbräuche'!F169), 'Refsz-Verbräuche'!F169*Emissionsfaktoren!E169/1000, 0)</f>
        <v>0</v>
      </c>
      <c r="G334" s="14">
        <f>IF(ISNUMBER('Refsz-Verbräuche'!G169), 'Refsz-Verbräuche'!G169*Emissionsfaktoren!F169/1000, 0)</f>
        <v>0</v>
      </c>
      <c r="H334" s="14">
        <f>IF(ISNUMBER('Refsz-Verbräuche'!H169), 'Refsz-Verbräuche'!H169*Emissionsfaktoren!G169/1000, 0)</f>
        <v>0</v>
      </c>
      <c r="I334" s="14">
        <f>IF(ISNUMBER('Refsz-Verbräuche'!I169), 'Refsz-Verbräuche'!I169*Emissionsfaktoren!H169/1000, 0)</f>
        <v>0</v>
      </c>
      <c r="J334" s="14">
        <f>IF(ISNUMBER('Refsz-Verbräuche'!J169), 'Refsz-Verbräuche'!J169*Emissionsfaktoren!I169/1000, 0)</f>
        <v>0</v>
      </c>
      <c r="K334" s="14">
        <f>IF(ISNUMBER('Refsz-Verbräuche'!K169), 'Refsz-Verbräuche'!K169*Emissionsfaktoren!J169/1000, 0)</f>
        <v>0</v>
      </c>
      <c r="L334" s="14">
        <f>IF(ISNUMBER('Refsz-Verbräuche'!L169), 'Refsz-Verbräuche'!L169*Emissionsfaktoren!K169/1000, 0)</f>
        <v>0</v>
      </c>
      <c r="M334" s="14">
        <f>IF(ISNUMBER('Refsz-Verbräuche'!M169), 'Refsz-Verbräuche'!M169*Emissionsfaktoren!L169/1000, 0)</f>
        <v>0</v>
      </c>
      <c r="N334" s="14">
        <f>IF(ISNUMBER('Refsz-Verbräuche'!N169), 'Refsz-Verbräuche'!N169*Emissionsfaktoren!M169/1000, 0)</f>
        <v>0</v>
      </c>
      <c r="O334" s="14">
        <f>IF(ISNUMBER('Refsz-Verbräuche'!O169), 'Refsz-Verbräuche'!O169*Emissionsfaktoren!N169/1000, 0)</f>
        <v>0</v>
      </c>
      <c r="P334" s="14">
        <f>IF(ISNUMBER('Refsz-Verbräuche'!P169), 'Refsz-Verbräuche'!P169*Emissionsfaktoren!O169/1000, 0)</f>
        <v>0</v>
      </c>
      <c r="Q334" s="14">
        <f>IF(ISNUMBER('Refsz-Verbräuche'!Q169), 'Refsz-Verbräuche'!Q169*Emissionsfaktoren!P169/1000, 0)</f>
        <v>0</v>
      </c>
      <c r="R334" s="14">
        <f>IF(ISNUMBER('Refsz-Verbräuche'!R169), 'Refsz-Verbräuche'!R169*Emissionsfaktoren!Q169/1000, 0)</f>
        <v>0</v>
      </c>
      <c r="S334" s="14">
        <f>IF(ISNUMBER('Refsz-Verbräuche'!S169), 'Refsz-Verbräuche'!S169*Emissionsfaktoren!R169/1000, 0)</f>
        <v>0</v>
      </c>
      <c r="T334" s="14">
        <f>IF(ISNUMBER('Refsz-Verbräuche'!T169), 'Refsz-Verbräuche'!T169*Emissionsfaktoren!S169/1000, 0)</f>
        <v>0</v>
      </c>
      <c r="U334" s="14">
        <f>IF(ISNUMBER('Refsz-Verbräuche'!U169), 'Refsz-Verbräuche'!U169*Emissionsfaktoren!T169/1000, 0)</f>
        <v>0</v>
      </c>
      <c r="V334" s="14">
        <f>IF(ISNUMBER('Refsz-Verbräuche'!V169), 'Refsz-Verbräuche'!V169*Emissionsfaktoren!U169/1000, 0)</f>
        <v>0</v>
      </c>
      <c r="W334" s="14">
        <f>IF(ISNUMBER('Refsz-Verbräuche'!W169), 'Refsz-Verbräuche'!W169*Emissionsfaktoren!V169/1000, 0)</f>
        <v>0</v>
      </c>
      <c r="X334" s="14">
        <f>IF(ISNUMBER('Refsz-Verbräuche'!X169), 'Refsz-Verbräuche'!X169*Emissionsfaktoren!W169/1000, 0)</f>
        <v>0</v>
      </c>
      <c r="Y334" s="14">
        <f>IF(ISNUMBER('Refsz-Verbräuche'!Y169), 'Refsz-Verbräuche'!Y169*Emissionsfaktoren!X169/1000, 0)</f>
        <v>0</v>
      </c>
    </row>
    <row r="335" spans="2:25" ht="16.5">
      <c r="B335" s="14">
        <v>153</v>
      </c>
      <c r="C335" s="14">
        <f>'Refsz-Verbräuche'!C170</f>
        <v>0</v>
      </c>
      <c r="D335" s="19">
        <f>'Refsz-Verbräuche'!D170</f>
        <v>0</v>
      </c>
      <c r="E335" t="s">
        <v>195</v>
      </c>
      <c r="F335" s="14">
        <f>IF(ISNUMBER('Refsz-Verbräuche'!F170), 'Refsz-Verbräuche'!F170*Emissionsfaktoren!E170/1000, 0)</f>
        <v>0</v>
      </c>
      <c r="G335" s="14">
        <f>IF(ISNUMBER('Refsz-Verbräuche'!G170), 'Refsz-Verbräuche'!G170*Emissionsfaktoren!F170/1000, 0)</f>
        <v>0</v>
      </c>
      <c r="H335" s="14">
        <f>IF(ISNUMBER('Refsz-Verbräuche'!H170), 'Refsz-Verbräuche'!H170*Emissionsfaktoren!G170/1000, 0)</f>
        <v>0</v>
      </c>
      <c r="I335" s="14">
        <f>IF(ISNUMBER('Refsz-Verbräuche'!I170), 'Refsz-Verbräuche'!I170*Emissionsfaktoren!H170/1000, 0)</f>
        <v>0</v>
      </c>
      <c r="J335" s="14">
        <f>IF(ISNUMBER('Refsz-Verbräuche'!J170), 'Refsz-Verbräuche'!J170*Emissionsfaktoren!I170/1000, 0)</f>
        <v>0</v>
      </c>
      <c r="K335" s="14">
        <f>IF(ISNUMBER('Refsz-Verbräuche'!K170), 'Refsz-Verbräuche'!K170*Emissionsfaktoren!J170/1000, 0)</f>
        <v>0</v>
      </c>
      <c r="L335" s="14">
        <f>IF(ISNUMBER('Refsz-Verbräuche'!L170), 'Refsz-Verbräuche'!L170*Emissionsfaktoren!K170/1000, 0)</f>
        <v>0</v>
      </c>
      <c r="M335" s="14">
        <f>IF(ISNUMBER('Refsz-Verbräuche'!M170), 'Refsz-Verbräuche'!M170*Emissionsfaktoren!L170/1000, 0)</f>
        <v>0</v>
      </c>
      <c r="N335" s="14">
        <f>IF(ISNUMBER('Refsz-Verbräuche'!N170), 'Refsz-Verbräuche'!N170*Emissionsfaktoren!M170/1000, 0)</f>
        <v>0</v>
      </c>
      <c r="O335" s="14">
        <f>IF(ISNUMBER('Refsz-Verbräuche'!O170), 'Refsz-Verbräuche'!O170*Emissionsfaktoren!N170/1000, 0)</f>
        <v>0</v>
      </c>
      <c r="P335" s="14">
        <f>IF(ISNUMBER('Refsz-Verbräuche'!P170), 'Refsz-Verbräuche'!P170*Emissionsfaktoren!O170/1000, 0)</f>
        <v>0</v>
      </c>
      <c r="Q335" s="14">
        <f>IF(ISNUMBER('Refsz-Verbräuche'!Q170), 'Refsz-Verbräuche'!Q170*Emissionsfaktoren!P170/1000, 0)</f>
        <v>0</v>
      </c>
      <c r="R335" s="14">
        <f>IF(ISNUMBER('Refsz-Verbräuche'!R170), 'Refsz-Verbräuche'!R170*Emissionsfaktoren!Q170/1000, 0)</f>
        <v>0</v>
      </c>
      <c r="S335" s="14">
        <f>IF(ISNUMBER('Refsz-Verbräuche'!S170), 'Refsz-Verbräuche'!S170*Emissionsfaktoren!R170/1000, 0)</f>
        <v>0</v>
      </c>
      <c r="T335" s="14">
        <f>IF(ISNUMBER('Refsz-Verbräuche'!T170), 'Refsz-Verbräuche'!T170*Emissionsfaktoren!S170/1000, 0)</f>
        <v>0</v>
      </c>
      <c r="U335" s="14">
        <f>IF(ISNUMBER('Refsz-Verbräuche'!U170), 'Refsz-Verbräuche'!U170*Emissionsfaktoren!T170/1000, 0)</f>
        <v>0</v>
      </c>
      <c r="V335" s="14">
        <f>IF(ISNUMBER('Refsz-Verbräuche'!V170), 'Refsz-Verbräuche'!V170*Emissionsfaktoren!U170/1000, 0)</f>
        <v>0</v>
      </c>
      <c r="W335" s="14">
        <f>IF(ISNUMBER('Refsz-Verbräuche'!W170), 'Refsz-Verbräuche'!W170*Emissionsfaktoren!V170/1000, 0)</f>
        <v>0</v>
      </c>
      <c r="X335" s="14">
        <f>IF(ISNUMBER('Refsz-Verbräuche'!X170), 'Refsz-Verbräuche'!X170*Emissionsfaktoren!W170/1000, 0)</f>
        <v>0</v>
      </c>
      <c r="Y335" s="14">
        <f>IF(ISNUMBER('Refsz-Verbräuche'!Y170), 'Refsz-Verbräuche'!Y170*Emissionsfaktoren!X170/1000, 0)</f>
        <v>0</v>
      </c>
    </row>
    <row r="336" spans="2:25" ht="16.5">
      <c r="B336" s="14">
        <v>154</v>
      </c>
      <c r="C336" s="14">
        <f>'Refsz-Verbräuche'!C171</f>
        <v>0</v>
      </c>
      <c r="D336" s="19">
        <f>'Refsz-Verbräuche'!D171</f>
        <v>0</v>
      </c>
      <c r="E336" t="s">
        <v>195</v>
      </c>
      <c r="F336" s="14">
        <f>IF(ISNUMBER('Refsz-Verbräuche'!F171), 'Refsz-Verbräuche'!F171*Emissionsfaktoren!E171/1000, 0)</f>
        <v>0</v>
      </c>
      <c r="G336" s="14">
        <f>IF(ISNUMBER('Refsz-Verbräuche'!G171), 'Refsz-Verbräuche'!G171*Emissionsfaktoren!F171/1000, 0)</f>
        <v>0</v>
      </c>
      <c r="H336" s="14">
        <f>IF(ISNUMBER('Refsz-Verbräuche'!H171), 'Refsz-Verbräuche'!H171*Emissionsfaktoren!G171/1000, 0)</f>
        <v>0</v>
      </c>
      <c r="I336" s="14">
        <f>IF(ISNUMBER('Refsz-Verbräuche'!I171), 'Refsz-Verbräuche'!I171*Emissionsfaktoren!H171/1000, 0)</f>
        <v>0</v>
      </c>
      <c r="J336" s="14">
        <f>IF(ISNUMBER('Refsz-Verbräuche'!J171), 'Refsz-Verbräuche'!J171*Emissionsfaktoren!I171/1000, 0)</f>
        <v>0</v>
      </c>
      <c r="K336" s="14">
        <f>IF(ISNUMBER('Refsz-Verbräuche'!K171), 'Refsz-Verbräuche'!K171*Emissionsfaktoren!J171/1000, 0)</f>
        <v>0</v>
      </c>
      <c r="L336" s="14">
        <f>IF(ISNUMBER('Refsz-Verbräuche'!L171), 'Refsz-Verbräuche'!L171*Emissionsfaktoren!K171/1000, 0)</f>
        <v>0</v>
      </c>
      <c r="M336" s="14">
        <f>IF(ISNUMBER('Refsz-Verbräuche'!M171), 'Refsz-Verbräuche'!M171*Emissionsfaktoren!L171/1000, 0)</f>
        <v>0</v>
      </c>
      <c r="N336" s="14">
        <f>IF(ISNUMBER('Refsz-Verbräuche'!N171), 'Refsz-Verbräuche'!N171*Emissionsfaktoren!M171/1000, 0)</f>
        <v>0</v>
      </c>
      <c r="O336" s="14">
        <f>IF(ISNUMBER('Refsz-Verbräuche'!O171), 'Refsz-Verbräuche'!O171*Emissionsfaktoren!N171/1000, 0)</f>
        <v>0</v>
      </c>
      <c r="P336" s="14">
        <f>IF(ISNUMBER('Refsz-Verbräuche'!P171), 'Refsz-Verbräuche'!P171*Emissionsfaktoren!O171/1000, 0)</f>
        <v>0</v>
      </c>
      <c r="Q336" s="14">
        <f>IF(ISNUMBER('Refsz-Verbräuche'!Q171), 'Refsz-Verbräuche'!Q171*Emissionsfaktoren!P171/1000, 0)</f>
        <v>0</v>
      </c>
      <c r="R336" s="14">
        <f>IF(ISNUMBER('Refsz-Verbräuche'!R171), 'Refsz-Verbräuche'!R171*Emissionsfaktoren!Q171/1000, 0)</f>
        <v>0</v>
      </c>
      <c r="S336" s="14">
        <f>IF(ISNUMBER('Refsz-Verbräuche'!S171), 'Refsz-Verbräuche'!S171*Emissionsfaktoren!R171/1000, 0)</f>
        <v>0</v>
      </c>
      <c r="T336" s="14">
        <f>IF(ISNUMBER('Refsz-Verbräuche'!T171), 'Refsz-Verbräuche'!T171*Emissionsfaktoren!S171/1000, 0)</f>
        <v>0</v>
      </c>
      <c r="U336" s="14">
        <f>IF(ISNUMBER('Refsz-Verbräuche'!U171), 'Refsz-Verbräuche'!U171*Emissionsfaktoren!T171/1000, 0)</f>
        <v>0</v>
      </c>
      <c r="V336" s="14">
        <f>IF(ISNUMBER('Refsz-Verbräuche'!V171), 'Refsz-Verbräuche'!V171*Emissionsfaktoren!U171/1000, 0)</f>
        <v>0</v>
      </c>
      <c r="W336" s="14">
        <f>IF(ISNUMBER('Refsz-Verbräuche'!W171), 'Refsz-Verbräuche'!W171*Emissionsfaktoren!V171/1000, 0)</f>
        <v>0</v>
      </c>
      <c r="X336" s="14">
        <f>IF(ISNUMBER('Refsz-Verbräuche'!X171), 'Refsz-Verbräuche'!X171*Emissionsfaktoren!W171/1000, 0)</f>
        <v>0</v>
      </c>
      <c r="Y336" s="14">
        <f>IF(ISNUMBER('Refsz-Verbräuche'!Y171), 'Refsz-Verbräuche'!Y171*Emissionsfaktoren!X171/1000, 0)</f>
        <v>0</v>
      </c>
    </row>
    <row r="337" spans="2:25" ht="16.5">
      <c r="B337" s="14">
        <v>155</v>
      </c>
      <c r="C337" s="14">
        <f>'Refsz-Verbräuche'!C172</f>
        <v>0</v>
      </c>
      <c r="D337" s="19">
        <f>'Refsz-Verbräuche'!D172</f>
        <v>0</v>
      </c>
      <c r="E337" t="s">
        <v>195</v>
      </c>
      <c r="F337" s="14">
        <f>IF(ISNUMBER('Refsz-Verbräuche'!F172), 'Refsz-Verbräuche'!F172*Emissionsfaktoren!E172/1000, 0)</f>
        <v>0</v>
      </c>
      <c r="G337" s="14">
        <f>IF(ISNUMBER('Refsz-Verbräuche'!G172), 'Refsz-Verbräuche'!G172*Emissionsfaktoren!F172/1000, 0)</f>
        <v>0</v>
      </c>
      <c r="H337" s="14">
        <f>IF(ISNUMBER('Refsz-Verbräuche'!H172), 'Refsz-Verbräuche'!H172*Emissionsfaktoren!G172/1000, 0)</f>
        <v>0</v>
      </c>
      <c r="I337" s="14">
        <f>IF(ISNUMBER('Refsz-Verbräuche'!I172), 'Refsz-Verbräuche'!I172*Emissionsfaktoren!H172/1000, 0)</f>
        <v>0</v>
      </c>
      <c r="J337" s="14">
        <f>IF(ISNUMBER('Refsz-Verbräuche'!J172), 'Refsz-Verbräuche'!J172*Emissionsfaktoren!I172/1000, 0)</f>
        <v>0</v>
      </c>
      <c r="K337" s="14">
        <f>IF(ISNUMBER('Refsz-Verbräuche'!K172), 'Refsz-Verbräuche'!K172*Emissionsfaktoren!J172/1000, 0)</f>
        <v>0</v>
      </c>
      <c r="L337" s="14">
        <f>IF(ISNUMBER('Refsz-Verbräuche'!L172), 'Refsz-Verbräuche'!L172*Emissionsfaktoren!K172/1000, 0)</f>
        <v>0</v>
      </c>
      <c r="M337" s="14">
        <f>IF(ISNUMBER('Refsz-Verbräuche'!M172), 'Refsz-Verbräuche'!M172*Emissionsfaktoren!L172/1000, 0)</f>
        <v>0</v>
      </c>
      <c r="N337" s="14">
        <f>IF(ISNUMBER('Refsz-Verbräuche'!N172), 'Refsz-Verbräuche'!N172*Emissionsfaktoren!M172/1000, 0)</f>
        <v>0</v>
      </c>
      <c r="O337" s="14">
        <f>IF(ISNUMBER('Refsz-Verbräuche'!O172), 'Refsz-Verbräuche'!O172*Emissionsfaktoren!N172/1000, 0)</f>
        <v>0</v>
      </c>
      <c r="P337" s="14">
        <f>IF(ISNUMBER('Refsz-Verbräuche'!P172), 'Refsz-Verbräuche'!P172*Emissionsfaktoren!O172/1000, 0)</f>
        <v>0</v>
      </c>
      <c r="Q337" s="14">
        <f>IF(ISNUMBER('Refsz-Verbräuche'!Q172), 'Refsz-Verbräuche'!Q172*Emissionsfaktoren!P172/1000, 0)</f>
        <v>0</v>
      </c>
      <c r="R337" s="14">
        <f>IF(ISNUMBER('Refsz-Verbräuche'!R172), 'Refsz-Verbräuche'!R172*Emissionsfaktoren!Q172/1000, 0)</f>
        <v>0</v>
      </c>
      <c r="S337" s="14">
        <f>IF(ISNUMBER('Refsz-Verbräuche'!S172), 'Refsz-Verbräuche'!S172*Emissionsfaktoren!R172/1000, 0)</f>
        <v>0</v>
      </c>
      <c r="T337" s="14">
        <f>IF(ISNUMBER('Refsz-Verbräuche'!T172), 'Refsz-Verbräuche'!T172*Emissionsfaktoren!S172/1000, 0)</f>
        <v>0</v>
      </c>
      <c r="U337" s="14">
        <f>IF(ISNUMBER('Refsz-Verbräuche'!U172), 'Refsz-Verbräuche'!U172*Emissionsfaktoren!T172/1000, 0)</f>
        <v>0</v>
      </c>
      <c r="V337" s="14">
        <f>IF(ISNUMBER('Refsz-Verbräuche'!V172), 'Refsz-Verbräuche'!V172*Emissionsfaktoren!U172/1000, 0)</f>
        <v>0</v>
      </c>
      <c r="W337" s="14">
        <f>IF(ISNUMBER('Refsz-Verbräuche'!W172), 'Refsz-Verbräuche'!W172*Emissionsfaktoren!V172/1000, 0)</f>
        <v>0</v>
      </c>
      <c r="X337" s="14">
        <f>IF(ISNUMBER('Refsz-Verbräuche'!X172), 'Refsz-Verbräuche'!X172*Emissionsfaktoren!W172/1000, 0)</f>
        <v>0</v>
      </c>
      <c r="Y337" s="14">
        <f>IF(ISNUMBER('Refsz-Verbräuche'!Y172), 'Refsz-Verbräuche'!Y172*Emissionsfaktoren!X172/1000, 0)</f>
        <v>0</v>
      </c>
    </row>
    <row r="338" spans="2:25" ht="16.5">
      <c r="B338" s="14">
        <v>156</v>
      </c>
      <c r="C338" s="14">
        <f>'Refsz-Verbräuche'!C173</f>
        <v>0</v>
      </c>
      <c r="D338" s="19">
        <f>'Refsz-Verbräuche'!D173</f>
        <v>0</v>
      </c>
      <c r="E338" t="s">
        <v>195</v>
      </c>
      <c r="F338" s="14">
        <f>IF(ISNUMBER('Refsz-Verbräuche'!F173), 'Refsz-Verbräuche'!F173*Emissionsfaktoren!E173/1000, 0)</f>
        <v>0</v>
      </c>
      <c r="G338" s="14">
        <f>IF(ISNUMBER('Refsz-Verbräuche'!G173), 'Refsz-Verbräuche'!G173*Emissionsfaktoren!F173/1000, 0)</f>
        <v>0</v>
      </c>
      <c r="H338" s="14">
        <f>IF(ISNUMBER('Refsz-Verbräuche'!H173), 'Refsz-Verbräuche'!H173*Emissionsfaktoren!G173/1000, 0)</f>
        <v>0</v>
      </c>
      <c r="I338" s="14">
        <f>IF(ISNUMBER('Refsz-Verbräuche'!I173), 'Refsz-Verbräuche'!I173*Emissionsfaktoren!H173/1000, 0)</f>
        <v>0</v>
      </c>
      <c r="J338" s="14">
        <f>IF(ISNUMBER('Refsz-Verbräuche'!J173), 'Refsz-Verbräuche'!J173*Emissionsfaktoren!I173/1000, 0)</f>
        <v>0</v>
      </c>
      <c r="K338" s="14">
        <f>IF(ISNUMBER('Refsz-Verbräuche'!K173), 'Refsz-Verbräuche'!K173*Emissionsfaktoren!J173/1000, 0)</f>
        <v>0</v>
      </c>
      <c r="L338" s="14">
        <f>IF(ISNUMBER('Refsz-Verbräuche'!L173), 'Refsz-Verbräuche'!L173*Emissionsfaktoren!K173/1000, 0)</f>
        <v>0</v>
      </c>
      <c r="M338" s="14">
        <f>IF(ISNUMBER('Refsz-Verbräuche'!M173), 'Refsz-Verbräuche'!M173*Emissionsfaktoren!L173/1000, 0)</f>
        <v>0</v>
      </c>
      <c r="N338" s="14">
        <f>IF(ISNUMBER('Refsz-Verbräuche'!N173), 'Refsz-Verbräuche'!N173*Emissionsfaktoren!M173/1000, 0)</f>
        <v>0</v>
      </c>
      <c r="O338" s="14">
        <f>IF(ISNUMBER('Refsz-Verbräuche'!O173), 'Refsz-Verbräuche'!O173*Emissionsfaktoren!N173/1000, 0)</f>
        <v>0</v>
      </c>
      <c r="P338" s="14">
        <f>IF(ISNUMBER('Refsz-Verbräuche'!P173), 'Refsz-Verbräuche'!P173*Emissionsfaktoren!O173/1000, 0)</f>
        <v>0</v>
      </c>
      <c r="Q338" s="14">
        <f>IF(ISNUMBER('Refsz-Verbräuche'!Q173), 'Refsz-Verbräuche'!Q173*Emissionsfaktoren!P173/1000, 0)</f>
        <v>0</v>
      </c>
      <c r="R338" s="14">
        <f>IF(ISNUMBER('Refsz-Verbräuche'!R173), 'Refsz-Verbräuche'!R173*Emissionsfaktoren!Q173/1000, 0)</f>
        <v>0</v>
      </c>
      <c r="S338" s="14">
        <f>IF(ISNUMBER('Refsz-Verbräuche'!S173), 'Refsz-Verbräuche'!S173*Emissionsfaktoren!R173/1000, 0)</f>
        <v>0</v>
      </c>
      <c r="T338" s="14">
        <f>IF(ISNUMBER('Refsz-Verbräuche'!T173), 'Refsz-Verbräuche'!T173*Emissionsfaktoren!S173/1000, 0)</f>
        <v>0</v>
      </c>
      <c r="U338" s="14">
        <f>IF(ISNUMBER('Refsz-Verbräuche'!U173), 'Refsz-Verbräuche'!U173*Emissionsfaktoren!T173/1000, 0)</f>
        <v>0</v>
      </c>
      <c r="V338" s="14">
        <f>IF(ISNUMBER('Refsz-Verbräuche'!V173), 'Refsz-Verbräuche'!V173*Emissionsfaktoren!U173/1000, 0)</f>
        <v>0</v>
      </c>
      <c r="W338" s="14">
        <f>IF(ISNUMBER('Refsz-Verbräuche'!W173), 'Refsz-Verbräuche'!W173*Emissionsfaktoren!V173/1000, 0)</f>
        <v>0</v>
      </c>
      <c r="X338" s="14">
        <f>IF(ISNUMBER('Refsz-Verbräuche'!X173), 'Refsz-Verbräuche'!X173*Emissionsfaktoren!W173/1000, 0)</f>
        <v>0</v>
      </c>
      <c r="Y338" s="14">
        <f>IF(ISNUMBER('Refsz-Verbräuche'!Y173), 'Refsz-Verbräuche'!Y173*Emissionsfaktoren!X173/1000, 0)</f>
        <v>0</v>
      </c>
    </row>
    <row r="339" spans="2:25" ht="16.5">
      <c r="B339" s="14">
        <v>157</v>
      </c>
      <c r="C339" s="14">
        <f>'Refsz-Verbräuche'!C174</f>
        <v>0</v>
      </c>
      <c r="D339" s="19">
        <f>'Refsz-Verbräuche'!D174</f>
        <v>0</v>
      </c>
      <c r="E339" t="s">
        <v>195</v>
      </c>
      <c r="F339" s="14">
        <f>IF(ISNUMBER('Refsz-Verbräuche'!F174), 'Refsz-Verbräuche'!F174*Emissionsfaktoren!E174/1000, 0)</f>
        <v>0</v>
      </c>
      <c r="G339" s="14">
        <f>IF(ISNUMBER('Refsz-Verbräuche'!G174), 'Refsz-Verbräuche'!G174*Emissionsfaktoren!F174/1000, 0)</f>
        <v>0</v>
      </c>
      <c r="H339" s="14">
        <f>IF(ISNUMBER('Refsz-Verbräuche'!H174), 'Refsz-Verbräuche'!H174*Emissionsfaktoren!G174/1000, 0)</f>
        <v>0</v>
      </c>
      <c r="I339" s="14">
        <f>IF(ISNUMBER('Refsz-Verbräuche'!I174), 'Refsz-Verbräuche'!I174*Emissionsfaktoren!H174/1000, 0)</f>
        <v>0</v>
      </c>
      <c r="J339" s="14">
        <f>IF(ISNUMBER('Refsz-Verbräuche'!J174), 'Refsz-Verbräuche'!J174*Emissionsfaktoren!I174/1000, 0)</f>
        <v>0</v>
      </c>
      <c r="K339" s="14">
        <f>IF(ISNUMBER('Refsz-Verbräuche'!K174), 'Refsz-Verbräuche'!K174*Emissionsfaktoren!J174/1000, 0)</f>
        <v>0</v>
      </c>
      <c r="L339" s="14">
        <f>IF(ISNUMBER('Refsz-Verbräuche'!L174), 'Refsz-Verbräuche'!L174*Emissionsfaktoren!K174/1000, 0)</f>
        <v>0</v>
      </c>
      <c r="M339" s="14">
        <f>IF(ISNUMBER('Refsz-Verbräuche'!M174), 'Refsz-Verbräuche'!M174*Emissionsfaktoren!L174/1000, 0)</f>
        <v>0</v>
      </c>
      <c r="N339" s="14">
        <f>IF(ISNUMBER('Refsz-Verbräuche'!N174), 'Refsz-Verbräuche'!N174*Emissionsfaktoren!M174/1000, 0)</f>
        <v>0</v>
      </c>
      <c r="O339" s="14">
        <f>IF(ISNUMBER('Refsz-Verbräuche'!O174), 'Refsz-Verbräuche'!O174*Emissionsfaktoren!N174/1000, 0)</f>
        <v>0</v>
      </c>
      <c r="P339" s="14">
        <f>IF(ISNUMBER('Refsz-Verbräuche'!P174), 'Refsz-Verbräuche'!P174*Emissionsfaktoren!O174/1000, 0)</f>
        <v>0</v>
      </c>
      <c r="Q339" s="14">
        <f>IF(ISNUMBER('Refsz-Verbräuche'!Q174), 'Refsz-Verbräuche'!Q174*Emissionsfaktoren!P174/1000, 0)</f>
        <v>0</v>
      </c>
      <c r="R339" s="14">
        <f>IF(ISNUMBER('Refsz-Verbräuche'!R174), 'Refsz-Verbräuche'!R174*Emissionsfaktoren!Q174/1000, 0)</f>
        <v>0</v>
      </c>
      <c r="S339" s="14">
        <f>IF(ISNUMBER('Refsz-Verbräuche'!S174), 'Refsz-Verbräuche'!S174*Emissionsfaktoren!R174/1000, 0)</f>
        <v>0</v>
      </c>
      <c r="T339" s="14">
        <f>IF(ISNUMBER('Refsz-Verbräuche'!T174), 'Refsz-Verbräuche'!T174*Emissionsfaktoren!S174/1000, 0)</f>
        <v>0</v>
      </c>
      <c r="U339" s="14">
        <f>IF(ISNUMBER('Refsz-Verbräuche'!U174), 'Refsz-Verbräuche'!U174*Emissionsfaktoren!T174/1000, 0)</f>
        <v>0</v>
      </c>
      <c r="V339" s="14">
        <f>IF(ISNUMBER('Refsz-Verbräuche'!V174), 'Refsz-Verbräuche'!V174*Emissionsfaktoren!U174/1000, 0)</f>
        <v>0</v>
      </c>
      <c r="W339" s="14">
        <f>IF(ISNUMBER('Refsz-Verbräuche'!W174), 'Refsz-Verbräuche'!W174*Emissionsfaktoren!V174/1000, 0)</f>
        <v>0</v>
      </c>
      <c r="X339" s="14">
        <f>IF(ISNUMBER('Refsz-Verbräuche'!X174), 'Refsz-Verbräuche'!X174*Emissionsfaktoren!W174/1000, 0)</f>
        <v>0</v>
      </c>
      <c r="Y339" s="14">
        <f>IF(ISNUMBER('Refsz-Verbräuche'!Y174), 'Refsz-Verbräuche'!Y174*Emissionsfaktoren!X174/1000, 0)</f>
        <v>0</v>
      </c>
    </row>
    <row r="340" spans="2:25" ht="16.5">
      <c r="B340" s="14">
        <v>158</v>
      </c>
      <c r="C340" s="14">
        <f>'Refsz-Verbräuche'!C175</f>
        <v>0</v>
      </c>
      <c r="D340" s="19">
        <f>'Refsz-Verbräuche'!D175</f>
        <v>0</v>
      </c>
      <c r="E340" t="s">
        <v>195</v>
      </c>
      <c r="F340" s="14">
        <f>IF(ISNUMBER('Refsz-Verbräuche'!F175), 'Refsz-Verbräuche'!F175*Emissionsfaktoren!E175/1000, 0)</f>
        <v>0</v>
      </c>
      <c r="G340" s="14">
        <f>IF(ISNUMBER('Refsz-Verbräuche'!G175), 'Refsz-Verbräuche'!G175*Emissionsfaktoren!F175/1000, 0)</f>
        <v>0</v>
      </c>
      <c r="H340" s="14">
        <f>IF(ISNUMBER('Refsz-Verbräuche'!H175), 'Refsz-Verbräuche'!H175*Emissionsfaktoren!G175/1000, 0)</f>
        <v>0</v>
      </c>
      <c r="I340" s="14">
        <f>IF(ISNUMBER('Refsz-Verbräuche'!I175), 'Refsz-Verbräuche'!I175*Emissionsfaktoren!H175/1000, 0)</f>
        <v>0</v>
      </c>
      <c r="J340" s="14">
        <f>IF(ISNUMBER('Refsz-Verbräuche'!J175), 'Refsz-Verbräuche'!J175*Emissionsfaktoren!I175/1000, 0)</f>
        <v>0</v>
      </c>
      <c r="K340" s="14">
        <f>IF(ISNUMBER('Refsz-Verbräuche'!K175), 'Refsz-Verbräuche'!K175*Emissionsfaktoren!J175/1000, 0)</f>
        <v>0</v>
      </c>
      <c r="L340" s="14">
        <f>IF(ISNUMBER('Refsz-Verbräuche'!L175), 'Refsz-Verbräuche'!L175*Emissionsfaktoren!K175/1000, 0)</f>
        <v>0</v>
      </c>
      <c r="M340" s="14">
        <f>IF(ISNUMBER('Refsz-Verbräuche'!M175), 'Refsz-Verbräuche'!M175*Emissionsfaktoren!L175/1000, 0)</f>
        <v>0</v>
      </c>
      <c r="N340" s="14">
        <f>IF(ISNUMBER('Refsz-Verbräuche'!N175), 'Refsz-Verbräuche'!N175*Emissionsfaktoren!M175/1000, 0)</f>
        <v>0</v>
      </c>
      <c r="O340" s="14">
        <f>IF(ISNUMBER('Refsz-Verbräuche'!O175), 'Refsz-Verbräuche'!O175*Emissionsfaktoren!N175/1000, 0)</f>
        <v>0</v>
      </c>
      <c r="P340" s="14">
        <f>IF(ISNUMBER('Refsz-Verbräuche'!P175), 'Refsz-Verbräuche'!P175*Emissionsfaktoren!O175/1000, 0)</f>
        <v>0</v>
      </c>
      <c r="Q340" s="14">
        <f>IF(ISNUMBER('Refsz-Verbräuche'!Q175), 'Refsz-Verbräuche'!Q175*Emissionsfaktoren!P175/1000, 0)</f>
        <v>0</v>
      </c>
      <c r="R340" s="14">
        <f>IF(ISNUMBER('Refsz-Verbräuche'!R175), 'Refsz-Verbräuche'!R175*Emissionsfaktoren!Q175/1000, 0)</f>
        <v>0</v>
      </c>
      <c r="S340" s="14">
        <f>IF(ISNUMBER('Refsz-Verbräuche'!S175), 'Refsz-Verbräuche'!S175*Emissionsfaktoren!R175/1000, 0)</f>
        <v>0</v>
      </c>
      <c r="T340" s="14">
        <f>IF(ISNUMBER('Refsz-Verbräuche'!T175), 'Refsz-Verbräuche'!T175*Emissionsfaktoren!S175/1000, 0)</f>
        <v>0</v>
      </c>
      <c r="U340" s="14">
        <f>IF(ISNUMBER('Refsz-Verbräuche'!U175), 'Refsz-Verbräuche'!U175*Emissionsfaktoren!T175/1000, 0)</f>
        <v>0</v>
      </c>
      <c r="V340" s="14">
        <f>IF(ISNUMBER('Refsz-Verbräuche'!V175), 'Refsz-Verbräuche'!V175*Emissionsfaktoren!U175/1000, 0)</f>
        <v>0</v>
      </c>
      <c r="W340" s="14">
        <f>IF(ISNUMBER('Refsz-Verbräuche'!W175), 'Refsz-Verbräuche'!W175*Emissionsfaktoren!V175/1000, 0)</f>
        <v>0</v>
      </c>
      <c r="X340" s="14">
        <f>IF(ISNUMBER('Refsz-Verbräuche'!X175), 'Refsz-Verbräuche'!X175*Emissionsfaktoren!W175/1000, 0)</f>
        <v>0</v>
      </c>
      <c r="Y340" s="14">
        <f>IF(ISNUMBER('Refsz-Verbräuche'!Y175), 'Refsz-Verbräuche'!Y175*Emissionsfaktoren!X175/1000, 0)</f>
        <v>0</v>
      </c>
    </row>
    <row r="341" spans="2:25" ht="16.5">
      <c r="B341" s="14">
        <v>159</v>
      </c>
      <c r="C341" s="14">
        <f>'Refsz-Verbräuche'!C176</f>
        <v>0</v>
      </c>
      <c r="D341" s="19">
        <f>'Refsz-Verbräuche'!D176</f>
        <v>0</v>
      </c>
      <c r="E341" t="s">
        <v>195</v>
      </c>
      <c r="F341" s="14">
        <f>IF(ISNUMBER('Refsz-Verbräuche'!F176), 'Refsz-Verbräuche'!F176*Emissionsfaktoren!E176/1000, 0)</f>
        <v>0</v>
      </c>
      <c r="G341" s="14">
        <f>IF(ISNUMBER('Refsz-Verbräuche'!G176), 'Refsz-Verbräuche'!G176*Emissionsfaktoren!F176/1000, 0)</f>
        <v>0</v>
      </c>
      <c r="H341" s="14">
        <f>IF(ISNUMBER('Refsz-Verbräuche'!H176), 'Refsz-Verbräuche'!H176*Emissionsfaktoren!G176/1000, 0)</f>
        <v>0</v>
      </c>
      <c r="I341" s="14">
        <f>IF(ISNUMBER('Refsz-Verbräuche'!I176), 'Refsz-Verbräuche'!I176*Emissionsfaktoren!H176/1000, 0)</f>
        <v>0</v>
      </c>
      <c r="J341" s="14">
        <f>IF(ISNUMBER('Refsz-Verbräuche'!J176), 'Refsz-Verbräuche'!J176*Emissionsfaktoren!I176/1000, 0)</f>
        <v>0</v>
      </c>
      <c r="K341" s="14">
        <f>IF(ISNUMBER('Refsz-Verbräuche'!K176), 'Refsz-Verbräuche'!K176*Emissionsfaktoren!J176/1000, 0)</f>
        <v>0</v>
      </c>
      <c r="L341" s="14">
        <f>IF(ISNUMBER('Refsz-Verbräuche'!L176), 'Refsz-Verbräuche'!L176*Emissionsfaktoren!K176/1000, 0)</f>
        <v>0</v>
      </c>
      <c r="M341" s="14">
        <f>IF(ISNUMBER('Refsz-Verbräuche'!M176), 'Refsz-Verbräuche'!M176*Emissionsfaktoren!L176/1000, 0)</f>
        <v>0</v>
      </c>
      <c r="N341" s="14">
        <f>IF(ISNUMBER('Refsz-Verbräuche'!N176), 'Refsz-Verbräuche'!N176*Emissionsfaktoren!M176/1000, 0)</f>
        <v>0</v>
      </c>
      <c r="O341" s="14">
        <f>IF(ISNUMBER('Refsz-Verbräuche'!O176), 'Refsz-Verbräuche'!O176*Emissionsfaktoren!N176/1000, 0)</f>
        <v>0</v>
      </c>
      <c r="P341" s="14">
        <f>IF(ISNUMBER('Refsz-Verbräuche'!P176), 'Refsz-Verbräuche'!P176*Emissionsfaktoren!O176/1000, 0)</f>
        <v>0</v>
      </c>
      <c r="Q341" s="14">
        <f>IF(ISNUMBER('Refsz-Verbräuche'!Q176), 'Refsz-Verbräuche'!Q176*Emissionsfaktoren!P176/1000, 0)</f>
        <v>0</v>
      </c>
      <c r="R341" s="14">
        <f>IF(ISNUMBER('Refsz-Verbräuche'!R176), 'Refsz-Verbräuche'!R176*Emissionsfaktoren!Q176/1000, 0)</f>
        <v>0</v>
      </c>
      <c r="S341" s="14">
        <f>IF(ISNUMBER('Refsz-Verbräuche'!S176), 'Refsz-Verbräuche'!S176*Emissionsfaktoren!R176/1000, 0)</f>
        <v>0</v>
      </c>
      <c r="T341" s="14">
        <f>IF(ISNUMBER('Refsz-Verbräuche'!T176), 'Refsz-Verbräuche'!T176*Emissionsfaktoren!S176/1000, 0)</f>
        <v>0</v>
      </c>
      <c r="U341" s="14">
        <f>IF(ISNUMBER('Refsz-Verbräuche'!U176), 'Refsz-Verbräuche'!U176*Emissionsfaktoren!T176/1000, 0)</f>
        <v>0</v>
      </c>
      <c r="V341" s="14">
        <f>IF(ISNUMBER('Refsz-Verbräuche'!V176), 'Refsz-Verbräuche'!V176*Emissionsfaktoren!U176/1000, 0)</f>
        <v>0</v>
      </c>
      <c r="W341" s="14">
        <f>IF(ISNUMBER('Refsz-Verbräuche'!W176), 'Refsz-Verbräuche'!W176*Emissionsfaktoren!V176/1000, 0)</f>
        <v>0</v>
      </c>
      <c r="X341" s="14">
        <f>IF(ISNUMBER('Refsz-Verbräuche'!X176), 'Refsz-Verbräuche'!X176*Emissionsfaktoren!W176/1000, 0)</f>
        <v>0</v>
      </c>
      <c r="Y341" s="14">
        <f>IF(ISNUMBER('Refsz-Verbräuche'!Y176), 'Refsz-Verbräuche'!Y176*Emissionsfaktoren!X176/1000, 0)</f>
        <v>0</v>
      </c>
    </row>
    <row r="342" spans="2:25" ht="16.5">
      <c r="B342" s="14">
        <v>160</v>
      </c>
      <c r="C342" s="14">
        <f>'Refsz-Verbräuche'!C177</f>
        <v>0</v>
      </c>
      <c r="D342" s="19">
        <f>'Refsz-Verbräuche'!D177</f>
        <v>0</v>
      </c>
      <c r="E342" t="s">
        <v>195</v>
      </c>
      <c r="F342" s="14">
        <f>IF(ISNUMBER('Refsz-Verbräuche'!F177), 'Refsz-Verbräuche'!F177*Emissionsfaktoren!E177/1000, 0)</f>
        <v>0</v>
      </c>
      <c r="G342" s="14">
        <f>IF(ISNUMBER('Refsz-Verbräuche'!G177), 'Refsz-Verbräuche'!G177*Emissionsfaktoren!F177/1000, 0)</f>
        <v>0</v>
      </c>
      <c r="H342" s="14">
        <f>IF(ISNUMBER('Refsz-Verbräuche'!H177), 'Refsz-Verbräuche'!H177*Emissionsfaktoren!G177/1000, 0)</f>
        <v>0</v>
      </c>
      <c r="I342" s="14">
        <f>IF(ISNUMBER('Refsz-Verbräuche'!I177), 'Refsz-Verbräuche'!I177*Emissionsfaktoren!H177/1000, 0)</f>
        <v>0</v>
      </c>
      <c r="J342" s="14">
        <f>IF(ISNUMBER('Refsz-Verbräuche'!J177), 'Refsz-Verbräuche'!J177*Emissionsfaktoren!I177/1000, 0)</f>
        <v>0</v>
      </c>
      <c r="K342" s="14">
        <f>IF(ISNUMBER('Refsz-Verbräuche'!K177), 'Refsz-Verbräuche'!K177*Emissionsfaktoren!J177/1000, 0)</f>
        <v>0</v>
      </c>
      <c r="L342" s="14">
        <f>IF(ISNUMBER('Refsz-Verbräuche'!L177), 'Refsz-Verbräuche'!L177*Emissionsfaktoren!K177/1000, 0)</f>
        <v>0</v>
      </c>
      <c r="M342" s="14">
        <f>IF(ISNUMBER('Refsz-Verbräuche'!M177), 'Refsz-Verbräuche'!M177*Emissionsfaktoren!L177/1000, 0)</f>
        <v>0</v>
      </c>
      <c r="N342" s="14">
        <f>IF(ISNUMBER('Refsz-Verbräuche'!N177), 'Refsz-Verbräuche'!N177*Emissionsfaktoren!M177/1000, 0)</f>
        <v>0</v>
      </c>
      <c r="O342" s="14">
        <f>IF(ISNUMBER('Refsz-Verbräuche'!O177), 'Refsz-Verbräuche'!O177*Emissionsfaktoren!N177/1000, 0)</f>
        <v>0</v>
      </c>
      <c r="P342" s="14">
        <f>IF(ISNUMBER('Refsz-Verbräuche'!P177), 'Refsz-Verbräuche'!P177*Emissionsfaktoren!O177/1000, 0)</f>
        <v>0</v>
      </c>
      <c r="Q342" s="14">
        <f>IF(ISNUMBER('Refsz-Verbräuche'!Q177), 'Refsz-Verbräuche'!Q177*Emissionsfaktoren!P177/1000, 0)</f>
        <v>0</v>
      </c>
      <c r="R342" s="14">
        <f>IF(ISNUMBER('Refsz-Verbräuche'!R177), 'Refsz-Verbräuche'!R177*Emissionsfaktoren!Q177/1000, 0)</f>
        <v>0</v>
      </c>
      <c r="S342" s="14">
        <f>IF(ISNUMBER('Refsz-Verbräuche'!S177), 'Refsz-Verbräuche'!S177*Emissionsfaktoren!R177/1000, 0)</f>
        <v>0</v>
      </c>
      <c r="T342" s="14">
        <f>IF(ISNUMBER('Refsz-Verbräuche'!T177), 'Refsz-Verbräuche'!T177*Emissionsfaktoren!S177/1000, 0)</f>
        <v>0</v>
      </c>
      <c r="U342" s="14">
        <f>IF(ISNUMBER('Refsz-Verbräuche'!U177), 'Refsz-Verbräuche'!U177*Emissionsfaktoren!T177/1000, 0)</f>
        <v>0</v>
      </c>
      <c r="V342" s="14">
        <f>IF(ISNUMBER('Refsz-Verbräuche'!V177), 'Refsz-Verbräuche'!V177*Emissionsfaktoren!U177/1000, 0)</f>
        <v>0</v>
      </c>
      <c r="W342" s="14">
        <f>IF(ISNUMBER('Refsz-Verbräuche'!W177), 'Refsz-Verbräuche'!W177*Emissionsfaktoren!V177/1000, 0)</f>
        <v>0</v>
      </c>
      <c r="X342" s="14">
        <f>IF(ISNUMBER('Refsz-Verbräuche'!X177), 'Refsz-Verbräuche'!X177*Emissionsfaktoren!W177/1000, 0)</f>
        <v>0</v>
      </c>
      <c r="Y342" s="14">
        <f>IF(ISNUMBER('Refsz-Verbräuche'!Y177), 'Refsz-Verbräuche'!Y177*Emissionsfaktoren!X177/1000, 0)</f>
        <v>0</v>
      </c>
    </row>
    <row r="343" spans="2:25" ht="16.5">
      <c r="B343" s="14">
        <v>161</v>
      </c>
      <c r="C343" s="14">
        <f>'Refsz-Verbräuche'!C178</f>
        <v>0</v>
      </c>
      <c r="D343" s="19">
        <f>'Refsz-Verbräuche'!D178</f>
        <v>0</v>
      </c>
      <c r="E343" t="s">
        <v>195</v>
      </c>
      <c r="F343" s="14">
        <f>IF(ISNUMBER('Refsz-Verbräuche'!F178), 'Refsz-Verbräuche'!F178*Emissionsfaktoren!E178/1000, 0)</f>
        <v>0</v>
      </c>
      <c r="G343" s="14">
        <f>IF(ISNUMBER('Refsz-Verbräuche'!G178), 'Refsz-Verbräuche'!G178*Emissionsfaktoren!F178/1000, 0)</f>
        <v>0</v>
      </c>
      <c r="H343" s="14">
        <f>IF(ISNUMBER('Refsz-Verbräuche'!H178), 'Refsz-Verbräuche'!H178*Emissionsfaktoren!G178/1000, 0)</f>
        <v>0</v>
      </c>
      <c r="I343" s="14">
        <f>IF(ISNUMBER('Refsz-Verbräuche'!I178), 'Refsz-Verbräuche'!I178*Emissionsfaktoren!H178/1000, 0)</f>
        <v>0</v>
      </c>
      <c r="J343" s="14">
        <f>IF(ISNUMBER('Refsz-Verbräuche'!J178), 'Refsz-Verbräuche'!J178*Emissionsfaktoren!I178/1000, 0)</f>
        <v>0</v>
      </c>
      <c r="K343" s="14">
        <f>IF(ISNUMBER('Refsz-Verbräuche'!K178), 'Refsz-Verbräuche'!K178*Emissionsfaktoren!J178/1000, 0)</f>
        <v>0</v>
      </c>
      <c r="L343" s="14">
        <f>IF(ISNUMBER('Refsz-Verbräuche'!L178), 'Refsz-Verbräuche'!L178*Emissionsfaktoren!K178/1000, 0)</f>
        <v>0</v>
      </c>
      <c r="M343" s="14">
        <f>IF(ISNUMBER('Refsz-Verbräuche'!M178), 'Refsz-Verbräuche'!M178*Emissionsfaktoren!L178/1000, 0)</f>
        <v>0</v>
      </c>
      <c r="N343" s="14">
        <f>IF(ISNUMBER('Refsz-Verbräuche'!N178), 'Refsz-Verbräuche'!N178*Emissionsfaktoren!M178/1000, 0)</f>
        <v>0</v>
      </c>
      <c r="O343" s="14">
        <f>IF(ISNUMBER('Refsz-Verbräuche'!O178), 'Refsz-Verbräuche'!O178*Emissionsfaktoren!N178/1000, 0)</f>
        <v>0</v>
      </c>
      <c r="P343" s="14">
        <f>IF(ISNUMBER('Refsz-Verbräuche'!P178), 'Refsz-Verbräuche'!P178*Emissionsfaktoren!O178/1000, 0)</f>
        <v>0</v>
      </c>
      <c r="Q343" s="14">
        <f>IF(ISNUMBER('Refsz-Verbräuche'!Q178), 'Refsz-Verbräuche'!Q178*Emissionsfaktoren!P178/1000, 0)</f>
        <v>0</v>
      </c>
      <c r="R343" s="14">
        <f>IF(ISNUMBER('Refsz-Verbräuche'!R178), 'Refsz-Verbräuche'!R178*Emissionsfaktoren!Q178/1000, 0)</f>
        <v>0</v>
      </c>
      <c r="S343" s="14">
        <f>IF(ISNUMBER('Refsz-Verbräuche'!S178), 'Refsz-Verbräuche'!S178*Emissionsfaktoren!R178/1000, 0)</f>
        <v>0</v>
      </c>
      <c r="T343" s="14">
        <f>IF(ISNUMBER('Refsz-Verbräuche'!T178), 'Refsz-Verbräuche'!T178*Emissionsfaktoren!S178/1000, 0)</f>
        <v>0</v>
      </c>
      <c r="U343" s="14">
        <f>IF(ISNUMBER('Refsz-Verbräuche'!U178), 'Refsz-Verbräuche'!U178*Emissionsfaktoren!T178/1000, 0)</f>
        <v>0</v>
      </c>
      <c r="V343" s="14">
        <f>IF(ISNUMBER('Refsz-Verbräuche'!V178), 'Refsz-Verbräuche'!V178*Emissionsfaktoren!U178/1000, 0)</f>
        <v>0</v>
      </c>
      <c r="W343" s="14">
        <f>IF(ISNUMBER('Refsz-Verbräuche'!W178), 'Refsz-Verbräuche'!W178*Emissionsfaktoren!V178/1000, 0)</f>
        <v>0</v>
      </c>
      <c r="X343" s="14">
        <f>IF(ISNUMBER('Refsz-Verbräuche'!X178), 'Refsz-Verbräuche'!X178*Emissionsfaktoren!W178/1000, 0)</f>
        <v>0</v>
      </c>
      <c r="Y343" s="14">
        <f>IF(ISNUMBER('Refsz-Verbräuche'!Y178), 'Refsz-Verbräuche'!Y178*Emissionsfaktoren!X178/1000, 0)</f>
        <v>0</v>
      </c>
    </row>
    <row r="346" spans="2:25" ht="15.5">
      <c r="B346" s="6" t="s">
        <v>580</v>
      </c>
    </row>
    <row r="347" spans="2:25" ht="15.5">
      <c r="B347" s="6" t="s">
        <v>401</v>
      </c>
      <c r="C347" s="1"/>
    </row>
    <row r="348" spans="2:25">
      <c r="C348" s="1"/>
    </row>
    <row r="349" spans="2:25">
      <c r="C349" t="s">
        <v>28</v>
      </c>
      <c r="D349" t="s">
        <v>2</v>
      </c>
      <c r="E349" t="s">
        <v>3</v>
      </c>
      <c r="F349" t="s">
        <v>4</v>
      </c>
      <c r="G349" t="s">
        <v>5</v>
      </c>
      <c r="H349" t="s">
        <v>6</v>
      </c>
      <c r="I349" t="s">
        <v>7</v>
      </c>
      <c r="J349" t="s">
        <v>8</v>
      </c>
      <c r="K349" t="s">
        <v>9</v>
      </c>
      <c r="L349" t="s">
        <v>10</v>
      </c>
      <c r="M349" t="s">
        <v>11</v>
      </c>
      <c r="N349" t="s">
        <v>12</v>
      </c>
      <c r="O349" t="s">
        <v>13</v>
      </c>
      <c r="P349" t="s">
        <v>14</v>
      </c>
      <c r="Q349" t="s">
        <v>216</v>
      </c>
      <c r="R349" t="s">
        <v>217</v>
      </c>
      <c r="S349" t="s">
        <v>218</v>
      </c>
      <c r="T349" t="s">
        <v>15</v>
      </c>
      <c r="U349" t="s">
        <v>16</v>
      </c>
      <c r="V349" t="s">
        <v>17</v>
      </c>
      <c r="W349" t="s">
        <v>18</v>
      </c>
      <c r="X349" t="s">
        <v>19</v>
      </c>
    </row>
    <row r="350" spans="2:25" ht="16.5">
      <c r="C350" t="s">
        <v>198</v>
      </c>
      <c r="D350" t="s">
        <v>195</v>
      </c>
      <c r="E350">
        <f>SUMIFS(Refsz_Emissionen_Bundesmix[2015], $C$18:$C$178,$C350)</f>
        <v>0</v>
      </c>
      <c r="F350">
        <f>SUMIFS(Refsz_Emissionen_Bundesmix[2016], $C$18:$C$178,$C350)</f>
        <v>0</v>
      </c>
      <c r="G350">
        <f>SUMIFS(Refsz_Emissionen_Bundesmix[2017], $C$18:$C$178,$C350)</f>
        <v>0</v>
      </c>
      <c r="H350">
        <f>SUMIFS(Refsz_Emissionen_Bundesmix[2018], $C$18:$C$178,$C350)</f>
        <v>0</v>
      </c>
      <c r="I350">
        <f>SUMIFS(Refsz_Emissionen_Bundesmix[2019], $C$18:$C$178,$C350)</f>
        <v>0</v>
      </c>
      <c r="J350">
        <f>SUMIFS(Refsz_Emissionen_Bundesmix[2020], $C$18:$C$178,$C350)</f>
        <v>0</v>
      </c>
      <c r="K350">
        <f>SUMIFS(Refsz_Emissionen_Bundesmix[2021], $C$18:$C$178,$C350)</f>
        <v>0</v>
      </c>
      <c r="L350">
        <f>SUMIFS(Refsz_Emissionen_Bundesmix[2022], $C$18:$C$178,$C350)</f>
        <v>0</v>
      </c>
      <c r="M350">
        <f>SUMIFS(Refsz_Emissionen_Bundesmix[2023], $C$18:$C$178,$C350)</f>
        <v>0</v>
      </c>
      <c r="N350">
        <f>SUMIFS(Refsz_Emissionen_Bundesmix[2024], $C$18:$C$178,$C350)</f>
        <v>0</v>
      </c>
      <c r="O350">
        <f>SUMIFS(Refsz_Emissionen_Bundesmix[2025], $C$18:$C$178,$C350)</f>
        <v>0</v>
      </c>
      <c r="P350">
        <f>SUMIFS(Refsz_Emissionen_Bundesmix[2026], $C$18:$C$178,$C350)</f>
        <v>0</v>
      </c>
      <c r="Q350">
        <f>SUMIFS(Refsz_Emissionen_Bundesmix[2027], $C$18:$C$178,$C350)</f>
        <v>0</v>
      </c>
      <c r="R350">
        <f>SUMIFS(Refsz_Emissionen_Bundesmix[2028], $C$18:$C$178,$C350)</f>
        <v>0</v>
      </c>
      <c r="S350">
        <f>SUMIFS(Refsz_Emissionen_Bundesmix[2029], $C$18:$C$178,$C350)</f>
        <v>0</v>
      </c>
      <c r="T350">
        <f>SUMIFS(Refsz_Emissionen_Bundesmix[2030], $C$18:$C$178,$C350)</f>
        <v>0</v>
      </c>
      <c r="U350">
        <f>SUMIFS(Refsz_Emissionen_Bundesmix[2035], $C$18:$C$178,$C350)</f>
        <v>0</v>
      </c>
      <c r="V350">
        <f>SUMIFS(Refsz_Emissionen_Bundesmix[2040], $C$18:$C$178,$C350)</f>
        <v>0</v>
      </c>
      <c r="W350">
        <f>SUMIFS(Refsz_Emissionen_Bundesmix[2045], $C$18:$C$178,$C350)</f>
        <v>0</v>
      </c>
      <c r="X350">
        <f>SUMIFS(Refsz_Emissionen_Bundesmix[2050], $C$18:$C$178,$C350)</f>
        <v>0</v>
      </c>
    </row>
    <row r="351" spans="2:25" ht="16.5">
      <c r="C351" t="s">
        <v>199</v>
      </c>
      <c r="D351" t="s">
        <v>195</v>
      </c>
      <c r="E351">
        <f>SUMIFS(Refsz_Emissionen_Bundesmix[2015], $C$18:$C$178,$C351)</f>
        <v>0</v>
      </c>
      <c r="F351">
        <f>SUMIFS(Refsz_Emissionen_Bundesmix[2016], $C$18:$C$178,$C351)</f>
        <v>0</v>
      </c>
      <c r="G351">
        <f>SUMIFS(Refsz_Emissionen_Bundesmix[2017], $C$18:$C$178,$C351)</f>
        <v>0</v>
      </c>
      <c r="H351">
        <f>SUMIFS(Refsz_Emissionen_Bundesmix[2018], $C$18:$C$178,$C351)</f>
        <v>0</v>
      </c>
      <c r="I351">
        <f>SUMIFS(Refsz_Emissionen_Bundesmix[2019], $C$18:$C$178,$C351)</f>
        <v>0</v>
      </c>
      <c r="J351">
        <f>SUMIFS(Refsz_Emissionen_Bundesmix[2020], $C$18:$C$178,$C351)</f>
        <v>0</v>
      </c>
      <c r="K351">
        <f>SUMIFS(Refsz_Emissionen_Bundesmix[2021], $C$18:$C$178,$C351)</f>
        <v>0</v>
      </c>
      <c r="L351">
        <f>SUMIFS(Refsz_Emissionen_Bundesmix[2022], $C$18:$C$178,$C351)</f>
        <v>0</v>
      </c>
      <c r="M351">
        <f>SUMIFS(Refsz_Emissionen_Bundesmix[2023], $C$18:$C$178,$C351)</f>
        <v>0</v>
      </c>
      <c r="N351">
        <f>SUMIFS(Refsz_Emissionen_Bundesmix[2024], $C$18:$C$178,$C351)</f>
        <v>0</v>
      </c>
      <c r="O351">
        <f>SUMIFS(Refsz_Emissionen_Bundesmix[2025], $C$18:$C$178,$C351)</f>
        <v>0</v>
      </c>
      <c r="P351">
        <f>SUMIFS(Refsz_Emissionen_Bundesmix[2026], $C$18:$C$178,$C351)</f>
        <v>0</v>
      </c>
      <c r="Q351">
        <f>SUMIFS(Refsz_Emissionen_Bundesmix[2027], $C$18:$C$178,$C351)</f>
        <v>0</v>
      </c>
      <c r="R351">
        <f>SUMIFS(Refsz_Emissionen_Bundesmix[2028], $C$18:$C$178,$C351)</f>
        <v>0</v>
      </c>
      <c r="S351">
        <f>SUMIFS(Refsz_Emissionen_Bundesmix[2029], $C$18:$C$178,$C351)</f>
        <v>0</v>
      </c>
      <c r="T351">
        <f>SUMIFS(Refsz_Emissionen_Bundesmix[2030], $C$18:$C$178,$C351)</f>
        <v>0</v>
      </c>
      <c r="U351">
        <f>SUMIFS(Refsz_Emissionen_Bundesmix[2035], $C$18:$C$178,$C351)</f>
        <v>0</v>
      </c>
      <c r="V351">
        <f>SUMIFS(Refsz_Emissionen_Bundesmix[2040], $C$18:$C$178,$C351)</f>
        <v>0</v>
      </c>
      <c r="W351">
        <f>SUMIFS(Refsz_Emissionen_Bundesmix[2045], $C$18:$C$178,$C351)</f>
        <v>0</v>
      </c>
      <c r="X351">
        <f>SUMIFS(Refsz_Emissionen_Bundesmix[2050], $C$18:$C$178,$C351)</f>
        <v>0</v>
      </c>
    </row>
    <row r="352" spans="2:25" ht="16.5">
      <c r="C352" t="s">
        <v>200</v>
      </c>
      <c r="D352" t="s">
        <v>195</v>
      </c>
      <c r="E352">
        <f>SUMIFS(Refsz_Emissionen_Bundesmix[2015], $C$18:$C$178,$C352)</f>
        <v>0</v>
      </c>
      <c r="F352">
        <f>SUMIFS(Refsz_Emissionen_Bundesmix[2016], $C$18:$C$178,$C352)</f>
        <v>0</v>
      </c>
      <c r="G352">
        <f>SUMIFS(Refsz_Emissionen_Bundesmix[2017], $C$18:$C$178,$C352)</f>
        <v>0</v>
      </c>
      <c r="H352">
        <f>SUMIFS(Refsz_Emissionen_Bundesmix[2018], $C$18:$C$178,$C352)</f>
        <v>0</v>
      </c>
      <c r="I352">
        <f>SUMIFS(Refsz_Emissionen_Bundesmix[2019], $C$18:$C$178,$C352)</f>
        <v>0</v>
      </c>
      <c r="J352">
        <f>SUMIFS(Refsz_Emissionen_Bundesmix[2020], $C$18:$C$178,$C352)</f>
        <v>0</v>
      </c>
      <c r="K352">
        <f>SUMIFS(Refsz_Emissionen_Bundesmix[2021], $C$18:$C$178,$C352)</f>
        <v>0</v>
      </c>
      <c r="L352">
        <f>SUMIFS(Refsz_Emissionen_Bundesmix[2022], $C$18:$C$178,$C352)</f>
        <v>0</v>
      </c>
      <c r="M352">
        <f>SUMIFS(Refsz_Emissionen_Bundesmix[2023], $C$18:$C$178,$C352)</f>
        <v>0</v>
      </c>
      <c r="N352">
        <f>SUMIFS(Refsz_Emissionen_Bundesmix[2024], $C$18:$C$178,$C352)</f>
        <v>0</v>
      </c>
      <c r="O352">
        <f>SUMIFS(Refsz_Emissionen_Bundesmix[2025], $C$18:$C$178,$C352)</f>
        <v>0</v>
      </c>
      <c r="P352">
        <f>SUMIFS(Refsz_Emissionen_Bundesmix[2026], $C$18:$C$178,$C352)</f>
        <v>0</v>
      </c>
      <c r="Q352">
        <f>SUMIFS(Refsz_Emissionen_Bundesmix[2027], $C$18:$C$178,$C352)</f>
        <v>0</v>
      </c>
      <c r="R352">
        <f>SUMIFS(Refsz_Emissionen_Bundesmix[2028], $C$18:$C$178,$C352)</f>
        <v>0</v>
      </c>
      <c r="S352">
        <f>SUMIFS(Refsz_Emissionen_Bundesmix[2029], $C$18:$C$178,$C352)</f>
        <v>0</v>
      </c>
      <c r="T352">
        <f>SUMIFS(Refsz_Emissionen_Bundesmix[2030], $C$18:$C$178,$C352)</f>
        <v>0</v>
      </c>
      <c r="U352">
        <f>SUMIFS(Refsz_Emissionen_Bundesmix[2035], $C$18:$C$178,$C352)</f>
        <v>0</v>
      </c>
      <c r="V352">
        <f>SUMIFS(Refsz_Emissionen_Bundesmix[2040], $C$18:$C$178,$C352)</f>
        <v>0</v>
      </c>
      <c r="W352">
        <f>SUMIFS(Refsz_Emissionen_Bundesmix[2045], $C$18:$C$178,$C352)</f>
        <v>0</v>
      </c>
      <c r="X352">
        <f>SUMIFS(Refsz_Emissionen_Bundesmix[2050], $C$18:$C$178,$C352)</f>
        <v>0</v>
      </c>
    </row>
    <row r="353" spans="2:24" ht="16.5">
      <c r="C353" t="s">
        <v>510</v>
      </c>
      <c r="D353" t="s">
        <v>195</v>
      </c>
      <c r="E353">
        <f>SUMIFS(Refsz_Emissionen_Bundesmix[2015], $C$18:$C$178,$C353)</f>
        <v>0</v>
      </c>
      <c r="F353">
        <f>SUMIFS(Refsz_Emissionen_Bundesmix[2016], $C$18:$C$178,$C353)</f>
        <v>0</v>
      </c>
      <c r="G353">
        <f>SUMIFS(Refsz_Emissionen_Bundesmix[2017], $C$18:$C$178,$C353)</f>
        <v>0</v>
      </c>
      <c r="H353">
        <f>SUMIFS(Refsz_Emissionen_Bundesmix[2018], $C$18:$C$178,$C353)</f>
        <v>0</v>
      </c>
      <c r="I353">
        <f>SUMIFS(Refsz_Emissionen_Bundesmix[2019], $C$18:$C$178,$C353)</f>
        <v>0</v>
      </c>
      <c r="J353">
        <f>SUMIFS(Refsz_Emissionen_Bundesmix[2020], $C$18:$C$178,$C353)</f>
        <v>0</v>
      </c>
      <c r="K353">
        <f>SUMIFS(Refsz_Emissionen_Bundesmix[2021], $C$18:$C$178,$C353)</f>
        <v>0</v>
      </c>
      <c r="L353">
        <f>SUMIFS(Refsz_Emissionen_Bundesmix[2022], $C$18:$C$178,$C353)</f>
        <v>0</v>
      </c>
      <c r="M353">
        <f>SUMIFS(Refsz_Emissionen_Bundesmix[2023], $C$18:$C$178,$C353)</f>
        <v>0</v>
      </c>
      <c r="N353">
        <f>SUMIFS(Refsz_Emissionen_Bundesmix[2024], $C$18:$C$178,$C353)</f>
        <v>0</v>
      </c>
      <c r="O353">
        <f>SUMIFS(Refsz_Emissionen_Bundesmix[2025], $C$18:$C$178,$C353)</f>
        <v>0</v>
      </c>
      <c r="P353">
        <f>SUMIFS(Refsz_Emissionen_Bundesmix[2026], $C$18:$C$178,$C353)</f>
        <v>0</v>
      </c>
      <c r="Q353">
        <f>SUMIFS(Refsz_Emissionen_Bundesmix[2027], $C$18:$C$178,$C353)</f>
        <v>0</v>
      </c>
      <c r="R353">
        <f>SUMIFS(Refsz_Emissionen_Bundesmix[2028], $C$18:$C$178,$C353)</f>
        <v>0</v>
      </c>
      <c r="S353">
        <f>SUMIFS(Refsz_Emissionen_Bundesmix[2029], $C$18:$C$178,$C353)</f>
        <v>0</v>
      </c>
      <c r="T353">
        <f>SUMIFS(Refsz_Emissionen_Bundesmix[2030], $C$18:$C$178,$C353)</f>
        <v>0</v>
      </c>
      <c r="U353">
        <f>SUMIFS(Refsz_Emissionen_Bundesmix[2035], $C$18:$C$178,$C353)</f>
        <v>0</v>
      </c>
      <c r="V353">
        <f>SUMIFS(Refsz_Emissionen_Bundesmix[2040], $C$18:$C$178,$C353)</f>
        <v>0</v>
      </c>
      <c r="W353">
        <f>SUMIFS(Refsz_Emissionen_Bundesmix[2045], $C$18:$C$178,$C353)</f>
        <v>0</v>
      </c>
      <c r="X353">
        <f>SUMIFS(Refsz_Emissionen_Bundesmix[2050], $C$18:$C$178,$C353)</f>
        <v>0</v>
      </c>
    </row>
    <row r="354" spans="2:24" ht="16.5">
      <c r="C354" t="s">
        <v>511</v>
      </c>
      <c r="D354" t="s">
        <v>195</v>
      </c>
      <c r="E354">
        <f>SUMIFS(Refsz_Emissionen_Bundesmix[2015], $C$18:$C$178,$C354)</f>
        <v>0</v>
      </c>
      <c r="F354">
        <f>SUMIFS(Refsz_Emissionen_Bundesmix[2016], $C$18:$C$178,$C354)</f>
        <v>0</v>
      </c>
      <c r="G354">
        <f>SUMIFS(Refsz_Emissionen_Bundesmix[2017], $C$18:$C$178,$C354)</f>
        <v>0</v>
      </c>
      <c r="H354">
        <f>SUMIFS(Refsz_Emissionen_Bundesmix[2018], $C$18:$C$178,$C354)</f>
        <v>0</v>
      </c>
      <c r="I354">
        <f>SUMIFS(Refsz_Emissionen_Bundesmix[2019], $C$18:$C$178,$C354)</f>
        <v>0</v>
      </c>
      <c r="J354">
        <f>SUMIFS(Refsz_Emissionen_Bundesmix[2020], $C$18:$C$178,$C354)</f>
        <v>0</v>
      </c>
      <c r="K354">
        <f>SUMIFS(Refsz_Emissionen_Bundesmix[2021], $C$18:$C$178,$C354)</f>
        <v>0</v>
      </c>
      <c r="L354">
        <f>SUMIFS(Refsz_Emissionen_Bundesmix[2022], $C$18:$C$178,$C354)</f>
        <v>0</v>
      </c>
      <c r="M354">
        <f>SUMIFS(Refsz_Emissionen_Bundesmix[2023], $C$18:$C$178,$C354)</f>
        <v>0</v>
      </c>
      <c r="N354">
        <f>SUMIFS(Refsz_Emissionen_Bundesmix[2024], $C$18:$C$178,$C354)</f>
        <v>0</v>
      </c>
      <c r="O354">
        <f>SUMIFS(Refsz_Emissionen_Bundesmix[2025], $C$18:$C$178,$C354)</f>
        <v>0</v>
      </c>
      <c r="P354">
        <f>SUMIFS(Refsz_Emissionen_Bundesmix[2026], $C$18:$C$178,$C354)</f>
        <v>0</v>
      </c>
      <c r="Q354">
        <f>SUMIFS(Refsz_Emissionen_Bundesmix[2027], $C$18:$C$178,$C354)</f>
        <v>0</v>
      </c>
      <c r="R354">
        <f>SUMIFS(Refsz_Emissionen_Bundesmix[2028], $C$18:$C$178,$C354)</f>
        <v>0</v>
      </c>
      <c r="S354">
        <f>SUMIFS(Refsz_Emissionen_Bundesmix[2029], $C$18:$C$178,$C354)</f>
        <v>0</v>
      </c>
      <c r="T354">
        <f>SUMIFS(Refsz_Emissionen_Bundesmix[2030], $C$18:$C$178,$C354)</f>
        <v>0</v>
      </c>
      <c r="U354">
        <f>SUMIFS(Refsz_Emissionen_Bundesmix[2035], $C$18:$C$178,$C354)</f>
        <v>0</v>
      </c>
      <c r="V354">
        <f>SUMIFS(Refsz_Emissionen_Bundesmix[2040], $C$18:$C$178,$C354)</f>
        <v>0</v>
      </c>
      <c r="W354">
        <f>SUMIFS(Refsz_Emissionen_Bundesmix[2045], $C$18:$C$178,$C354)</f>
        <v>0</v>
      </c>
      <c r="X354">
        <f>SUMIFS(Refsz_Emissionen_Bundesmix[2050], $C$18:$C$178,$C354)</f>
        <v>0</v>
      </c>
    </row>
    <row r="355" spans="2:24" ht="16.5">
      <c r="C355" t="s">
        <v>515</v>
      </c>
      <c r="D355" t="s">
        <v>195</v>
      </c>
      <c r="E355">
        <f>SUMIFS(Refsz_Emissionen_Bundesmix[2015], $C$18:$C$178,$C355)</f>
        <v>0</v>
      </c>
      <c r="F355">
        <f>SUMIFS(Refsz_Emissionen_Bundesmix[2016], $C$18:$C$178,$C355)</f>
        <v>0</v>
      </c>
      <c r="G355">
        <f>SUMIFS(Refsz_Emissionen_Bundesmix[2017], $C$18:$C$178,$C355)</f>
        <v>0</v>
      </c>
      <c r="H355">
        <f>SUMIFS(Refsz_Emissionen_Bundesmix[2018], $C$18:$C$178,$C355)</f>
        <v>0</v>
      </c>
      <c r="I355">
        <f>SUMIFS(Refsz_Emissionen_Bundesmix[2019], $C$18:$C$178,$C355)</f>
        <v>0</v>
      </c>
      <c r="J355">
        <f>SUMIFS(Refsz_Emissionen_Bundesmix[2020], $C$18:$C$178,$C355)</f>
        <v>0</v>
      </c>
      <c r="K355">
        <f>SUMIFS(Refsz_Emissionen_Bundesmix[2021], $C$18:$C$178,$C355)</f>
        <v>0</v>
      </c>
      <c r="L355">
        <f>SUMIFS(Refsz_Emissionen_Bundesmix[2022], $C$18:$C$178,$C355)</f>
        <v>0</v>
      </c>
      <c r="M355">
        <f>SUMIFS(Refsz_Emissionen_Bundesmix[2023], $C$18:$C$178,$C355)</f>
        <v>0</v>
      </c>
      <c r="N355">
        <f>SUMIFS(Refsz_Emissionen_Bundesmix[2024], $C$18:$C$178,$C355)</f>
        <v>0</v>
      </c>
      <c r="O355">
        <f>SUMIFS(Refsz_Emissionen_Bundesmix[2025], $C$18:$C$178,$C355)</f>
        <v>0</v>
      </c>
      <c r="P355">
        <f>SUMIFS(Refsz_Emissionen_Bundesmix[2026], $C$18:$C$178,$C355)</f>
        <v>0</v>
      </c>
      <c r="Q355">
        <f>SUMIFS(Refsz_Emissionen_Bundesmix[2027], $C$18:$C$178,$C355)</f>
        <v>0</v>
      </c>
      <c r="R355">
        <f>SUMIFS(Refsz_Emissionen_Bundesmix[2028], $C$18:$C$178,$C355)</f>
        <v>0</v>
      </c>
      <c r="S355">
        <f>SUMIFS(Refsz_Emissionen_Bundesmix[2029], $C$18:$C$178,$C355)</f>
        <v>0</v>
      </c>
      <c r="T355">
        <f>SUMIFS(Refsz_Emissionen_Bundesmix[2030], $C$18:$C$178,$C355)</f>
        <v>0</v>
      </c>
      <c r="U355">
        <f>SUMIFS(Refsz_Emissionen_Bundesmix[2035], $C$18:$C$178,$C355)</f>
        <v>0</v>
      </c>
      <c r="V355">
        <f>SUMIFS(Refsz_Emissionen_Bundesmix[2040], $C$18:$C$178,$C355)</f>
        <v>0</v>
      </c>
      <c r="W355">
        <f>SUMIFS(Refsz_Emissionen_Bundesmix[2045], $C$18:$C$178,$C355)</f>
        <v>0</v>
      </c>
      <c r="X355">
        <f>SUMIFS(Refsz_Emissionen_Bundesmix[2050], $C$18:$C$178,$C355)</f>
        <v>0</v>
      </c>
    </row>
    <row r="356" spans="2:24" ht="16.5">
      <c r="C356" t="s">
        <v>201</v>
      </c>
      <c r="D356" t="s">
        <v>195</v>
      </c>
      <c r="E356">
        <f>SUMIFS(Refsz_Emissionen_Bundesmix[2015], $C$18:$C$178,$C356)</f>
        <v>0</v>
      </c>
      <c r="F356">
        <f>SUMIFS(Refsz_Emissionen_Bundesmix[2016], $C$18:$C$178,$C356)</f>
        <v>0</v>
      </c>
      <c r="G356">
        <f>SUMIFS(Refsz_Emissionen_Bundesmix[2017], $C$18:$C$178,$C356)</f>
        <v>0</v>
      </c>
      <c r="H356">
        <f>SUMIFS(Refsz_Emissionen_Bundesmix[2018], $C$18:$C$178,$C356)</f>
        <v>0</v>
      </c>
      <c r="I356">
        <f>SUMIFS(Refsz_Emissionen_Bundesmix[2019], $C$18:$C$178,$C356)</f>
        <v>0</v>
      </c>
      <c r="J356">
        <f>SUMIFS(Refsz_Emissionen_Bundesmix[2020], $C$18:$C$178,$C356)</f>
        <v>0</v>
      </c>
      <c r="K356">
        <f>SUMIFS(Refsz_Emissionen_Bundesmix[2021], $C$18:$C$178,$C356)</f>
        <v>0</v>
      </c>
      <c r="L356">
        <f>SUMIFS(Refsz_Emissionen_Bundesmix[2022], $C$18:$C$178,$C356)</f>
        <v>0</v>
      </c>
      <c r="M356">
        <f>SUMIFS(Refsz_Emissionen_Bundesmix[2023], $C$18:$C$178,$C356)</f>
        <v>0</v>
      </c>
      <c r="N356">
        <f>SUMIFS(Refsz_Emissionen_Bundesmix[2024], $C$18:$C$178,$C356)</f>
        <v>0</v>
      </c>
      <c r="O356">
        <f>SUMIFS(Refsz_Emissionen_Bundesmix[2025], $C$18:$C$178,$C356)</f>
        <v>0</v>
      </c>
      <c r="P356">
        <f>SUMIFS(Refsz_Emissionen_Bundesmix[2026], $C$18:$C$178,$C356)</f>
        <v>0</v>
      </c>
      <c r="Q356">
        <f>SUMIFS(Refsz_Emissionen_Bundesmix[2027], $C$18:$C$178,$C356)</f>
        <v>0</v>
      </c>
      <c r="R356">
        <f>SUMIFS(Refsz_Emissionen_Bundesmix[2028], $C$18:$C$178,$C356)</f>
        <v>0</v>
      </c>
      <c r="S356">
        <f>SUMIFS(Refsz_Emissionen_Bundesmix[2029], $C$18:$C$178,$C356)</f>
        <v>0</v>
      </c>
      <c r="T356">
        <f>SUMIFS(Refsz_Emissionen_Bundesmix[2030], $C$18:$C$178,$C356)</f>
        <v>0</v>
      </c>
      <c r="U356">
        <f>SUMIFS(Refsz_Emissionen_Bundesmix[2035], $C$18:$C$178,$C356)</f>
        <v>0</v>
      </c>
      <c r="V356">
        <f>SUMIFS(Refsz_Emissionen_Bundesmix[2040], $C$18:$C$178,$C356)</f>
        <v>0</v>
      </c>
      <c r="W356">
        <f>SUMIFS(Refsz_Emissionen_Bundesmix[2045], $C$18:$C$178,$C356)</f>
        <v>0</v>
      </c>
      <c r="X356">
        <f>SUMIFS(Refsz_Emissionen_Bundesmix[2050], $C$18:$C$178,$C356)</f>
        <v>0</v>
      </c>
    </row>
    <row r="357" spans="2:24" ht="16.5">
      <c r="C357" t="s">
        <v>516</v>
      </c>
      <c r="D357" t="s">
        <v>195</v>
      </c>
      <c r="E357">
        <f>SUMIFS(Refsz_Emissionen_Bundesmix[2015], $C$18:$C$178,$C357)</f>
        <v>0</v>
      </c>
      <c r="F357">
        <f>SUMIFS(Refsz_Emissionen_Bundesmix[2016], $C$18:$C$178,$C357)</f>
        <v>0</v>
      </c>
      <c r="G357">
        <f>SUMIFS(Refsz_Emissionen_Bundesmix[2017], $C$18:$C$178,$C357)</f>
        <v>0</v>
      </c>
      <c r="H357">
        <f>SUMIFS(Refsz_Emissionen_Bundesmix[2018], $C$18:$C$178,$C357)</f>
        <v>0</v>
      </c>
      <c r="I357">
        <f>SUMIFS(Refsz_Emissionen_Bundesmix[2019], $C$18:$C$178,$C357)</f>
        <v>0</v>
      </c>
      <c r="J357">
        <f>SUMIFS(Refsz_Emissionen_Bundesmix[2020], $C$18:$C$178,$C357)</f>
        <v>0</v>
      </c>
      <c r="K357">
        <f>SUMIFS(Refsz_Emissionen_Bundesmix[2021], $C$18:$C$178,$C357)</f>
        <v>0</v>
      </c>
      <c r="L357">
        <f>SUMIFS(Refsz_Emissionen_Bundesmix[2022], $C$18:$C$178,$C357)</f>
        <v>0</v>
      </c>
      <c r="M357">
        <f>SUMIFS(Refsz_Emissionen_Bundesmix[2023], $C$18:$C$178,$C357)</f>
        <v>0</v>
      </c>
      <c r="N357">
        <f>SUMIFS(Refsz_Emissionen_Bundesmix[2024], $C$18:$C$178,$C357)</f>
        <v>0</v>
      </c>
      <c r="O357">
        <f>SUMIFS(Refsz_Emissionen_Bundesmix[2025], $C$18:$C$178,$C357)</f>
        <v>0</v>
      </c>
      <c r="P357">
        <f>SUMIFS(Refsz_Emissionen_Bundesmix[2026], $C$18:$C$178,$C357)</f>
        <v>0</v>
      </c>
      <c r="Q357">
        <f>SUMIFS(Refsz_Emissionen_Bundesmix[2027], $C$18:$C$178,$C357)</f>
        <v>0</v>
      </c>
      <c r="R357">
        <f>SUMIFS(Refsz_Emissionen_Bundesmix[2028], $C$18:$C$178,$C357)</f>
        <v>0</v>
      </c>
      <c r="S357">
        <f>SUMIFS(Refsz_Emissionen_Bundesmix[2029], $C$18:$C$178,$C357)</f>
        <v>0</v>
      </c>
      <c r="T357">
        <f>SUMIFS(Refsz_Emissionen_Bundesmix[2030], $C$18:$C$178,$C357)</f>
        <v>0</v>
      </c>
      <c r="U357">
        <f>SUMIFS(Refsz_Emissionen_Bundesmix[2035], $C$18:$C$178,$C357)</f>
        <v>0</v>
      </c>
      <c r="V357">
        <f>SUMIFS(Refsz_Emissionen_Bundesmix[2040], $C$18:$C$178,$C357)</f>
        <v>0</v>
      </c>
      <c r="W357">
        <f>SUMIFS(Refsz_Emissionen_Bundesmix[2045], $C$18:$C$178,$C357)</f>
        <v>0</v>
      </c>
      <c r="X357">
        <f>SUMIFS(Refsz_Emissionen_Bundesmix[2050], $C$18:$C$178,$C357)</f>
        <v>0</v>
      </c>
    </row>
    <row r="358" spans="2:24" ht="16.5">
      <c r="C358" t="s">
        <v>517</v>
      </c>
      <c r="D358" t="s">
        <v>195</v>
      </c>
      <c r="E358">
        <f>SUMIFS(Refsz_Emissionen_Bundesmix[2015], $C$18:$C$178,$C358)</f>
        <v>0</v>
      </c>
      <c r="F358">
        <f>SUMIFS(Refsz_Emissionen_Bundesmix[2016], $C$18:$C$178,$C358)</f>
        <v>0</v>
      </c>
      <c r="G358">
        <f>SUMIFS(Refsz_Emissionen_Bundesmix[2017], $C$18:$C$178,$C358)</f>
        <v>0</v>
      </c>
      <c r="H358">
        <f>SUMIFS(Refsz_Emissionen_Bundesmix[2018], $C$18:$C$178,$C358)</f>
        <v>0</v>
      </c>
      <c r="I358">
        <f>SUMIFS(Refsz_Emissionen_Bundesmix[2019], $C$18:$C$178,$C358)</f>
        <v>0</v>
      </c>
      <c r="J358">
        <f>SUMIFS(Refsz_Emissionen_Bundesmix[2020], $C$18:$C$178,$C358)</f>
        <v>0</v>
      </c>
      <c r="K358">
        <f>SUMIFS(Refsz_Emissionen_Bundesmix[2021], $C$18:$C$178,$C358)</f>
        <v>0</v>
      </c>
      <c r="L358">
        <f>SUMIFS(Refsz_Emissionen_Bundesmix[2022], $C$18:$C$178,$C358)</f>
        <v>0</v>
      </c>
      <c r="M358">
        <f>SUMIFS(Refsz_Emissionen_Bundesmix[2023], $C$18:$C$178,$C358)</f>
        <v>0</v>
      </c>
      <c r="N358">
        <f>SUMIFS(Refsz_Emissionen_Bundesmix[2024], $C$18:$C$178,$C358)</f>
        <v>0</v>
      </c>
      <c r="O358">
        <f>SUMIFS(Refsz_Emissionen_Bundesmix[2025], $C$18:$C$178,$C358)</f>
        <v>0</v>
      </c>
      <c r="P358">
        <f>SUMIFS(Refsz_Emissionen_Bundesmix[2026], $C$18:$C$178,$C358)</f>
        <v>0</v>
      </c>
      <c r="Q358">
        <f>SUMIFS(Refsz_Emissionen_Bundesmix[2027], $C$18:$C$178,$C358)</f>
        <v>0</v>
      </c>
      <c r="R358">
        <f>SUMIFS(Refsz_Emissionen_Bundesmix[2028], $C$18:$C$178,$C358)</f>
        <v>0</v>
      </c>
      <c r="S358">
        <f>SUMIFS(Refsz_Emissionen_Bundesmix[2029], $C$18:$C$178,$C358)</f>
        <v>0</v>
      </c>
      <c r="T358">
        <f>SUMIFS(Refsz_Emissionen_Bundesmix[2030], $C$18:$C$178,$C358)</f>
        <v>0</v>
      </c>
      <c r="U358">
        <f>SUMIFS(Refsz_Emissionen_Bundesmix[2035], $C$18:$C$178,$C358)</f>
        <v>0</v>
      </c>
      <c r="V358">
        <f>SUMIFS(Refsz_Emissionen_Bundesmix[2040], $C$18:$C$178,$C358)</f>
        <v>0</v>
      </c>
      <c r="W358">
        <f>SUMIFS(Refsz_Emissionen_Bundesmix[2045], $C$18:$C$178,$C358)</f>
        <v>0</v>
      </c>
      <c r="X358">
        <f>SUMIFS(Refsz_Emissionen_Bundesmix[2050], $C$18:$C$178,$C358)</f>
        <v>0</v>
      </c>
    </row>
    <row r="359" spans="2:24" ht="16.5">
      <c r="C359" t="s">
        <v>518</v>
      </c>
      <c r="D359" t="s">
        <v>195</v>
      </c>
      <c r="E359">
        <f>SUMIFS(Refsz_Emissionen_Bundesmix[2015], $C$18:$C$178,$C359)</f>
        <v>0</v>
      </c>
      <c r="F359">
        <f>SUMIFS(Refsz_Emissionen_Bundesmix[2016], $C$18:$C$178,$C359)</f>
        <v>0</v>
      </c>
      <c r="G359">
        <f>SUMIFS(Refsz_Emissionen_Bundesmix[2017], $C$18:$C$178,$C359)</f>
        <v>0</v>
      </c>
      <c r="H359">
        <f>SUMIFS(Refsz_Emissionen_Bundesmix[2018], $C$18:$C$178,$C359)</f>
        <v>0</v>
      </c>
      <c r="I359">
        <f>SUMIFS(Refsz_Emissionen_Bundesmix[2019], $C$18:$C$178,$C359)</f>
        <v>0</v>
      </c>
      <c r="J359">
        <f>SUMIFS(Refsz_Emissionen_Bundesmix[2020], $C$18:$C$178,$C359)</f>
        <v>0</v>
      </c>
      <c r="K359">
        <f>SUMIFS(Refsz_Emissionen_Bundesmix[2021], $C$18:$C$178,$C359)</f>
        <v>0</v>
      </c>
      <c r="L359">
        <f>SUMIFS(Refsz_Emissionen_Bundesmix[2022], $C$18:$C$178,$C359)</f>
        <v>0</v>
      </c>
      <c r="M359">
        <f>SUMIFS(Refsz_Emissionen_Bundesmix[2023], $C$18:$C$178,$C359)</f>
        <v>0</v>
      </c>
      <c r="N359">
        <f>SUMIFS(Refsz_Emissionen_Bundesmix[2024], $C$18:$C$178,$C359)</f>
        <v>0</v>
      </c>
      <c r="O359">
        <f>SUMIFS(Refsz_Emissionen_Bundesmix[2025], $C$18:$C$178,$C359)</f>
        <v>0</v>
      </c>
      <c r="P359">
        <f>SUMIFS(Refsz_Emissionen_Bundesmix[2026], $C$18:$C$178,$C359)</f>
        <v>0</v>
      </c>
      <c r="Q359">
        <f>SUMIFS(Refsz_Emissionen_Bundesmix[2027], $C$18:$C$178,$C359)</f>
        <v>0</v>
      </c>
      <c r="R359">
        <f>SUMIFS(Refsz_Emissionen_Bundesmix[2028], $C$18:$C$178,$C359)</f>
        <v>0</v>
      </c>
      <c r="S359">
        <f>SUMIFS(Refsz_Emissionen_Bundesmix[2029], $C$18:$C$178,$C359)</f>
        <v>0</v>
      </c>
      <c r="T359">
        <f>SUMIFS(Refsz_Emissionen_Bundesmix[2030], $C$18:$C$178,$C359)</f>
        <v>0</v>
      </c>
      <c r="U359">
        <f>SUMIFS(Refsz_Emissionen_Bundesmix[2035], $C$18:$C$178,$C359)</f>
        <v>0</v>
      </c>
      <c r="V359">
        <f>SUMIFS(Refsz_Emissionen_Bundesmix[2040], $C$18:$C$178,$C359)</f>
        <v>0</v>
      </c>
      <c r="W359">
        <f>SUMIFS(Refsz_Emissionen_Bundesmix[2045], $C$18:$C$178,$C359)</f>
        <v>0</v>
      </c>
      <c r="X359">
        <f>SUMIFS(Refsz_Emissionen_Bundesmix[2050], $C$18:$C$178,$C359)</f>
        <v>0</v>
      </c>
    </row>
    <row r="360" spans="2:24" ht="16.5">
      <c r="C360" t="s">
        <v>62</v>
      </c>
      <c r="D360" t="s">
        <v>195</v>
      </c>
      <c r="E360">
        <f>SUMIFS(Refsz_Emissionen_Bundesmix[2015], $C$18:$C$178,$C360)</f>
        <v>0</v>
      </c>
      <c r="F360">
        <f>SUMIFS(Refsz_Emissionen_Bundesmix[2016], $C$18:$C$178,$C360)</f>
        <v>0</v>
      </c>
      <c r="G360">
        <f>SUMIFS(Refsz_Emissionen_Bundesmix[2017], $C$18:$C$178,$C360)</f>
        <v>0</v>
      </c>
      <c r="H360">
        <f>SUMIFS(Refsz_Emissionen_Bundesmix[2018], $C$18:$C$178,$C360)</f>
        <v>0</v>
      </c>
      <c r="I360">
        <f>SUMIFS(Refsz_Emissionen_Bundesmix[2019], $C$18:$C$178,$C360)</f>
        <v>0</v>
      </c>
      <c r="J360">
        <f>SUMIFS(Refsz_Emissionen_Bundesmix[2020], $C$18:$C$178,$C360)</f>
        <v>0</v>
      </c>
      <c r="K360">
        <f>SUMIFS(Refsz_Emissionen_Bundesmix[2021], $C$18:$C$178,$C360)</f>
        <v>0</v>
      </c>
      <c r="L360">
        <f>SUMIFS(Refsz_Emissionen_Bundesmix[2022], $C$18:$C$178,$C360)</f>
        <v>0</v>
      </c>
      <c r="M360">
        <f>SUMIFS(Refsz_Emissionen_Bundesmix[2023], $C$18:$C$178,$C360)</f>
        <v>0</v>
      </c>
      <c r="N360">
        <f>SUMIFS(Refsz_Emissionen_Bundesmix[2024], $C$18:$C$178,$C360)</f>
        <v>0</v>
      </c>
      <c r="O360">
        <f>SUMIFS(Refsz_Emissionen_Bundesmix[2025], $C$18:$C$178,$C360)</f>
        <v>0</v>
      </c>
      <c r="P360">
        <f>SUMIFS(Refsz_Emissionen_Bundesmix[2026], $C$18:$C$178,$C360)</f>
        <v>0</v>
      </c>
      <c r="Q360">
        <f>SUMIFS(Refsz_Emissionen_Bundesmix[2027], $C$18:$C$178,$C360)</f>
        <v>0</v>
      </c>
      <c r="R360">
        <f>SUMIFS(Refsz_Emissionen_Bundesmix[2028], $C$18:$C$178,$C360)</f>
        <v>0</v>
      </c>
      <c r="S360">
        <f>SUMIFS(Refsz_Emissionen_Bundesmix[2029], $C$18:$C$178,$C360)</f>
        <v>0</v>
      </c>
      <c r="T360">
        <f>SUMIFS(Refsz_Emissionen_Bundesmix[2030], $C$18:$C$178,$C360)</f>
        <v>0</v>
      </c>
      <c r="U360">
        <f>SUMIFS(Refsz_Emissionen_Bundesmix[2035], $C$18:$C$178,$C360)</f>
        <v>0</v>
      </c>
      <c r="V360">
        <f>SUMIFS(Refsz_Emissionen_Bundesmix[2040], $C$18:$C$178,$C360)</f>
        <v>0</v>
      </c>
      <c r="W360">
        <f>SUMIFS(Refsz_Emissionen_Bundesmix[2045], $C$18:$C$178,$C360)</f>
        <v>0</v>
      </c>
      <c r="X360">
        <f>SUMIFS(Refsz_Emissionen_Bundesmix[2050], $C$18:$C$178,$C360)</f>
        <v>0</v>
      </c>
    </row>
    <row r="361" spans="2:24" ht="16.5">
      <c r="C361" s="23" t="s">
        <v>39</v>
      </c>
      <c r="D361" s="23" t="s">
        <v>195</v>
      </c>
      <c r="E361" s="147">
        <f>SUBTOTAL(109,Refsz_Bundesmix_Handlungsfelder[2015])</f>
        <v>0</v>
      </c>
      <c r="F361" s="147">
        <f>SUBTOTAL(109,Refsz_Bundesmix_Handlungsfelder[2016])</f>
        <v>0</v>
      </c>
      <c r="G361" s="147">
        <f>SUBTOTAL(109,Refsz_Bundesmix_Handlungsfelder[2017])</f>
        <v>0</v>
      </c>
      <c r="H361" s="147">
        <f>SUBTOTAL(109,Refsz_Bundesmix_Handlungsfelder[2018])</f>
        <v>0</v>
      </c>
      <c r="I361" s="147">
        <f>SUBTOTAL(109,Refsz_Bundesmix_Handlungsfelder[2019])</f>
        <v>0</v>
      </c>
      <c r="J361" s="147">
        <f>SUBTOTAL(109,Refsz_Bundesmix_Handlungsfelder[2020])</f>
        <v>0</v>
      </c>
      <c r="K361" s="147">
        <f>SUBTOTAL(109,Refsz_Bundesmix_Handlungsfelder[2021])</f>
        <v>0</v>
      </c>
      <c r="L361" s="147">
        <f>SUBTOTAL(109,Refsz_Bundesmix_Handlungsfelder[2022])</f>
        <v>0</v>
      </c>
      <c r="M361" s="147">
        <f>SUBTOTAL(109,Refsz_Bundesmix_Handlungsfelder[2023])</f>
        <v>0</v>
      </c>
      <c r="N361" s="147">
        <f>SUBTOTAL(109,Refsz_Bundesmix_Handlungsfelder[2024])</f>
        <v>0</v>
      </c>
      <c r="O361" s="147">
        <f>SUBTOTAL(109,Refsz_Bundesmix_Handlungsfelder[2025])</f>
        <v>0</v>
      </c>
      <c r="P361" s="147">
        <f>SUBTOTAL(109,Refsz_Bundesmix_Handlungsfelder[2026])</f>
        <v>0</v>
      </c>
      <c r="Q361" s="147">
        <f>SUBTOTAL(109,Refsz_Bundesmix_Handlungsfelder[2027])</f>
        <v>0</v>
      </c>
      <c r="R361" s="147">
        <f>SUBTOTAL(109,Refsz_Bundesmix_Handlungsfelder[2028])</f>
        <v>0</v>
      </c>
      <c r="S361" s="147">
        <f>SUBTOTAL(109,Refsz_Bundesmix_Handlungsfelder[2029])</f>
        <v>0</v>
      </c>
      <c r="T361" s="147">
        <f>SUBTOTAL(109,Refsz_Bundesmix_Handlungsfelder[2030])</f>
        <v>0</v>
      </c>
      <c r="U361" s="147">
        <f>SUBTOTAL(109,Refsz_Bundesmix_Handlungsfelder[2035])</f>
        <v>0</v>
      </c>
      <c r="V361" s="147">
        <f>SUBTOTAL(109,Refsz_Bundesmix_Handlungsfelder[2040])</f>
        <v>0</v>
      </c>
      <c r="W361" s="147">
        <f>SUBTOTAL(109,Refsz_Bundesmix_Handlungsfelder[2045])</f>
        <v>0</v>
      </c>
      <c r="X361" s="147">
        <f>SUBTOTAL(109,Refsz_Bundesmix_Handlungsfelder[2050])</f>
        <v>0</v>
      </c>
    </row>
    <row r="363" spans="2:24">
      <c r="C363" t="s">
        <v>375</v>
      </c>
      <c r="D363" t="s">
        <v>2</v>
      </c>
      <c r="E363" t="s">
        <v>3</v>
      </c>
      <c r="F363" t="s">
        <v>4</v>
      </c>
      <c r="G363" t="s">
        <v>5</v>
      </c>
      <c r="H363" t="s">
        <v>6</v>
      </c>
      <c r="I363" t="s">
        <v>7</v>
      </c>
      <c r="J363" t="s">
        <v>8</v>
      </c>
      <c r="K363" t="s">
        <v>9</v>
      </c>
      <c r="L363" t="s">
        <v>10</v>
      </c>
      <c r="M363" t="s">
        <v>11</v>
      </c>
      <c r="N363" t="s">
        <v>12</v>
      </c>
      <c r="O363" t="s">
        <v>13</v>
      </c>
      <c r="P363" t="s">
        <v>14</v>
      </c>
      <c r="Q363" t="s">
        <v>216</v>
      </c>
      <c r="R363" t="s">
        <v>217</v>
      </c>
      <c r="S363" t="s">
        <v>218</v>
      </c>
      <c r="T363" t="s">
        <v>15</v>
      </c>
      <c r="U363" t="s">
        <v>16</v>
      </c>
      <c r="V363" t="s">
        <v>17</v>
      </c>
      <c r="W363" t="s">
        <v>18</v>
      </c>
      <c r="X363" t="s">
        <v>19</v>
      </c>
    </row>
    <row r="364" spans="2:24" ht="16.5">
      <c r="C364" t="s">
        <v>206</v>
      </c>
      <c r="D364" t="s">
        <v>208</v>
      </c>
      <c r="E364" t="str">
        <f>IF(ISERROR(Startseite!G$75+Startseite!G$74), "Personenanzahl fehlt", IF(Startseite!G$74+Startseite!G$75=0, "Personenanzahl fehlt", Refsz_Bundesmix_Handlungsfelder[[#Totals],[2015]]/(Startseite!G$74+Startseite!G$75)))</f>
        <v>Personenanzahl fehlt</v>
      </c>
      <c r="F364" t="str">
        <f>IF(ISERROR(Startseite!H$75+Startseite!H$74), "Personenanzahl fehlt", IF(Startseite!H$74+Startseite!H$75=0, "Personenanzahl fehlt", Refsz_Bundesmix_Handlungsfelder[[#Totals],[2016]]/(Startseite!H$74+Startseite!H$75)))</f>
        <v>Personenanzahl fehlt</v>
      </c>
      <c r="G364" t="str">
        <f>IF(ISERROR(Startseite!I$75+Startseite!I$74), "Personenanzahl fehlt", IF(Startseite!I$74+Startseite!I$75=0, "Personenanzahl fehlt", Refsz_Bundesmix_Handlungsfelder[[#Totals],[2017]]/(Startseite!I$74+Startseite!I$75)))</f>
        <v>Personenanzahl fehlt</v>
      </c>
      <c r="H364" t="str">
        <f>IF(ISERROR(Startseite!J$75+Startseite!J$74), "Personenanzahl fehlt", IF(Startseite!J$74+Startseite!J$75=0, "Personenanzahl fehlt", Refsz_Bundesmix_Handlungsfelder[[#Totals],[2018]]/(Startseite!J$74+Startseite!J$75)))</f>
        <v>Personenanzahl fehlt</v>
      </c>
      <c r="I364" t="str">
        <f>IF(ISERROR(Startseite!K$75+Startseite!K$74), "Personenanzahl fehlt", IF(Startseite!K$74+Startseite!K$75=0, "Personenanzahl fehlt", Refsz_Bundesmix_Handlungsfelder[[#Totals],[2019]]/(Startseite!K$74+Startseite!K$75)))</f>
        <v>Personenanzahl fehlt</v>
      </c>
      <c r="J364" t="str">
        <f>IF(ISERROR(Startseite!L$75+Startseite!L$74), "Personenanzahl fehlt", IF(Startseite!L$74+Startseite!L$75=0, "Personenanzahl fehlt", Refsz_Bundesmix_Handlungsfelder[[#Totals],[2020]]/(Startseite!L$74+Startseite!L$75)))</f>
        <v>Personenanzahl fehlt</v>
      </c>
      <c r="K364" t="str">
        <f>IF(ISERROR(Startseite!M$75+Startseite!M$74), "Personenanzahl fehlt", IF(Startseite!M$74+Startseite!M$75=0, "Personenanzahl fehlt", Refsz_Bundesmix_Handlungsfelder[[#Totals],[2021]]/(Startseite!M$74+Startseite!M$75)))</f>
        <v>Personenanzahl fehlt</v>
      </c>
      <c r="L364" t="str">
        <f>IF(ISERROR(Startseite!N$75+Startseite!N$74), "Personenanzahl fehlt", IF(Startseite!N$74+Startseite!N$75=0, "Personenanzahl fehlt", Refsz_Bundesmix_Handlungsfelder[[#Totals],[2022]]/(Startseite!N$74+Startseite!N$75)))</f>
        <v>Personenanzahl fehlt</v>
      </c>
      <c r="M364" t="str">
        <f>IF(ISERROR(Startseite!O$75+Startseite!O$74), "Personenanzahl fehlt", IF(Startseite!O$74+Startseite!O$75=0, "Personenanzahl fehlt", Refsz_Bundesmix_Handlungsfelder[[#Totals],[2023]]/(Startseite!O$74+Startseite!O$75)))</f>
        <v>Personenanzahl fehlt</v>
      </c>
      <c r="N364" t="str">
        <f>IF(ISERROR(Startseite!P$75+Startseite!P$74), "Personenanzahl fehlt", IF(Startseite!P$74+Startseite!P$75=0, "Personenanzahl fehlt", Refsz_Bundesmix_Handlungsfelder[[#Totals],[2024]]/(Startseite!P$74+Startseite!P$75)))</f>
        <v>Personenanzahl fehlt</v>
      </c>
      <c r="O364" t="str">
        <f>IF(ISERROR(Startseite!Q$75+Startseite!Q$74), "Personenanzahl fehlt", IF(Startseite!Q$74+Startseite!Q$75=0, "Personenanzahl fehlt", Refsz_Bundesmix_Handlungsfelder[[#Totals],[2025]]/(Startseite!Q$74+Startseite!Q$75)))</f>
        <v>Personenanzahl fehlt</v>
      </c>
      <c r="P364" t="str">
        <f>IF(ISERROR(Startseite!R$75+Startseite!R$74), "Personenanzahl fehlt", IF(Startseite!R$74+Startseite!R$75=0, "Personenanzahl fehlt", Refsz_Bundesmix_Handlungsfelder[[#Totals],[2026]]/(Startseite!R$74+Startseite!R$75)))</f>
        <v>Personenanzahl fehlt</v>
      </c>
      <c r="Q364" t="str">
        <f>IF(ISERROR(Startseite!S$75+Startseite!S$74), "Personenanzahl fehlt", IF(Startseite!S$74+Startseite!S$75=0, "Personenanzahl fehlt", Refsz_Bundesmix_Handlungsfelder[[#Totals],[2027]]/(Startseite!S$74+Startseite!S$75)))</f>
        <v>Personenanzahl fehlt</v>
      </c>
      <c r="R364" t="str">
        <f>IF(ISERROR(Startseite!T$75+Startseite!T$74), "Personenanzahl fehlt", IF(Startseite!T$74+Startseite!T$75=0, "Personenanzahl fehlt", Refsz_Bundesmix_Handlungsfelder[[#Totals],[2028]]/(Startseite!T$74+Startseite!T$75)))</f>
        <v>Personenanzahl fehlt</v>
      </c>
      <c r="S364" t="str">
        <f>IF(ISERROR(Startseite!U$75+Startseite!U$74), "Personenanzahl fehlt", IF(Startseite!U$74+Startseite!U$75=0, "Personenanzahl fehlt", Refsz_Bundesmix_Handlungsfelder[[#Totals],[2029]]/(Startseite!U$74+Startseite!U$75)))</f>
        <v>Personenanzahl fehlt</v>
      </c>
      <c r="T364" t="str">
        <f>IF(ISERROR(Startseite!V$75+Startseite!V$74), "Personenanzahl fehlt", IF(Startseite!V$74+Startseite!V$75=0, "Personenanzahl fehlt", Refsz_Bundesmix_Handlungsfelder[[#Totals],[2030]]/(Startseite!V$74+Startseite!V$75)))</f>
        <v>Personenanzahl fehlt</v>
      </c>
      <c r="U364" t="str">
        <f>IF(ISERROR(Startseite!W$75+Startseite!W$74), "Personenanzahl fehlt", IF(Startseite!W$74+Startseite!W$75=0, "Personenanzahl fehlt", Refsz_Bundesmix_Handlungsfelder[[#Totals],[2035]]/(Startseite!W$74+Startseite!W$75)))</f>
        <v>Personenanzahl fehlt</v>
      </c>
      <c r="V364" t="str">
        <f>IF(ISERROR(Startseite!X$75+Startseite!X$74), "Personenanzahl fehlt", IF(Startseite!X$74+Startseite!X$75=0, "Personenanzahl fehlt", Refsz_Bundesmix_Handlungsfelder[[#Totals],[2040]]/(Startseite!X$74+Startseite!X$75)))</f>
        <v>Personenanzahl fehlt</v>
      </c>
      <c r="W364" t="str">
        <f>IF(ISERROR(Startseite!Y$75+Startseite!Y$74), "Personenanzahl fehlt", IF(Startseite!Y$74+Startseite!Y$75=0, "Personenanzahl fehlt", Refsz_Bundesmix_Handlungsfelder[[#Totals],[2045]]/(Startseite!Y$74+Startseite!Y$75)))</f>
        <v>Personenanzahl fehlt</v>
      </c>
      <c r="X364" t="str">
        <f>IF(ISERROR(Startseite!Z$75+Startseite!Z$74), "Personenanzahl fehlt", IF(Startseite!Z$74+Startseite!Z$75=0, "Personenanzahl fehlt", Refsz_Bundesmix_Handlungsfelder[[#Totals],[2050]]/(Startseite!Z$74+Startseite!Z$75)))</f>
        <v>Personenanzahl fehlt</v>
      </c>
    </row>
    <row r="365" spans="2:24" ht="16.5">
      <c r="C365" t="s">
        <v>207</v>
      </c>
      <c r="D365" t="s">
        <v>209</v>
      </c>
      <c r="E365" t="str">
        <f>IF(ISERROR(Refsz_Bundesmix_Handlungsfelder[[#Totals],[2015]]/Startseite!G$72), "Fläche fehlt", IF(Startseite!G$72&lt;&gt;0, Refsz_Bundesmix_Handlungsfelder[[#Totals],[2015]]/Startseite!G$72, "Fläche fehlt"))</f>
        <v>Fläche fehlt</v>
      </c>
      <c r="F365" t="str">
        <f>IF(ISERROR(Refsz_Bundesmix_Handlungsfelder[[#Totals],[2016]]/Startseite!H$72), "Fläche fehlt", IF(Startseite!H$72&lt;&gt;0, Refsz_Bundesmix_Handlungsfelder[[#Totals],[2016]]/Startseite!H$72, "Fläche fehlt"))</f>
        <v>Fläche fehlt</v>
      </c>
      <c r="G365" t="str">
        <f>IF(ISERROR(Refsz_Bundesmix_Handlungsfelder[[#Totals],[2017]]/Startseite!I$72), "Fläche fehlt", IF(Startseite!I$72&lt;&gt;0, Refsz_Bundesmix_Handlungsfelder[[#Totals],[2017]]/Startseite!I$72, "Fläche fehlt"))</f>
        <v>Fläche fehlt</v>
      </c>
      <c r="H365" t="str">
        <f>IF(ISERROR(Refsz_Bundesmix_Handlungsfelder[[#Totals],[2018]]/Startseite!J$72), "Fläche fehlt", IF(Startseite!J$72&lt;&gt;0, Refsz_Bundesmix_Handlungsfelder[[#Totals],[2018]]/Startseite!J$72, "Fläche fehlt"))</f>
        <v>Fläche fehlt</v>
      </c>
      <c r="I365" t="str">
        <f>IF(ISERROR(Refsz_Bundesmix_Handlungsfelder[[#Totals],[2019]]/Startseite!K$72), "Fläche fehlt", IF(Startseite!K$72&lt;&gt;0, Refsz_Bundesmix_Handlungsfelder[[#Totals],[2019]]/Startseite!K$72, "Fläche fehlt"))</f>
        <v>Fläche fehlt</v>
      </c>
      <c r="J365" t="str">
        <f>IF(ISERROR(Refsz_Bundesmix_Handlungsfelder[[#Totals],[2020]]/Startseite!L$72), "Fläche fehlt", IF(Startseite!L$72&lt;&gt;0, Refsz_Bundesmix_Handlungsfelder[[#Totals],[2020]]/Startseite!L$72, "Fläche fehlt"))</f>
        <v>Fläche fehlt</v>
      </c>
      <c r="K365" t="str">
        <f>IF(ISERROR(Refsz_Bundesmix_Handlungsfelder[[#Totals],[2021]]/Startseite!M$72), "Fläche fehlt", IF(Startseite!M$72&lt;&gt;0, Refsz_Bundesmix_Handlungsfelder[[#Totals],[2021]]/Startseite!M$72, "Fläche fehlt"))</f>
        <v>Fläche fehlt</v>
      </c>
      <c r="L365" t="str">
        <f>IF(ISERROR(Refsz_Bundesmix_Handlungsfelder[[#Totals],[2022]]/Startseite!N$72), "Fläche fehlt", IF(Startseite!N$72&lt;&gt;0, Refsz_Bundesmix_Handlungsfelder[[#Totals],[2022]]/Startseite!N$72, "Fläche fehlt"))</f>
        <v>Fläche fehlt</v>
      </c>
      <c r="M365" t="str">
        <f>IF(ISERROR(Refsz_Bundesmix_Handlungsfelder[[#Totals],[2023]]/Startseite!O$72), "Fläche fehlt", IF(Startseite!O$72&lt;&gt;0, Refsz_Bundesmix_Handlungsfelder[[#Totals],[2023]]/Startseite!O$72, "Fläche fehlt"))</f>
        <v>Fläche fehlt</v>
      </c>
      <c r="N365" t="str">
        <f>IF(ISERROR(Refsz_Bundesmix_Handlungsfelder[[#Totals],[2024]]/Startseite!P$72), "Fläche fehlt", IF(Startseite!P$72&lt;&gt;0, Refsz_Bundesmix_Handlungsfelder[[#Totals],[2024]]/Startseite!P$72, "Fläche fehlt"))</f>
        <v>Fläche fehlt</v>
      </c>
      <c r="O365" t="str">
        <f>IF(ISERROR(Refsz_Bundesmix_Handlungsfelder[[#Totals],[2025]]/Startseite!Q$72), "Fläche fehlt", IF(Startseite!Q$72&lt;&gt;0, Refsz_Bundesmix_Handlungsfelder[[#Totals],[2025]]/Startseite!Q$72, "Fläche fehlt"))</f>
        <v>Fläche fehlt</v>
      </c>
      <c r="P365" t="str">
        <f>IF(ISERROR(Refsz_Bundesmix_Handlungsfelder[[#Totals],[2026]]/Startseite!R$72), "Fläche fehlt", IF(Startseite!R$72&lt;&gt;0, Refsz_Bundesmix_Handlungsfelder[[#Totals],[2026]]/Startseite!R$72, "Fläche fehlt"))</f>
        <v>Fläche fehlt</v>
      </c>
      <c r="Q365" t="str">
        <f>IF(ISERROR(Refsz_Bundesmix_Handlungsfelder[[#Totals],[2027]]/Startseite!S$72), "Fläche fehlt", IF(Startseite!S$72&lt;&gt;0, Refsz_Bundesmix_Handlungsfelder[[#Totals],[2027]]/Startseite!S$72, "Fläche fehlt"))</f>
        <v>Fläche fehlt</v>
      </c>
      <c r="R365" t="str">
        <f>IF(ISERROR(Refsz_Bundesmix_Handlungsfelder[[#Totals],[2028]]/Startseite!T$72), "Fläche fehlt", IF(Startseite!T$72&lt;&gt;0, Refsz_Bundesmix_Handlungsfelder[[#Totals],[2028]]/Startseite!T$72, "Fläche fehlt"))</f>
        <v>Fläche fehlt</v>
      </c>
      <c r="S365" t="str">
        <f>IF(ISERROR(Refsz_Bundesmix_Handlungsfelder[[#Totals],[2029]]/Startseite!U$72), "Fläche fehlt", IF(Startseite!U$72&lt;&gt;0, Refsz_Bundesmix_Handlungsfelder[[#Totals],[2029]]/Startseite!U$72, "Fläche fehlt"))</f>
        <v>Fläche fehlt</v>
      </c>
      <c r="T365" t="str">
        <f>IF(ISERROR(Refsz_Bundesmix_Handlungsfelder[[#Totals],[2030]]/Startseite!V$72), "Fläche fehlt", IF(Startseite!V$72&lt;&gt;0, Refsz_Bundesmix_Handlungsfelder[[#Totals],[2030]]/Startseite!V$72, "Fläche fehlt"))</f>
        <v>Fläche fehlt</v>
      </c>
      <c r="U365" t="str">
        <f>IF(ISERROR(Refsz_Bundesmix_Handlungsfelder[[#Totals],[2035]]/Startseite!W$72), "Fläche fehlt", IF(Startseite!W$72&lt;&gt;0, Refsz_Bundesmix_Handlungsfelder[[#Totals],[2035]]/Startseite!W$72, "Fläche fehlt"))</f>
        <v>Fläche fehlt</v>
      </c>
      <c r="V365" t="str">
        <f>IF(ISERROR(Refsz_Bundesmix_Handlungsfelder[[#Totals],[2040]]/Startseite!X$72), "Fläche fehlt", IF(Startseite!X$72&lt;&gt;0, Refsz_Bundesmix_Handlungsfelder[[#Totals],[2040]]/Startseite!X$72, "Fläche fehlt"))</f>
        <v>Fläche fehlt</v>
      </c>
      <c r="W365" t="str">
        <f>IF(ISERROR(Refsz_Bundesmix_Handlungsfelder[[#Totals],[2045]]/Startseite!Y$72), "Fläche fehlt", IF(Startseite!Y$72&lt;&gt;0, Refsz_Bundesmix_Handlungsfelder[[#Totals],[2045]]/Startseite!Y$72, "Fläche fehlt"))</f>
        <v>Fläche fehlt</v>
      </c>
      <c r="X365" t="str">
        <f>IF(ISERROR(Refsz_Bundesmix_Handlungsfelder[[#Totals],[2050]]/Startseite!Z$72), "Fläche fehlt", IF(Startseite!Z$72&lt;&gt;0, Refsz_Bundesmix_Handlungsfelder[[#Totals],[2050]]/Startseite!Z$72, "Fläche fehlt"))</f>
        <v>Fläche fehlt</v>
      </c>
    </row>
    <row r="368" spans="2:24" ht="15.5">
      <c r="B368" s="6" t="s">
        <v>402</v>
      </c>
    </row>
    <row r="369" spans="3:24">
      <c r="C369" s="1"/>
    </row>
    <row r="370" spans="3:24">
      <c r="C370" t="s">
        <v>28</v>
      </c>
      <c r="D370" t="s">
        <v>2</v>
      </c>
      <c r="E370" t="s">
        <v>3</v>
      </c>
      <c r="F370" t="s">
        <v>4</v>
      </c>
      <c r="G370" t="s">
        <v>5</v>
      </c>
      <c r="H370" t="s">
        <v>6</v>
      </c>
      <c r="I370" t="s">
        <v>7</v>
      </c>
      <c r="J370" t="s">
        <v>8</v>
      </c>
      <c r="K370" t="s">
        <v>9</v>
      </c>
      <c r="L370" t="s">
        <v>10</v>
      </c>
      <c r="M370" t="s">
        <v>11</v>
      </c>
      <c r="N370" t="s">
        <v>12</v>
      </c>
      <c r="O370" t="s">
        <v>13</v>
      </c>
      <c r="P370" t="s">
        <v>14</v>
      </c>
      <c r="Q370" t="s">
        <v>216</v>
      </c>
      <c r="R370" t="s">
        <v>217</v>
      </c>
      <c r="S370" t="s">
        <v>218</v>
      </c>
      <c r="T370" t="s">
        <v>15</v>
      </c>
      <c r="U370" t="s">
        <v>16</v>
      </c>
      <c r="V370" t="s">
        <v>17</v>
      </c>
      <c r="W370" t="s">
        <v>18</v>
      </c>
      <c r="X370" t="s">
        <v>19</v>
      </c>
    </row>
    <row r="371" spans="3:24" ht="16.5">
      <c r="C371" t="str">
        <f>C350</f>
        <v>Elektrischer Strom</v>
      </c>
      <c r="D371" t="s">
        <v>195</v>
      </c>
      <c r="E371">
        <f>SUMIFS(Refsz_Emissionen_Regiomix[2015], $C$183:$C$343,$C371)</f>
        <v>0</v>
      </c>
      <c r="F371">
        <f>SUMIFS(Refsz_Emissionen_Regiomix[2016], $C$183:$C$343,$C371)</f>
        <v>0</v>
      </c>
      <c r="G371">
        <f>SUMIFS(Refsz_Emissionen_Regiomix[2017], $C$183:$C$343,$C371)</f>
        <v>0</v>
      </c>
      <c r="H371">
        <f>SUMIFS(Refsz_Emissionen_Regiomix[2018], $C$183:$C$343,$C371)</f>
        <v>0</v>
      </c>
      <c r="I371">
        <f>SUMIFS(Refsz_Emissionen_Regiomix[2019], $C$183:$C$343,$C371)</f>
        <v>0</v>
      </c>
      <c r="J371">
        <f>SUMIFS(Refsz_Emissionen_Regiomix[2020], $C$183:$C$343,$C371)</f>
        <v>0</v>
      </c>
      <c r="K371">
        <f>SUMIFS(Refsz_Emissionen_Regiomix[2021], $C$183:$C$343,$C371)</f>
        <v>0</v>
      </c>
      <c r="L371">
        <f>SUMIFS(Refsz_Emissionen_Regiomix[2022], $C$183:$C$343,$C371)</f>
        <v>0</v>
      </c>
      <c r="M371">
        <f>SUMIFS(Refsz_Emissionen_Regiomix[2023], $C$183:$C$343,$C371)</f>
        <v>0</v>
      </c>
      <c r="N371">
        <f>SUMIFS(Refsz_Emissionen_Regiomix[2024], $C$183:$C$343,$C371)</f>
        <v>0</v>
      </c>
      <c r="O371">
        <f>SUMIFS(Refsz_Emissionen_Regiomix[2025], $C$183:$C$343,$C371)</f>
        <v>0</v>
      </c>
      <c r="P371">
        <f>SUMIFS(Refsz_Emissionen_Regiomix[2026], $C$183:$C$343,$C371)</f>
        <v>0</v>
      </c>
      <c r="Q371">
        <f>SUMIFS(Refsz_Emissionen_Regiomix[2027], $C$183:$C$343,$C371)</f>
        <v>0</v>
      </c>
      <c r="R371">
        <f>SUMIFS(Refsz_Emissionen_Regiomix[2028], $C$183:$C$343,$C371)</f>
        <v>0</v>
      </c>
      <c r="S371">
        <f>SUMIFS(Refsz_Emissionen_Regiomix[2029], $C$183:$C$343,$C371)</f>
        <v>0</v>
      </c>
      <c r="T371">
        <f>SUMIFS(Refsz_Emissionen_Regiomix[2030], $C$183:$C$343,$C371)</f>
        <v>0</v>
      </c>
      <c r="U371">
        <f>SUMIFS(Refsz_Emissionen_Regiomix[2035], $C$183:$C$343,$C371)</f>
        <v>0</v>
      </c>
      <c r="V371">
        <f>SUMIFS(Refsz_Emissionen_Regiomix[2040], $C$183:$C$343,$C371)</f>
        <v>0</v>
      </c>
      <c r="W371">
        <f>SUMIFS(Refsz_Emissionen_Regiomix[2045], $C$183:$C$343,$C371)</f>
        <v>0</v>
      </c>
      <c r="X371">
        <f>SUMIFS(Refsz_Emissionen_Regiomix[2050], $C$183:$C$343,$C371)</f>
        <v>0</v>
      </c>
    </row>
    <row r="372" spans="3:24" ht="16.5">
      <c r="C372" t="str">
        <f t="shared" ref="C372:C381" si="0">C351</f>
        <v>Wärme</v>
      </c>
      <c r="D372" t="s">
        <v>195</v>
      </c>
      <c r="E372">
        <f>SUMIFS(Refsz_Emissionen_Regiomix[2015], $C$183:$C$343,$C372)</f>
        <v>0</v>
      </c>
      <c r="F372">
        <f>SUMIFS(Refsz_Emissionen_Regiomix[2016], $C$183:$C$343,$C372)</f>
        <v>0</v>
      </c>
      <c r="G372">
        <f>SUMIFS(Refsz_Emissionen_Regiomix[2017], $C$183:$C$343,$C372)</f>
        <v>0</v>
      </c>
      <c r="H372">
        <f>SUMIFS(Refsz_Emissionen_Regiomix[2018], $C$183:$C$343,$C372)</f>
        <v>0</v>
      </c>
      <c r="I372">
        <f>SUMIFS(Refsz_Emissionen_Regiomix[2019], $C$183:$C$343,$C372)</f>
        <v>0</v>
      </c>
      <c r="J372">
        <f>SUMIFS(Refsz_Emissionen_Regiomix[2020], $C$183:$C$343,$C372)</f>
        <v>0</v>
      </c>
      <c r="K372">
        <f>SUMIFS(Refsz_Emissionen_Regiomix[2021], $C$183:$C$343,$C372)</f>
        <v>0</v>
      </c>
      <c r="L372">
        <f>SUMIFS(Refsz_Emissionen_Regiomix[2022], $C$183:$C$343,$C372)</f>
        <v>0</v>
      </c>
      <c r="M372">
        <f>SUMIFS(Refsz_Emissionen_Regiomix[2023], $C$183:$C$343,$C372)</f>
        <v>0</v>
      </c>
      <c r="N372">
        <f>SUMIFS(Refsz_Emissionen_Regiomix[2024], $C$183:$C$343,$C372)</f>
        <v>0</v>
      </c>
      <c r="O372">
        <f>SUMIFS(Refsz_Emissionen_Regiomix[2025], $C$183:$C$343,$C372)</f>
        <v>0</v>
      </c>
      <c r="P372">
        <f>SUMIFS(Refsz_Emissionen_Regiomix[2026], $C$183:$C$343,$C372)</f>
        <v>0</v>
      </c>
      <c r="Q372">
        <f>SUMIFS(Refsz_Emissionen_Regiomix[2027], $C$183:$C$343,$C372)</f>
        <v>0</v>
      </c>
      <c r="R372">
        <f>SUMIFS(Refsz_Emissionen_Regiomix[2028], $C$183:$C$343,$C372)</f>
        <v>0</v>
      </c>
      <c r="S372">
        <f>SUMIFS(Refsz_Emissionen_Regiomix[2029], $C$183:$C$343,$C372)</f>
        <v>0</v>
      </c>
      <c r="T372">
        <f>SUMIFS(Refsz_Emissionen_Regiomix[2030], $C$183:$C$343,$C372)</f>
        <v>0</v>
      </c>
      <c r="U372">
        <f>SUMIFS(Refsz_Emissionen_Regiomix[2035], $C$183:$C$343,$C372)</f>
        <v>0</v>
      </c>
      <c r="V372">
        <f>SUMIFS(Refsz_Emissionen_Regiomix[2040], $C$183:$C$343,$C372)</f>
        <v>0</v>
      </c>
      <c r="W372">
        <f>SUMIFS(Refsz_Emissionen_Regiomix[2045], $C$183:$C$343,$C372)</f>
        <v>0</v>
      </c>
      <c r="X372">
        <f>SUMIFS(Refsz_Emissionen_Regiomix[2050], $C$183:$C$343,$C372)</f>
        <v>0</v>
      </c>
    </row>
    <row r="373" spans="3:24" ht="16.5">
      <c r="C373" t="str">
        <f t="shared" si="0"/>
        <v>Kälte</v>
      </c>
      <c r="D373" t="s">
        <v>195</v>
      </c>
      <c r="E373">
        <f>SUMIFS(Refsz_Emissionen_Regiomix[2015], $C$183:$C$343,$C373)</f>
        <v>0</v>
      </c>
      <c r="F373">
        <f>SUMIFS(Refsz_Emissionen_Regiomix[2016], $C$183:$C$343,$C373)</f>
        <v>0</v>
      </c>
      <c r="G373">
        <f>SUMIFS(Refsz_Emissionen_Regiomix[2017], $C$183:$C$343,$C373)</f>
        <v>0</v>
      </c>
      <c r="H373">
        <f>SUMIFS(Refsz_Emissionen_Regiomix[2018], $C$183:$C$343,$C373)</f>
        <v>0</v>
      </c>
      <c r="I373">
        <f>SUMIFS(Refsz_Emissionen_Regiomix[2019], $C$183:$C$343,$C373)</f>
        <v>0</v>
      </c>
      <c r="J373">
        <f>SUMIFS(Refsz_Emissionen_Regiomix[2020], $C$183:$C$343,$C373)</f>
        <v>0</v>
      </c>
      <c r="K373">
        <f>SUMIFS(Refsz_Emissionen_Regiomix[2021], $C$183:$C$343,$C373)</f>
        <v>0</v>
      </c>
      <c r="L373">
        <f>SUMIFS(Refsz_Emissionen_Regiomix[2022], $C$183:$C$343,$C373)</f>
        <v>0</v>
      </c>
      <c r="M373">
        <f>SUMIFS(Refsz_Emissionen_Regiomix[2023], $C$183:$C$343,$C373)</f>
        <v>0</v>
      </c>
      <c r="N373">
        <f>SUMIFS(Refsz_Emissionen_Regiomix[2024], $C$183:$C$343,$C373)</f>
        <v>0</v>
      </c>
      <c r="O373">
        <f>SUMIFS(Refsz_Emissionen_Regiomix[2025], $C$183:$C$343,$C373)</f>
        <v>0</v>
      </c>
      <c r="P373">
        <f>SUMIFS(Refsz_Emissionen_Regiomix[2026], $C$183:$C$343,$C373)</f>
        <v>0</v>
      </c>
      <c r="Q373">
        <f>SUMIFS(Refsz_Emissionen_Regiomix[2027], $C$183:$C$343,$C373)</f>
        <v>0</v>
      </c>
      <c r="R373">
        <f>SUMIFS(Refsz_Emissionen_Regiomix[2028], $C$183:$C$343,$C373)</f>
        <v>0</v>
      </c>
      <c r="S373">
        <f>SUMIFS(Refsz_Emissionen_Regiomix[2029], $C$183:$C$343,$C373)</f>
        <v>0</v>
      </c>
      <c r="T373">
        <f>SUMIFS(Refsz_Emissionen_Regiomix[2030], $C$183:$C$343,$C373)</f>
        <v>0</v>
      </c>
      <c r="U373">
        <f>SUMIFS(Refsz_Emissionen_Regiomix[2035], $C$183:$C$343,$C373)</f>
        <v>0</v>
      </c>
      <c r="V373">
        <f>SUMIFS(Refsz_Emissionen_Regiomix[2040], $C$183:$C$343,$C373)</f>
        <v>0</v>
      </c>
      <c r="W373">
        <f>SUMIFS(Refsz_Emissionen_Regiomix[2045], $C$183:$C$343,$C373)</f>
        <v>0</v>
      </c>
      <c r="X373">
        <f>SUMIFS(Refsz_Emissionen_Regiomix[2050], $C$183:$C$343,$C373)</f>
        <v>0</v>
      </c>
    </row>
    <row r="374" spans="3:24" ht="16.5">
      <c r="C374" t="str">
        <f t="shared" si="0"/>
        <v>Mobilität 1</v>
      </c>
      <c r="D374" t="s">
        <v>195</v>
      </c>
      <c r="E374">
        <f>SUMIFS(Refsz_Emissionen_Regiomix[2015], $C$183:$C$343,$C374)</f>
        <v>0</v>
      </c>
      <c r="F374">
        <f>SUMIFS(Refsz_Emissionen_Regiomix[2016], $C$183:$C$343,$C374)</f>
        <v>0</v>
      </c>
      <c r="G374">
        <f>SUMIFS(Refsz_Emissionen_Regiomix[2017], $C$183:$C$343,$C374)</f>
        <v>0</v>
      </c>
      <c r="H374">
        <f>SUMIFS(Refsz_Emissionen_Regiomix[2018], $C$183:$C$343,$C374)</f>
        <v>0</v>
      </c>
      <c r="I374">
        <f>SUMIFS(Refsz_Emissionen_Regiomix[2019], $C$183:$C$343,$C374)</f>
        <v>0</v>
      </c>
      <c r="J374">
        <f>SUMIFS(Refsz_Emissionen_Regiomix[2020], $C$183:$C$343,$C374)</f>
        <v>0</v>
      </c>
      <c r="K374">
        <f>SUMIFS(Refsz_Emissionen_Regiomix[2021], $C$183:$C$343,$C374)</f>
        <v>0</v>
      </c>
      <c r="L374">
        <f>SUMIFS(Refsz_Emissionen_Regiomix[2022], $C$183:$C$343,$C374)</f>
        <v>0</v>
      </c>
      <c r="M374">
        <f>SUMIFS(Refsz_Emissionen_Regiomix[2023], $C$183:$C$343,$C374)</f>
        <v>0</v>
      </c>
      <c r="N374">
        <f>SUMIFS(Refsz_Emissionen_Regiomix[2024], $C$183:$C$343,$C374)</f>
        <v>0</v>
      </c>
      <c r="O374">
        <f>SUMIFS(Refsz_Emissionen_Regiomix[2025], $C$183:$C$343,$C374)</f>
        <v>0</v>
      </c>
      <c r="P374">
        <f>SUMIFS(Refsz_Emissionen_Regiomix[2026], $C$183:$C$343,$C374)</f>
        <v>0</v>
      </c>
      <c r="Q374">
        <f>SUMIFS(Refsz_Emissionen_Regiomix[2027], $C$183:$C$343,$C374)</f>
        <v>0</v>
      </c>
      <c r="R374">
        <f>SUMIFS(Refsz_Emissionen_Regiomix[2028], $C$183:$C$343,$C374)</f>
        <v>0</v>
      </c>
      <c r="S374">
        <f>SUMIFS(Refsz_Emissionen_Regiomix[2029], $C$183:$C$343,$C374)</f>
        <v>0</v>
      </c>
      <c r="T374">
        <f>SUMIFS(Refsz_Emissionen_Regiomix[2030], $C$183:$C$343,$C374)</f>
        <v>0</v>
      </c>
      <c r="U374">
        <f>SUMIFS(Refsz_Emissionen_Regiomix[2035], $C$183:$C$343,$C374)</f>
        <v>0</v>
      </c>
      <c r="V374">
        <f>SUMIFS(Refsz_Emissionen_Regiomix[2040], $C$183:$C$343,$C374)</f>
        <v>0</v>
      </c>
      <c r="W374">
        <f>SUMIFS(Refsz_Emissionen_Regiomix[2045], $C$183:$C$343,$C374)</f>
        <v>0</v>
      </c>
      <c r="X374">
        <f>SUMIFS(Refsz_Emissionen_Regiomix[2050], $C$183:$C$343,$C374)</f>
        <v>0</v>
      </c>
    </row>
    <row r="375" spans="3:24" ht="16.5">
      <c r="C375" t="str">
        <f t="shared" si="0"/>
        <v>Mobilität 2</v>
      </c>
      <c r="D375" t="s">
        <v>195</v>
      </c>
      <c r="E375">
        <f>SUMIFS(Refsz_Emissionen_Regiomix[2015], $C$183:$C$343,$C375)</f>
        <v>0</v>
      </c>
      <c r="F375">
        <f>SUMIFS(Refsz_Emissionen_Regiomix[2016], $C$183:$C$343,$C375)</f>
        <v>0</v>
      </c>
      <c r="G375">
        <f>SUMIFS(Refsz_Emissionen_Regiomix[2017], $C$183:$C$343,$C375)</f>
        <v>0</v>
      </c>
      <c r="H375">
        <f>SUMIFS(Refsz_Emissionen_Regiomix[2018], $C$183:$C$343,$C375)</f>
        <v>0</v>
      </c>
      <c r="I375">
        <f>SUMIFS(Refsz_Emissionen_Regiomix[2019], $C$183:$C$343,$C375)</f>
        <v>0</v>
      </c>
      <c r="J375">
        <f>SUMIFS(Refsz_Emissionen_Regiomix[2020], $C$183:$C$343,$C375)</f>
        <v>0</v>
      </c>
      <c r="K375">
        <f>SUMIFS(Refsz_Emissionen_Regiomix[2021], $C$183:$C$343,$C375)</f>
        <v>0</v>
      </c>
      <c r="L375">
        <f>SUMIFS(Refsz_Emissionen_Regiomix[2022], $C$183:$C$343,$C375)</f>
        <v>0</v>
      </c>
      <c r="M375">
        <f>SUMIFS(Refsz_Emissionen_Regiomix[2023], $C$183:$C$343,$C375)</f>
        <v>0</v>
      </c>
      <c r="N375">
        <f>SUMIFS(Refsz_Emissionen_Regiomix[2024], $C$183:$C$343,$C375)</f>
        <v>0</v>
      </c>
      <c r="O375">
        <f>SUMIFS(Refsz_Emissionen_Regiomix[2025], $C$183:$C$343,$C375)</f>
        <v>0</v>
      </c>
      <c r="P375">
        <f>SUMIFS(Refsz_Emissionen_Regiomix[2026], $C$183:$C$343,$C375)</f>
        <v>0</v>
      </c>
      <c r="Q375">
        <f>SUMIFS(Refsz_Emissionen_Regiomix[2027], $C$183:$C$343,$C375)</f>
        <v>0</v>
      </c>
      <c r="R375">
        <f>SUMIFS(Refsz_Emissionen_Regiomix[2028], $C$183:$C$343,$C375)</f>
        <v>0</v>
      </c>
      <c r="S375">
        <f>SUMIFS(Refsz_Emissionen_Regiomix[2029], $C$183:$C$343,$C375)</f>
        <v>0</v>
      </c>
      <c r="T375">
        <f>SUMIFS(Refsz_Emissionen_Regiomix[2030], $C$183:$C$343,$C375)</f>
        <v>0</v>
      </c>
      <c r="U375">
        <f>SUMIFS(Refsz_Emissionen_Regiomix[2035], $C$183:$C$343,$C375)</f>
        <v>0</v>
      </c>
      <c r="V375">
        <f>SUMIFS(Refsz_Emissionen_Regiomix[2040], $C$183:$C$343,$C375)</f>
        <v>0</v>
      </c>
      <c r="W375">
        <f>SUMIFS(Refsz_Emissionen_Regiomix[2045], $C$183:$C$343,$C375)</f>
        <v>0</v>
      </c>
      <c r="X375">
        <f>SUMIFS(Refsz_Emissionen_Regiomix[2050], $C$183:$C$343,$C375)</f>
        <v>0</v>
      </c>
    </row>
    <row r="376" spans="3:24" ht="16.5">
      <c r="C376" t="str">
        <f t="shared" si="0"/>
        <v>Wasser</v>
      </c>
      <c r="D376" t="s">
        <v>195</v>
      </c>
      <c r="E376">
        <f>SUMIFS(Refsz_Emissionen_Regiomix[2015], $C$183:$C$343,$C376)</f>
        <v>0</v>
      </c>
      <c r="F376">
        <f>SUMIFS(Refsz_Emissionen_Regiomix[2016], $C$183:$C$343,$C376)</f>
        <v>0</v>
      </c>
      <c r="G376">
        <f>SUMIFS(Refsz_Emissionen_Regiomix[2017], $C$183:$C$343,$C376)</f>
        <v>0</v>
      </c>
      <c r="H376">
        <f>SUMIFS(Refsz_Emissionen_Regiomix[2018], $C$183:$C$343,$C376)</f>
        <v>0</v>
      </c>
      <c r="I376">
        <f>SUMIFS(Refsz_Emissionen_Regiomix[2019], $C$183:$C$343,$C376)</f>
        <v>0</v>
      </c>
      <c r="J376">
        <f>SUMIFS(Refsz_Emissionen_Regiomix[2020], $C$183:$C$343,$C376)</f>
        <v>0</v>
      </c>
      <c r="K376">
        <f>SUMIFS(Refsz_Emissionen_Regiomix[2021], $C$183:$C$343,$C376)</f>
        <v>0</v>
      </c>
      <c r="L376">
        <f>SUMIFS(Refsz_Emissionen_Regiomix[2022], $C$183:$C$343,$C376)</f>
        <v>0</v>
      </c>
      <c r="M376">
        <f>SUMIFS(Refsz_Emissionen_Regiomix[2023], $C$183:$C$343,$C376)</f>
        <v>0</v>
      </c>
      <c r="N376">
        <f>SUMIFS(Refsz_Emissionen_Regiomix[2024], $C$183:$C$343,$C376)</f>
        <v>0</v>
      </c>
      <c r="O376">
        <f>SUMIFS(Refsz_Emissionen_Regiomix[2025], $C$183:$C$343,$C376)</f>
        <v>0</v>
      </c>
      <c r="P376">
        <f>SUMIFS(Refsz_Emissionen_Regiomix[2026], $C$183:$C$343,$C376)</f>
        <v>0</v>
      </c>
      <c r="Q376">
        <f>SUMIFS(Refsz_Emissionen_Regiomix[2027], $C$183:$C$343,$C376)</f>
        <v>0</v>
      </c>
      <c r="R376">
        <f>SUMIFS(Refsz_Emissionen_Regiomix[2028], $C$183:$C$343,$C376)</f>
        <v>0</v>
      </c>
      <c r="S376">
        <f>SUMIFS(Refsz_Emissionen_Regiomix[2029], $C$183:$C$343,$C376)</f>
        <v>0</v>
      </c>
      <c r="T376">
        <f>SUMIFS(Refsz_Emissionen_Regiomix[2030], $C$183:$C$343,$C376)</f>
        <v>0</v>
      </c>
      <c r="U376">
        <f>SUMIFS(Refsz_Emissionen_Regiomix[2035], $C$183:$C$343,$C376)</f>
        <v>0</v>
      </c>
      <c r="V376">
        <f>SUMIFS(Refsz_Emissionen_Regiomix[2040], $C$183:$C$343,$C376)</f>
        <v>0</v>
      </c>
      <c r="W376">
        <f>SUMIFS(Refsz_Emissionen_Regiomix[2045], $C$183:$C$343,$C376)</f>
        <v>0</v>
      </c>
      <c r="X376">
        <f>SUMIFS(Refsz_Emissionen_Regiomix[2050], $C$183:$C$343,$C376)</f>
        <v>0</v>
      </c>
    </row>
    <row r="377" spans="3:24" ht="16.5">
      <c r="C377" t="str">
        <f t="shared" si="0"/>
        <v>Abfall</v>
      </c>
      <c r="D377" t="s">
        <v>195</v>
      </c>
      <c r="E377">
        <f>SUMIFS(Refsz_Emissionen_Regiomix[2015], $C$183:$C$343,$C377)</f>
        <v>0</v>
      </c>
      <c r="F377">
        <f>SUMIFS(Refsz_Emissionen_Regiomix[2016], $C$183:$C$343,$C377)</f>
        <v>0</v>
      </c>
      <c r="G377">
        <f>SUMIFS(Refsz_Emissionen_Regiomix[2017], $C$183:$C$343,$C377)</f>
        <v>0</v>
      </c>
      <c r="H377">
        <f>SUMIFS(Refsz_Emissionen_Regiomix[2018], $C$183:$C$343,$C377)</f>
        <v>0</v>
      </c>
      <c r="I377">
        <f>SUMIFS(Refsz_Emissionen_Regiomix[2019], $C$183:$C$343,$C377)</f>
        <v>0</v>
      </c>
      <c r="J377">
        <f>SUMIFS(Refsz_Emissionen_Regiomix[2020], $C$183:$C$343,$C377)</f>
        <v>0</v>
      </c>
      <c r="K377">
        <f>SUMIFS(Refsz_Emissionen_Regiomix[2021], $C$183:$C$343,$C377)</f>
        <v>0</v>
      </c>
      <c r="L377">
        <f>SUMIFS(Refsz_Emissionen_Regiomix[2022], $C$183:$C$343,$C377)</f>
        <v>0</v>
      </c>
      <c r="M377">
        <f>SUMIFS(Refsz_Emissionen_Regiomix[2023], $C$183:$C$343,$C377)</f>
        <v>0</v>
      </c>
      <c r="N377">
        <f>SUMIFS(Refsz_Emissionen_Regiomix[2024], $C$183:$C$343,$C377)</f>
        <v>0</v>
      </c>
      <c r="O377">
        <f>SUMIFS(Refsz_Emissionen_Regiomix[2025], $C$183:$C$343,$C377)</f>
        <v>0</v>
      </c>
      <c r="P377">
        <f>SUMIFS(Refsz_Emissionen_Regiomix[2026], $C$183:$C$343,$C377)</f>
        <v>0</v>
      </c>
      <c r="Q377">
        <f>SUMIFS(Refsz_Emissionen_Regiomix[2027], $C$183:$C$343,$C377)</f>
        <v>0</v>
      </c>
      <c r="R377">
        <f>SUMIFS(Refsz_Emissionen_Regiomix[2028], $C$183:$C$343,$C377)</f>
        <v>0</v>
      </c>
      <c r="S377">
        <f>SUMIFS(Refsz_Emissionen_Regiomix[2029], $C$183:$C$343,$C377)</f>
        <v>0</v>
      </c>
      <c r="T377">
        <f>SUMIFS(Refsz_Emissionen_Regiomix[2030], $C$183:$C$343,$C377)</f>
        <v>0</v>
      </c>
      <c r="U377">
        <f>SUMIFS(Refsz_Emissionen_Regiomix[2035], $C$183:$C$343,$C377)</f>
        <v>0</v>
      </c>
      <c r="V377">
        <f>SUMIFS(Refsz_Emissionen_Regiomix[2040], $C$183:$C$343,$C377)</f>
        <v>0</v>
      </c>
      <c r="W377">
        <f>SUMIFS(Refsz_Emissionen_Regiomix[2045], $C$183:$C$343,$C377)</f>
        <v>0</v>
      </c>
      <c r="X377">
        <f>SUMIFS(Refsz_Emissionen_Regiomix[2050], $C$183:$C$343,$C377)</f>
        <v>0</v>
      </c>
    </row>
    <row r="378" spans="3:24" ht="16.5">
      <c r="C378" t="str">
        <f t="shared" si="0"/>
        <v>Waren und Dienstleistungen</v>
      </c>
      <c r="D378" t="s">
        <v>195</v>
      </c>
      <c r="E378">
        <f>SUMIFS(Refsz_Emissionen_Regiomix[2015], $C$183:$C$343,$C378)</f>
        <v>0</v>
      </c>
      <c r="F378">
        <f>SUMIFS(Refsz_Emissionen_Regiomix[2016], $C$183:$C$343,$C378)</f>
        <v>0</v>
      </c>
      <c r="G378">
        <f>SUMIFS(Refsz_Emissionen_Regiomix[2017], $C$183:$C$343,$C378)</f>
        <v>0</v>
      </c>
      <c r="H378">
        <f>SUMIFS(Refsz_Emissionen_Regiomix[2018], $C$183:$C$343,$C378)</f>
        <v>0</v>
      </c>
      <c r="I378">
        <f>SUMIFS(Refsz_Emissionen_Regiomix[2019], $C$183:$C$343,$C378)</f>
        <v>0</v>
      </c>
      <c r="J378">
        <f>SUMIFS(Refsz_Emissionen_Regiomix[2020], $C$183:$C$343,$C378)</f>
        <v>0</v>
      </c>
      <c r="K378">
        <f>SUMIFS(Refsz_Emissionen_Regiomix[2021], $C$183:$C$343,$C378)</f>
        <v>0</v>
      </c>
      <c r="L378">
        <f>SUMIFS(Refsz_Emissionen_Regiomix[2022], $C$183:$C$343,$C378)</f>
        <v>0</v>
      </c>
      <c r="M378">
        <f>SUMIFS(Refsz_Emissionen_Regiomix[2023], $C$183:$C$343,$C378)</f>
        <v>0</v>
      </c>
      <c r="N378">
        <f>SUMIFS(Refsz_Emissionen_Regiomix[2024], $C$183:$C$343,$C378)</f>
        <v>0</v>
      </c>
      <c r="O378">
        <f>SUMIFS(Refsz_Emissionen_Regiomix[2025], $C$183:$C$343,$C378)</f>
        <v>0</v>
      </c>
      <c r="P378">
        <f>SUMIFS(Refsz_Emissionen_Regiomix[2026], $C$183:$C$343,$C378)</f>
        <v>0</v>
      </c>
      <c r="Q378">
        <f>SUMIFS(Refsz_Emissionen_Regiomix[2027], $C$183:$C$343,$C378)</f>
        <v>0</v>
      </c>
      <c r="R378">
        <f>SUMIFS(Refsz_Emissionen_Regiomix[2028], $C$183:$C$343,$C378)</f>
        <v>0</v>
      </c>
      <c r="S378">
        <f>SUMIFS(Refsz_Emissionen_Regiomix[2029], $C$183:$C$343,$C378)</f>
        <v>0</v>
      </c>
      <c r="T378">
        <f>SUMIFS(Refsz_Emissionen_Regiomix[2030], $C$183:$C$343,$C378)</f>
        <v>0</v>
      </c>
      <c r="U378">
        <f>SUMIFS(Refsz_Emissionen_Regiomix[2035], $C$183:$C$343,$C378)</f>
        <v>0</v>
      </c>
      <c r="V378">
        <f>SUMIFS(Refsz_Emissionen_Regiomix[2040], $C$183:$C$343,$C378)</f>
        <v>0</v>
      </c>
      <c r="W378">
        <f>SUMIFS(Refsz_Emissionen_Regiomix[2045], $C$183:$C$343,$C378)</f>
        <v>0</v>
      </c>
      <c r="X378">
        <f>SUMIFS(Refsz_Emissionen_Regiomix[2050], $C$183:$C$343,$C378)</f>
        <v>0</v>
      </c>
    </row>
    <row r="379" spans="3:24" ht="16.5">
      <c r="C379" t="str">
        <f t="shared" si="0"/>
        <v>Baugüter</v>
      </c>
      <c r="D379" t="s">
        <v>195</v>
      </c>
      <c r="E379">
        <f>SUMIFS(Refsz_Emissionen_Regiomix[2015], $C$183:$C$343,$C379)</f>
        <v>0</v>
      </c>
      <c r="F379">
        <f>SUMIFS(Refsz_Emissionen_Regiomix[2016], $C$183:$C$343,$C379)</f>
        <v>0</v>
      </c>
      <c r="G379">
        <f>SUMIFS(Refsz_Emissionen_Regiomix[2017], $C$183:$C$343,$C379)</f>
        <v>0</v>
      </c>
      <c r="H379">
        <f>SUMIFS(Refsz_Emissionen_Regiomix[2018], $C$183:$C$343,$C379)</f>
        <v>0</v>
      </c>
      <c r="I379">
        <f>SUMIFS(Refsz_Emissionen_Regiomix[2019], $C$183:$C$343,$C379)</f>
        <v>0</v>
      </c>
      <c r="J379">
        <f>SUMIFS(Refsz_Emissionen_Regiomix[2020], $C$183:$C$343,$C379)</f>
        <v>0</v>
      </c>
      <c r="K379">
        <f>SUMIFS(Refsz_Emissionen_Regiomix[2021], $C$183:$C$343,$C379)</f>
        <v>0</v>
      </c>
      <c r="L379">
        <f>SUMIFS(Refsz_Emissionen_Regiomix[2022], $C$183:$C$343,$C379)</f>
        <v>0</v>
      </c>
      <c r="M379">
        <f>SUMIFS(Refsz_Emissionen_Regiomix[2023], $C$183:$C$343,$C379)</f>
        <v>0</v>
      </c>
      <c r="N379">
        <f>SUMIFS(Refsz_Emissionen_Regiomix[2024], $C$183:$C$343,$C379)</f>
        <v>0</v>
      </c>
      <c r="O379">
        <f>SUMIFS(Refsz_Emissionen_Regiomix[2025], $C$183:$C$343,$C379)</f>
        <v>0</v>
      </c>
      <c r="P379">
        <f>SUMIFS(Refsz_Emissionen_Regiomix[2026], $C$183:$C$343,$C379)</f>
        <v>0</v>
      </c>
      <c r="Q379">
        <f>SUMIFS(Refsz_Emissionen_Regiomix[2027], $C$183:$C$343,$C379)</f>
        <v>0</v>
      </c>
      <c r="R379">
        <f>SUMIFS(Refsz_Emissionen_Regiomix[2028], $C$183:$C$343,$C379)</f>
        <v>0</v>
      </c>
      <c r="S379">
        <f>SUMIFS(Refsz_Emissionen_Regiomix[2029], $C$183:$C$343,$C379)</f>
        <v>0</v>
      </c>
      <c r="T379">
        <f>SUMIFS(Refsz_Emissionen_Regiomix[2030], $C$183:$C$343,$C379)</f>
        <v>0</v>
      </c>
      <c r="U379">
        <f>SUMIFS(Refsz_Emissionen_Regiomix[2035], $C$183:$C$343,$C379)</f>
        <v>0</v>
      </c>
      <c r="V379">
        <f>SUMIFS(Refsz_Emissionen_Regiomix[2040], $C$183:$C$343,$C379)</f>
        <v>0</v>
      </c>
      <c r="W379">
        <f>SUMIFS(Refsz_Emissionen_Regiomix[2045], $C$183:$C$343,$C379)</f>
        <v>0</v>
      </c>
      <c r="X379">
        <f>SUMIFS(Refsz_Emissionen_Regiomix[2050], $C$183:$C$343,$C379)</f>
        <v>0</v>
      </c>
    </row>
    <row r="380" spans="3:24" ht="16.5">
      <c r="C380" t="str">
        <f t="shared" si="0"/>
        <v>Waren mit negativem GWP total</v>
      </c>
      <c r="D380" t="s">
        <v>195</v>
      </c>
      <c r="E380">
        <f>SUMIFS(Refsz_Emissionen_Regiomix[2015], $C$183:$C$343,$C380)</f>
        <v>0</v>
      </c>
      <c r="F380">
        <f>SUMIFS(Refsz_Emissionen_Regiomix[2016], $C$183:$C$343,$C380)</f>
        <v>0</v>
      </c>
      <c r="G380">
        <f>SUMIFS(Refsz_Emissionen_Regiomix[2017], $C$183:$C$343,$C380)</f>
        <v>0</v>
      </c>
      <c r="H380">
        <f>SUMIFS(Refsz_Emissionen_Regiomix[2018], $C$183:$C$343,$C380)</f>
        <v>0</v>
      </c>
      <c r="I380">
        <f>SUMIFS(Refsz_Emissionen_Regiomix[2019], $C$183:$C$343,$C380)</f>
        <v>0</v>
      </c>
      <c r="J380">
        <f>SUMIFS(Refsz_Emissionen_Regiomix[2020], $C$183:$C$343,$C380)</f>
        <v>0</v>
      </c>
      <c r="K380">
        <f>SUMIFS(Refsz_Emissionen_Regiomix[2021], $C$183:$C$343,$C380)</f>
        <v>0</v>
      </c>
      <c r="L380">
        <f>SUMIFS(Refsz_Emissionen_Regiomix[2022], $C$183:$C$343,$C380)</f>
        <v>0</v>
      </c>
      <c r="M380">
        <f>SUMIFS(Refsz_Emissionen_Regiomix[2023], $C$183:$C$343,$C380)</f>
        <v>0</v>
      </c>
      <c r="N380">
        <f>SUMIFS(Refsz_Emissionen_Regiomix[2024], $C$183:$C$343,$C380)</f>
        <v>0</v>
      </c>
      <c r="O380">
        <f>SUMIFS(Refsz_Emissionen_Regiomix[2025], $C$183:$C$343,$C380)</f>
        <v>0</v>
      </c>
      <c r="P380">
        <f>SUMIFS(Refsz_Emissionen_Regiomix[2026], $C$183:$C$343,$C380)</f>
        <v>0</v>
      </c>
      <c r="Q380">
        <f>SUMIFS(Refsz_Emissionen_Regiomix[2027], $C$183:$C$343,$C380)</f>
        <v>0</v>
      </c>
      <c r="R380">
        <f>SUMIFS(Refsz_Emissionen_Regiomix[2028], $C$183:$C$343,$C380)</f>
        <v>0</v>
      </c>
      <c r="S380">
        <f>SUMIFS(Refsz_Emissionen_Regiomix[2029], $C$183:$C$343,$C380)</f>
        <v>0</v>
      </c>
      <c r="T380">
        <f>SUMIFS(Refsz_Emissionen_Regiomix[2030], $C$183:$C$343,$C380)</f>
        <v>0</v>
      </c>
      <c r="U380">
        <f>SUMIFS(Refsz_Emissionen_Regiomix[2035], $C$183:$C$343,$C380)</f>
        <v>0</v>
      </c>
      <c r="V380">
        <f>SUMIFS(Refsz_Emissionen_Regiomix[2040], $C$183:$C$343,$C380)</f>
        <v>0</v>
      </c>
      <c r="W380">
        <f>SUMIFS(Refsz_Emissionen_Regiomix[2045], $C$183:$C$343,$C380)</f>
        <v>0</v>
      </c>
      <c r="X380">
        <f>SUMIFS(Refsz_Emissionen_Regiomix[2050], $C$183:$C$343,$C380)</f>
        <v>0</v>
      </c>
    </row>
    <row r="381" spans="3:24" ht="16.5">
      <c r="C381" t="str">
        <f t="shared" si="0"/>
        <v>Kompensation</v>
      </c>
      <c r="D381" t="s">
        <v>195</v>
      </c>
      <c r="E381">
        <f>SUMIFS(Refsz_Emissionen_Regiomix[2015], $C$183:$C$343,$C381)</f>
        <v>0</v>
      </c>
      <c r="F381">
        <f>SUMIFS(Refsz_Emissionen_Regiomix[2016], $C$183:$C$343,$C381)</f>
        <v>0</v>
      </c>
      <c r="G381">
        <f>SUMIFS(Refsz_Emissionen_Regiomix[2017], $C$183:$C$343,$C381)</f>
        <v>0</v>
      </c>
      <c r="H381">
        <f>SUMIFS(Refsz_Emissionen_Regiomix[2018], $C$183:$C$343,$C381)</f>
        <v>0</v>
      </c>
      <c r="I381">
        <f>SUMIFS(Refsz_Emissionen_Regiomix[2019], $C$183:$C$343,$C381)</f>
        <v>0</v>
      </c>
      <c r="J381">
        <f>SUMIFS(Refsz_Emissionen_Regiomix[2020], $C$183:$C$343,$C381)</f>
        <v>0</v>
      </c>
      <c r="K381">
        <f>SUMIFS(Refsz_Emissionen_Regiomix[2021], $C$183:$C$343,$C381)</f>
        <v>0</v>
      </c>
      <c r="L381">
        <f>SUMIFS(Refsz_Emissionen_Regiomix[2022], $C$183:$C$343,$C381)</f>
        <v>0</v>
      </c>
      <c r="M381">
        <f>SUMIFS(Refsz_Emissionen_Regiomix[2023], $C$183:$C$343,$C381)</f>
        <v>0</v>
      </c>
      <c r="N381">
        <f>SUMIFS(Refsz_Emissionen_Regiomix[2024], $C$183:$C$343,$C381)</f>
        <v>0</v>
      </c>
      <c r="O381">
        <f>SUMIFS(Refsz_Emissionen_Regiomix[2025], $C$183:$C$343,$C381)</f>
        <v>0</v>
      </c>
      <c r="P381">
        <f>SUMIFS(Refsz_Emissionen_Regiomix[2026], $C$183:$C$343,$C381)</f>
        <v>0</v>
      </c>
      <c r="Q381">
        <f>SUMIFS(Refsz_Emissionen_Regiomix[2027], $C$183:$C$343,$C381)</f>
        <v>0</v>
      </c>
      <c r="R381">
        <f>SUMIFS(Refsz_Emissionen_Regiomix[2028], $C$183:$C$343,$C381)</f>
        <v>0</v>
      </c>
      <c r="S381">
        <f>SUMIFS(Refsz_Emissionen_Regiomix[2029], $C$183:$C$343,$C381)</f>
        <v>0</v>
      </c>
      <c r="T381">
        <f>SUMIFS(Refsz_Emissionen_Regiomix[2030], $C$183:$C$343,$C381)</f>
        <v>0</v>
      </c>
      <c r="U381">
        <f>SUMIFS(Refsz_Emissionen_Regiomix[2035], $C$183:$C$343,$C381)</f>
        <v>0</v>
      </c>
      <c r="V381">
        <f>SUMIFS(Refsz_Emissionen_Regiomix[2040], $C$183:$C$343,$C381)</f>
        <v>0</v>
      </c>
      <c r="W381">
        <f>SUMIFS(Refsz_Emissionen_Regiomix[2045], $C$183:$C$343,$C381)</f>
        <v>0</v>
      </c>
      <c r="X381">
        <f>SUMIFS(Refsz_Emissionen_Regiomix[2050], $C$183:$C$343,$C381)</f>
        <v>0</v>
      </c>
    </row>
    <row r="382" spans="3:24" ht="16.5">
      <c r="C382" s="23" t="s">
        <v>39</v>
      </c>
      <c r="D382" s="23" t="s">
        <v>195</v>
      </c>
      <c r="E382" s="147">
        <f>SUBTOTAL(109,Refsz_Regiomix_Handlungsfelder[2015])</f>
        <v>0</v>
      </c>
      <c r="F382" s="147">
        <f>SUBTOTAL(109,Refsz_Regiomix_Handlungsfelder[2016])</f>
        <v>0</v>
      </c>
      <c r="G382" s="147">
        <f>SUBTOTAL(109,Refsz_Regiomix_Handlungsfelder[2017])</f>
        <v>0</v>
      </c>
      <c r="H382" s="147">
        <f>SUBTOTAL(109,Refsz_Regiomix_Handlungsfelder[2018])</f>
        <v>0</v>
      </c>
      <c r="I382" s="147">
        <f>SUBTOTAL(109,Refsz_Regiomix_Handlungsfelder[2019])</f>
        <v>0</v>
      </c>
      <c r="J382" s="147">
        <f>SUBTOTAL(109,Refsz_Regiomix_Handlungsfelder[2020])</f>
        <v>0</v>
      </c>
      <c r="K382" s="147">
        <f>SUBTOTAL(109,Refsz_Regiomix_Handlungsfelder[2021])</f>
        <v>0</v>
      </c>
      <c r="L382" s="147">
        <f>SUBTOTAL(109,Refsz_Regiomix_Handlungsfelder[2022])</f>
        <v>0</v>
      </c>
      <c r="M382" s="147">
        <f>SUBTOTAL(109,Refsz_Regiomix_Handlungsfelder[2023])</f>
        <v>0</v>
      </c>
      <c r="N382" s="147">
        <f>SUBTOTAL(109,Refsz_Regiomix_Handlungsfelder[2024])</f>
        <v>0</v>
      </c>
      <c r="O382" s="147">
        <f>SUBTOTAL(109,Refsz_Regiomix_Handlungsfelder[2025])</f>
        <v>0</v>
      </c>
      <c r="P382" s="147">
        <f>SUBTOTAL(109,Refsz_Regiomix_Handlungsfelder[2026])</f>
        <v>0</v>
      </c>
      <c r="Q382" s="147">
        <f>SUBTOTAL(109,Refsz_Regiomix_Handlungsfelder[2027])</f>
        <v>0</v>
      </c>
      <c r="R382" s="147">
        <f>SUBTOTAL(109,Refsz_Regiomix_Handlungsfelder[2028])</f>
        <v>0</v>
      </c>
      <c r="S382" s="147">
        <f>SUBTOTAL(109,Refsz_Regiomix_Handlungsfelder[2029])</f>
        <v>0</v>
      </c>
      <c r="T382" s="147">
        <f>SUBTOTAL(109,Refsz_Regiomix_Handlungsfelder[2030])</f>
        <v>0</v>
      </c>
      <c r="U382" s="147">
        <f>SUBTOTAL(109,Refsz_Regiomix_Handlungsfelder[2035])</f>
        <v>0</v>
      </c>
      <c r="V382" s="147">
        <f>SUBTOTAL(109,Refsz_Regiomix_Handlungsfelder[2040])</f>
        <v>0</v>
      </c>
      <c r="W382" s="147">
        <f>SUBTOTAL(109,Refsz_Regiomix_Handlungsfelder[2045])</f>
        <v>0</v>
      </c>
      <c r="X382" s="147">
        <f>SUBTOTAL(109,Refsz_Regiomix_Handlungsfelder[2050])</f>
        <v>0</v>
      </c>
    </row>
    <row r="384" spans="3:24">
      <c r="C384" t="s">
        <v>375</v>
      </c>
      <c r="D384" t="s">
        <v>2</v>
      </c>
      <c r="E384" t="s">
        <v>3</v>
      </c>
      <c r="F384" t="s">
        <v>4</v>
      </c>
      <c r="G384" t="s">
        <v>5</v>
      </c>
      <c r="H384" t="s">
        <v>6</v>
      </c>
      <c r="I384" t="s">
        <v>7</v>
      </c>
      <c r="J384" t="s">
        <v>8</v>
      </c>
      <c r="K384" t="s">
        <v>9</v>
      </c>
      <c r="L384" t="s">
        <v>10</v>
      </c>
      <c r="M384" t="s">
        <v>11</v>
      </c>
      <c r="N384" t="s">
        <v>12</v>
      </c>
      <c r="O384" t="s">
        <v>13</v>
      </c>
      <c r="P384" t="s">
        <v>14</v>
      </c>
      <c r="Q384" t="s">
        <v>216</v>
      </c>
      <c r="R384" t="s">
        <v>217</v>
      </c>
      <c r="S384" t="s">
        <v>218</v>
      </c>
      <c r="T384" t="s">
        <v>15</v>
      </c>
      <c r="U384" t="s">
        <v>16</v>
      </c>
      <c r="V384" t="s">
        <v>17</v>
      </c>
      <c r="W384" t="s">
        <v>18</v>
      </c>
      <c r="X384" t="s">
        <v>19</v>
      </c>
    </row>
    <row r="385" spans="2:24" ht="16.5">
      <c r="C385" t="s">
        <v>206</v>
      </c>
      <c r="D385" t="s">
        <v>208</v>
      </c>
      <c r="E385" t="str">
        <f>IF(ISERROR(Startseite!G$75+Startseite!G$74), "Personenanzahl fehlt", IF(Startseite!G$74+Startseite!G$75=0, "Personenanzahl fehlt", Refsz_Regiomix_Handlungsfelder[[#Totals],[2015]]/(Startseite!G$74+Startseite!G$75)))</f>
        <v>Personenanzahl fehlt</v>
      </c>
      <c r="F385" t="str">
        <f>IF(ISERROR(Startseite!H$75+Startseite!H$74), "Personenanzahl fehlt", IF(Startseite!H$74+Startseite!H$75=0, "Personenanzahl fehlt", Refsz_Regiomix_Handlungsfelder[[#Totals],[2016]]/(Startseite!H$74+Startseite!H$75)))</f>
        <v>Personenanzahl fehlt</v>
      </c>
      <c r="G385" t="str">
        <f>IF(ISERROR(Startseite!I$75+Startseite!I$74), "Personenanzahl fehlt", IF(Startseite!I$74+Startseite!I$75=0, "Personenanzahl fehlt", Refsz_Regiomix_Handlungsfelder[[#Totals],[2017]]/(Startseite!I$74+Startseite!I$75)))</f>
        <v>Personenanzahl fehlt</v>
      </c>
      <c r="H385" t="str">
        <f>IF(ISERROR(Startseite!J$75+Startseite!J$74), "Personenanzahl fehlt", IF(Startseite!J$74+Startseite!J$75=0, "Personenanzahl fehlt", Refsz_Regiomix_Handlungsfelder[[#Totals],[2018]]/(Startseite!J$74+Startseite!J$75)))</f>
        <v>Personenanzahl fehlt</v>
      </c>
      <c r="I385" t="str">
        <f>IF(ISERROR(Startseite!K$75+Startseite!K$74), "Personenanzahl fehlt", IF(Startseite!K$74+Startseite!K$75=0, "Personenanzahl fehlt", Refsz_Regiomix_Handlungsfelder[[#Totals],[2019]]/(Startseite!K$74+Startseite!K$75)))</f>
        <v>Personenanzahl fehlt</v>
      </c>
      <c r="J385" t="str">
        <f>IF(ISERROR(Startseite!L$75+Startseite!L$74), "Personenanzahl fehlt", IF(Startseite!L$74+Startseite!L$75=0, "Personenanzahl fehlt", Refsz_Regiomix_Handlungsfelder[[#Totals],[2020]]/(Startseite!L$74+Startseite!L$75)))</f>
        <v>Personenanzahl fehlt</v>
      </c>
      <c r="K385" t="str">
        <f>IF(ISERROR(Startseite!M$75+Startseite!M$74), "Personenanzahl fehlt", IF(Startseite!M$74+Startseite!M$75=0, "Personenanzahl fehlt", Refsz_Regiomix_Handlungsfelder[[#Totals],[2021]]/(Startseite!M$74+Startseite!M$75)))</f>
        <v>Personenanzahl fehlt</v>
      </c>
      <c r="L385" t="str">
        <f>IF(ISERROR(Startseite!N$75+Startseite!N$74), "Personenanzahl fehlt", IF(Startseite!N$74+Startseite!N$75=0, "Personenanzahl fehlt", Refsz_Regiomix_Handlungsfelder[[#Totals],[2022]]/(Startseite!N$74+Startseite!N$75)))</f>
        <v>Personenanzahl fehlt</v>
      </c>
      <c r="M385" t="str">
        <f>IF(ISERROR(Startseite!O$75+Startseite!O$74), "Personenanzahl fehlt", IF(Startseite!O$74+Startseite!O$75=0, "Personenanzahl fehlt", Refsz_Regiomix_Handlungsfelder[[#Totals],[2023]]/(Startseite!O$74+Startseite!O$75)))</f>
        <v>Personenanzahl fehlt</v>
      </c>
      <c r="N385" t="str">
        <f>IF(ISERROR(Startseite!P$75+Startseite!P$74), "Personenanzahl fehlt", IF(Startseite!P$74+Startseite!P$75=0, "Personenanzahl fehlt", Refsz_Regiomix_Handlungsfelder[[#Totals],[2024]]/(Startseite!P$74+Startseite!P$75)))</f>
        <v>Personenanzahl fehlt</v>
      </c>
      <c r="O385" t="str">
        <f>IF(ISERROR(Startseite!Q$75+Startseite!Q$74), "Personenanzahl fehlt", IF(Startseite!Q$74+Startseite!Q$75=0, "Personenanzahl fehlt", Refsz_Regiomix_Handlungsfelder[[#Totals],[2025]]/(Startseite!Q$74+Startseite!Q$75)))</f>
        <v>Personenanzahl fehlt</v>
      </c>
      <c r="P385" t="str">
        <f>IF(ISERROR(Startseite!R$75+Startseite!R$74), "Personenanzahl fehlt", IF(Startseite!R$74+Startseite!R$75=0, "Personenanzahl fehlt", Refsz_Regiomix_Handlungsfelder[[#Totals],[2026]]/(Startseite!R$74+Startseite!R$75)))</f>
        <v>Personenanzahl fehlt</v>
      </c>
      <c r="Q385" t="str">
        <f>IF(ISERROR(Startseite!S$75+Startseite!S$74), "Personenanzahl fehlt", IF(Startseite!S$74+Startseite!S$75=0, "Personenanzahl fehlt", Refsz_Regiomix_Handlungsfelder[[#Totals],[2027]]/(Startseite!S$74+Startseite!S$75)))</f>
        <v>Personenanzahl fehlt</v>
      </c>
      <c r="R385" t="str">
        <f>IF(ISERROR(Startseite!T$75+Startseite!T$74), "Personenanzahl fehlt", IF(Startseite!T$74+Startseite!T$75=0, "Personenanzahl fehlt", Refsz_Regiomix_Handlungsfelder[[#Totals],[2028]]/(Startseite!T$74+Startseite!T$75)))</f>
        <v>Personenanzahl fehlt</v>
      </c>
      <c r="S385" t="str">
        <f>IF(ISERROR(Startseite!U$75+Startseite!U$74), "Personenanzahl fehlt", IF(Startseite!U$74+Startseite!U$75=0, "Personenanzahl fehlt", Refsz_Regiomix_Handlungsfelder[[#Totals],[2029]]/(Startseite!U$74+Startseite!U$75)))</f>
        <v>Personenanzahl fehlt</v>
      </c>
      <c r="T385" t="str">
        <f>IF(ISERROR(Startseite!V$75+Startseite!V$74), "Personenanzahl fehlt", IF(Startseite!V$74+Startseite!V$75=0, "Personenanzahl fehlt", Refsz_Regiomix_Handlungsfelder[[#Totals],[2030]]/(Startseite!V$74+Startseite!V$75)))</f>
        <v>Personenanzahl fehlt</v>
      </c>
      <c r="U385" t="str">
        <f>IF(ISERROR(Startseite!W$75+Startseite!W$74), "Personenanzahl fehlt", IF(Startseite!W$74+Startseite!W$75=0, "Personenanzahl fehlt", Refsz_Regiomix_Handlungsfelder[[#Totals],[2035]]/(Startseite!W$74+Startseite!W$75)))</f>
        <v>Personenanzahl fehlt</v>
      </c>
      <c r="V385" t="str">
        <f>IF(ISERROR(Startseite!X$75+Startseite!X$74), "Personenanzahl fehlt", IF(Startseite!X$74+Startseite!X$75=0, "Personenanzahl fehlt", Refsz_Regiomix_Handlungsfelder[[#Totals],[2040]]/(Startseite!X$74+Startseite!X$75)))</f>
        <v>Personenanzahl fehlt</v>
      </c>
      <c r="W385" t="str">
        <f>IF(ISERROR(Startseite!Y$75+Startseite!Y$74), "Personenanzahl fehlt", IF(Startseite!Y$74+Startseite!Y$75=0, "Personenanzahl fehlt", Refsz_Regiomix_Handlungsfelder[[#Totals],[2045]]/(Startseite!Y$74+Startseite!Y$75)))</f>
        <v>Personenanzahl fehlt</v>
      </c>
      <c r="X385" t="str">
        <f>IF(ISERROR(Startseite!Z$75+Startseite!Z$74), "Personenanzahl fehlt", IF(Startseite!Z$74+Startseite!Z$75=0, "Personenanzahl fehlt", Refsz_Regiomix_Handlungsfelder[[#Totals],[2050]]/(Startseite!Z$74+Startseite!Z$75)))</f>
        <v>Personenanzahl fehlt</v>
      </c>
    </row>
    <row r="386" spans="2:24" ht="16.5">
      <c r="C386" t="s">
        <v>207</v>
      </c>
      <c r="D386" t="s">
        <v>209</v>
      </c>
      <c r="E386" t="str">
        <f>IF(ISERROR(Refsz_Regiomix_Handlungsfelder[[#Totals],[2015]]/Startseite!G$72), "Fläche fehlt", IF(Startseite!G$72&lt;&gt;0, Refsz_Regiomix_Handlungsfelder[[#Totals],[2015]]/Startseite!G$72, "Fläche fehlt"))</f>
        <v>Fläche fehlt</v>
      </c>
      <c r="F386" t="str">
        <f>IF(ISERROR(Refsz_Regiomix_Handlungsfelder[[#Totals],[2016]]/Startseite!H$72), "Fläche fehlt", IF(Startseite!H$72&lt;&gt;0, Refsz_Regiomix_Handlungsfelder[[#Totals],[2016]]/Startseite!H$72, "Fläche fehlt"))</f>
        <v>Fläche fehlt</v>
      </c>
      <c r="G386" t="str">
        <f>IF(ISERROR(Refsz_Regiomix_Handlungsfelder[[#Totals],[2017]]/Startseite!I$72), "Fläche fehlt", IF(Startseite!I$72&lt;&gt;0, Refsz_Regiomix_Handlungsfelder[[#Totals],[2017]]/Startseite!I$72, "Fläche fehlt"))</f>
        <v>Fläche fehlt</v>
      </c>
      <c r="H386" t="str">
        <f>IF(ISERROR(Refsz_Regiomix_Handlungsfelder[[#Totals],[2018]]/Startseite!J$72), "Fläche fehlt", IF(Startseite!J$72&lt;&gt;0, Refsz_Regiomix_Handlungsfelder[[#Totals],[2018]]/Startseite!J$72, "Fläche fehlt"))</f>
        <v>Fläche fehlt</v>
      </c>
      <c r="I386" t="str">
        <f>IF(ISERROR(Refsz_Regiomix_Handlungsfelder[[#Totals],[2019]]/Startseite!K$72), "Fläche fehlt", IF(Startseite!K$72&lt;&gt;0, Refsz_Regiomix_Handlungsfelder[[#Totals],[2019]]/Startseite!K$72, "Fläche fehlt"))</f>
        <v>Fläche fehlt</v>
      </c>
      <c r="J386" t="str">
        <f>IF(ISERROR(Refsz_Regiomix_Handlungsfelder[[#Totals],[2020]]/Startseite!L$72), "Fläche fehlt", IF(Startseite!L$72&lt;&gt;0, Refsz_Regiomix_Handlungsfelder[[#Totals],[2020]]/Startseite!L$72, "Fläche fehlt"))</f>
        <v>Fläche fehlt</v>
      </c>
      <c r="K386" t="str">
        <f>IF(ISERROR(Refsz_Regiomix_Handlungsfelder[[#Totals],[2021]]/Startseite!M$72), "Fläche fehlt", IF(Startseite!M$72&lt;&gt;0, Refsz_Regiomix_Handlungsfelder[[#Totals],[2021]]/Startseite!M$72, "Fläche fehlt"))</f>
        <v>Fläche fehlt</v>
      </c>
      <c r="L386" t="str">
        <f>IF(ISERROR(Refsz_Regiomix_Handlungsfelder[[#Totals],[2022]]/Startseite!N$72), "Fläche fehlt", IF(Startseite!N$72&lt;&gt;0, Refsz_Regiomix_Handlungsfelder[[#Totals],[2022]]/Startseite!N$72, "Fläche fehlt"))</f>
        <v>Fläche fehlt</v>
      </c>
      <c r="M386" t="str">
        <f>IF(ISERROR(Refsz_Regiomix_Handlungsfelder[[#Totals],[2023]]/Startseite!O$72), "Fläche fehlt", IF(Startseite!O$72&lt;&gt;0, Refsz_Regiomix_Handlungsfelder[[#Totals],[2023]]/Startseite!O$72, "Fläche fehlt"))</f>
        <v>Fläche fehlt</v>
      </c>
      <c r="N386" t="str">
        <f>IF(ISERROR(Refsz_Regiomix_Handlungsfelder[[#Totals],[2024]]/Startseite!P$72), "Fläche fehlt", IF(Startseite!P$72&lt;&gt;0, Refsz_Regiomix_Handlungsfelder[[#Totals],[2024]]/Startseite!P$72, "Fläche fehlt"))</f>
        <v>Fläche fehlt</v>
      </c>
      <c r="O386" t="str">
        <f>IF(ISERROR(Refsz_Regiomix_Handlungsfelder[[#Totals],[2025]]/Startseite!Q$72), "Fläche fehlt", IF(Startseite!Q$72&lt;&gt;0, Refsz_Regiomix_Handlungsfelder[[#Totals],[2025]]/Startseite!Q$72, "Fläche fehlt"))</f>
        <v>Fläche fehlt</v>
      </c>
      <c r="P386" t="str">
        <f>IF(ISERROR(Refsz_Regiomix_Handlungsfelder[[#Totals],[2026]]/Startseite!R$72), "Fläche fehlt", IF(Startseite!R$72&lt;&gt;0, Refsz_Regiomix_Handlungsfelder[[#Totals],[2026]]/Startseite!R$72, "Fläche fehlt"))</f>
        <v>Fläche fehlt</v>
      </c>
      <c r="Q386" t="str">
        <f>IF(ISERROR(Refsz_Regiomix_Handlungsfelder[[#Totals],[2027]]/Startseite!S$72), "Fläche fehlt", IF(Startseite!S$72&lt;&gt;0, Refsz_Regiomix_Handlungsfelder[[#Totals],[2027]]/Startseite!S$72, "Fläche fehlt"))</f>
        <v>Fläche fehlt</v>
      </c>
      <c r="R386" t="str">
        <f>IF(ISERROR(Refsz_Regiomix_Handlungsfelder[[#Totals],[2028]]/Startseite!T$72), "Fläche fehlt", IF(Startseite!T$72&lt;&gt;0, Refsz_Regiomix_Handlungsfelder[[#Totals],[2028]]/Startseite!T$72, "Fläche fehlt"))</f>
        <v>Fläche fehlt</v>
      </c>
      <c r="S386" t="str">
        <f>IF(ISERROR(Refsz_Regiomix_Handlungsfelder[[#Totals],[2029]]/Startseite!U$72), "Fläche fehlt", IF(Startseite!U$72&lt;&gt;0, Refsz_Regiomix_Handlungsfelder[[#Totals],[2029]]/Startseite!U$72, "Fläche fehlt"))</f>
        <v>Fläche fehlt</v>
      </c>
      <c r="T386" t="str">
        <f>IF(ISERROR(Refsz_Regiomix_Handlungsfelder[[#Totals],[2030]]/Startseite!V$72), "Fläche fehlt", IF(Startseite!V$72&lt;&gt;0, Refsz_Regiomix_Handlungsfelder[[#Totals],[2030]]/Startseite!V$72, "Fläche fehlt"))</f>
        <v>Fläche fehlt</v>
      </c>
      <c r="U386" t="str">
        <f>IF(ISERROR(Refsz_Regiomix_Handlungsfelder[[#Totals],[2035]]/Startseite!W$72), "Fläche fehlt", IF(Startseite!W$72&lt;&gt;0, Refsz_Regiomix_Handlungsfelder[[#Totals],[2035]]/Startseite!W$72, "Fläche fehlt"))</f>
        <v>Fläche fehlt</v>
      </c>
      <c r="V386" t="str">
        <f>IF(ISERROR(Refsz_Regiomix_Handlungsfelder[[#Totals],[2040]]/Startseite!X$72), "Fläche fehlt", IF(Startseite!X$72&lt;&gt;0, Refsz_Regiomix_Handlungsfelder[[#Totals],[2040]]/Startseite!X$72, "Fläche fehlt"))</f>
        <v>Fläche fehlt</v>
      </c>
      <c r="W386" t="str">
        <f>IF(ISERROR(Refsz_Regiomix_Handlungsfelder[[#Totals],[2045]]/Startseite!Y$72), "Fläche fehlt", IF(Startseite!Y$72&lt;&gt;0, Refsz_Regiomix_Handlungsfelder[[#Totals],[2045]]/Startseite!Y$72, "Fläche fehlt"))</f>
        <v>Fläche fehlt</v>
      </c>
      <c r="X386" t="str">
        <f>IF(ISERROR(Refsz_Regiomix_Handlungsfelder[[#Totals],[2050]]/Startseite!Z$72), "Fläche fehlt", IF(Startseite!Z$72&lt;&gt;0, Refsz_Regiomix_Handlungsfelder[[#Totals],[2050]]/Startseite!Z$72, "Fläche fehlt"))</f>
        <v>Fläche fehlt</v>
      </c>
    </row>
    <row r="388" spans="2:24">
      <c r="B388" s="1" t="s">
        <v>548</v>
      </c>
    </row>
    <row r="390" spans="2:24">
      <c r="C390" s="126" t="s">
        <v>9</v>
      </c>
    </row>
    <row r="391" spans="2:24">
      <c r="B391" s="167" t="s">
        <v>38</v>
      </c>
      <c r="C391" t="s">
        <v>547</v>
      </c>
      <c r="D391" s="167" t="s">
        <v>435</v>
      </c>
      <c r="E391" s="167" t="s">
        <v>534</v>
      </c>
      <c r="F391" s="151" t="s">
        <v>535</v>
      </c>
      <c r="G391" s="151" t="s">
        <v>536</v>
      </c>
    </row>
    <row r="392" spans="2:24">
      <c r="B392" s="150">
        <f>'Refsz-Verbräuche'!B18</f>
        <v>1</v>
      </c>
      <c r="C392" s="150" t="str">
        <f>'Refsz-Verbräuche'!C18</f>
        <v>Elektrischer Strom</v>
      </c>
      <c r="D392" s="150" t="str">
        <f>'Refsz-Verbräuche'!D18</f>
        <v>Bundesmix</v>
      </c>
      <c r="E392" s="170">
        <f>IF(
    OR(
        ISNUMBER(INDEX(Refsz_Verbräuche[[ID]:[2050]],
                     MATCH(B392, Refsz_Verbräuche[ID], 0),
                     MATCH($C$390, Refsz_Verbräuche[#Headers], 0))),
        ISNUMBER('Refsz-Verbräuche'!L19), ISNUMBER('Refsz-Verbräuche'!L20),
        ISNUMBER('Refsz-Verbräuche'!L21), ISNUMBER('Refsz-Verbräuche'!L22),
        ISNUMBER('Refsz-Verbräuche'!L23), ISNUMBER('Refsz-Verbräuche'!L24),
        ISNUMBER('Refsz-Verbräuche'!L25), ISNUMBER('Refsz-Verbräuche'!L26),
        ISNUMBER('Refsz-Verbräuche'!L27), ISNUMBER('Refsz-Verbräuche'!L28)
    ),
    (SUM('Refsz-Verbräuche'!L18:L28) * Emissionsfaktoren!$F$195/1000
        + 'Strommix &amp; BHKW'!J203
        + 'Strommix &amp; BHKW'!J209
        + 'Strommix &amp; BHKW'!J215),
    IF(
        INDEX(Refsz_Verbräuche[[ID]:[2050]],
              MATCH(B392, Refsz_Verbräuche[ID], 0),
              MATCH($C$390, Refsz_Verbräuche[#Headers], 0)) = "",
        0,
        INDEX(Refsz_Verbräuche[[ID]:[2050]],
              MATCH(B392, Refsz_Verbräuche[ID], 0),
              MATCH($C$390, Refsz_Verbräuche[#Headers], 0))
    ) * Emissionsfaktoren!F195 / 1000
)</f>
        <v>0</v>
      </c>
      <c r="F392" s="170">
        <f>IF(
    OR(
        ISNUMBER(INDEX(Refsz_Verbräuche[[ID]:[2050]],
                     MATCH(B392, Refsz_Verbräuche[ID], 0),
                     MATCH($C$390, Refsz_Verbräuche[#Headers], 0))),
        ISNUMBER('Refsz-Verbräuche'!L19), ISNUMBER('Refsz-Verbräuche'!L20),
        ISNUMBER('Refsz-Verbräuche'!L21), ISNUMBER('Refsz-Verbräuche'!L22),
        ISNUMBER('Refsz-Verbräuche'!L23), ISNUMBER('Refsz-Verbräuche'!L24),
        ISNUMBER('Refsz-Verbräuche'!L25), ISNUMBER('Refsz-Verbräuche'!L26),
        ISNUMBER('Refsz-Verbräuche'!L27), ISNUMBER('Refsz-Verbräuche'!L28)
    ),
    (SUM('Refsz-Verbräuche'!L18:L28) * Emissionsfaktoren!$G$195/1000
        + 'Strommix &amp; BHKW'!J203
        + 'Strommix &amp; BHKW'!J209
        + 'Strommix &amp; BHKW'!J215),
    IF(
        INDEX(Refsz_Verbräuche[[ID]:[2050]],
              MATCH(B392, Refsz_Verbräuche[ID], 0),
              MATCH($C$390, Refsz_Verbräuche[#Headers], 0)) = "",
        0,
        INDEX(Refsz_Verbräuche[[ID]:[2050]],
              MATCH(B392, Refsz_Verbräuche[ID], 0),
              MATCH($C$390, Refsz_Verbräuche[#Headers], 0))
    ) * Emissionsfaktoren!F195 / 1000
)</f>
        <v>0</v>
      </c>
      <c r="G392" s="171">
        <f>IF(
    OR(
        ISNUMBER(INDEX(Refsz_Verbräuche[[ID]:[2050]],
                     MATCH(B392, Refsz_Verbräuche[ID], 0),
                     MATCH($C$390, Refsz_Verbräuche[#Headers], 0))),
        ISNUMBER('Refsz-Verbräuche'!L19), ISNUMBER('Refsz-Verbräuche'!L20),
        ISNUMBER('Refsz-Verbräuche'!L21), ISNUMBER('Refsz-Verbräuche'!L22),
        ISNUMBER('Refsz-Verbräuche'!L23), ISNUMBER('Refsz-Verbräuche'!L24),
        ISNUMBER('Refsz-Verbräuche'!L25), ISNUMBER('Refsz-Verbräuche'!L26),
        ISNUMBER('Refsz-Verbräuche'!L27), ISNUMBER('Refsz-Verbräuche'!L28)
    ),
    (SUM('Refsz-Verbräuche'!L18:L28) * Emissionsfaktoren!$H$195/1000
        + 'Strommix &amp; BHKW'!J203
        + 'Strommix &amp; BHKW'!J209
        + 'Strommix &amp; BHKW'!J215),
    IF(
        INDEX(Refsz_Verbräuche[[ID]:[2050]],
              MATCH(B392, Refsz_Verbräuche[ID], 0),
              MATCH($C$390, Refsz_Verbräuche[#Headers], 0)) = "",
        0,
        INDEX(Refsz_Verbräuche[[ID]:[2050]],
              MATCH(B392, Refsz_Verbräuche[ID], 0),
              MATCH($C$390, Refsz_Verbräuche[#Headers], 0))
    ) * Emissionsfaktoren!F195 / 1000
)</f>
        <v>0</v>
      </c>
    </row>
    <row r="393" spans="2:24">
      <c r="B393" s="150">
        <f>'Refsz-Verbräuche'!B19</f>
        <v>2</v>
      </c>
      <c r="C393" s="150" t="str">
        <f>'Refsz-Verbräuche'!C19</f>
        <v>Elektrischer Strom</v>
      </c>
      <c r="D393" s="150" t="str">
        <f>'Refsz-Verbräuche'!D19</f>
        <v>Bundesmix KS80</v>
      </c>
      <c r="E393" s="149">
        <v>0</v>
      </c>
      <c r="F393" s="149">
        <v>0</v>
      </c>
      <c r="G393" s="168">
        <v>0</v>
      </c>
    </row>
    <row r="394" spans="2:24">
      <c r="B394" s="150">
        <f>'Refsz-Verbräuche'!B20</f>
        <v>3</v>
      </c>
      <c r="C394" s="150" t="str">
        <f>'Refsz-Verbräuche'!C20</f>
        <v>Elektrischer Strom</v>
      </c>
      <c r="D394" s="150" t="str">
        <f>'Refsz-Verbräuche'!D20</f>
        <v>Individueller Strommix Einrichtung 1</v>
      </c>
      <c r="E394" s="149">
        <v>0</v>
      </c>
      <c r="F394" s="149">
        <v>0</v>
      </c>
      <c r="G394" s="168">
        <v>0</v>
      </c>
    </row>
    <row r="395" spans="2:24">
      <c r="B395" s="150">
        <f>'Refsz-Verbräuche'!B21</f>
        <v>4</v>
      </c>
      <c r="C395" s="150" t="str">
        <f>'Refsz-Verbräuche'!C21</f>
        <v>Elektrischer Strom</v>
      </c>
      <c r="D395" s="150" t="str">
        <f>'Refsz-Verbräuche'!D21</f>
        <v>Individueller Strommix Einrichtung 2</v>
      </c>
      <c r="E395" s="149">
        <v>0</v>
      </c>
      <c r="F395" s="149">
        <v>0</v>
      </c>
      <c r="G395" s="168">
        <v>0</v>
      </c>
    </row>
    <row r="396" spans="2:24">
      <c r="B396" s="150">
        <f>'Refsz-Verbräuche'!B22</f>
        <v>5</v>
      </c>
      <c r="C396" s="150" t="str">
        <f>'Refsz-Verbräuche'!C22</f>
        <v>Elektrischer Strom</v>
      </c>
      <c r="D396" s="150" t="str">
        <f>'Refsz-Verbräuche'!D22</f>
        <v>Individueller Strommix Einrichtung 3</v>
      </c>
      <c r="E396" s="149">
        <v>0</v>
      </c>
      <c r="F396" s="149">
        <v>0</v>
      </c>
      <c r="G396" s="168">
        <v>0</v>
      </c>
    </row>
    <row r="397" spans="2:24">
      <c r="B397" s="150">
        <f>'Refsz-Verbräuche'!B23</f>
        <v>6</v>
      </c>
      <c r="C397" s="150" t="str">
        <f>'Refsz-Verbräuche'!C23</f>
        <v>Elektrischer Strom</v>
      </c>
      <c r="D397" s="150" t="str">
        <f>'Refsz-Verbräuche'!D23</f>
        <v>Individueller Strommix Einrichtung 4</v>
      </c>
      <c r="E397" s="149">
        <v>0</v>
      </c>
      <c r="F397" s="149">
        <v>0</v>
      </c>
      <c r="G397" s="168">
        <v>0</v>
      </c>
    </row>
    <row r="398" spans="2:24">
      <c r="B398" s="150">
        <f>'Refsz-Verbräuche'!B24</f>
        <v>7</v>
      </c>
      <c r="C398" s="150" t="str">
        <f>'Refsz-Verbräuche'!C24</f>
        <v>Elektrischer Strom</v>
      </c>
      <c r="D398" s="150" t="str">
        <f>'Refsz-Verbräuche'!D24</f>
        <v>Individueller Strommix Einrichtung 5</v>
      </c>
      <c r="E398" s="149">
        <v>0</v>
      </c>
      <c r="F398" s="149">
        <v>0</v>
      </c>
      <c r="G398" s="168">
        <v>0</v>
      </c>
    </row>
    <row r="399" spans="2:24">
      <c r="B399" s="150">
        <f>'Refsz-Verbräuche'!B25</f>
        <v>8</v>
      </c>
      <c r="C399" s="150" t="str">
        <f>'Refsz-Verbräuche'!C25</f>
        <v>Elektrischer Strom</v>
      </c>
      <c r="D399" s="150" t="str">
        <f>'Refsz-Verbräuche'!D25</f>
        <v>Individueller Strommix Einrichtung 6</v>
      </c>
      <c r="E399" s="149">
        <v>0</v>
      </c>
      <c r="F399" s="149">
        <v>0</v>
      </c>
      <c r="G399" s="168">
        <v>0</v>
      </c>
    </row>
    <row r="400" spans="2:24">
      <c r="B400" s="150">
        <f>'Refsz-Verbräuche'!B26</f>
        <v>9</v>
      </c>
      <c r="C400" s="150" t="str">
        <f>'Refsz-Verbräuche'!C26</f>
        <v>Elektrischer Strom</v>
      </c>
      <c r="D400" s="150" t="str">
        <f>'Refsz-Verbräuche'!D26</f>
        <v>BHKW</v>
      </c>
      <c r="E400" s="149">
        <v>0</v>
      </c>
      <c r="F400" s="149">
        <v>0</v>
      </c>
      <c r="G400" s="168">
        <v>0</v>
      </c>
    </row>
    <row r="401" spans="2:7">
      <c r="B401" s="150">
        <f>'Refsz-Verbräuche'!B27</f>
        <v>10</v>
      </c>
      <c r="C401" s="150" t="str">
        <f>'Refsz-Verbräuche'!C27</f>
        <v>Elektrischer Strom</v>
      </c>
      <c r="D401" s="150" t="str">
        <f>'Refsz-Verbräuche'!D27</f>
        <v>Ökostrom</v>
      </c>
      <c r="E401" s="149">
        <v>0</v>
      </c>
      <c r="F401" s="149">
        <v>0</v>
      </c>
      <c r="G401" s="168">
        <v>0</v>
      </c>
    </row>
    <row r="402" spans="2:7">
      <c r="B402" s="150">
        <f>'Refsz-Verbräuche'!B28</f>
        <v>11</v>
      </c>
      <c r="C402" s="150" t="str">
        <f>'Refsz-Verbräuche'!C28</f>
        <v>Elektrischer Strom</v>
      </c>
      <c r="D402" s="150" t="str">
        <f>'Refsz-Verbräuche'!D28</f>
        <v>PV-Eigennutzung</v>
      </c>
      <c r="E402" s="149">
        <v>0</v>
      </c>
      <c r="F402" s="149">
        <v>0</v>
      </c>
      <c r="G402" s="168">
        <v>0</v>
      </c>
    </row>
    <row r="403" spans="2:7">
      <c r="B403" s="150">
        <f>'Refsz-Verbräuche'!B29</f>
        <v>12</v>
      </c>
      <c r="C403" s="150" t="str">
        <f>'Refsz-Verbräuche'!C29</f>
        <v>Wärme</v>
      </c>
      <c r="D403" s="150" t="str">
        <f>'Refsz-Verbräuche'!D29</f>
        <v>Erdgas</v>
      </c>
      <c r="E403" s="149">
        <f>IF(INDEX(Refsz_Verbräuche[[ID]:[2050]],
           MATCH(B403, Refsz_Verbräuche[ID], 0),
           MATCH($C$390, Refsz_Verbräuche[#Headers], 0)) = "",
    0,
    INDEX(Refsz_Verbräuche[[ID]:[2050]],
          MATCH(B403, Refsz_Verbräuche[ID], 0),
          MATCH($C$390, Refsz_Verbräuche[#Headers], 0))
)
*Emissionsfaktoren!F206/1000</f>
        <v>0</v>
      </c>
      <c r="F403" s="149">
        <f>IF(INDEX(Refsz_Verbräuche[[ID]:[2050]],
           MATCH(B403, Refsz_Verbräuche[ID], 0),
           MATCH($C$390, Refsz_Verbräuche[#Headers], 0)) = "",
    0,
    INDEX(Refsz_Verbräuche[[ID]:[2050]],
          MATCH(B403, Refsz_Verbräuche[ID], 0),
          MATCH($C$390, Refsz_Verbräuche[#Headers], 0))
)
*Emissionsfaktoren!G206/1000</f>
        <v>0</v>
      </c>
      <c r="G403" s="168">
        <f>IF(INDEX(Refsz_Verbräuche[[ID]:[2050]],
           MATCH(B403, Refsz_Verbräuche[ID], 0),
           MATCH($C$390, Refsz_Verbräuche[#Headers], 0)) = "",
    0,
    INDEX(Refsz_Verbräuche[[ID]:[2050]],
          MATCH(B403, Refsz_Verbräuche[ID], 0),
          MATCH($C$390, Refsz_Verbräuche[#Headers], 0))
)
*Emissionsfaktoren!H206/1000</f>
        <v>0</v>
      </c>
    </row>
    <row r="404" spans="2:7">
      <c r="B404" s="150">
        <f>'Refsz-Verbräuche'!B30</f>
        <v>13</v>
      </c>
      <c r="C404" s="150" t="str">
        <f>'Refsz-Verbräuche'!C30</f>
        <v>Wärme</v>
      </c>
      <c r="D404" s="150" t="str">
        <f>'Refsz-Verbräuche'!D30</f>
        <v>BHKW</v>
      </c>
      <c r="E404" s="149">
        <f>IF(INDEX(Refsz_Verbräuche[[ID]:[2050]],
           MATCH(B404, Refsz_Verbräuche[ID], 0),
           MATCH($C$390, Refsz_Verbräuche[#Headers], 0)) = "",
    0,
    INDEX(Refsz_Verbräuche[[ID]:[2050]],
          MATCH(B404, Refsz_Verbräuche[ID], 0),
          MATCH($C$390, Refsz_Verbräuche[#Headers], 0))
)
*Emissionsfaktoren!F207/1000</f>
        <v>0</v>
      </c>
      <c r="F404" s="149">
        <f>IF(INDEX(Refsz_Verbräuche[[ID]:[2050]],
           MATCH(B404, Refsz_Verbräuche[ID], 0),
           MATCH($C$390, Refsz_Verbräuche[#Headers], 0)) = "",
    0,
    INDEX(Refsz_Verbräuche[[ID]:[2050]],
          MATCH(B404, Refsz_Verbräuche[ID], 0),
          MATCH($C$390, Refsz_Verbräuche[#Headers], 0))
)
*Emissionsfaktoren!G207/1000</f>
        <v>0</v>
      </c>
      <c r="G404" s="168">
        <f>IF(INDEX(Refsz_Verbräuche[[ID]:[2050]],
           MATCH(B404, Refsz_Verbräuche[ID], 0),
           MATCH($C$390, Refsz_Verbräuche[#Headers], 0)) = "",
    0,
    INDEX(Refsz_Verbräuche[[ID]:[2050]],
          MATCH(B404, Refsz_Verbräuche[ID], 0),
          MATCH($C$390, Refsz_Verbräuche[#Headers], 0))
)
*Emissionsfaktoren!H207/1000</f>
        <v>0</v>
      </c>
    </row>
    <row r="405" spans="2:7">
      <c r="B405" s="150">
        <f>'Refsz-Verbräuche'!B31</f>
        <v>14</v>
      </c>
      <c r="C405" s="150" t="str">
        <f>'Refsz-Verbräuche'!C31</f>
        <v>Wärme</v>
      </c>
      <c r="D405" s="150" t="str">
        <f>'Refsz-Verbräuche'!D31</f>
        <v>Biogas</v>
      </c>
      <c r="E405" s="149">
        <f>IF(INDEX(Refsz_Verbräuche[[ID]:[2050]],
           MATCH(B405, Refsz_Verbräuche[ID], 0),
           MATCH($C$390, Refsz_Verbräuche[#Headers], 0)) = "",
    0,
    INDEX(Refsz_Verbräuche[[ID]:[2050]],
          MATCH(B405, Refsz_Verbräuche[ID], 0),
          MATCH($C$390, Refsz_Verbräuche[#Headers], 0))
)
*Emissionsfaktoren!F208/1000</f>
        <v>0</v>
      </c>
      <c r="F405" s="149">
        <f>IF(INDEX(Refsz_Verbräuche[[ID]:[2050]],
           MATCH(B405, Refsz_Verbräuche[ID], 0),
           MATCH($C$390, Refsz_Verbräuche[#Headers], 0)) = "",
    0,
    INDEX(Refsz_Verbräuche[[ID]:[2050]],
          MATCH(B405, Refsz_Verbräuche[ID], 0),
          MATCH($C$390, Refsz_Verbräuche[#Headers], 0))
)
*Emissionsfaktoren!G208/1000</f>
        <v>0</v>
      </c>
      <c r="G405" s="168">
        <f>IF(INDEX(Refsz_Verbräuche[[ID]:[2050]],
           MATCH(B405, Refsz_Verbräuche[ID], 0),
           MATCH($C$390, Refsz_Verbräuche[#Headers], 0)) = "",
    0,
    INDEX(Refsz_Verbräuche[[ID]:[2050]],
          MATCH(B405, Refsz_Verbräuche[ID], 0),
          MATCH($C$390, Refsz_Verbräuche[#Headers], 0))
)
*Emissionsfaktoren!H208/1000</f>
        <v>0</v>
      </c>
    </row>
    <row r="406" spans="2:7">
      <c r="B406" s="150">
        <f>'Refsz-Verbräuche'!B32</f>
        <v>15</v>
      </c>
      <c r="C406" s="150" t="str">
        <f>'Refsz-Verbräuche'!C32</f>
        <v>Wärme</v>
      </c>
      <c r="D406" s="150" t="str">
        <f>'Refsz-Verbräuche'!D32</f>
        <v>Individueller Emissionsfaktor</v>
      </c>
      <c r="E406" s="149">
        <f>IF(INDEX(Refsz_Verbräuche[[ID]:[2050]],
           MATCH(B406, Refsz_Verbräuche[ID], 0),
           MATCH($C$390, Refsz_Verbräuche[#Headers], 0)) = "",
    0,
    INDEX(Refsz_Verbräuche[[ID]:[2050]],
          MATCH(B406, Refsz_Verbräuche[ID], 0),
          MATCH($C$390, Refsz_Verbräuche[#Headers], 0))
)
*Emissionsfaktoren!F209/1000</f>
        <v>0</v>
      </c>
      <c r="F406" s="149">
        <f>IF(INDEX(Refsz_Verbräuche[[ID]:[2050]],
           MATCH(B406, Refsz_Verbräuche[ID], 0),
           MATCH($C$390, Refsz_Verbräuche[#Headers], 0)) = "",
    0,
    INDEX(Refsz_Verbräuche[[ID]:[2050]],
          MATCH(B406, Refsz_Verbräuche[ID], 0),
          MATCH($C$390, Refsz_Verbräuche[#Headers], 0))
)
*Emissionsfaktoren!G209/1000</f>
        <v>0</v>
      </c>
      <c r="G406" s="168">
        <f>IF(INDEX(Refsz_Verbräuche[[ID]:[2050]],
           MATCH(B406, Refsz_Verbräuche[ID], 0),
           MATCH($C$390, Refsz_Verbräuche[#Headers], 0)) = "",
    0,
    INDEX(Refsz_Verbräuche[[ID]:[2050]],
          MATCH(B406, Refsz_Verbräuche[ID], 0),
          MATCH($C$390, Refsz_Verbräuche[#Headers], 0))
)
*Emissionsfaktoren!H209/1000</f>
        <v>0</v>
      </c>
    </row>
    <row r="407" spans="2:7">
      <c r="B407" s="150">
        <f>'Refsz-Verbräuche'!B33</f>
        <v>16</v>
      </c>
      <c r="C407" s="150" t="str">
        <f>'Refsz-Verbräuche'!C33</f>
        <v>Wärme</v>
      </c>
      <c r="D407" s="150" t="str">
        <f>'Refsz-Verbräuche'!D33</f>
        <v>Holzhackschnitzel</v>
      </c>
      <c r="E407" s="149">
        <f>IF(INDEX(Refsz_Verbräuche[[ID]:[2050]],
           MATCH(B407, Refsz_Verbräuche[ID], 0),
           MATCH($C$390, Refsz_Verbräuche[#Headers], 0)) = "",
    0,
    INDEX(Refsz_Verbräuche[[ID]:[2050]],
          MATCH(B407, Refsz_Verbräuche[ID], 0),
          MATCH($C$390, Refsz_Verbräuche[#Headers], 0))
)
*Emissionsfaktoren!F210/1000</f>
        <v>0</v>
      </c>
      <c r="F407" s="149">
        <f>IF(INDEX(Refsz_Verbräuche[[ID]:[2050]],
           MATCH(B407, Refsz_Verbräuche[ID], 0),
           MATCH($C$390, Refsz_Verbräuche[#Headers], 0)) = "",
    0,
    INDEX(Refsz_Verbräuche[[ID]:[2050]],
          MATCH(B407, Refsz_Verbräuche[ID], 0),
          MATCH($C$390, Refsz_Verbräuche[#Headers], 0))
)
*Emissionsfaktoren!G210/1000</f>
        <v>0</v>
      </c>
      <c r="G407" s="168">
        <f>IF(INDEX(Refsz_Verbräuche[[ID]:[2050]],
           MATCH(B407, Refsz_Verbräuche[ID], 0),
           MATCH($C$390, Refsz_Verbräuche[#Headers], 0)) = "",
    0,
    INDEX(Refsz_Verbräuche[[ID]:[2050]],
          MATCH(B407, Refsz_Verbräuche[ID], 0),
          MATCH($C$390, Refsz_Verbräuche[#Headers], 0))
)
*Emissionsfaktoren!H210/1000</f>
        <v>0</v>
      </c>
    </row>
    <row r="408" spans="2:7">
      <c r="B408" s="150">
        <f>'Refsz-Verbräuche'!B34</f>
        <v>17</v>
      </c>
      <c r="C408" s="150" t="str">
        <f>'Refsz-Verbräuche'!C34</f>
        <v>Wärme</v>
      </c>
      <c r="D408" s="150" t="str">
        <f>'Refsz-Verbräuche'!D34</f>
        <v>Holzpellets, 10kW/kleinere Zentralheizung</v>
      </c>
      <c r="E408" s="149">
        <f>IF(INDEX(Refsz_Verbräuche[[ID]:[2050]],
           MATCH(B408, Refsz_Verbräuche[ID], 0),
           MATCH($C$390, Refsz_Verbräuche[#Headers], 0)) = "",
    0,
    INDEX(Refsz_Verbräuche[[ID]:[2050]],
          MATCH(B408, Refsz_Verbräuche[ID], 0),
          MATCH($C$390, Refsz_Verbräuche[#Headers], 0))
)
*Emissionsfaktoren!F211/1000</f>
        <v>0</v>
      </c>
      <c r="F408" s="149">
        <f>IF(INDEX(Refsz_Verbräuche[[ID]:[2050]],
           MATCH(B408, Refsz_Verbräuche[ID], 0),
           MATCH($C$390, Refsz_Verbräuche[#Headers], 0)) = "",
    0,
    INDEX(Refsz_Verbräuche[[ID]:[2050]],
          MATCH(B408, Refsz_Verbräuche[ID], 0),
          MATCH($C$390, Refsz_Verbräuche[#Headers], 0))
)
*Emissionsfaktoren!G211/1000</f>
        <v>0</v>
      </c>
      <c r="G408" s="168">
        <f>IF(INDEX(Refsz_Verbräuche[[ID]:[2050]],
           MATCH(B408, Refsz_Verbräuche[ID], 0),
           MATCH($C$390, Refsz_Verbräuche[#Headers], 0)) = "",
    0,
    INDEX(Refsz_Verbräuche[[ID]:[2050]],
          MATCH(B408, Refsz_Verbräuche[ID], 0),
          MATCH($C$390, Refsz_Verbräuche[#Headers], 0))
)
*Emissionsfaktoren!H211/1000</f>
        <v>0</v>
      </c>
    </row>
    <row r="409" spans="2:7">
      <c r="B409" s="150">
        <f>'Refsz-Verbräuche'!B35</f>
        <v>18</v>
      </c>
      <c r="C409" s="150" t="str">
        <f>'Refsz-Verbräuche'!C35</f>
        <v>Wärme</v>
      </c>
      <c r="D409" s="150" t="str">
        <f>'Refsz-Verbräuche'!D35</f>
        <v>Holzpellets, 50kW/größere Zentralheizung</v>
      </c>
      <c r="E409" s="149">
        <f>IF(INDEX(Refsz_Verbräuche[[ID]:[2050]],
           MATCH(B409, Refsz_Verbräuche[ID], 0),
           MATCH($C$390, Refsz_Verbräuche[#Headers], 0)) = "",
    0,
    INDEX(Refsz_Verbräuche[[ID]:[2050]],
          MATCH(B409, Refsz_Verbräuche[ID], 0),
          MATCH($C$390, Refsz_Verbräuche[#Headers], 0))
)
*Emissionsfaktoren!F212/1000</f>
        <v>0</v>
      </c>
      <c r="F409" s="149">
        <f>IF(INDEX(Refsz_Verbräuche[[ID]:[2050]],
           MATCH(B409, Refsz_Verbräuche[ID], 0),
           MATCH($C$390, Refsz_Verbräuche[#Headers], 0)) = "",
    0,
    INDEX(Refsz_Verbräuche[[ID]:[2050]],
          MATCH(B409, Refsz_Verbräuche[ID], 0),
          MATCH($C$390, Refsz_Verbräuche[#Headers], 0))
)
*Emissionsfaktoren!G212/1000</f>
        <v>0</v>
      </c>
      <c r="G409" s="168">
        <f>IF(INDEX(Refsz_Verbräuche[[ID]:[2050]],
           MATCH(B409, Refsz_Verbräuche[ID], 0),
           MATCH($C$390, Refsz_Verbräuche[#Headers], 0)) = "",
    0,
    INDEX(Refsz_Verbräuche[[ID]:[2050]],
          MATCH(B409, Refsz_Verbräuche[ID], 0),
          MATCH($C$390, Refsz_Verbräuche[#Headers], 0))
)
*Emissionsfaktoren!H212/1000</f>
        <v>0</v>
      </c>
    </row>
    <row r="410" spans="2:7">
      <c r="B410" s="150">
        <f>'Refsz-Verbräuche'!B36</f>
        <v>19</v>
      </c>
      <c r="C410" s="150" t="str">
        <f>'Refsz-Verbräuche'!C36</f>
        <v>Wärme</v>
      </c>
      <c r="D410" s="150" t="str">
        <f>'Refsz-Verbräuche'!D36</f>
        <v>Fernwärme Mix</v>
      </c>
      <c r="E410" s="149">
        <f>IF(INDEX(Refsz_Verbräuche[[ID]:[2050]],
           MATCH(B410, Refsz_Verbräuche[ID], 0),
           MATCH($C$390, Refsz_Verbräuche[#Headers], 0)) = "",
    0,
    INDEX(Refsz_Verbräuche[[ID]:[2050]],
          MATCH(B410, Refsz_Verbräuche[ID], 0),
          MATCH($C$390, Refsz_Verbräuche[#Headers], 0))
)
*Emissionsfaktoren!F213/1000</f>
        <v>0</v>
      </c>
      <c r="F410" s="149">
        <f>IF(INDEX(Refsz_Verbräuche[[ID]:[2050]],
           MATCH(B410, Refsz_Verbräuche[ID], 0),
           MATCH($C$390, Refsz_Verbräuche[#Headers], 0)) = "",
    0,
    INDEX(Refsz_Verbräuche[[ID]:[2050]],
          MATCH(B410, Refsz_Verbräuche[ID], 0),
          MATCH($C$390, Refsz_Verbräuche[#Headers], 0))
)
*Emissionsfaktoren!G213/1000</f>
        <v>0</v>
      </c>
      <c r="G410" s="168">
        <f>IF(INDEX(Refsz_Verbräuche[[ID]:[2050]],
           MATCH(B410, Refsz_Verbräuche[ID], 0),
           MATCH($C$390, Refsz_Verbräuche[#Headers], 0)) = "",
    0,
    INDEX(Refsz_Verbräuche[[ID]:[2050]],
          MATCH(B410, Refsz_Verbräuche[ID], 0),
          MATCH($C$390, Refsz_Verbräuche[#Headers], 0))
)
*Emissionsfaktoren!H213/1000</f>
        <v>0</v>
      </c>
    </row>
    <row r="411" spans="2:7">
      <c r="B411" s="150">
        <f>'Refsz-Verbräuche'!B37</f>
        <v>20</v>
      </c>
      <c r="C411" s="150" t="str">
        <f>'Refsz-Verbräuche'!C37</f>
        <v>Wärme</v>
      </c>
      <c r="D411" s="150" t="str">
        <f>'Refsz-Verbräuche'!D37</f>
        <v>Fernwärme Abfall</v>
      </c>
      <c r="E411" s="149">
        <f>IF(INDEX(Refsz_Verbräuche[[ID]:[2050]],
           MATCH(B411, Refsz_Verbräuche[ID], 0),
           MATCH($C$390, Refsz_Verbräuche[#Headers], 0)) = "",
    0,
    INDEX(Refsz_Verbräuche[[ID]:[2050]],
          MATCH(B411, Refsz_Verbräuche[ID], 0),
          MATCH($C$390, Refsz_Verbräuche[#Headers], 0))
)
*Emissionsfaktoren!F214/1000</f>
        <v>0</v>
      </c>
      <c r="F411" s="149">
        <f>IF(INDEX(Refsz_Verbräuche[[ID]:[2050]],
           MATCH(B411, Refsz_Verbräuche[ID], 0),
           MATCH($C$390, Refsz_Verbräuche[#Headers], 0)) = "",
    0,
    INDEX(Refsz_Verbräuche[[ID]:[2050]],
          MATCH(B411, Refsz_Verbräuche[ID], 0),
          MATCH($C$390, Refsz_Verbräuche[#Headers], 0))
)
*Emissionsfaktoren!G214/1000</f>
        <v>0</v>
      </c>
      <c r="G411" s="168">
        <f>IF(INDEX(Refsz_Verbräuche[[ID]:[2050]],
           MATCH(B411, Refsz_Verbräuche[ID], 0),
           MATCH($C$390, Refsz_Verbräuche[#Headers], 0)) = "",
    0,
    INDEX(Refsz_Verbräuche[[ID]:[2050]],
          MATCH(B411, Refsz_Verbräuche[ID], 0),
          MATCH($C$390, Refsz_Verbräuche[#Headers], 0))
)
*Emissionsfaktoren!H214/1000</f>
        <v>0</v>
      </c>
    </row>
    <row r="412" spans="2:7">
      <c r="B412" s="150">
        <f>'Refsz-Verbräuche'!B38</f>
        <v>21</v>
      </c>
      <c r="C412" s="150" t="str">
        <f>'Refsz-Verbräuche'!C38</f>
        <v>Wärme</v>
      </c>
      <c r="D412" s="150" t="str">
        <f>'Refsz-Verbräuche'!D38</f>
        <v>Heizöl</v>
      </c>
      <c r="E412" s="149">
        <f>IF(INDEX(Refsz_Verbräuche[[ID]:[2050]],
           MATCH(B412, Refsz_Verbräuche[ID], 0),
           MATCH($C$390, Refsz_Verbräuche[#Headers], 0)) = "",
    0,
    INDEX(Refsz_Verbräuche[[ID]:[2050]],
          MATCH(B412, Refsz_Verbräuche[ID], 0),
          MATCH($C$390, Refsz_Verbräuche[#Headers], 0))
)
*Emissionsfaktoren!F215/1000</f>
        <v>0</v>
      </c>
      <c r="F412" s="149">
        <f>IF(INDEX(Refsz_Verbräuche[[ID]:[2050]],
           MATCH(B412, Refsz_Verbräuche[ID], 0),
           MATCH($C$390, Refsz_Verbräuche[#Headers], 0)) = "",
    0,
    INDEX(Refsz_Verbräuche[[ID]:[2050]],
          MATCH(B412, Refsz_Verbräuche[ID], 0),
          MATCH($C$390, Refsz_Verbräuche[#Headers], 0))
)
*Emissionsfaktoren!G215/1000</f>
        <v>0</v>
      </c>
      <c r="G412" s="168">
        <f>IF(INDEX(Refsz_Verbräuche[[ID]:[2050]],
           MATCH(B412, Refsz_Verbräuche[ID], 0),
           MATCH($C$390, Refsz_Verbräuche[#Headers], 0)) = "",
    0,
    INDEX(Refsz_Verbräuche[[ID]:[2050]],
          MATCH(B412, Refsz_Verbräuche[ID], 0),
          MATCH($C$390, Refsz_Verbräuche[#Headers], 0))
)
*Emissionsfaktoren!H215/1000</f>
        <v>0</v>
      </c>
    </row>
    <row r="413" spans="2:7">
      <c r="B413" s="150">
        <f>'Refsz-Verbräuche'!B39</f>
        <v>22</v>
      </c>
      <c r="C413" s="150" t="str">
        <f>'Refsz-Verbräuche'!C39</f>
        <v>Wärme</v>
      </c>
      <c r="D413" s="150" t="str">
        <f>'Refsz-Verbräuche'!D39</f>
        <v>Solarthermie</v>
      </c>
      <c r="E413" s="149">
        <f>IF(INDEX(Refsz_Verbräuche[[ID]:[2050]],
           MATCH(B413, Refsz_Verbräuche[ID], 0),
           MATCH($C$390, Refsz_Verbräuche[#Headers], 0)) = "",
    0,
    INDEX(Refsz_Verbräuche[[ID]:[2050]],
          MATCH(B413, Refsz_Verbräuche[ID], 0),
          MATCH($C$390, Refsz_Verbräuche[#Headers], 0))
)
*Emissionsfaktoren!F216/1000</f>
        <v>0</v>
      </c>
      <c r="F413" s="149">
        <f>IF(INDEX(Refsz_Verbräuche[[ID]:[2050]],
           MATCH(B413, Refsz_Verbräuche[ID], 0),
           MATCH($C$390, Refsz_Verbräuche[#Headers], 0)) = "",
    0,
    INDEX(Refsz_Verbräuche[[ID]:[2050]],
          MATCH(B413, Refsz_Verbräuche[ID], 0),
          MATCH($C$390, Refsz_Verbräuche[#Headers], 0))
)
*Emissionsfaktoren!G216/1000</f>
        <v>0</v>
      </c>
      <c r="G413" s="168">
        <f>IF(INDEX(Refsz_Verbräuche[[ID]:[2050]],
           MATCH(B413, Refsz_Verbräuche[ID], 0),
           MATCH($C$390, Refsz_Verbräuche[#Headers], 0)) = "",
    0,
    INDEX(Refsz_Verbräuche[[ID]:[2050]],
          MATCH(B413, Refsz_Verbräuche[ID], 0),
          MATCH($C$390, Refsz_Verbräuche[#Headers], 0))
)
*Emissionsfaktoren!H216/1000</f>
        <v>0</v>
      </c>
    </row>
    <row r="414" spans="2:7">
      <c r="B414" s="150">
        <f>'Refsz-Verbräuche'!B40</f>
        <v>23</v>
      </c>
      <c r="C414" s="150" t="str">
        <f>'Refsz-Verbräuche'!C40</f>
        <v>Wärme</v>
      </c>
      <c r="D414" s="150" t="str">
        <f>'Refsz-Verbräuche'!D40</f>
        <v>Sole-Wasser-Wärmepumpe; Bundesstrommix</v>
      </c>
      <c r="E414" s="149">
        <f>IF(INDEX(Refsz_Verbräuche[[ID]:[2050]],
           MATCH(B414, Refsz_Verbräuche[ID], 0),
           MATCH($C$390, Refsz_Verbräuche[#Headers], 0)) = "",
    0,
    INDEX(Refsz_Verbräuche[[ID]:[2050]],
          MATCH(B414, Refsz_Verbräuche[ID], 0),
          MATCH($C$390, Refsz_Verbräuche[#Headers], 0))
)
*Emissionsfaktoren!F217/1000</f>
        <v>0</v>
      </c>
      <c r="F414" s="149">
        <f>IF(INDEX(Refsz_Verbräuche[[ID]:[2050]],
           MATCH(B414, Refsz_Verbräuche[ID], 0),
           MATCH($C$390, Refsz_Verbräuche[#Headers], 0)) = "",
    0,
    INDEX(Refsz_Verbräuche[[ID]:[2050]],
          MATCH(B414, Refsz_Verbräuche[ID], 0),
          MATCH($C$390, Refsz_Verbräuche[#Headers], 0))
)
*Emissionsfaktoren!G217/1000</f>
        <v>0</v>
      </c>
      <c r="G414" s="168">
        <f>IF(INDEX(Refsz_Verbräuche[[ID]:[2050]],
           MATCH(B414, Refsz_Verbräuche[ID], 0),
           MATCH($C$390, Refsz_Verbräuche[#Headers], 0)) = "",
    0,
    INDEX(Refsz_Verbräuche[[ID]:[2050]],
          MATCH(B414, Refsz_Verbräuche[ID], 0),
          MATCH($C$390, Refsz_Verbräuche[#Headers], 0))
)
*Emissionsfaktoren!H217/1000</f>
        <v>0</v>
      </c>
    </row>
    <row r="415" spans="2:7">
      <c r="B415" s="150">
        <f>'Refsz-Verbräuche'!B41</f>
        <v>24</v>
      </c>
      <c r="C415" s="150" t="str">
        <f>'Refsz-Verbräuche'!C41</f>
        <v>Wärme</v>
      </c>
      <c r="D415" s="150" t="str">
        <f>'Refsz-Verbräuche'!D41</f>
        <v>Sole-Wasser-Wärmepumpe; Ökostrom</v>
      </c>
      <c r="E415" s="149">
        <f>IF(INDEX(Refsz_Verbräuche[[ID]:[2050]],
           MATCH(B415, Refsz_Verbräuche[ID], 0),
           MATCH($C$390, Refsz_Verbräuche[#Headers], 0)) = "",
    0,
    INDEX(Refsz_Verbräuche[[ID]:[2050]],
          MATCH(B415, Refsz_Verbräuche[ID], 0),
          MATCH($C$390, Refsz_Verbräuche[#Headers], 0))
)
*Emissionsfaktoren!F218/1000</f>
        <v>0</v>
      </c>
      <c r="F415" s="149">
        <f>IF(INDEX(Refsz_Verbräuche[[ID]:[2050]],
           MATCH(B415, Refsz_Verbräuche[ID], 0),
           MATCH($C$390, Refsz_Verbräuche[#Headers], 0)) = "",
    0,
    INDEX(Refsz_Verbräuche[[ID]:[2050]],
          MATCH(B415, Refsz_Verbräuche[ID], 0),
          MATCH($C$390, Refsz_Verbräuche[#Headers], 0))
)
*Emissionsfaktoren!G218/1000</f>
        <v>0</v>
      </c>
      <c r="G415" s="168">
        <f>IF(INDEX(Refsz_Verbräuche[[ID]:[2050]],
           MATCH(B415, Refsz_Verbräuche[ID], 0),
           MATCH($C$390, Refsz_Verbräuche[#Headers], 0)) = "",
    0,
    INDEX(Refsz_Verbräuche[[ID]:[2050]],
          MATCH(B415, Refsz_Verbräuche[ID], 0),
          MATCH($C$390, Refsz_Verbräuche[#Headers], 0))
)
*Emissionsfaktoren!H218/1000</f>
        <v>0</v>
      </c>
    </row>
    <row r="416" spans="2:7">
      <c r="B416" s="150">
        <f>'Refsz-Verbräuche'!B42</f>
        <v>25</v>
      </c>
      <c r="C416" s="150" t="str">
        <f>'Refsz-Verbräuche'!C42</f>
        <v>Wärme</v>
      </c>
      <c r="D416" s="150" t="str">
        <f>'Refsz-Verbräuche'!D42</f>
        <v>Individuelle Wärmepumpe</v>
      </c>
      <c r="E416" s="149">
        <f>IF(INDEX(Refsz_Verbräuche[[ID]:[2050]],
           MATCH(B416, Refsz_Verbräuche[ID], 0),
           MATCH($C$390, Refsz_Verbräuche[#Headers], 0)) = "",
    0,
    INDEX(Refsz_Verbräuche[[ID]:[2050]],
          MATCH(B416, Refsz_Verbräuche[ID], 0),
          MATCH($C$390, Refsz_Verbräuche[#Headers], 0))
)
*Emissionsfaktoren!F219/1000</f>
        <v>0</v>
      </c>
      <c r="F416" s="149">
        <f>IF(INDEX(Refsz_Verbräuche[[ID]:[2050]],
           MATCH(B416, Refsz_Verbräuche[ID], 0),
           MATCH($C$390, Refsz_Verbräuche[#Headers], 0)) = "",
    0,
    INDEX(Refsz_Verbräuche[[ID]:[2050]],
          MATCH(B416, Refsz_Verbräuche[ID], 0),
          MATCH($C$390, Refsz_Verbräuche[#Headers], 0))
)
*Emissionsfaktoren!G219/1000</f>
        <v>0</v>
      </c>
      <c r="G416" s="168">
        <f>IF(INDEX(Refsz_Verbräuche[[ID]:[2050]],
           MATCH(B416, Refsz_Verbräuche[ID], 0),
           MATCH($C$390, Refsz_Verbräuche[#Headers], 0)) = "",
    0,
    INDEX(Refsz_Verbräuche[[ID]:[2050]],
          MATCH(B416, Refsz_Verbräuche[ID], 0),
          MATCH($C$390, Refsz_Verbräuche[#Headers], 0))
)
*Emissionsfaktoren!H219/1000</f>
        <v>0</v>
      </c>
    </row>
    <row r="417" spans="2:7">
      <c r="B417" s="150">
        <f>'Refsz-Verbräuche'!B43</f>
        <v>26</v>
      </c>
      <c r="C417" s="150" t="str">
        <f>'Refsz-Verbräuche'!C43</f>
        <v>Kälte</v>
      </c>
      <c r="D417" s="150" t="str">
        <f>'Refsz-Verbräuche'!D43</f>
        <v>Nachfüllmenge Kältemittel (R22)</v>
      </c>
      <c r="E417" s="149">
        <f>IF(INDEX(Refsz_Verbräuche[[ID]:[2050]],
           MATCH(B417, Refsz_Verbräuche[ID], 0),
           MATCH($C$390, Refsz_Verbräuche[#Headers], 0)) = "",
    0,
    INDEX(Refsz_Verbräuche[[ID]:[2050]],
          MATCH(B417, Refsz_Verbräuche[ID], 0),
          MATCH($C$390, Refsz_Verbräuche[#Headers], 0))
)
*Emissionsfaktoren!F220/1000</f>
        <v>0</v>
      </c>
      <c r="F417" s="149">
        <f>IF(INDEX(Refsz_Verbräuche[[ID]:[2050]],
           MATCH(B417, Refsz_Verbräuche[ID], 0),
           MATCH($C$390, Refsz_Verbräuche[#Headers], 0)) = "",
    0,
    INDEX(Refsz_Verbräuche[[ID]:[2050]],
          MATCH(B417, Refsz_Verbräuche[ID], 0),
          MATCH($C$390, Refsz_Verbräuche[#Headers], 0))
)
*Emissionsfaktoren!G220/1000</f>
        <v>0</v>
      </c>
      <c r="G417" s="168">
        <f>IF(INDEX(Refsz_Verbräuche[[ID]:[2050]],
           MATCH(B417, Refsz_Verbräuche[ID], 0),
           MATCH($C$390, Refsz_Verbräuche[#Headers], 0)) = "",
    0,
    INDEX(Refsz_Verbräuche[[ID]:[2050]],
          MATCH(B417, Refsz_Verbräuche[ID], 0),
          MATCH($C$390, Refsz_Verbräuche[#Headers], 0))
)
*Emissionsfaktoren!H220/1000</f>
        <v>0</v>
      </c>
    </row>
    <row r="418" spans="2:7">
      <c r="B418" s="150">
        <f>'Refsz-Verbräuche'!B44</f>
        <v>27</v>
      </c>
      <c r="C418" s="150" t="str">
        <f>'Refsz-Verbräuche'!C44</f>
        <v>Kälte</v>
      </c>
      <c r="D418" s="150" t="str">
        <f>'Refsz-Verbräuche'!D44</f>
        <v>Nachfüllmenge Kältemittel (R134A)</v>
      </c>
      <c r="E418" s="149">
        <f>IF(INDEX(Refsz_Verbräuche[[ID]:[2050]],
           MATCH(B418, Refsz_Verbräuche[ID], 0),
           MATCH($C$390, Refsz_Verbräuche[#Headers], 0)) = "",
    0,
    INDEX(Refsz_Verbräuche[[ID]:[2050]],
          MATCH(B418, Refsz_Verbräuche[ID], 0),
          MATCH($C$390, Refsz_Verbräuche[#Headers], 0))
)
*Emissionsfaktoren!F221/1000</f>
        <v>0</v>
      </c>
      <c r="F418" s="149">
        <f>IF(INDEX(Refsz_Verbräuche[[ID]:[2050]],
           MATCH(B418, Refsz_Verbräuche[ID], 0),
           MATCH($C$390, Refsz_Verbräuche[#Headers], 0)) = "",
    0,
    INDEX(Refsz_Verbräuche[[ID]:[2050]],
          MATCH(B418, Refsz_Verbräuche[ID], 0),
          MATCH($C$390, Refsz_Verbräuche[#Headers], 0))
)
*Emissionsfaktoren!G221/1000</f>
        <v>0</v>
      </c>
      <c r="G418" s="168">
        <f>IF(INDEX(Refsz_Verbräuche[[ID]:[2050]],
           MATCH(B418, Refsz_Verbräuche[ID], 0),
           MATCH($C$390, Refsz_Verbräuche[#Headers], 0)) = "",
    0,
    INDEX(Refsz_Verbräuche[[ID]:[2050]],
          MATCH(B418, Refsz_Verbräuche[ID], 0),
          MATCH($C$390, Refsz_Verbräuche[#Headers], 0))
)
*Emissionsfaktoren!H221/1000</f>
        <v>0</v>
      </c>
    </row>
    <row r="419" spans="2:7">
      <c r="B419" s="150">
        <f>'Refsz-Verbräuche'!B45</f>
        <v>28</v>
      </c>
      <c r="C419" s="150" t="str">
        <f>'Refsz-Verbräuche'!C45</f>
        <v>Kälte</v>
      </c>
      <c r="D419" s="150" t="str">
        <f>'Refsz-Verbräuche'!D45</f>
        <v>Nachfüllmenge Kältemittel (R404A)</v>
      </c>
      <c r="E419" s="149">
        <f>IF(INDEX(Refsz_Verbräuche[[ID]:[2050]],
           MATCH(B419, Refsz_Verbräuche[ID], 0),
           MATCH($C$390, Refsz_Verbräuche[#Headers], 0)) = "",
    0,
    INDEX(Refsz_Verbräuche[[ID]:[2050]],
          MATCH(B419, Refsz_Verbräuche[ID], 0),
          MATCH($C$390, Refsz_Verbräuche[#Headers], 0))
)
*Emissionsfaktoren!F222/1000</f>
        <v>0</v>
      </c>
      <c r="F419" s="149">
        <f>IF(INDEX(Refsz_Verbräuche[[ID]:[2050]],
           MATCH(B419, Refsz_Verbräuche[ID], 0),
           MATCH($C$390, Refsz_Verbräuche[#Headers], 0)) = "",
    0,
    INDEX(Refsz_Verbräuche[[ID]:[2050]],
          MATCH(B419, Refsz_Verbräuche[ID], 0),
          MATCH($C$390, Refsz_Verbräuche[#Headers], 0))
)
*Emissionsfaktoren!G222/1000</f>
        <v>0</v>
      </c>
      <c r="G419" s="168">
        <f>IF(INDEX(Refsz_Verbräuche[[ID]:[2050]],
           MATCH(B419, Refsz_Verbräuche[ID], 0),
           MATCH($C$390, Refsz_Verbräuche[#Headers], 0)) = "",
    0,
    INDEX(Refsz_Verbräuche[[ID]:[2050]],
          MATCH(B419, Refsz_Verbräuche[ID], 0),
          MATCH($C$390, Refsz_Verbräuche[#Headers], 0))
)
*Emissionsfaktoren!H222/1000</f>
        <v>0</v>
      </c>
    </row>
    <row r="420" spans="2:7">
      <c r="B420" s="150">
        <f>'Refsz-Verbräuche'!B46</f>
        <v>29</v>
      </c>
      <c r="C420" s="150" t="str">
        <f>'Refsz-Verbräuche'!C46</f>
        <v>Kälte</v>
      </c>
      <c r="D420" s="150" t="str">
        <f>'Refsz-Verbräuche'!D46</f>
        <v>Nachfüllmenge Kältemittel (R410A)</v>
      </c>
      <c r="E420" s="149">
        <f>IF(INDEX(Refsz_Verbräuche[[ID]:[2050]],
           MATCH(B420, Refsz_Verbräuche[ID], 0),
           MATCH($C$390, Refsz_Verbräuche[#Headers], 0)) = "",
    0,
    INDEX(Refsz_Verbräuche[[ID]:[2050]],
          MATCH(B420, Refsz_Verbräuche[ID], 0),
          MATCH($C$390, Refsz_Verbräuche[#Headers], 0))
)
*Emissionsfaktoren!F223/1000</f>
        <v>0</v>
      </c>
      <c r="F420" s="149">
        <f>IF(INDEX(Refsz_Verbräuche[[ID]:[2050]],
           MATCH(B420, Refsz_Verbräuche[ID], 0),
           MATCH($C$390, Refsz_Verbräuche[#Headers], 0)) = "",
    0,
    INDEX(Refsz_Verbräuche[[ID]:[2050]],
          MATCH(B420, Refsz_Verbräuche[ID], 0),
          MATCH($C$390, Refsz_Verbräuche[#Headers], 0))
)
*Emissionsfaktoren!G223/1000</f>
        <v>0</v>
      </c>
      <c r="G420" s="168">
        <f>IF(INDEX(Refsz_Verbräuche[[ID]:[2050]],
           MATCH(B420, Refsz_Verbräuche[ID], 0),
           MATCH($C$390, Refsz_Verbräuche[#Headers], 0)) = "",
    0,
    INDEX(Refsz_Verbräuche[[ID]:[2050]],
          MATCH(B420, Refsz_Verbräuche[ID], 0),
          MATCH($C$390, Refsz_Verbräuche[#Headers], 0))
)
*Emissionsfaktoren!H223/1000</f>
        <v>0</v>
      </c>
    </row>
    <row r="421" spans="2:7">
      <c r="B421" s="150">
        <f>'Refsz-Verbräuche'!B47</f>
        <v>30</v>
      </c>
      <c r="C421" s="150">
        <f>'Refsz-Verbräuche'!C47</f>
        <v>0</v>
      </c>
      <c r="D421" s="150">
        <f>'Refsz-Verbräuche'!D47</f>
        <v>0</v>
      </c>
      <c r="E421" s="149">
        <f>IF(INDEX(Refsz_Verbräuche[[ID]:[2050]],
           MATCH(B421, Refsz_Verbräuche[ID], 0),
           MATCH($C$390, Refsz_Verbräuche[#Headers], 0)) = "",
    0,
    INDEX(Refsz_Verbräuche[[ID]:[2050]],
          MATCH(B421, Refsz_Verbräuche[ID], 0),
          MATCH($C$390, Refsz_Verbräuche[#Headers], 0))
)
*Emissionsfaktoren!F224/1000</f>
        <v>0</v>
      </c>
      <c r="F421" s="149">
        <f>IF(INDEX(Refsz_Verbräuche[[ID]:[2050]],
           MATCH(B421, Refsz_Verbräuche[ID], 0),
           MATCH($C$390, Refsz_Verbräuche[#Headers], 0)) = "",
    0,
    INDEX(Refsz_Verbräuche[[ID]:[2050]],
          MATCH(B421, Refsz_Verbräuche[ID], 0),
          MATCH($C$390, Refsz_Verbräuche[#Headers], 0))
)
*Emissionsfaktoren!G224/1000</f>
        <v>0</v>
      </c>
      <c r="G421" s="168">
        <f>IF(INDEX(Refsz_Verbräuche[[ID]:[2050]],
           MATCH(B421, Refsz_Verbräuche[ID], 0),
           MATCH($C$390, Refsz_Verbräuche[#Headers], 0)) = "",
    0,
    INDEX(Refsz_Verbräuche[[ID]:[2050]],
          MATCH(B421, Refsz_Verbräuche[ID], 0),
          MATCH($C$390, Refsz_Verbräuche[#Headers], 0))
)
*Emissionsfaktoren!H224/1000</f>
        <v>0</v>
      </c>
    </row>
    <row r="422" spans="2:7">
      <c r="B422" s="150">
        <f>'Refsz-Verbräuche'!B48</f>
        <v>31</v>
      </c>
      <c r="C422" s="150" t="str">
        <f>'Refsz-Verbräuche'!C48</f>
        <v>Mobilität 1</v>
      </c>
      <c r="D422" s="150" t="str">
        <f>'Refsz-Verbräuche'!D48</f>
        <v>Fuhrpark (Diesel)</v>
      </c>
      <c r="E422" s="149">
        <f>IF(INDEX(Refsz_Verbräuche[[ID]:[2050]],
           MATCH(B422, Refsz_Verbräuche[ID], 0),
           MATCH($C$390, Refsz_Verbräuche[#Headers], 0)) = "",
    0,
    INDEX(Refsz_Verbräuche[[ID]:[2050]],
          MATCH(B422, Refsz_Verbräuche[ID], 0),
          MATCH($C$390, Refsz_Verbräuche[#Headers], 0))
)
*Emissionsfaktoren!F225/1000</f>
        <v>0</v>
      </c>
      <c r="F422" s="149">
        <f>IF(INDEX(Refsz_Verbräuche[[ID]:[2050]],
           MATCH(B422, Refsz_Verbräuche[ID], 0),
           MATCH($C$390, Refsz_Verbräuche[#Headers], 0)) = "",
    0,
    INDEX(Refsz_Verbräuche[[ID]:[2050]],
          MATCH(B422, Refsz_Verbräuche[ID], 0),
          MATCH($C$390, Refsz_Verbräuche[#Headers], 0))
)
*Emissionsfaktoren!G225/1000</f>
        <v>0</v>
      </c>
      <c r="G422" s="168">
        <f>IF(INDEX(Refsz_Verbräuche[[ID]:[2050]],
           MATCH(B422, Refsz_Verbräuche[ID], 0),
           MATCH($C$390, Refsz_Verbräuche[#Headers], 0)) = "",
    0,
    INDEX(Refsz_Verbräuche[[ID]:[2050]],
          MATCH(B422, Refsz_Verbräuche[ID], 0),
          MATCH($C$390, Refsz_Verbräuche[#Headers], 0))
)
*Emissionsfaktoren!H225/1000</f>
        <v>0</v>
      </c>
    </row>
    <row r="423" spans="2:7">
      <c r="B423" s="150">
        <f>'Refsz-Verbräuche'!B49</f>
        <v>32</v>
      </c>
      <c r="C423" s="150" t="str">
        <f>'Refsz-Verbräuche'!C49</f>
        <v>Mobilität 1</v>
      </c>
      <c r="D423" s="150" t="str">
        <f>'Refsz-Verbräuche'!D49</f>
        <v>Fuhrpark (Benzin)</v>
      </c>
      <c r="E423" s="149">
        <f>IF(INDEX(Refsz_Verbräuche[[ID]:[2050]],
           MATCH(B423, Refsz_Verbräuche[ID], 0),
           MATCH($C$390, Refsz_Verbräuche[#Headers], 0)) = "",
    0,
    INDEX(Refsz_Verbräuche[[ID]:[2050]],
          MATCH(B423, Refsz_Verbräuche[ID], 0),
          MATCH($C$390, Refsz_Verbräuche[#Headers], 0))
)
*Emissionsfaktoren!F226/1000</f>
        <v>0</v>
      </c>
      <c r="F423" s="149">
        <f>IF(INDEX(Refsz_Verbräuche[[ID]:[2050]],
           MATCH(B423, Refsz_Verbräuche[ID], 0),
           MATCH($C$390, Refsz_Verbräuche[#Headers], 0)) = "",
    0,
    INDEX(Refsz_Verbräuche[[ID]:[2050]],
          MATCH(B423, Refsz_Verbräuche[ID], 0),
          MATCH($C$390, Refsz_Verbräuche[#Headers], 0))
)
*Emissionsfaktoren!G226/1000</f>
        <v>0</v>
      </c>
      <c r="G423" s="168">
        <f>IF(INDEX(Refsz_Verbräuche[[ID]:[2050]],
           MATCH(B423, Refsz_Verbräuche[ID], 0),
           MATCH($C$390, Refsz_Verbräuche[#Headers], 0)) = "",
    0,
    INDEX(Refsz_Verbräuche[[ID]:[2050]],
          MATCH(B423, Refsz_Verbräuche[ID], 0),
          MATCH($C$390, Refsz_Verbräuche[#Headers], 0))
)
*Emissionsfaktoren!H226/1000</f>
        <v>0</v>
      </c>
    </row>
    <row r="424" spans="2:7">
      <c r="B424" s="150">
        <f>'Refsz-Verbräuche'!B50</f>
        <v>33</v>
      </c>
      <c r="C424" s="150" t="str">
        <f>'Refsz-Verbräuche'!C50</f>
        <v>Mobilität 1</v>
      </c>
      <c r="D424" s="150" t="str">
        <f>'Refsz-Verbräuche'!D50</f>
        <v>Fuhrpark (E-Auto/ BEV)</v>
      </c>
      <c r="E424" s="149">
        <f>IF(INDEX(Refsz_Verbräuche[[ID]:[2050]],
           MATCH(B424, Refsz_Verbräuche[ID], 0),
           MATCH($C$390, Refsz_Verbräuche[#Headers], 0)) = "",
    0,
    INDEX(Refsz_Verbräuche[[ID]:[2050]],
          MATCH(B424, Refsz_Verbräuche[ID], 0),
          MATCH($C$390, Refsz_Verbräuche[#Headers], 0))
)
*Emissionsfaktoren!F227/1000</f>
        <v>0</v>
      </c>
      <c r="F424" s="149">
        <f>IF(INDEX(Refsz_Verbräuche[[ID]:[2050]],
           MATCH(B424, Refsz_Verbräuche[ID], 0),
           MATCH($C$390, Refsz_Verbräuche[#Headers], 0)) = "",
    0,
    INDEX(Refsz_Verbräuche[[ID]:[2050]],
          MATCH(B424, Refsz_Verbräuche[ID], 0),
          MATCH($C$390, Refsz_Verbräuche[#Headers], 0))
)
*Emissionsfaktoren!G227/1000</f>
        <v>0</v>
      </c>
      <c r="G424" s="168">
        <f>IF(INDEX(Refsz_Verbräuche[[ID]:[2050]],
           MATCH(B424, Refsz_Verbräuche[ID], 0),
           MATCH($C$390, Refsz_Verbräuche[#Headers], 0)) = "",
    0,
    INDEX(Refsz_Verbräuche[[ID]:[2050]],
          MATCH(B424, Refsz_Verbräuche[ID], 0),
          MATCH($C$390, Refsz_Verbräuche[#Headers], 0))
)
*Emissionsfaktoren!H227/1000</f>
        <v>0</v>
      </c>
    </row>
    <row r="425" spans="2:7">
      <c r="B425" s="150">
        <f>'Refsz-Verbräuche'!B51</f>
        <v>34</v>
      </c>
      <c r="C425" s="150" t="str">
        <f>'Refsz-Verbräuche'!C51</f>
        <v>Mobilität 1</v>
      </c>
      <c r="D425" s="150" t="str">
        <f>'Refsz-Verbräuche'!D51</f>
        <v>Fuhrpark (Wasserstoff/ FCEV)</v>
      </c>
      <c r="E425" s="149">
        <f>IF(INDEX(Refsz_Verbräuche[[ID]:[2050]],
           MATCH(B425, Refsz_Verbräuche[ID], 0),
           MATCH($C$390, Refsz_Verbräuche[#Headers], 0)) = "",
    0,
    INDEX(Refsz_Verbräuche[[ID]:[2050]],
          MATCH(B425, Refsz_Verbräuche[ID], 0),
          MATCH($C$390, Refsz_Verbräuche[#Headers], 0))
)
*Emissionsfaktoren!F228/1000</f>
        <v>0</v>
      </c>
      <c r="F425" s="149">
        <f>IF(INDEX(Refsz_Verbräuche[[ID]:[2050]],
           MATCH(B425, Refsz_Verbräuche[ID], 0),
           MATCH($C$390, Refsz_Verbräuche[#Headers], 0)) = "",
    0,
    INDEX(Refsz_Verbräuche[[ID]:[2050]],
          MATCH(B425, Refsz_Verbräuche[ID], 0),
          MATCH($C$390, Refsz_Verbräuche[#Headers], 0))
)
*Emissionsfaktoren!G228/1000</f>
        <v>0</v>
      </c>
      <c r="G425" s="168">
        <f>IF(INDEX(Refsz_Verbräuche[[ID]:[2050]],
           MATCH(B425, Refsz_Verbräuche[ID], 0),
           MATCH($C$390, Refsz_Verbräuche[#Headers], 0)) = "",
    0,
    INDEX(Refsz_Verbräuche[[ID]:[2050]],
          MATCH(B425, Refsz_Verbräuche[ID], 0),
          MATCH($C$390, Refsz_Verbräuche[#Headers], 0))
)
*Emissionsfaktoren!H228/1000</f>
        <v>0</v>
      </c>
    </row>
    <row r="426" spans="2:7">
      <c r="B426" s="150">
        <f>'Refsz-Verbräuche'!B52</f>
        <v>35</v>
      </c>
      <c r="C426" s="150" t="str">
        <f>'Refsz-Verbräuche'!C52</f>
        <v>Mobilität 1</v>
      </c>
      <c r="D426" s="150" t="str">
        <f>'Refsz-Verbräuche'!D52</f>
        <v>Fuhrpark (CNG)</v>
      </c>
      <c r="E426" s="149">
        <f>IF(INDEX(Refsz_Verbräuche[[ID]:[2050]],
           MATCH(B426, Refsz_Verbräuche[ID], 0),
           MATCH($C$390, Refsz_Verbräuche[#Headers], 0)) = "",
    0,
    INDEX(Refsz_Verbräuche[[ID]:[2050]],
          MATCH(B426, Refsz_Verbräuche[ID], 0),
          MATCH($C$390, Refsz_Verbräuche[#Headers], 0))
)
*Emissionsfaktoren!F229/1000</f>
        <v>0</v>
      </c>
      <c r="F426" s="149">
        <f>IF(INDEX(Refsz_Verbräuche[[ID]:[2050]],
           MATCH(B426, Refsz_Verbräuche[ID], 0),
           MATCH($C$390, Refsz_Verbräuche[#Headers], 0)) = "",
    0,
    INDEX(Refsz_Verbräuche[[ID]:[2050]],
          MATCH(B426, Refsz_Verbräuche[ID], 0),
          MATCH($C$390, Refsz_Verbräuche[#Headers], 0))
)
*Emissionsfaktoren!G229/1000</f>
        <v>0</v>
      </c>
      <c r="G426" s="168">
        <f>IF(INDEX(Refsz_Verbräuche[[ID]:[2050]],
           MATCH(B426, Refsz_Verbräuche[ID], 0),
           MATCH($C$390, Refsz_Verbräuche[#Headers], 0)) = "",
    0,
    INDEX(Refsz_Verbräuche[[ID]:[2050]],
          MATCH(B426, Refsz_Verbräuche[ID], 0),
          MATCH($C$390, Refsz_Verbräuche[#Headers], 0))
)
*Emissionsfaktoren!H229/1000</f>
        <v>0</v>
      </c>
    </row>
    <row r="427" spans="2:7">
      <c r="B427" s="150">
        <f>'Refsz-Verbräuche'!B53</f>
        <v>36</v>
      </c>
      <c r="C427" s="150" t="str">
        <f>'Refsz-Verbräuche'!C53</f>
        <v>Mobilität 1</v>
      </c>
      <c r="D427" s="150" t="str">
        <f>'Refsz-Verbräuche'!D53</f>
        <v>Fuhrpark (Plug-In-Hybrid, PHEV)</v>
      </c>
      <c r="E427" s="149">
        <f>IF(INDEX(Refsz_Verbräuche[[ID]:[2050]],
           MATCH(B427, Refsz_Verbräuche[ID], 0),
           MATCH($C$390, Refsz_Verbräuche[#Headers], 0)) = "",
    0,
    INDEX(Refsz_Verbräuche[[ID]:[2050]],
          MATCH(B427, Refsz_Verbräuche[ID], 0),
          MATCH($C$390, Refsz_Verbräuche[#Headers], 0))
)
*Emissionsfaktoren!F230/1000</f>
        <v>0</v>
      </c>
      <c r="F427" s="149">
        <f>IF(INDEX(Refsz_Verbräuche[[ID]:[2050]],
           MATCH(B427, Refsz_Verbräuche[ID], 0),
           MATCH($C$390, Refsz_Verbräuche[#Headers], 0)) = "",
    0,
    INDEX(Refsz_Verbräuche[[ID]:[2050]],
          MATCH(B427, Refsz_Verbräuche[ID], 0),
          MATCH($C$390, Refsz_Verbräuche[#Headers], 0))
)
*Emissionsfaktoren!G230/1000</f>
        <v>0</v>
      </c>
      <c r="G427" s="168">
        <f>IF(INDEX(Refsz_Verbräuche[[ID]:[2050]],
           MATCH(B427, Refsz_Verbräuche[ID], 0),
           MATCH($C$390, Refsz_Verbräuche[#Headers], 0)) = "",
    0,
    INDEX(Refsz_Verbräuche[[ID]:[2050]],
          MATCH(B427, Refsz_Verbräuche[ID], 0),
          MATCH($C$390, Refsz_Verbräuche[#Headers], 0))
)
*Emissionsfaktoren!H230/1000</f>
        <v>0</v>
      </c>
    </row>
    <row r="428" spans="2:7">
      <c r="B428" s="150">
        <f>'Refsz-Verbräuche'!B54</f>
        <v>37</v>
      </c>
      <c r="C428" s="150">
        <f>'Refsz-Verbräuche'!C54</f>
        <v>0</v>
      </c>
      <c r="D428" s="150">
        <f>'Refsz-Verbräuche'!D54</f>
        <v>0</v>
      </c>
      <c r="E428" s="149">
        <f>IF(INDEX(Refsz_Verbräuche[[ID]:[2050]],
           MATCH(B428, Refsz_Verbräuche[ID], 0),
           MATCH($C$390, Refsz_Verbräuche[#Headers], 0)) = "",
    0,
    INDEX(Refsz_Verbräuche[[ID]:[2050]],
          MATCH(B428, Refsz_Verbräuche[ID], 0),
          MATCH($C$390, Refsz_Verbräuche[#Headers], 0))
)
*Emissionsfaktoren!F231/1000</f>
        <v>0</v>
      </c>
      <c r="F428" s="149">
        <f>IF(INDEX(Refsz_Verbräuche[[ID]:[2050]],
           MATCH(B428, Refsz_Verbräuche[ID], 0),
           MATCH($C$390, Refsz_Verbräuche[#Headers], 0)) = "",
    0,
    INDEX(Refsz_Verbräuche[[ID]:[2050]],
          MATCH(B428, Refsz_Verbräuche[ID], 0),
          MATCH($C$390, Refsz_Verbräuche[#Headers], 0))
)
*Emissionsfaktoren!G231/1000</f>
        <v>0</v>
      </c>
      <c r="G428" s="168">
        <f>IF(INDEX(Refsz_Verbräuche[[ID]:[2050]],
           MATCH(B428, Refsz_Verbräuche[ID], 0),
           MATCH($C$390, Refsz_Verbräuche[#Headers], 0)) = "",
    0,
    INDEX(Refsz_Verbräuche[[ID]:[2050]],
          MATCH(B428, Refsz_Verbräuche[ID], 0),
          MATCH($C$390, Refsz_Verbräuche[#Headers], 0))
)
*Emissionsfaktoren!H231/1000</f>
        <v>0</v>
      </c>
    </row>
    <row r="429" spans="2:7">
      <c r="B429" s="150">
        <f>'Refsz-Verbräuche'!B55</f>
        <v>38</v>
      </c>
      <c r="C429" s="150" t="str">
        <f>'Refsz-Verbräuche'!C55</f>
        <v>Mobilität 1</v>
      </c>
      <c r="D429" s="150" t="str">
        <f>'Refsz-Verbräuche'!D55</f>
        <v>DR - Flugreisen</v>
      </c>
      <c r="E429" s="169">
        <v>0</v>
      </c>
      <c r="F429" s="169">
        <v>0</v>
      </c>
      <c r="G429" s="168">
        <f>IF(INDEX(Refsz_Verbräuche[[ID]:[2050]],
           MATCH(B429, Refsz_Verbräuche[ID], 0),
           MATCH($C$390, Refsz_Verbräuche[#Headers], 0)) = "",
    0,
    INDEX(Refsz_Verbräuche[[ID]:[2050]],
          MATCH(B429, Refsz_Verbräuche[ID], 0),
          MATCH($C$390, Refsz_Verbräuche[#Headers], 0))
)
*Emissionsfaktoren!K55/1000</f>
        <v>0</v>
      </c>
    </row>
    <row r="430" spans="2:7">
      <c r="B430" s="150">
        <f>'Refsz-Verbräuche'!B56</f>
        <v>39</v>
      </c>
      <c r="C430" s="150" t="str">
        <f>'Refsz-Verbräuche'!C56</f>
        <v>Mobilität 1</v>
      </c>
      <c r="D430" s="150" t="str">
        <f>'Refsz-Verbräuche'!D56</f>
        <v>DR - Eisenbahn (Fernverkehr)</v>
      </c>
      <c r="E430" s="169">
        <v>0</v>
      </c>
      <c r="F430" s="169">
        <v>0</v>
      </c>
      <c r="G430" s="168">
        <f>IF(INDEX(Refsz_Verbräuche[[ID]:[2050]],
           MATCH(B430, Refsz_Verbräuche[ID], 0),
           MATCH($C$390, Refsz_Verbräuche[#Headers], 0)) = "",
    0,
    INDEX(Refsz_Verbräuche[[ID]:[2050]],
          MATCH(B430, Refsz_Verbräuche[ID], 0),
          MATCH($C$390, Refsz_Verbräuche[#Headers], 0))
)
*Emissionsfaktoren!K56/1000</f>
        <v>0</v>
      </c>
    </row>
    <row r="431" spans="2:7">
      <c r="B431" s="150">
        <f>'Refsz-Verbräuche'!B57</f>
        <v>40</v>
      </c>
      <c r="C431" s="150" t="str">
        <f>'Refsz-Verbräuche'!C57</f>
        <v>Mobilität 1</v>
      </c>
      <c r="D431" s="150" t="str">
        <f>'Refsz-Verbräuche'!D57</f>
        <v>DR - Eisenbahn (Nahverkehr)</v>
      </c>
      <c r="E431" s="169">
        <v>0</v>
      </c>
      <c r="F431" s="169">
        <v>0</v>
      </c>
      <c r="G431" s="168">
        <f>IF(INDEX(Refsz_Verbräuche[[ID]:[2050]],
           MATCH(B431, Refsz_Verbräuche[ID], 0),
           MATCH($C$390, Refsz_Verbräuche[#Headers], 0)) = "",
    0,
    INDEX(Refsz_Verbräuche[[ID]:[2050]],
          MATCH(B431, Refsz_Verbräuche[ID], 0),
          MATCH($C$390, Refsz_Verbräuche[#Headers], 0))
)
*Emissionsfaktoren!K57/1000</f>
        <v>0</v>
      </c>
    </row>
    <row r="432" spans="2:7">
      <c r="B432" s="150">
        <f>'Refsz-Verbräuche'!B58</f>
        <v>41</v>
      </c>
      <c r="C432" s="150" t="str">
        <f>'Refsz-Verbräuche'!C58</f>
        <v>Mobilität 1</v>
      </c>
      <c r="D432" s="150" t="str">
        <f>'Refsz-Verbräuche'!D58</f>
        <v>DR - Reisebus, Linienbus (Fernverkehr)</v>
      </c>
      <c r="E432" s="169">
        <v>0</v>
      </c>
      <c r="F432" s="169">
        <v>0</v>
      </c>
      <c r="G432" s="168">
        <f>IF(INDEX(Refsz_Verbräuche[[ID]:[2050]],
           MATCH(B432, Refsz_Verbräuche[ID], 0),
           MATCH($C$390, Refsz_Verbräuche[#Headers], 0)) = "",
    0,
    INDEX(Refsz_Verbräuche[[ID]:[2050]],
          MATCH(B432, Refsz_Verbräuche[ID], 0),
          MATCH($C$390, Refsz_Verbräuche[#Headers], 0))
)
*Emissionsfaktoren!K58/1000</f>
        <v>0</v>
      </c>
    </row>
    <row r="433" spans="2:7">
      <c r="B433" s="150">
        <f>'Refsz-Verbräuche'!B59</f>
        <v>42</v>
      </c>
      <c r="C433" s="150" t="str">
        <f>'Refsz-Verbräuche'!C59</f>
        <v>Mobilität 1</v>
      </c>
      <c r="D433" s="150" t="str">
        <f>'Refsz-Verbräuche'!D59</f>
        <v>DR - Linienbus (Nahverkehr)</v>
      </c>
      <c r="E433" s="169">
        <v>0</v>
      </c>
      <c r="F433" s="169">
        <v>0</v>
      </c>
      <c r="G433" s="168">
        <f>IF(INDEX(Refsz_Verbräuche[[ID]:[2050]],
           MATCH(B433, Refsz_Verbräuche[ID], 0),
           MATCH($C$390, Refsz_Verbräuche[#Headers], 0)) = "",
    0,
    INDEX(Refsz_Verbräuche[[ID]:[2050]],
          MATCH(B433, Refsz_Verbräuche[ID], 0),
          MATCH($C$390, Refsz_Verbräuche[#Headers], 0))
)
*Emissionsfaktoren!K59/1000</f>
        <v>0</v>
      </c>
    </row>
    <row r="434" spans="2:7">
      <c r="B434" s="150">
        <f>'Refsz-Verbräuche'!B60</f>
        <v>43</v>
      </c>
      <c r="C434" s="150" t="str">
        <f>'Refsz-Verbräuche'!C60</f>
        <v>Mobilität 1</v>
      </c>
      <c r="D434" s="150" t="str">
        <f>'Refsz-Verbräuche'!D60</f>
        <v>DR - Privater PKW (alle Antriebsarten)</v>
      </c>
      <c r="E434" s="169">
        <v>0</v>
      </c>
      <c r="F434" s="169">
        <v>0</v>
      </c>
      <c r="G434" s="168">
        <f>IF(INDEX(Refsz_Verbräuche[[ID]:[2050]],
           MATCH(B434, Refsz_Verbräuche[ID], 0),
           MATCH($C$390, Refsz_Verbräuche[#Headers], 0)) = "",
    0,
    INDEX(Refsz_Verbräuche[[ID]:[2050]],
          MATCH(B434, Refsz_Verbräuche[ID], 0),
          MATCH($C$390, Refsz_Verbräuche[#Headers], 0))
)
*Emissionsfaktoren!K60/1000</f>
        <v>0</v>
      </c>
    </row>
    <row r="435" spans="2:7">
      <c r="B435" s="150">
        <f>'Refsz-Verbräuche'!B61</f>
        <v>44</v>
      </c>
      <c r="C435" s="150" t="str">
        <f>'Refsz-Verbräuche'!C61</f>
        <v>Mobilität 1</v>
      </c>
      <c r="D435" s="150" t="str">
        <f>'Refsz-Verbräuche'!D61</f>
        <v>DR - Privater PKW (Diesel)</v>
      </c>
      <c r="E435" s="169">
        <v>0</v>
      </c>
      <c r="F435" s="169">
        <v>0</v>
      </c>
      <c r="G435" s="168">
        <f>IF(INDEX(Refsz_Verbräuche[[ID]:[2050]],
           MATCH(B435, Refsz_Verbräuche[ID], 0),
           MATCH($C$390, Refsz_Verbräuche[#Headers], 0)) = "",
    0,
    INDEX(Refsz_Verbräuche[[ID]:[2050]],
          MATCH(B435, Refsz_Verbräuche[ID], 0),
          MATCH($C$390, Refsz_Verbräuche[#Headers], 0))
)
*Emissionsfaktoren!K61/1000</f>
        <v>0</v>
      </c>
    </row>
    <row r="436" spans="2:7">
      <c r="B436" s="150">
        <f>'Refsz-Verbräuche'!B62</f>
        <v>45</v>
      </c>
      <c r="C436" s="150" t="str">
        <f>'Refsz-Verbräuche'!C62</f>
        <v>Mobilität 1</v>
      </c>
      <c r="D436" s="150" t="str">
        <f>'Refsz-Verbräuche'!D62</f>
        <v>DR - Privater PKW (Benzin)</v>
      </c>
      <c r="E436" s="169">
        <v>0</v>
      </c>
      <c r="F436" s="169">
        <v>0</v>
      </c>
      <c r="G436" s="168">
        <f>IF(INDEX(Refsz_Verbräuche[[ID]:[2050]],
           MATCH(B436, Refsz_Verbräuche[ID], 0),
           MATCH($C$390, Refsz_Verbräuche[#Headers], 0)) = "",
    0,
    INDEX(Refsz_Verbräuche[[ID]:[2050]],
          MATCH(B436, Refsz_Verbräuche[ID], 0),
          MATCH($C$390, Refsz_Verbräuche[#Headers], 0))
)
*Emissionsfaktoren!K62/1000</f>
        <v>0</v>
      </c>
    </row>
    <row r="437" spans="2:7">
      <c r="B437" s="150">
        <f>'Refsz-Verbräuche'!B63</f>
        <v>46</v>
      </c>
      <c r="C437" s="150" t="str">
        <f>'Refsz-Verbräuche'!C63</f>
        <v>Mobilität 1</v>
      </c>
      <c r="D437" s="150" t="str">
        <f>'Refsz-Verbräuche'!D63</f>
        <v>DR - Mietwägen (Diesel)</v>
      </c>
      <c r="E437" s="169">
        <v>0</v>
      </c>
      <c r="F437" s="169">
        <v>0</v>
      </c>
      <c r="G437" s="168">
        <f>IF(INDEX(Refsz_Verbräuche[[ID]:[2050]],
           MATCH(B437, Refsz_Verbräuche[ID], 0),
           MATCH($C$390, Refsz_Verbräuche[#Headers], 0)) = "",
    0,
    INDEX(Refsz_Verbräuche[[ID]:[2050]],
          MATCH(B437, Refsz_Verbräuche[ID], 0),
          MATCH($C$390, Refsz_Verbräuche[#Headers], 0))
)
*Emissionsfaktoren!K63/1000</f>
        <v>0</v>
      </c>
    </row>
    <row r="438" spans="2:7">
      <c r="B438" s="150">
        <f>'Refsz-Verbräuche'!B64</f>
        <v>47</v>
      </c>
      <c r="C438" s="150" t="str">
        <f>'Refsz-Verbräuche'!C64</f>
        <v>Mobilität 1</v>
      </c>
      <c r="D438" s="150" t="str">
        <f>'Refsz-Verbräuche'!D64</f>
        <v>DR - Mietwägen (Benzin)</v>
      </c>
      <c r="E438" s="169">
        <v>0</v>
      </c>
      <c r="F438" s="169">
        <v>0</v>
      </c>
      <c r="G438" s="168">
        <f>IF(INDEX(Refsz_Verbräuche[[ID]:[2050]],
           MATCH(B438, Refsz_Verbräuche[ID], 0),
           MATCH($C$390, Refsz_Verbräuche[#Headers], 0)) = "",
    0,
    INDEX(Refsz_Verbräuche[[ID]:[2050]],
          MATCH(B438, Refsz_Verbräuche[ID], 0),
          MATCH($C$390, Refsz_Verbräuche[#Headers], 0))
)
*Emissionsfaktoren!K64/1000</f>
        <v>0</v>
      </c>
    </row>
    <row r="439" spans="2:7">
      <c r="B439" s="150">
        <f>'Refsz-Verbräuche'!B65</f>
        <v>48</v>
      </c>
      <c r="C439" s="150" t="str">
        <f>'Refsz-Verbräuche'!C65</f>
        <v>Mobilität 1</v>
      </c>
      <c r="D439" s="150" t="str">
        <f>'Refsz-Verbräuche'!D65</f>
        <v>DR - Mietwägen (E-Auto/ BEV)</v>
      </c>
      <c r="E439" s="169">
        <v>0</v>
      </c>
      <c r="F439" s="169">
        <v>0</v>
      </c>
      <c r="G439" s="168">
        <f>IF(INDEX(Refsz_Verbräuche[[ID]:[2050]],
           MATCH(B439, Refsz_Verbräuche[ID], 0),
           MATCH($C$390, Refsz_Verbräuche[#Headers], 0)) = "",
    0,
    INDEX(Refsz_Verbräuche[[ID]:[2050]],
          MATCH(B439, Refsz_Verbräuche[ID], 0),
          MATCH($C$390, Refsz_Verbräuche[#Headers], 0))
)
*Emissionsfaktoren!K65/1000</f>
        <v>0</v>
      </c>
    </row>
    <row r="440" spans="2:7">
      <c r="B440" s="150">
        <f>'Refsz-Verbräuche'!B66</f>
        <v>49</v>
      </c>
      <c r="C440" s="150" t="str">
        <f>'Refsz-Verbräuche'!C66</f>
        <v>Mobilität 1</v>
      </c>
      <c r="D440" s="150" t="str">
        <f>'Refsz-Verbräuche'!D66</f>
        <v>DR - Mietwägen (Wasserstoff/ FCEV)</v>
      </c>
      <c r="E440" s="169">
        <v>0</v>
      </c>
      <c r="F440" s="169">
        <v>0</v>
      </c>
      <c r="G440" s="168">
        <f>IF(INDEX(Refsz_Verbräuche[[ID]:[2050]],
           MATCH(B440, Refsz_Verbräuche[ID], 0),
           MATCH($C$390, Refsz_Verbräuche[#Headers], 0)) = "",
    0,
    INDEX(Refsz_Verbräuche[[ID]:[2050]],
          MATCH(B440, Refsz_Verbräuche[ID], 0),
          MATCH($C$390, Refsz_Verbräuche[#Headers], 0))
)
*Emissionsfaktoren!K66/1000</f>
        <v>0</v>
      </c>
    </row>
    <row r="441" spans="2:7">
      <c r="B441" s="150">
        <f>'Refsz-Verbräuche'!B67</f>
        <v>50</v>
      </c>
      <c r="C441" s="150" t="str">
        <f>'Refsz-Verbräuche'!C67</f>
        <v>Mobilität 1</v>
      </c>
      <c r="D441" s="150" t="str">
        <f>'Refsz-Verbräuche'!D67</f>
        <v>DR - Mietwägen (CNG)</v>
      </c>
      <c r="E441" s="169">
        <v>0</v>
      </c>
      <c r="F441" s="169">
        <v>0</v>
      </c>
      <c r="G441" s="168">
        <f>IF(INDEX(Refsz_Verbräuche[[ID]:[2050]],
           MATCH(B441, Refsz_Verbräuche[ID], 0),
           MATCH($C$390, Refsz_Verbräuche[#Headers], 0)) = "",
    0,
    INDEX(Refsz_Verbräuche[[ID]:[2050]],
          MATCH(B441, Refsz_Verbräuche[ID], 0),
          MATCH($C$390, Refsz_Verbräuche[#Headers], 0))
)
*Emissionsfaktoren!K67/1000</f>
        <v>0</v>
      </c>
    </row>
    <row r="442" spans="2:7">
      <c r="B442" s="150">
        <f>'Refsz-Verbräuche'!B68</f>
        <v>51</v>
      </c>
      <c r="C442" s="150" t="str">
        <f>'Refsz-Verbräuche'!C68</f>
        <v>Mobilität 1</v>
      </c>
      <c r="D442" s="150" t="str">
        <f>'Refsz-Verbräuche'!D68</f>
        <v>DR - Mietwägen (Plug-In-Hybrid/ PHEV)</v>
      </c>
      <c r="E442" s="169">
        <v>0</v>
      </c>
      <c r="F442" s="169">
        <v>0</v>
      </c>
      <c r="G442" s="168">
        <f>IF(INDEX(Refsz_Verbräuche[[ID]:[2050]],
           MATCH(B442, Refsz_Verbräuche[ID], 0),
           MATCH($C$390, Refsz_Verbräuche[#Headers], 0)) = "",
    0,
    INDEX(Refsz_Verbräuche[[ID]:[2050]],
          MATCH(B442, Refsz_Verbräuche[ID], 0),
          MATCH($C$390, Refsz_Verbräuche[#Headers], 0))
)
*Emissionsfaktoren!K68/1000</f>
        <v>0</v>
      </c>
    </row>
    <row r="443" spans="2:7">
      <c r="B443" s="150">
        <f>'Refsz-Verbräuche'!B69</f>
        <v>52</v>
      </c>
      <c r="C443" s="150" t="str">
        <f>'Refsz-Verbräuche'!C69</f>
        <v>Mobilität 1</v>
      </c>
      <c r="D443" s="150" t="str">
        <f>'Refsz-Verbräuche'!D69</f>
        <v>DR - E-Bike</v>
      </c>
      <c r="E443" s="169">
        <v>0</v>
      </c>
      <c r="F443" s="169">
        <v>0</v>
      </c>
      <c r="G443" s="168">
        <f>IF(INDEX(Refsz_Verbräuche[[ID]:[2050]],
           MATCH(B443, Refsz_Verbräuche[ID], 0),
           MATCH($C$390, Refsz_Verbräuche[#Headers], 0)) = "",
    0,
    INDEX(Refsz_Verbräuche[[ID]:[2050]],
          MATCH(B443, Refsz_Verbräuche[ID], 0),
          MATCH($C$390, Refsz_Verbräuche[#Headers], 0))
)
*Emissionsfaktoren!K69/1000</f>
        <v>0</v>
      </c>
    </row>
    <row r="444" spans="2:7">
      <c r="B444" s="150">
        <f>'Refsz-Verbräuche'!B70</f>
        <v>53</v>
      </c>
      <c r="C444" s="150" t="str">
        <f>'Refsz-Verbräuche'!C70</f>
        <v>Mobilität 1</v>
      </c>
      <c r="D444" s="150" t="str">
        <f>'Refsz-Verbräuche'!D70</f>
        <v>DR - Fahrrad</v>
      </c>
      <c r="E444" s="169">
        <v>0</v>
      </c>
      <c r="F444" s="169">
        <v>0</v>
      </c>
      <c r="G444" s="168">
        <f>IF(INDEX(Refsz_Verbräuche[[ID]:[2050]],
           MATCH(B444, Refsz_Verbräuche[ID], 0),
           MATCH($C$390, Refsz_Verbräuche[#Headers], 0)) = "",
    0,
    INDEX(Refsz_Verbräuche[[ID]:[2050]],
          MATCH(B444, Refsz_Verbräuche[ID], 0),
          MATCH($C$390, Refsz_Verbräuche[#Headers], 0))
)
*Emissionsfaktoren!K70/1000</f>
        <v>0</v>
      </c>
    </row>
    <row r="445" spans="2:7">
      <c r="B445" s="150">
        <f>'Refsz-Verbräuche'!B71</f>
        <v>54</v>
      </c>
      <c r="C445" s="150">
        <f>'Refsz-Verbräuche'!C71</f>
        <v>0</v>
      </c>
      <c r="D445" s="150">
        <f>'Refsz-Verbräuche'!D71</f>
        <v>0</v>
      </c>
      <c r="E445" s="169">
        <v>0</v>
      </c>
      <c r="F445" s="169">
        <v>0</v>
      </c>
      <c r="G445" s="168">
        <f>IF(INDEX(Refsz_Verbräuche[[ID]:[2050]],
           MATCH(B445, Refsz_Verbräuche[ID], 0),
           MATCH($C$390, Refsz_Verbräuche[#Headers], 0)) = "",
    0,
    INDEX(Refsz_Verbräuche[[ID]:[2050]],
          MATCH(B445, Refsz_Verbräuche[ID], 0),
          MATCH($C$390, Refsz_Verbräuche[#Headers], 0))
)
*Emissionsfaktoren!K71/1000</f>
        <v>0</v>
      </c>
    </row>
    <row r="446" spans="2:7">
      <c r="B446" s="150">
        <f>'Refsz-Verbräuche'!B72</f>
        <v>55</v>
      </c>
      <c r="C446" s="150" t="str">
        <f>'Refsz-Verbräuche'!C72</f>
        <v>Mobilität 1</v>
      </c>
      <c r="D446" s="150" t="str">
        <f>'Refsz-Verbräuche'!D72</f>
        <v>Studierendenreisen (Outgoing) - Flugreisen</v>
      </c>
      <c r="E446" s="169">
        <v>0</v>
      </c>
      <c r="F446" s="169">
        <v>0</v>
      </c>
      <c r="G446" s="168">
        <f>IF(INDEX(Refsz_Verbräuche[[ID]:[2050]],
           MATCH(B446, Refsz_Verbräuche[ID], 0),
           MATCH($C$390, Refsz_Verbräuche[#Headers], 0)) = "",
    0,
    INDEX(Refsz_Verbräuche[[ID]:[2050]],
          MATCH(B446, Refsz_Verbräuche[ID], 0),
          MATCH($C$390, Refsz_Verbräuche[#Headers], 0))
)
*Emissionsfaktoren!K72/1000</f>
        <v>0</v>
      </c>
    </row>
    <row r="447" spans="2:7">
      <c r="B447" s="150">
        <f>'Refsz-Verbräuche'!B73</f>
        <v>56</v>
      </c>
      <c r="C447" s="150" t="str">
        <f>'Refsz-Verbräuche'!C73</f>
        <v>Mobilität 1</v>
      </c>
      <c r="D447" s="150" t="str">
        <f>'Refsz-Verbräuche'!D73</f>
        <v>Studierendenreisen (Outgoing) - Eisenbahn (Nahverkehr)</v>
      </c>
      <c r="E447" s="169">
        <v>0</v>
      </c>
      <c r="F447" s="169">
        <v>0</v>
      </c>
      <c r="G447" s="168">
        <f>IF(INDEX(Refsz_Verbräuche[[ID]:[2050]],
           MATCH(B447, Refsz_Verbräuche[ID], 0),
           MATCH($C$390, Refsz_Verbräuche[#Headers], 0)) = "",
    0,
    INDEX(Refsz_Verbräuche[[ID]:[2050]],
          MATCH(B447, Refsz_Verbräuche[ID], 0),
          MATCH($C$390, Refsz_Verbräuche[#Headers], 0))
)
*Emissionsfaktoren!K73/1000</f>
        <v>0</v>
      </c>
    </row>
    <row r="448" spans="2:7">
      <c r="B448" s="150">
        <f>'Refsz-Verbräuche'!B74</f>
        <v>57</v>
      </c>
      <c r="C448" s="150" t="str">
        <f>'Refsz-Verbräuche'!C74</f>
        <v>Mobilität 1</v>
      </c>
      <c r="D448" s="150" t="str">
        <f>'Refsz-Verbräuche'!D74</f>
        <v>Studierendenreisen (Outgoing) - Privater PKW (alle Antriebsarten)</v>
      </c>
      <c r="E448" s="169">
        <v>0</v>
      </c>
      <c r="F448" s="169">
        <v>0</v>
      </c>
      <c r="G448" s="168">
        <f>IF(INDEX(Refsz_Verbräuche[[ID]:[2050]],
           MATCH(B448, Refsz_Verbräuche[ID], 0),
           MATCH($C$390, Refsz_Verbräuche[#Headers], 0)) = "",
    0,
    INDEX(Refsz_Verbräuche[[ID]:[2050]],
          MATCH(B448, Refsz_Verbräuche[ID], 0),
          MATCH($C$390, Refsz_Verbräuche[#Headers], 0))
)
*Emissionsfaktoren!K74/1000</f>
        <v>0</v>
      </c>
    </row>
    <row r="449" spans="2:7">
      <c r="B449" s="150">
        <f>'Refsz-Verbräuche'!B75</f>
        <v>58</v>
      </c>
      <c r="C449" s="150">
        <f>'Refsz-Verbräuche'!C75</f>
        <v>0</v>
      </c>
      <c r="D449" s="150">
        <f>'Refsz-Verbräuche'!D75</f>
        <v>0</v>
      </c>
      <c r="E449" s="169">
        <v>0</v>
      </c>
      <c r="F449" s="169">
        <v>0</v>
      </c>
      <c r="G449" s="168">
        <f>IF(INDEX(Refsz_Verbräuche[[ID]:[2050]],
           MATCH(B449, Refsz_Verbräuche[ID], 0),
           MATCH($C$390, Refsz_Verbräuche[#Headers], 0)) = "",
    0,
    INDEX(Refsz_Verbräuche[[ID]:[2050]],
          MATCH(B449, Refsz_Verbräuche[ID], 0),
          MATCH($C$390, Refsz_Verbräuche[#Headers], 0))
)
*Emissionsfaktoren!K75/1000</f>
        <v>0</v>
      </c>
    </row>
    <row r="450" spans="2:7">
      <c r="B450" s="150">
        <f>'Refsz-Verbräuche'!B76</f>
        <v>59</v>
      </c>
      <c r="C450" s="150" t="str">
        <f>'Refsz-Verbräuche'!C76</f>
        <v>Mobilität 1</v>
      </c>
      <c r="D450" s="150" t="str">
        <f>'Refsz-Verbräuche'!D76</f>
        <v>Exkursionen - Flugreisen</v>
      </c>
      <c r="E450" s="169">
        <v>0</v>
      </c>
      <c r="F450" s="169">
        <v>0</v>
      </c>
      <c r="G450" s="168">
        <f>IF(INDEX(Refsz_Verbräuche[[ID]:[2050]],
           MATCH(B450, Refsz_Verbräuche[ID], 0),
           MATCH($C$390, Refsz_Verbräuche[#Headers], 0)) = "",
    0,
    INDEX(Refsz_Verbräuche[[ID]:[2050]],
          MATCH(B450, Refsz_Verbräuche[ID], 0),
          MATCH($C$390, Refsz_Verbräuche[#Headers], 0))
)
*Emissionsfaktoren!K76/1000</f>
        <v>0</v>
      </c>
    </row>
    <row r="451" spans="2:7">
      <c r="B451" s="150">
        <f>'Refsz-Verbräuche'!B77</f>
        <v>60</v>
      </c>
      <c r="C451" s="150" t="str">
        <f>'Refsz-Verbräuche'!C77</f>
        <v>Mobilität 1</v>
      </c>
      <c r="D451" s="150" t="str">
        <f>'Refsz-Verbräuche'!D77</f>
        <v>Exkursionen - Eisenbahn (Nahverkehr)</v>
      </c>
      <c r="E451" s="169">
        <v>0</v>
      </c>
      <c r="F451" s="169">
        <v>0</v>
      </c>
      <c r="G451" s="168">
        <f>IF(INDEX(Refsz_Verbräuche[[ID]:[2050]],
           MATCH(B451, Refsz_Verbräuche[ID], 0),
           MATCH($C$390, Refsz_Verbräuche[#Headers], 0)) = "",
    0,
    INDEX(Refsz_Verbräuche[[ID]:[2050]],
          MATCH(B451, Refsz_Verbräuche[ID], 0),
          MATCH($C$390, Refsz_Verbräuche[#Headers], 0))
)
*Emissionsfaktoren!K77/1000</f>
        <v>0</v>
      </c>
    </row>
    <row r="452" spans="2:7">
      <c r="B452" s="150">
        <f>'Refsz-Verbräuche'!B78</f>
        <v>61</v>
      </c>
      <c r="C452" s="150" t="str">
        <f>'Refsz-Verbräuche'!C78</f>
        <v>Mobilität 1</v>
      </c>
      <c r="D452" s="150" t="str">
        <f>'Refsz-Verbräuche'!D78</f>
        <v>Exkursionen - Privater PKW (alle Antriebsarten)</v>
      </c>
      <c r="E452" s="169">
        <v>0</v>
      </c>
      <c r="F452" s="169">
        <v>0</v>
      </c>
      <c r="G452" s="168">
        <f>IF(INDEX(Refsz_Verbräuche[[ID]:[2050]],
           MATCH(B452, Refsz_Verbräuche[ID], 0),
           MATCH($C$390, Refsz_Verbräuche[#Headers], 0)) = "",
    0,
    INDEX(Refsz_Verbräuche[[ID]:[2050]],
          MATCH(B452, Refsz_Verbräuche[ID], 0),
          MATCH($C$390, Refsz_Verbräuche[#Headers], 0))
)
*Emissionsfaktoren!K78/1000</f>
        <v>0</v>
      </c>
    </row>
    <row r="453" spans="2:7">
      <c r="B453" s="150">
        <f>'Refsz-Verbräuche'!B79</f>
        <v>62</v>
      </c>
      <c r="C453" s="150">
        <f>'Refsz-Verbräuche'!C79</f>
        <v>0</v>
      </c>
      <c r="D453" s="150">
        <f>'Refsz-Verbräuche'!D79</f>
        <v>0</v>
      </c>
      <c r="E453" s="169">
        <v>0</v>
      </c>
      <c r="F453" s="169">
        <v>0</v>
      </c>
      <c r="G453" s="168">
        <f>IF(INDEX(Refsz_Verbräuche[[ID]:[2050]],
           MATCH(B453, Refsz_Verbräuche[ID], 0),
           MATCH($C$390, Refsz_Verbräuche[#Headers], 0)) = "",
    0,
    INDEX(Refsz_Verbräuche[[ID]:[2050]],
          MATCH(B453, Refsz_Verbräuche[ID], 0),
          MATCH($C$390, Refsz_Verbräuche[#Headers], 0))
)
*Emissionsfaktoren!K79/1000</f>
        <v>0</v>
      </c>
    </row>
    <row r="454" spans="2:7">
      <c r="B454" s="150">
        <f>'Refsz-Verbräuche'!B80</f>
        <v>63</v>
      </c>
      <c r="C454" s="150" t="str">
        <f>'Refsz-Verbräuche'!C80</f>
        <v>Mobilität 2</v>
      </c>
      <c r="D454" s="150" t="str">
        <f>'Refsz-Verbräuche'!D80</f>
        <v>Pendeln - Eisenbahn (Fernverkehr)</v>
      </c>
      <c r="E454" s="169">
        <v>0</v>
      </c>
      <c r="F454" s="169">
        <v>0</v>
      </c>
      <c r="G454" s="168">
        <f>IF(INDEX(Refsz_Verbräuche[[ID]:[2050]],
           MATCH(B454, Refsz_Verbräuche[ID], 0),
           MATCH($C$390, Refsz_Verbräuche[#Headers], 0)) = "",
    0,
    INDEX(Refsz_Verbräuche[[ID]:[2050]],
          MATCH(B454, Refsz_Verbräuche[ID], 0),
          MATCH($C$390, Refsz_Verbräuche[#Headers], 0))
)
*Emissionsfaktoren!K80/1000</f>
        <v>0</v>
      </c>
    </row>
    <row r="455" spans="2:7">
      <c r="B455" s="150">
        <f>'Refsz-Verbräuche'!B81</f>
        <v>64</v>
      </c>
      <c r="C455" s="150" t="str">
        <f>'Refsz-Verbräuche'!C81</f>
        <v>Mobilität 2</v>
      </c>
      <c r="D455" s="150" t="str">
        <f>'Refsz-Verbräuche'!D81</f>
        <v>Pendeln - Eisenbahn (Nahverkehr)</v>
      </c>
      <c r="E455" s="169">
        <v>0</v>
      </c>
      <c r="F455" s="169">
        <v>0</v>
      </c>
      <c r="G455" s="168">
        <f>IF(INDEX(Refsz_Verbräuche[[ID]:[2050]],
           MATCH(B455, Refsz_Verbräuche[ID], 0),
           MATCH($C$390, Refsz_Verbräuche[#Headers], 0)) = "",
    0,
    INDEX(Refsz_Verbräuche[[ID]:[2050]],
          MATCH(B455, Refsz_Verbräuche[ID], 0),
          MATCH($C$390, Refsz_Verbräuche[#Headers], 0))
)
*Emissionsfaktoren!K81/1000</f>
        <v>0</v>
      </c>
    </row>
    <row r="456" spans="2:7">
      <c r="B456" s="150">
        <f>'Refsz-Verbräuche'!B82</f>
        <v>65</v>
      </c>
      <c r="C456" s="150" t="str">
        <f>'Refsz-Verbräuche'!C82</f>
        <v>Mobilität 2</v>
      </c>
      <c r="D456" s="150" t="str">
        <f>'Refsz-Verbräuche'!D82</f>
        <v>Pendeln - Linienbus (Nahverkehr)</v>
      </c>
      <c r="E456" s="169">
        <v>0</v>
      </c>
      <c r="F456" s="169">
        <v>0</v>
      </c>
      <c r="G456" s="168">
        <f>IF(INDEX(Refsz_Verbräuche[[ID]:[2050]],
           MATCH(B456, Refsz_Verbräuche[ID], 0),
           MATCH($C$390, Refsz_Verbräuche[#Headers], 0)) = "",
    0,
    INDEX(Refsz_Verbräuche[[ID]:[2050]],
          MATCH(B456, Refsz_Verbräuche[ID], 0),
          MATCH($C$390, Refsz_Verbräuche[#Headers], 0))
)
*Emissionsfaktoren!K82/1000</f>
        <v>0</v>
      </c>
    </row>
    <row r="457" spans="2:7">
      <c r="B457" s="150">
        <f>'Refsz-Verbräuche'!B83</f>
        <v>66</v>
      </c>
      <c r="C457" s="150" t="str">
        <f>'Refsz-Verbräuche'!C83</f>
        <v>Mobilität 2</v>
      </c>
      <c r="D457" s="150" t="str">
        <f>'Refsz-Verbräuche'!D83</f>
        <v>Pendeln - PKW (alle Antriebsarten)</v>
      </c>
      <c r="E457" s="169">
        <v>0</v>
      </c>
      <c r="F457" s="169">
        <v>0</v>
      </c>
      <c r="G457" s="168">
        <f>IF(INDEX(Refsz_Verbräuche[[ID]:[2050]],
           MATCH(B457, Refsz_Verbräuche[ID], 0),
           MATCH($C$390, Refsz_Verbräuche[#Headers], 0)) = "",
    0,
    INDEX(Refsz_Verbräuche[[ID]:[2050]],
          MATCH(B457, Refsz_Verbräuche[ID], 0),
          MATCH($C$390, Refsz_Verbräuche[#Headers], 0))
)
*Emissionsfaktoren!K83/1000</f>
        <v>0</v>
      </c>
    </row>
    <row r="458" spans="2:7">
      <c r="B458" s="150">
        <f>'Refsz-Verbräuche'!B84</f>
        <v>67</v>
      </c>
      <c r="C458" s="150" t="str">
        <f>'Refsz-Verbräuche'!C84</f>
        <v>Mobilität 2</v>
      </c>
      <c r="D458" s="150" t="str">
        <f>'Refsz-Verbräuche'!D84</f>
        <v>Pendeln - PKW (Diesel)</v>
      </c>
      <c r="E458" s="169">
        <v>0</v>
      </c>
      <c r="F458" s="169">
        <v>0</v>
      </c>
      <c r="G458" s="168">
        <f>IF(INDEX(Refsz_Verbräuche[[ID]:[2050]],
           MATCH(B458, Refsz_Verbräuche[ID], 0),
           MATCH($C$390, Refsz_Verbräuche[#Headers], 0)) = "",
    0,
    INDEX(Refsz_Verbräuche[[ID]:[2050]],
          MATCH(B458, Refsz_Verbräuche[ID], 0),
          MATCH($C$390, Refsz_Verbräuche[#Headers], 0))
)
*Emissionsfaktoren!K84/1000</f>
        <v>0</v>
      </c>
    </row>
    <row r="459" spans="2:7">
      <c r="B459" s="150">
        <f>'Refsz-Verbräuche'!B85</f>
        <v>68</v>
      </c>
      <c r="C459" s="150" t="str">
        <f>'Refsz-Verbräuche'!C85</f>
        <v>Mobilität 2</v>
      </c>
      <c r="D459" s="150" t="str">
        <f>'Refsz-Verbräuche'!D85</f>
        <v>Pendeln - PKW (Benzin)</v>
      </c>
      <c r="E459" s="169">
        <v>0</v>
      </c>
      <c r="F459" s="169">
        <v>0</v>
      </c>
      <c r="G459" s="168">
        <f>IF(INDEX(Refsz_Verbräuche[[ID]:[2050]],
           MATCH(B459, Refsz_Verbräuche[ID], 0),
           MATCH($C$390, Refsz_Verbräuche[#Headers], 0)) = "",
    0,
    INDEX(Refsz_Verbräuche[[ID]:[2050]],
          MATCH(B459, Refsz_Verbräuche[ID], 0),
          MATCH($C$390, Refsz_Verbräuche[#Headers], 0))
)
*Emissionsfaktoren!K85/1000</f>
        <v>0</v>
      </c>
    </row>
    <row r="460" spans="2:7">
      <c r="B460" s="150">
        <f>'Refsz-Verbräuche'!B86</f>
        <v>69</v>
      </c>
      <c r="C460" s="150" t="str">
        <f>'Refsz-Verbräuche'!C86</f>
        <v>Mobilität 2</v>
      </c>
      <c r="D460" s="150" t="str">
        <f>'Refsz-Verbräuche'!D86</f>
        <v>Pendeln - PKW (E-Auto/ BEV)</v>
      </c>
      <c r="E460" s="169">
        <v>0</v>
      </c>
      <c r="F460" s="169">
        <v>0</v>
      </c>
      <c r="G460" s="168">
        <f>IF(INDEX(Refsz_Verbräuche[[ID]:[2050]],
           MATCH(B460, Refsz_Verbräuche[ID], 0),
           MATCH($C$390, Refsz_Verbräuche[#Headers], 0)) = "",
    0,
    INDEX(Refsz_Verbräuche[[ID]:[2050]],
          MATCH(B460, Refsz_Verbräuche[ID], 0),
          MATCH($C$390, Refsz_Verbräuche[#Headers], 0))
)
*Emissionsfaktoren!K86/1000</f>
        <v>0</v>
      </c>
    </row>
    <row r="461" spans="2:7">
      <c r="B461" s="150">
        <f>'Refsz-Verbräuche'!B87</f>
        <v>70</v>
      </c>
      <c r="C461" s="150" t="str">
        <f>'Refsz-Verbräuche'!C87</f>
        <v>Mobilität 2</v>
      </c>
      <c r="D461" s="150" t="str">
        <f>'Refsz-Verbräuche'!D87</f>
        <v>Pendeln - PKW (Wasserstoff/ FCEV)</v>
      </c>
      <c r="E461" s="169">
        <v>0</v>
      </c>
      <c r="F461" s="169">
        <v>0</v>
      </c>
      <c r="G461" s="168">
        <f>IF(INDEX(Refsz_Verbräuche[[ID]:[2050]],
           MATCH(B461, Refsz_Verbräuche[ID], 0),
           MATCH($C$390, Refsz_Verbräuche[#Headers], 0)) = "",
    0,
    INDEX(Refsz_Verbräuche[[ID]:[2050]],
          MATCH(B461, Refsz_Verbräuche[ID], 0),
          MATCH($C$390, Refsz_Verbräuche[#Headers], 0))
)
*Emissionsfaktoren!K87/1000</f>
        <v>0</v>
      </c>
    </row>
    <row r="462" spans="2:7">
      <c r="B462" s="150">
        <f>'Refsz-Verbräuche'!B88</f>
        <v>71</v>
      </c>
      <c r="C462" s="150" t="str">
        <f>'Refsz-Verbräuche'!C88</f>
        <v>Mobilität 2</v>
      </c>
      <c r="D462" s="150" t="str">
        <f>'Refsz-Verbräuche'!D88</f>
        <v>Pendeln - PKW (CNG)</v>
      </c>
      <c r="E462" s="169">
        <v>0</v>
      </c>
      <c r="F462" s="169">
        <v>0</v>
      </c>
      <c r="G462" s="168">
        <f>IF(INDEX(Refsz_Verbräuche[[ID]:[2050]],
           MATCH(B462, Refsz_Verbräuche[ID], 0),
           MATCH($C$390, Refsz_Verbräuche[#Headers], 0)) = "",
    0,
    INDEX(Refsz_Verbräuche[[ID]:[2050]],
          MATCH(B462, Refsz_Verbräuche[ID], 0),
          MATCH($C$390, Refsz_Verbräuche[#Headers], 0))
)
*Emissionsfaktoren!K88/1000</f>
        <v>0</v>
      </c>
    </row>
    <row r="463" spans="2:7">
      <c r="B463" s="150">
        <f>'Refsz-Verbräuche'!B89</f>
        <v>72</v>
      </c>
      <c r="C463" s="150" t="str">
        <f>'Refsz-Verbräuche'!C89</f>
        <v>Mobilität 2</v>
      </c>
      <c r="D463" s="150" t="str">
        <f>'Refsz-Verbräuche'!D89</f>
        <v>Pendeln - PKW (Plug-In-Hybrid/PHEV)</v>
      </c>
      <c r="E463" s="169">
        <v>0</v>
      </c>
      <c r="F463" s="169">
        <v>0</v>
      </c>
      <c r="G463" s="168">
        <f>IF(INDEX(Refsz_Verbräuche[[ID]:[2050]],
           MATCH(B463, Refsz_Verbräuche[ID], 0),
           MATCH($C$390, Refsz_Verbräuche[#Headers], 0)) = "",
    0,
    INDEX(Refsz_Verbräuche[[ID]:[2050]],
          MATCH(B463, Refsz_Verbräuche[ID], 0),
          MATCH($C$390, Refsz_Verbräuche[#Headers], 0))
)
*Emissionsfaktoren!K89/1000</f>
        <v>0</v>
      </c>
    </row>
    <row r="464" spans="2:7">
      <c r="B464" s="150">
        <f>'Refsz-Verbräuche'!B90</f>
        <v>73</v>
      </c>
      <c r="C464" s="150" t="str">
        <f>'Refsz-Verbräuche'!C90</f>
        <v>Mobilität 2</v>
      </c>
      <c r="D464" s="150" t="str">
        <f>'Refsz-Verbräuche'!D90</f>
        <v>Pendeln - Motorisierte Zweiräder</v>
      </c>
      <c r="E464" s="169">
        <v>0</v>
      </c>
      <c r="F464" s="169">
        <v>0</v>
      </c>
      <c r="G464" s="168">
        <f>IF(INDEX(Refsz_Verbräuche[[ID]:[2050]],
           MATCH(B464, Refsz_Verbräuche[ID], 0),
           MATCH($C$390, Refsz_Verbräuche[#Headers], 0)) = "",
    0,
    INDEX(Refsz_Verbräuche[[ID]:[2050]],
          MATCH(B464, Refsz_Verbräuche[ID], 0),
          MATCH($C$390, Refsz_Verbräuche[#Headers], 0))
)
*Emissionsfaktoren!K90/1000</f>
        <v>0</v>
      </c>
    </row>
    <row r="465" spans="2:7">
      <c r="B465" s="150">
        <f>'Refsz-Verbräuche'!B91</f>
        <v>74</v>
      </c>
      <c r="C465" s="150" t="str">
        <f>'Refsz-Verbräuche'!C91</f>
        <v>Mobilität 2</v>
      </c>
      <c r="D465" s="150" t="str">
        <f>'Refsz-Verbräuche'!D91</f>
        <v>Pendeln - Fahrrad</v>
      </c>
      <c r="E465" s="169">
        <v>0</v>
      </c>
      <c r="F465" s="169">
        <v>0</v>
      </c>
      <c r="G465" s="168">
        <f>IF(INDEX(Refsz_Verbräuche[[ID]:[2050]],
           MATCH(B465, Refsz_Verbräuche[ID], 0),
           MATCH($C$390, Refsz_Verbräuche[#Headers], 0)) = "",
    0,
    INDEX(Refsz_Verbräuche[[ID]:[2050]],
          MATCH(B465, Refsz_Verbräuche[ID], 0),
          MATCH($C$390, Refsz_Verbräuche[#Headers], 0))
)
*Emissionsfaktoren!K91/1000</f>
        <v>0</v>
      </c>
    </row>
    <row r="466" spans="2:7">
      <c r="B466" s="150">
        <f>'Refsz-Verbräuche'!B92</f>
        <v>75</v>
      </c>
      <c r="C466" s="150" t="str">
        <f>'Refsz-Verbräuche'!C92</f>
        <v>Mobilität 2</v>
      </c>
      <c r="D466" s="150" t="str">
        <f>'Refsz-Verbräuche'!D92</f>
        <v>Pendeln - E-Bike</v>
      </c>
      <c r="E466" s="169">
        <v>0</v>
      </c>
      <c r="F466" s="169">
        <v>0</v>
      </c>
      <c r="G466" s="168">
        <f>IF(INDEX(Refsz_Verbräuche[[ID]:[2050]],
           MATCH(B466, Refsz_Verbräuche[ID], 0),
           MATCH($C$390, Refsz_Verbräuche[#Headers], 0)) = "",
    0,
    INDEX(Refsz_Verbräuche[[ID]:[2050]],
          MATCH(B466, Refsz_Verbräuche[ID], 0),
          MATCH($C$390, Refsz_Verbräuche[#Headers], 0))
)
*Emissionsfaktoren!K92/1000</f>
        <v>0</v>
      </c>
    </row>
    <row r="467" spans="2:7">
      <c r="B467" s="150">
        <f>'Refsz-Verbräuche'!B93</f>
        <v>76</v>
      </c>
      <c r="C467" s="150" t="str">
        <f>'Refsz-Verbräuche'!C93</f>
        <v>Mobilität 2</v>
      </c>
      <c r="D467" s="150" t="str">
        <f>'Refsz-Verbräuche'!D93</f>
        <v>Pendeln - zu Fuß</v>
      </c>
      <c r="E467" s="169">
        <v>0</v>
      </c>
      <c r="F467" s="169">
        <v>0</v>
      </c>
      <c r="G467" s="168">
        <f>IF(INDEX(Refsz_Verbräuche[[ID]:[2050]],
           MATCH(B467, Refsz_Verbräuche[ID], 0),
           MATCH($C$390, Refsz_Verbräuche[#Headers], 0)) = "",
    0,
    INDEX(Refsz_Verbräuche[[ID]:[2050]],
          MATCH(B467, Refsz_Verbräuche[ID], 0),
          MATCH($C$390, Refsz_Verbräuche[#Headers], 0))
)
*Emissionsfaktoren!K93/1000</f>
        <v>0</v>
      </c>
    </row>
    <row r="468" spans="2:7">
      <c r="B468" s="150">
        <f>'Refsz-Verbräuche'!B94</f>
        <v>77</v>
      </c>
      <c r="C468" s="150">
        <f>'Refsz-Verbräuche'!C94</f>
        <v>0</v>
      </c>
      <c r="D468" s="150">
        <f>'Refsz-Verbräuche'!D94</f>
        <v>0</v>
      </c>
      <c r="E468" s="169">
        <v>0</v>
      </c>
      <c r="F468" s="169">
        <v>0</v>
      </c>
      <c r="G468" s="168">
        <f>IF(INDEX(Refsz_Verbräuche[[ID]:[2050]],
           MATCH(B468, Refsz_Verbräuche[ID], 0),
           MATCH($C$390, Refsz_Verbräuche[#Headers], 0)) = "",
    0,
    INDEX(Refsz_Verbräuche[[ID]:[2050]],
          MATCH(B468, Refsz_Verbräuche[ID], 0),
          MATCH($C$390, Refsz_Verbräuche[#Headers], 0))
)
*Emissionsfaktoren!K94/1000</f>
        <v>0</v>
      </c>
    </row>
    <row r="469" spans="2:7">
      <c r="B469" s="150">
        <f>'Refsz-Verbräuche'!B95</f>
        <v>78</v>
      </c>
      <c r="C469" s="150" t="str">
        <f>'Refsz-Verbräuche'!C95</f>
        <v>Mobilität 2</v>
      </c>
      <c r="D469" s="150" t="str">
        <f>'Refsz-Verbräuche'!D95</f>
        <v>Studierendenreisen (Incoming) - Flugreisen</v>
      </c>
      <c r="E469" s="169">
        <v>0</v>
      </c>
      <c r="F469" s="169">
        <v>0</v>
      </c>
      <c r="G469" s="168">
        <f>IF(INDEX(Refsz_Verbräuche[[ID]:[2050]],
           MATCH(B469, Refsz_Verbräuche[ID], 0),
           MATCH($C$390, Refsz_Verbräuche[#Headers], 0)) = "",
    0,
    INDEX(Refsz_Verbräuche[[ID]:[2050]],
          MATCH(B469, Refsz_Verbräuche[ID], 0),
          MATCH($C$390, Refsz_Verbräuche[#Headers], 0))
)
*Emissionsfaktoren!K95/1000</f>
        <v>0</v>
      </c>
    </row>
    <row r="470" spans="2:7">
      <c r="B470" s="150">
        <f>'Refsz-Verbräuche'!B96</f>
        <v>79</v>
      </c>
      <c r="C470" s="150" t="str">
        <f>'Refsz-Verbräuche'!C96</f>
        <v>Mobilität 2</v>
      </c>
      <c r="D470" s="150" t="str">
        <f>'Refsz-Verbräuche'!D96</f>
        <v>Studierendenreisen (Incoming) - Eisenbahn (Nahverkehr)</v>
      </c>
      <c r="E470" s="169">
        <v>0</v>
      </c>
      <c r="F470" s="169">
        <v>0</v>
      </c>
      <c r="G470" s="168">
        <f>IF(INDEX(Refsz_Verbräuche[[ID]:[2050]],
           MATCH(B470, Refsz_Verbräuche[ID], 0),
           MATCH($C$390, Refsz_Verbräuche[#Headers], 0)) = "",
    0,
    INDEX(Refsz_Verbräuche[[ID]:[2050]],
          MATCH(B470, Refsz_Verbräuche[ID], 0),
          MATCH($C$390, Refsz_Verbräuche[#Headers], 0))
)
*Emissionsfaktoren!K96/1000</f>
        <v>0</v>
      </c>
    </row>
    <row r="471" spans="2:7">
      <c r="B471" s="150">
        <f>'Refsz-Verbräuche'!B97</f>
        <v>80</v>
      </c>
      <c r="C471" s="150" t="str">
        <f>'Refsz-Verbräuche'!C97</f>
        <v>Mobilität 2</v>
      </c>
      <c r="D471" s="150" t="str">
        <f>'Refsz-Verbräuche'!D97</f>
        <v>Studierendenreisen (Incoming) - Privater PKW (alle Antriebsarten)</v>
      </c>
      <c r="E471" s="169">
        <v>0</v>
      </c>
      <c r="F471" s="169">
        <v>0</v>
      </c>
      <c r="G471" s="168">
        <f>IF(INDEX(Refsz_Verbräuche[[ID]:[2050]],
           MATCH(B471, Refsz_Verbräuche[ID], 0),
           MATCH($C$390, Refsz_Verbräuche[#Headers], 0)) = "",
    0,
    INDEX(Refsz_Verbräuche[[ID]:[2050]],
          MATCH(B471, Refsz_Verbräuche[ID], 0),
          MATCH($C$390, Refsz_Verbräuche[#Headers], 0))
)
*Emissionsfaktoren!K97/1000</f>
        <v>0</v>
      </c>
    </row>
    <row r="472" spans="2:7">
      <c r="B472" s="150">
        <f>'Refsz-Verbräuche'!B98</f>
        <v>81</v>
      </c>
      <c r="C472" s="150">
        <f>'Refsz-Verbräuche'!C98</f>
        <v>0</v>
      </c>
      <c r="D472" s="150">
        <f>'Refsz-Verbräuche'!D98</f>
        <v>0</v>
      </c>
      <c r="E472" s="169">
        <v>0</v>
      </c>
      <c r="F472" s="169">
        <v>0</v>
      </c>
      <c r="G472" s="168">
        <f>IF(INDEX(Refsz_Verbräuche[[ID]:[2050]],
           MATCH(B472, Refsz_Verbräuche[ID], 0),
           MATCH($C$390, Refsz_Verbräuche[#Headers], 0)) = "",
    0,
    INDEX(Refsz_Verbräuche[[ID]:[2050]],
          MATCH(B472, Refsz_Verbräuche[ID], 0),
          MATCH($C$390, Refsz_Verbräuche[#Headers], 0))
)
*Emissionsfaktoren!K98/1000</f>
        <v>0</v>
      </c>
    </row>
    <row r="473" spans="2:7">
      <c r="B473" s="150">
        <f>'Refsz-Verbräuche'!B99</f>
        <v>82</v>
      </c>
      <c r="C473" s="150" t="str">
        <f>'Refsz-Verbräuche'!C99</f>
        <v>Mobilität 2</v>
      </c>
      <c r="D473" s="150" t="str">
        <f>'Refsz-Verbräuche'!D99</f>
        <v>An- und Abreise von Gästen - Flugreisen</v>
      </c>
      <c r="E473" s="169">
        <v>0</v>
      </c>
      <c r="F473" s="169">
        <v>0</v>
      </c>
      <c r="G473" s="168">
        <f>IF(INDEX(Refsz_Verbräuche[[ID]:[2050]],
           MATCH(B473, Refsz_Verbräuche[ID], 0),
           MATCH($C$390, Refsz_Verbräuche[#Headers], 0)) = "",
    0,
    INDEX(Refsz_Verbräuche[[ID]:[2050]],
          MATCH(B473, Refsz_Verbräuche[ID], 0),
          MATCH($C$390, Refsz_Verbräuche[#Headers], 0))
)
*Emissionsfaktoren!K99/1000</f>
        <v>0</v>
      </c>
    </row>
    <row r="474" spans="2:7">
      <c r="B474" s="150">
        <f>'Refsz-Verbräuche'!B100</f>
        <v>83</v>
      </c>
      <c r="C474" s="150" t="str">
        <f>'Refsz-Verbräuche'!C100</f>
        <v>Mobilität 2</v>
      </c>
      <c r="D474" s="150" t="str">
        <f>'Refsz-Verbräuche'!D100</f>
        <v>An- und Abreise von Gästen - Eisenbahn (Nahverkehr)</v>
      </c>
      <c r="E474" s="169">
        <v>0</v>
      </c>
      <c r="F474" s="169">
        <v>0</v>
      </c>
      <c r="G474" s="168">
        <f>IF(INDEX(Refsz_Verbräuche[[ID]:[2050]],
           MATCH(B474, Refsz_Verbräuche[ID], 0),
           MATCH($C$390, Refsz_Verbräuche[#Headers], 0)) = "",
    0,
    INDEX(Refsz_Verbräuche[[ID]:[2050]],
          MATCH(B474, Refsz_Verbräuche[ID], 0),
          MATCH($C$390, Refsz_Verbräuche[#Headers], 0))
)
*Emissionsfaktoren!K100/1000</f>
        <v>0</v>
      </c>
    </row>
    <row r="475" spans="2:7">
      <c r="B475" s="150">
        <f>'Refsz-Verbräuche'!B101</f>
        <v>84</v>
      </c>
      <c r="C475" s="150" t="str">
        <f>'Refsz-Verbräuche'!C101</f>
        <v>Mobilität 2</v>
      </c>
      <c r="D475" s="150" t="str">
        <f>'Refsz-Verbräuche'!D101</f>
        <v>An- und Abreise von Gästen - Privater PKW (alle Antriebsarten)</v>
      </c>
      <c r="E475" s="169">
        <v>0</v>
      </c>
      <c r="F475" s="169">
        <v>0</v>
      </c>
      <c r="G475" s="168">
        <f>IF(INDEX(Refsz_Verbräuche[[ID]:[2050]],
           MATCH(B475, Refsz_Verbräuche[ID], 0),
           MATCH($C$390, Refsz_Verbräuche[#Headers], 0)) = "",
    0,
    INDEX(Refsz_Verbräuche[[ID]:[2050]],
          MATCH(B475, Refsz_Verbräuche[ID], 0),
          MATCH($C$390, Refsz_Verbräuche[#Headers], 0))
)
*Emissionsfaktoren!K101/1000</f>
        <v>0</v>
      </c>
    </row>
    <row r="476" spans="2:7">
      <c r="B476" s="150">
        <f>'Refsz-Verbräuche'!B102</f>
        <v>85</v>
      </c>
      <c r="C476" s="150">
        <f>'Refsz-Verbräuche'!C102</f>
        <v>0</v>
      </c>
      <c r="D476" s="150">
        <f>'Refsz-Verbräuche'!D102</f>
        <v>0</v>
      </c>
      <c r="E476" s="169">
        <v>0</v>
      </c>
      <c r="F476" s="169">
        <v>0</v>
      </c>
      <c r="G476" s="168">
        <f>IF(INDEX(Refsz_Verbräuche[[ID]:[2050]],
           MATCH(B476, Refsz_Verbräuche[ID], 0),
           MATCH($C$390, Refsz_Verbräuche[#Headers], 0)) = "",
    0,
    INDEX(Refsz_Verbräuche[[ID]:[2050]],
          MATCH(B476, Refsz_Verbräuche[ID], 0),
          MATCH($C$390, Refsz_Verbräuche[#Headers], 0))
)
*Emissionsfaktoren!K102/1000</f>
        <v>0</v>
      </c>
    </row>
    <row r="477" spans="2:7">
      <c r="B477" s="150">
        <f>'Refsz-Verbräuche'!B103</f>
        <v>86</v>
      </c>
      <c r="C477" s="150" t="str">
        <f>'Refsz-Verbräuche'!C103</f>
        <v>Wasser</v>
      </c>
      <c r="D477" s="150" t="str">
        <f>'Refsz-Verbräuche'!D103</f>
        <v>Abwasser</v>
      </c>
      <c r="E477" s="169">
        <v>0</v>
      </c>
      <c r="F477" s="169">
        <v>0</v>
      </c>
      <c r="G477" s="168">
        <f>IF(INDEX(Refsz_Verbräuche[[ID]:[2050]],
           MATCH(B477, Refsz_Verbräuche[ID], 0),
           MATCH($C$390, Refsz_Verbräuche[#Headers], 0)) = "",
    0,
    INDEX(Refsz_Verbräuche[[ID]:[2050]],
          MATCH(B477, Refsz_Verbräuche[ID], 0),
          MATCH($C$390, Refsz_Verbräuche[#Headers], 0))
)
*Emissionsfaktoren!K103/1000</f>
        <v>0</v>
      </c>
    </row>
    <row r="478" spans="2:7">
      <c r="B478" s="150">
        <f>'Refsz-Verbräuche'!B104</f>
        <v>87</v>
      </c>
      <c r="C478" s="150" t="str">
        <f>'Refsz-Verbräuche'!C104</f>
        <v>Wasser</v>
      </c>
      <c r="D478" s="150" t="str">
        <f>'Refsz-Verbräuche'!D104</f>
        <v>Trinkwasser</v>
      </c>
      <c r="E478" s="169">
        <v>0</v>
      </c>
      <c r="F478" s="169">
        <v>0</v>
      </c>
      <c r="G478" s="168">
        <f>IF(INDEX(Refsz_Verbräuche[[ID]:[2050]],
           MATCH(B478, Refsz_Verbräuche[ID], 0),
           MATCH($C$390, Refsz_Verbräuche[#Headers], 0)) = "",
    0,
    INDEX(Refsz_Verbräuche[[ID]:[2050]],
          MATCH(B478, Refsz_Verbräuche[ID], 0),
          MATCH($C$390, Refsz_Verbräuche[#Headers], 0))
)
*Emissionsfaktoren!K104/1000</f>
        <v>0</v>
      </c>
    </row>
    <row r="479" spans="2:7">
      <c r="B479" s="150">
        <f>'Refsz-Verbräuche'!B105</f>
        <v>88</v>
      </c>
      <c r="C479" s="150">
        <f>'Refsz-Verbräuche'!C105</f>
        <v>0</v>
      </c>
      <c r="D479" s="150">
        <f>'Refsz-Verbräuche'!D105</f>
        <v>0</v>
      </c>
      <c r="E479" s="169">
        <v>0</v>
      </c>
      <c r="F479" s="169">
        <v>0</v>
      </c>
      <c r="G479" s="168">
        <f>IF(INDEX(Refsz_Verbräuche[[ID]:[2050]],
           MATCH(B479, Refsz_Verbräuche[ID], 0),
           MATCH($C$390, Refsz_Verbräuche[#Headers], 0)) = "",
    0,
    INDEX(Refsz_Verbräuche[[ID]:[2050]],
          MATCH(B479, Refsz_Verbräuche[ID], 0),
          MATCH($C$390, Refsz_Verbräuche[#Headers], 0))
)
*Emissionsfaktoren!K105/1000</f>
        <v>0</v>
      </c>
    </row>
    <row r="480" spans="2:7">
      <c r="B480" s="150">
        <f>'Refsz-Verbräuche'!B106</f>
        <v>89</v>
      </c>
      <c r="C480" s="150" t="str">
        <f>'Refsz-Verbräuche'!C106</f>
        <v>Waren und Dienstleistungen</v>
      </c>
      <c r="D480" s="150" t="str">
        <f>'Refsz-Verbräuche'!D106</f>
        <v>Recyclingpapier</v>
      </c>
      <c r="E480" s="169">
        <v>0</v>
      </c>
      <c r="F480" s="169">
        <v>0</v>
      </c>
      <c r="G480" s="168">
        <f>IF(INDEX(Refsz_Verbräuche[[ID]:[2050]],
           MATCH(B480, Refsz_Verbräuche[ID], 0),
           MATCH($C$390, Refsz_Verbräuche[#Headers], 0)) = "",
    0,
    INDEX(Refsz_Verbräuche[[ID]:[2050]],
          MATCH(B480, Refsz_Verbräuche[ID], 0),
          MATCH($C$390, Refsz_Verbräuche[#Headers], 0))
)
*Emissionsfaktoren!K106/1000</f>
        <v>0</v>
      </c>
    </row>
    <row r="481" spans="2:7">
      <c r="B481" s="150">
        <f>'Refsz-Verbräuche'!B107</f>
        <v>90</v>
      </c>
      <c r="C481" s="150" t="str">
        <f>'Refsz-Verbräuche'!C107</f>
        <v>Waren und Dienstleistungen</v>
      </c>
      <c r="D481" s="150" t="str">
        <f>'Refsz-Verbräuche'!D107</f>
        <v>Frischfaserpapier</v>
      </c>
      <c r="E481" s="169">
        <v>0</v>
      </c>
      <c r="F481" s="169">
        <v>0</v>
      </c>
      <c r="G481" s="168">
        <f>IF(INDEX(Refsz_Verbräuche[[ID]:[2050]],
           MATCH(B481, Refsz_Verbräuche[ID], 0),
           MATCH($C$390, Refsz_Verbräuche[#Headers], 0)) = "",
    0,
    INDEX(Refsz_Verbräuche[[ID]:[2050]],
          MATCH(B481, Refsz_Verbräuche[ID], 0),
          MATCH($C$390, Refsz_Verbräuche[#Headers], 0))
)
*Emissionsfaktoren!K107/1000</f>
        <v>0</v>
      </c>
    </row>
    <row r="482" spans="2:7">
      <c r="B482" s="150">
        <f>'Refsz-Verbräuche'!B108</f>
        <v>91</v>
      </c>
      <c r="C482" s="150" t="str">
        <f>'Refsz-Verbräuche'!C108</f>
        <v>Waren und Dienstleistungen</v>
      </c>
      <c r="D482" s="150" t="str">
        <f>'Refsz-Verbräuche'!D108</f>
        <v>Toilettenpapier (Recycling)</v>
      </c>
      <c r="E482" s="169">
        <v>0</v>
      </c>
      <c r="F482" s="169">
        <v>0</v>
      </c>
      <c r="G482" s="168">
        <f>IF(INDEX(Refsz_Verbräuche[[ID]:[2050]],
           MATCH(B482, Refsz_Verbräuche[ID], 0),
           MATCH($C$390, Refsz_Verbräuche[#Headers], 0)) = "",
    0,
    INDEX(Refsz_Verbräuche[[ID]:[2050]],
          MATCH(B482, Refsz_Verbräuche[ID], 0),
          MATCH($C$390, Refsz_Verbräuche[#Headers], 0))
)
*Emissionsfaktoren!K108/1000</f>
        <v>0</v>
      </c>
    </row>
    <row r="483" spans="2:7">
      <c r="B483" s="150">
        <f>'Refsz-Verbräuche'!B109</f>
        <v>92</v>
      </c>
      <c r="C483" s="150" t="str">
        <f>'Refsz-Verbräuche'!C109</f>
        <v>Waren und Dienstleistungen</v>
      </c>
      <c r="D483" s="150" t="str">
        <f>'Refsz-Verbräuche'!D109</f>
        <v>Papierhandtücher (Recycling)</v>
      </c>
      <c r="E483" s="169">
        <v>0</v>
      </c>
      <c r="F483" s="169">
        <v>0</v>
      </c>
      <c r="G483" s="168">
        <f>IF(INDEX(Refsz_Verbräuche[[ID]:[2050]],
           MATCH(B483, Refsz_Verbräuche[ID], 0),
           MATCH($C$390, Refsz_Verbräuche[#Headers], 0)) = "",
    0,
    INDEX(Refsz_Verbräuche[[ID]:[2050]],
          MATCH(B483, Refsz_Verbräuche[ID], 0),
          MATCH($C$390, Refsz_Verbräuche[#Headers], 0))
)
*Emissionsfaktoren!K109/1000</f>
        <v>0</v>
      </c>
    </row>
    <row r="484" spans="2:7">
      <c r="B484" s="150">
        <f>'Refsz-Verbräuche'!B110</f>
        <v>93</v>
      </c>
      <c r="C484" s="150">
        <f>'Refsz-Verbräuche'!C110</f>
        <v>0</v>
      </c>
      <c r="D484" s="150">
        <f>'Refsz-Verbräuche'!D110</f>
        <v>0</v>
      </c>
      <c r="E484" s="169">
        <v>0</v>
      </c>
      <c r="F484" s="169">
        <v>0</v>
      </c>
      <c r="G484" s="168">
        <f>IF(INDEX(Refsz_Verbräuche[[ID]:[2050]],
           MATCH(B484, Refsz_Verbräuche[ID], 0),
           MATCH($C$390, Refsz_Verbräuche[#Headers], 0)) = "",
    0,
    INDEX(Refsz_Verbräuche[[ID]:[2050]],
          MATCH(B484, Refsz_Verbräuche[ID], 0),
          MATCH($C$390, Refsz_Verbräuche[#Headers], 0))
)
*Emissionsfaktoren!K110/1000</f>
        <v>0</v>
      </c>
    </row>
    <row r="485" spans="2:7">
      <c r="B485" s="150">
        <f>'Refsz-Verbräuche'!B111</f>
        <v>94</v>
      </c>
      <c r="C485" s="150" t="str">
        <f>'Refsz-Verbräuche'!C111</f>
        <v>Waren und Dienstleistungen</v>
      </c>
      <c r="D485" s="150" t="str">
        <f>'Refsz-Verbräuche'!D111</f>
        <v>Outgesourcte Leistungen des Rechenzentrums</v>
      </c>
      <c r="E485" s="169">
        <v>0</v>
      </c>
      <c r="F485" s="169">
        <v>0</v>
      </c>
      <c r="G485" s="168">
        <f>IF(INDEX(Refsz_Verbräuche[[ID]:[2050]],
           MATCH(B485, Refsz_Verbräuche[ID], 0),
           MATCH($C$390, Refsz_Verbräuche[#Headers], 0)) = "",
    0,
    INDEX(Refsz_Verbräuche[[ID]:[2050]],
          MATCH(B485, Refsz_Verbräuche[ID], 0),
          MATCH($C$390, Refsz_Verbräuche[#Headers], 0))
)
*Emissionsfaktoren!K111/1000</f>
        <v>0</v>
      </c>
    </row>
    <row r="486" spans="2:7">
      <c r="B486" s="150">
        <f>'Refsz-Verbräuche'!B112</f>
        <v>95</v>
      </c>
      <c r="C486" s="150" t="str">
        <f>'Refsz-Verbräuche'!C112</f>
        <v>Waren und Dienstleistungen</v>
      </c>
      <c r="D486" s="150" t="str">
        <f>'Refsz-Verbräuche'!D112</f>
        <v>Beamer</v>
      </c>
      <c r="E486" s="169">
        <v>0</v>
      </c>
      <c r="F486" s="169">
        <v>0</v>
      </c>
      <c r="G486" s="168">
        <f>IF(INDEX(Refsz_Verbräuche[[ID]:[2050]],
           MATCH(B486, Refsz_Verbräuche[ID], 0),
           MATCH($C$390, Refsz_Verbräuche[#Headers], 0)) = "",
    0,
    INDEX(Refsz_Verbräuche[[ID]:[2050]],
          MATCH(B486, Refsz_Verbräuche[ID], 0),
          MATCH($C$390, Refsz_Verbräuche[#Headers], 0))
)
*Emissionsfaktoren!K112/1000</f>
        <v>0</v>
      </c>
    </row>
    <row r="487" spans="2:7">
      <c r="B487" s="150">
        <f>'Refsz-Verbräuche'!B113</f>
        <v>96</v>
      </c>
      <c r="C487" s="150" t="str">
        <f>'Refsz-Verbräuche'!C113</f>
        <v>Waren und Dienstleistungen</v>
      </c>
      <c r="D487" s="150" t="str">
        <f>'Refsz-Verbräuche'!D113</f>
        <v>Notebook/Laptop</v>
      </c>
      <c r="E487" s="169">
        <v>0</v>
      </c>
      <c r="F487" s="169">
        <v>0</v>
      </c>
      <c r="G487" s="168">
        <f>IF(INDEX(Refsz_Verbräuche[[ID]:[2050]],
           MATCH(B487, Refsz_Verbräuche[ID], 0),
           MATCH($C$390, Refsz_Verbräuche[#Headers], 0)) = "",
    0,
    INDEX(Refsz_Verbräuche[[ID]:[2050]],
          MATCH(B487, Refsz_Verbräuche[ID], 0),
          MATCH($C$390, Refsz_Verbräuche[#Headers], 0))
)
*Emissionsfaktoren!K113/1000</f>
        <v>0</v>
      </c>
    </row>
    <row r="488" spans="2:7">
      <c r="B488" s="150">
        <f>'Refsz-Verbräuche'!B114</f>
        <v>97</v>
      </c>
      <c r="C488" s="150" t="str">
        <f>'Refsz-Verbräuche'!C114</f>
        <v>Waren und Dienstleistungen</v>
      </c>
      <c r="D488" s="150" t="str">
        <f>'Refsz-Verbräuche'!D114</f>
        <v>Desktop-PC mit Monitor</v>
      </c>
      <c r="E488" s="169">
        <v>0</v>
      </c>
      <c r="F488" s="169">
        <v>0</v>
      </c>
      <c r="G488" s="168">
        <f>IF(INDEX(Refsz_Verbräuche[[ID]:[2050]],
           MATCH(B488, Refsz_Verbräuche[ID], 0),
           MATCH($C$390, Refsz_Verbräuche[#Headers], 0)) = "",
    0,
    INDEX(Refsz_Verbräuche[[ID]:[2050]],
          MATCH(B488, Refsz_Verbräuche[ID], 0),
          MATCH($C$390, Refsz_Verbräuche[#Headers], 0))
)
*Emissionsfaktoren!K114/1000</f>
        <v>0</v>
      </c>
    </row>
    <row r="489" spans="2:7">
      <c r="B489" s="150">
        <f>'Refsz-Verbräuche'!B115</f>
        <v>98</v>
      </c>
      <c r="C489" s="150" t="str">
        <f>'Refsz-Verbräuche'!C115</f>
        <v>Waren und Dienstleistungen</v>
      </c>
      <c r="D489" s="150" t="str">
        <f>'Refsz-Verbräuche'!D115</f>
        <v>Docking-Station</v>
      </c>
      <c r="E489" s="169">
        <v>0</v>
      </c>
      <c r="F489" s="169">
        <v>0</v>
      </c>
      <c r="G489" s="168">
        <f>IF(INDEX(Refsz_Verbräuche[[ID]:[2050]],
           MATCH(B489, Refsz_Verbräuche[ID], 0),
           MATCH($C$390, Refsz_Verbräuche[#Headers], 0)) = "",
    0,
    INDEX(Refsz_Verbräuche[[ID]:[2050]],
          MATCH(B489, Refsz_Verbräuche[ID], 0),
          MATCH($C$390, Refsz_Verbräuche[#Headers], 0))
)
*Emissionsfaktoren!K115/1000</f>
        <v>0</v>
      </c>
    </row>
    <row r="490" spans="2:7">
      <c r="B490" s="150">
        <f>'Refsz-Verbräuche'!B116</f>
        <v>99</v>
      </c>
      <c r="C490" s="150" t="str">
        <f>'Refsz-Verbräuche'!C116</f>
        <v>Waren und Dienstleistungen</v>
      </c>
      <c r="D490" s="150" t="str">
        <f>'Refsz-Verbräuche'!D116</f>
        <v>Laserdrucker</v>
      </c>
      <c r="E490" s="169">
        <v>0</v>
      </c>
      <c r="F490" s="169">
        <v>0</v>
      </c>
      <c r="G490" s="168">
        <f>IF(INDEX(Refsz_Verbräuche[[ID]:[2050]],
           MATCH(B490, Refsz_Verbräuche[ID], 0),
           MATCH($C$390, Refsz_Verbräuche[#Headers], 0)) = "",
    0,
    INDEX(Refsz_Verbräuche[[ID]:[2050]],
          MATCH(B490, Refsz_Verbräuche[ID], 0),
          MATCH($C$390, Refsz_Verbräuche[#Headers], 0))
)
*Emissionsfaktoren!K116/1000</f>
        <v>0</v>
      </c>
    </row>
    <row r="491" spans="2:7">
      <c r="B491" s="150">
        <f>'Refsz-Verbräuche'!B117</f>
        <v>100</v>
      </c>
      <c r="C491" s="150" t="str">
        <f>'Refsz-Verbräuche'!C117</f>
        <v>Waren und Dienstleistungen</v>
      </c>
      <c r="D491" s="150" t="str">
        <f>'Refsz-Verbräuche'!D117</f>
        <v>Multifunktionsdrucker klein (31 x 44 x 42 cm)</v>
      </c>
      <c r="E491" s="169">
        <v>0</v>
      </c>
      <c r="F491" s="169">
        <v>0</v>
      </c>
      <c r="G491" s="168">
        <f>IF(INDEX(Refsz_Verbräuche[[ID]:[2050]],
           MATCH(B491, Refsz_Verbräuche[ID], 0),
           MATCH($C$390, Refsz_Verbräuche[#Headers], 0)) = "",
    0,
    INDEX(Refsz_Verbräuche[[ID]:[2050]],
          MATCH(B491, Refsz_Verbräuche[ID], 0),
          MATCH($C$390, Refsz_Verbräuche[#Headers], 0))
)
*Emissionsfaktoren!K117/1000</f>
        <v>0</v>
      </c>
    </row>
    <row r="492" spans="2:7">
      <c r="B492" s="150">
        <f>'Refsz-Verbräuche'!B118</f>
        <v>101</v>
      </c>
      <c r="C492" s="150" t="str">
        <f>'Refsz-Verbräuche'!C118</f>
        <v>Waren und Dienstleistungen</v>
      </c>
      <c r="D492" s="150" t="str">
        <f>'Refsz-Verbräuche'!D118</f>
        <v>Multifunktionsdrucker mittel (54 x 56 x 52 cm)</v>
      </c>
      <c r="E492" s="169">
        <v>0</v>
      </c>
      <c r="F492" s="169">
        <v>0</v>
      </c>
      <c r="G492" s="168">
        <f>IF(INDEX(Refsz_Verbräuche[[ID]:[2050]],
           MATCH(B492, Refsz_Verbräuche[ID], 0),
           MATCH($C$390, Refsz_Verbräuche[#Headers], 0)) = "",
    0,
    INDEX(Refsz_Verbräuche[[ID]:[2050]],
          MATCH(B492, Refsz_Verbräuche[ID], 0),
          MATCH($C$390, Refsz_Verbräuche[#Headers], 0))
)
*Emissionsfaktoren!K118/1000</f>
        <v>0</v>
      </c>
    </row>
    <row r="493" spans="2:7">
      <c r="B493" s="150">
        <f>'Refsz-Verbräuche'!B119</f>
        <v>102</v>
      </c>
      <c r="C493" s="150" t="str">
        <f>'Refsz-Verbräuche'!C119</f>
        <v>Waren und Dienstleistungen</v>
      </c>
      <c r="D493" s="150" t="str">
        <f>'Refsz-Verbräuche'!D119</f>
        <v>Multifunktionsdrucker groß (114 x 65 x 59 cm)</v>
      </c>
      <c r="E493" s="169">
        <v>0</v>
      </c>
      <c r="F493" s="169">
        <v>0</v>
      </c>
      <c r="G493" s="168">
        <f>IF(INDEX(Refsz_Verbräuche[[ID]:[2050]],
           MATCH(B493, Refsz_Verbräuche[ID], 0),
           MATCH($C$390, Refsz_Verbräuche[#Headers], 0)) = "",
    0,
    INDEX(Refsz_Verbräuche[[ID]:[2050]],
          MATCH(B493, Refsz_Verbräuche[ID], 0),
          MATCH($C$390, Refsz_Verbräuche[#Headers], 0))
)
*Emissionsfaktoren!K119/1000</f>
        <v>0</v>
      </c>
    </row>
    <row r="494" spans="2:7">
      <c r="B494" s="150">
        <f>'Refsz-Verbräuche'!B120</f>
        <v>103</v>
      </c>
      <c r="C494" s="150" t="str">
        <f>'Refsz-Verbräuche'!C120</f>
        <v>Waren und Dienstleistungen</v>
      </c>
      <c r="D494" s="150" t="str">
        <f>'Refsz-Verbräuche'!D120</f>
        <v>Toner</v>
      </c>
      <c r="E494" s="169">
        <v>0</v>
      </c>
      <c r="F494" s="169">
        <v>0</v>
      </c>
      <c r="G494" s="168">
        <f>IF(INDEX(Refsz_Verbräuche[[ID]:[2050]],
           MATCH(B494, Refsz_Verbräuche[ID], 0),
           MATCH($C$390, Refsz_Verbräuche[#Headers], 0)) = "",
    0,
    INDEX(Refsz_Verbräuche[[ID]:[2050]],
          MATCH(B494, Refsz_Verbräuche[ID], 0),
          MATCH($C$390, Refsz_Verbräuche[#Headers], 0))
)
*Emissionsfaktoren!K120/1000</f>
        <v>0</v>
      </c>
    </row>
    <row r="495" spans="2:7">
      <c r="B495" s="150">
        <f>'Refsz-Verbräuche'!B121</f>
        <v>104</v>
      </c>
      <c r="C495" s="150">
        <f>'Refsz-Verbräuche'!C121</f>
        <v>0</v>
      </c>
      <c r="D495" s="150">
        <f>'Refsz-Verbräuche'!D121</f>
        <v>0</v>
      </c>
      <c r="E495" s="169">
        <v>0</v>
      </c>
      <c r="F495" s="169">
        <v>0</v>
      </c>
      <c r="G495" s="168">
        <f>IF(INDEX(Refsz_Verbräuche[[ID]:[2050]],
           MATCH(B495, Refsz_Verbräuche[ID], 0),
           MATCH($C$390, Refsz_Verbräuche[#Headers], 0)) = "",
    0,
    INDEX(Refsz_Verbräuche[[ID]:[2050]],
          MATCH(B495, Refsz_Verbräuche[ID], 0),
          MATCH($C$390, Refsz_Verbräuche[#Headers], 0))
)
*Emissionsfaktoren!K121/1000</f>
        <v>0</v>
      </c>
    </row>
    <row r="496" spans="2:7">
      <c r="B496" s="150">
        <f>'Refsz-Verbräuche'!B122</f>
        <v>105</v>
      </c>
      <c r="C496" s="150" t="str">
        <f>'Refsz-Verbräuche'!C122</f>
        <v>Abfall</v>
      </c>
      <c r="D496" s="150" t="str">
        <f>'Refsz-Verbräuche'!D122</f>
        <v>Bioabfall, Grünschnitt (Kompostierung)</v>
      </c>
      <c r="E496" s="169">
        <v>0</v>
      </c>
      <c r="F496" s="169">
        <v>0</v>
      </c>
      <c r="G496" s="168">
        <f>IF(INDEX(Refsz_Verbräuche[[ID]:[2050]],
           MATCH(B496, Refsz_Verbräuche[ID], 0),
           MATCH($C$390, Refsz_Verbräuche[#Headers], 0)) = "",
    0,
    INDEX(Refsz_Verbräuche[[ID]:[2050]],
          MATCH(B496, Refsz_Verbräuche[ID], 0),
          MATCH($C$390, Refsz_Verbräuche[#Headers], 0))
)
*Emissionsfaktoren!K122/1000</f>
        <v>0</v>
      </c>
    </row>
    <row r="497" spans="2:7">
      <c r="B497" s="150">
        <f>'Refsz-Verbräuche'!B123</f>
        <v>106</v>
      </c>
      <c r="C497" s="150" t="str">
        <f>'Refsz-Verbräuche'!C123</f>
        <v>Abfall</v>
      </c>
      <c r="D497" s="150" t="str">
        <f>'Refsz-Verbräuche'!D123</f>
        <v>Bioabfall (Verbrennung)</v>
      </c>
      <c r="E497" s="169">
        <v>0</v>
      </c>
      <c r="F497" s="169">
        <v>0</v>
      </c>
      <c r="G497" s="168">
        <f>IF(INDEX(Refsz_Verbräuche[[ID]:[2050]],
           MATCH(B497, Refsz_Verbräuche[ID], 0),
           MATCH($C$390, Refsz_Verbräuche[#Headers], 0)) = "",
    0,
    INDEX(Refsz_Verbräuche[[ID]:[2050]],
          MATCH(B497, Refsz_Verbräuche[ID], 0),
          MATCH($C$390, Refsz_Verbräuche[#Headers], 0))
)
*Emissionsfaktoren!K123/1000</f>
        <v>0</v>
      </c>
    </row>
    <row r="498" spans="2:7">
      <c r="B498" s="150">
        <f>'Refsz-Verbräuche'!B124</f>
        <v>107</v>
      </c>
      <c r="C498" s="150" t="str">
        <f>'Refsz-Verbräuche'!C124</f>
        <v>Abfall</v>
      </c>
      <c r="D498" s="150" t="str">
        <f>'Refsz-Verbräuche'!D124</f>
        <v>Papierabfall</v>
      </c>
      <c r="E498" s="169">
        <v>0</v>
      </c>
      <c r="F498" s="169">
        <v>0</v>
      </c>
      <c r="G498" s="168">
        <f>IF(INDEX(Refsz_Verbräuche[[ID]:[2050]],
           MATCH(B498, Refsz_Verbräuche[ID], 0),
           MATCH($C$390, Refsz_Verbräuche[#Headers], 0)) = "",
    0,
    INDEX(Refsz_Verbräuche[[ID]:[2050]],
          MATCH(B498, Refsz_Verbräuche[ID], 0),
          MATCH($C$390, Refsz_Verbräuche[#Headers], 0))
)
*Emissionsfaktoren!K124/1000</f>
        <v>0</v>
      </c>
    </row>
    <row r="499" spans="2:7">
      <c r="B499" s="150">
        <f>'Refsz-Verbräuche'!B125</f>
        <v>108</v>
      </c>
      <c r="C499" s="150" t="str">
        <f>'Refsz-Verbräuche'!C125</f>
        <v>Abfall</v>
      </c>
      <c r="D499" s="150" t="str">
        <f>'Refsz-Verbräuche'!D125</f>
        <v>Plastik- und Verpackungsabfall</v>
      </c>
      <c r="E499" s="169">
        <v>0</v>
      </c>
      <c r="F499" s="169">
        <v>0</v>
      </c>
      <c r="G499" s="168">
        <f>IF(INDEX(Refsz_Verbräuche[[ID]:[2050]],
           MATCH(B499, Refsz_Verbräuche[ID], 0),
           MATCH($C$390, Refsz_Verbräuche[#Headers], 0)) = "",
    0,
    INDEX(Refsz_Verbräuche[[ID]:[2050]],
          MATCH(B499, Refsz_Verbräuche[ID], 0),
          MATCH($C$390, Refsz_Verbräuche[#Headers], 0))
)
*Emissionsfaktoren!K125/1000</f>
        <v>0</v>
      </c>
    </row>
    <row r="500" spans="2:7">
      <c r="B500" s="150">
        <f>'Refsz-Verbräuche'!B126</f>
        <v>109</v>
      </c>
      <c r="C500" s="150" t="str">
        <f>'Refsz-Verbräuche'!C126</f>
        <v>Abfall</v>
      </c>
      <c r="D500" s="150" t="str">
        <f>'Refsz-Verbräuche'!D126</f>
        <v>Restmüll</v>
      </c>
      <c r="E500" s="169">
        <v>0</v>
      </c>
      <c r="F500" s="169">
        <v>0</v>
      </c>
      <c r="G500" s="168">
        <f>IF(INDEX(Refsz_Verbräuche[[ID]:[2050]],
           MATCH(B500, Refsz_Verbräuche[ID], 0),
           MATCH($C$390, Refsz_Verbräuche[#Headers], 0)) = "",
    0,
    INDEX(Refsz_Verbräuche[[ID]:[2050]],
          MATCH(B500, Refsz_Verbräuche[ID], 0),
          MATCH($C$390, Refsz_Verbräuche[#Headers], 0))
)
*Emissionsfaktoren!K126/1000</f>
        <v>0</v>
      </c>
    </row>
    <row r="501" spans="2:7">
      <c r="B501" s="150">
        <f>'Refsz-Verbräuche'!B127</f>
        <v>110</v>
      </c>
      <c r="C501" s="150" t="str">
        <f>'Refsz-Verbräuche'!C127</f>
        <v>Abfall</v>
      </c>
      <c r="D501" s="150" t="str">
        <f>'Refsz-Verbräuche'!D127</f>
        <v>Sperrmüll</v>
      </c>
      <c r="E501" s="169">
        <v>0</v>
      </c>
      <c r="F501" s="169">
        <v>0</v>
      </c>
      <c r="G501" s="168">
        <f>IF(INDEX(Refsz_Verbräuche[[ID]:[2050]],
           MATCH(B501, Refsz_Verbräuche[ID], 0),
           MATCH($C$390, Refsz_Verbräuche[#Headers], 0)) = "",
    0,
    INDEX(Refsz_Verbräuche[[ID]:[2050]],
          MATCH(B501, Refsz_Verbräuche[ID], 0),
          MATCH($C$390, Refsz_Verbräuche[#Headers], 0))
)
*Emissionsfaktoren!K127/1000</f>
        <v>0</v>
      </c>
    </row>
    <row r="502" spans="2:7">
      <c r="B502" s="150">
        <f>'Refsz-Verbräuche'!B128</f>
        <v>111</v>
      </c>
      <c r="C502" s="150" t="str">
        <f>'Refsz-Verbräuche'!C128</f>
        <v>Abfall</v>
      </c>
      <c r="D502" s="150" t="str">
        <f>'Refsz-Verbräuche'!D128</f>
        <v>Altholz</v>
      </c>
      <c r="E502" s="169">
        <v>0</v>
      </c>
      <c r="F502" s="169">
        <v>0</v>
      </c>
      <c r="G502" s="168">
        <f>IF(INDEX(Refsz_Verbräuche[[ID]:[2050]],
           MATCH(B502, Refsz_Verbräuche[ID], 0),
           MATCH($C$390, Refsz_Verbräuche[#Headers], 0)) = "",
    0,
    INDEX(Refsz_Verbräuche[[ID]:[2050]],
          MATCH(B502, Refsz_Verbräuche[ID], 0),
          MATCH($C$390, Refsz_Verbräuche[#Headers], 0))
)
*Emissionsfaktoren!K128/1000</f>
        <v>0</v>
      </c>
    </row>
    <row r="503" spans="2:7">
      <c r="B503" s="150">
        <f>'Refsz-Verbräuche'!B129</f>
        <v>112</v>
      </c>
      <c r="C503" s="150" t="str">
        <f>'Refsz-Verbräuche'!C129</f>
        <v>Abfall</v>
      </c>
      <c r="D503" s="150" t="str">
        <f>'Refsz-Verbräuche'!D129</f>
        <v>Altglas</v>
      </c>
      <c r="E503" s="169">
        <v>0</v>
      </c>
      <c r="F503" s="169">
        <v>0</v>
      </c>
      <c r="G503" s="168">
        <f>IF(INDEX(Refsz_Verbräuche[[ID]:[2050]],
           MATCH(B503, Refsz_Verbräuche[ID], 0),
           MATCH($C$390, Refsz_Verbräuche[#Headers], 0)) = "",
    0,
    INDEX(Refsz_Verbräuche[[ID]:[2050]],
          MATCH(B503, Refsz_Verbräuche[ID], 0),
          MATCH($C$390, Refsz_Verbräuche[#Headers], 0))
)
*Emissionsfaktoren!K129/1000</f>
        <v>0</v>
      </c>
    </row>
    <row r="504" spans="2:7">
      <c r="B504" s="150">
        <f>'Refsz-Verbräuche'!B130</f>
        <v>113</v>
      </c>
      <c r="C504" s="150" t="str">
        <f>'Refsz-Verbräuche'!C130</f>
        <v>Abfall</v>
      </c>
      <c r="D504" s="150" t="str">
        <f>'Refsz-Verbräuche'!D130</f>
        <v>E-Großgeräte (Abfall)</v>
      </c>
      <c r="E504" s="169">
        <v>0</v>
      </c>
      <c r="F504" s="169">
        <v>0</v>
      </c>
      <c r="G504" s="168">
        <f>IF(INDEX(Refsz_Verbräuche[[ID]:[2050]],
           MATCH(B504, Refsz_Verbräuche[ID], 0),
           MATCH($C$390, Refsz_Verbräuche[#Headers], 0)) = "",
    0,
    INDEX(Refsz_Verbräuche[[ID]:[2050]],
          MATCH(B504, Refsz_Verbräuche[ID], 0),
          MATCH($C$390, Refsz_Verbräuche[#Headers], 0))
)
*Emissionsfaktoren!K130/1000</f>
        <v>0</v>
      </c>
    </row>
    <row r="505" spans="2:7">
      <c r="B505" s="150">
        <f>'Refsz-Verbräuche'!B131</f>
        <v>114</v>
      </c>
      <c r="C505" s="150" t="str">
        <f>'Refsz-Verbräuche'!C131</f>
        <v>Abfall</v>
      </c>
      <c r="D505" s="150" t="str">
        <f>'Refsz-Verbräuche'!D131</f>
        <v>Metalle (Abfall)</v>
      </c>
      <c r="E505" s="169">
        <v>0</v>
      </c>
      <c r="F505" s="169">
        <v>0</v>
      </c>
      <c r="G505" s="168">
        <f>IF(INDEX(Refsz_Verbräuche[[ID]:[2050]],
           MATCH(B505, Refsz_Verbräuche[ID], 0),
           MATCH($C$390, Refsz_Verbräuche[#Headers], 0)) = "",
    0,
    INDEX(Refsz_Verbräuche[[ID]:[2050]],
          MATCH(B505, Refsz_Verbräuche[ID], 0),
          MATCH($C$390, Refsz_Verbräuche[#Headers], 0))
)
*Emissionsfaktoren!K131/1000</f>
        <v>0</v>
      </c>
    </row>
    <row r="506" spans="2:7">
      <c r="B506" s="150">
        <f>'Refsz-Verbräuche'!B132</f>
        <v>115</v>
      </c>
      <c r="C506" s="150" t="str">
        <f>'Refsz-Verbräuche'!C132</f>
        <v>Abfall</v>
      </c>
      <c r="D506" s="150" t="str">
        <f>'Refsz-Verbräuche'!D132</f>
        <v>Bauschutt</v>
      </c>
      <c r="E506" s="169">
        <v>0</v>
      </c>
      <c r="F506" s="169">
        <v>0</v>
      </c>
      <c r="G506" s="168">
        <f>IF(INDEX(Refsz_Verbräuche[[ID]:[2050]],
           MATCH(B506, Refsz_Verbräuche[ID], 0),
           MATCH($C$390, Refsz_Verbräuche[#Headers], 0)) = "",
    0,
    INDEX(Refsz_Verbräuche[[ID]:[2050]],
          MATCH(B506, Refsz_Verbräuche[ID], 0),
          MATCH($C$390, Refsz_Verbräuche[#Headers], 0))
)
*Emissionsfaktoren!K132/1000</f>
        <v>0</v>
      </c>
    </row>
    <row r="507" spans="2:7">
      <c r="B507" s="150">
        <f>'Refsz-Verbräuche'!B133</f>
        <v>116</v>
      </c>
      <c r="C507" s="150">
        <f>'Refsz-Verbräuche'!C133</f>
        <v>0</v>
      </c>
      <c r="D507" s="150">
        <f>'Refsz-Verbräuche'!D133</f>
        <v>0</v>
      </c>
      <c r="E507" s="169">
        <v>0</v>
      </c>
      <c r="F507" s="169">
        <v>0</v>
      </c>
      <c r="G507" s="168">
        <f>IF(INDEX(Refsz_Verbräuche[[ID]:[2050]],
           MATCH(B507, Refsz_Verbräuche[ID], 0),
           MATCH($C$390, Refsz_Verbräuche[#Headers], 0)) = "",
    0,
    INDEX(Refsz_Verbräuche[[ID]:[2050]],
          MATCH(B507, Refsz_Verbräuche[ID], 0),
          MATCH($C$390, Refsz_Verbräuche[#Headers], 0))
)
*Emissionsfaktoren!K133/1000</f>
        <v>0</v>
      </c>
    </row>
    <row r="508" spans="2:7">
      <c r="B508" s="150">
        <f>'Refsz-Verbräuche'!B134</f>
        <v>117</v>
      </c>
      <c r="C508" s="150" t="str">
        <f>'Refsz-Verbräuche'!C134</f>
        <v>Baugüter</v>
      </c>
      <c r="D508" s="150" t="str">
        <f>'Refsz-Verbräuche'!D134</f>
        <v>Branntkalk</v>
      </c>
      <c r="E508" s="169">
        <v>0</v>
      </c>
      <c r="F508" s="169">
        <v>0</v>
      </c>
      <c r="G508" s="168">
        <f>IF(INDEX(Refsz_Verbräuche[[ID]:[2050]],
           MATCH(B508, Refsz_Verbräuche[ID], 0),
           MATCH($C$390, Refsz_Verbräuche[#Headers], 0)) = "",
    0,
    INDEX(Refsz_Verbräuche[[ID]:[2050]],
          MATCH(B508, Refsz_Verbräuche[ID], 0),
          MATCH($C$390, Refsz_Verbräuche[#Headers], 0))
)
*Emissionsfaktoren!K134/1000</f>
        <v>0</v>
      </c>
    </row>
    <row r="509" spans="2:7">
      <c r="B509" s="150">
        <f>'Refsz-Verbräuche'!B135</f>
        <v>118</v>
      </c>
      <c r="C509" s="150" t="str">
        <f>'Refsz-Verbräuche'!C135</f>
        <v>Baugüter</v>
      </c>
      <c r="D509" s="150" t="str">
        <f>'Refsz-Verbräuche'!D135</f>
        <v>Gips</v>
      </c>
      <c r="E509" s="169">
        <v>0</v>
      </c>
      <c r="F509" s="169">
        <v>0</v>
      </c>
      <c r="G509" s="168">
        <f>IF(INDEX(Refsz_Verbräuche[[ID]:[2050]],
           MATCH(B509, Refsz_Verbräuche[ID], 0),
           MATCH($C$390, Refsz_Verbräuche[#Headers], 0)) = "",
    0,
    INDEX(Refsz_Verbräuche[[ID]:[2050]],
          MATCH(B509, Refsz_Verbräuche[ID], 0),
          MATCH($C$390, Refsz_Verbräuche[#Headers], 0))
)
*Emissionsfaktoren!K135/1000</f>
        <v>0</v>
      </c>
    </row>
    <row r="510" spans="2:7">
      <c r="B510" s="150">
        <f>'Refsz-Verbräuche'!B136</f>
        <v>119</v>
      </c>
      <c r="C510" s="150" t="str">
        <f>'Refsz-Verbräuche'!C136</f>
        <v>Baugüter</v>
      </c>
      <c r="D510" s="150" t="str">
        <f>'Refsz-Verbräuche'!D136</f>
        <v>Gipsplatte</v>
      </c>
      <c r="E510" s="169">
        <v>0</v>
      </c>
      <c r="F510" s="169">
        <v>0</v>
      </c>
      <c r="G510" s="168">
        <f>IF(INDEX(Refsz_Verbräuche[[ID]:[2050]],
           MATCH(B510, Refsz_Verbräuche[ID], 0),
           MATCH($C$390, Refsz_Verbräuche[#Headers], 0)) = "",
    0,
    INDEX(Refsz_Verbräuche[[ID]:[2050]],
          MATCH(B510, Refsz_Verbräuche[ID], 0),
          MATCH($C$390, Refsz_Verbräuche[#Headers], 0))
)
*Emissionsfaktoren!K136/1000</f>
        <v>0</v>
      </c>
    </row>
    <row r="511" spans="2:7">
      <c r="B511" s="150">
        <f>'Refsz-Verbräuche'!B137</f>
        <v>120</v>
      </c>
      <c r="C511" s="150" t="str">
        <f>'Refsz-Verbräuche'!C137</f>
        <v>Baugüter</v>
      </c>
      <c r="D511" s="150" t="str">
        <f>'Refsz-Verbräuche'!D137</f>
        <v>Glas (flach)</v>
      </c>
      <c r="E511" s="169">
        <v>0</v>
      </c>
      <c r="F511" s="169">
        <v>0</v>
      </c>
      <c r="G511" s="168">
        <f>IF(INDEX(Refsz_Verbräuche[[ID]:[2050]],
           MATCH(B511, Refsz_Verbräuche[ID], 0),
           MATCH($C$390, Refsz_Verbräuche[#Headers], 0)) = "",
    0,
    INDEX(Refsz_Verbräuche[[ID]:[2050]],
          MATCH(B511, Refsz_Verbräuche[ID], 0),
          MATCH($C$390, Refsz_Verbräuche[#Headers], 0))
)
*Emissionsfaktoren!K137/1000</f>
        <v>0</v>
      </c>
    </row>
    <row r="512" spans="2:7">
      <c r="B512" s="150">
        <f>'Refsz-Verbräuche'!B138</f>
        <v>121</v>
      </c>
      <c r="C512" s="150" t="str">
        <f>'Refsz-Verbräuche'!C138</f>
        <v>Baugüter</v>
      </c>
      <c r="D512" s="150" t="str">
        <f>'Refsz-Verbräuche'!D138</f>
        <v>Gussasphalt</v>
      </c>
      <c r="E512" s="169">
        <v>0</v>
      </c>
      <c r="F512" s="169">
        <v>0</v>
      </c>
      <c r="G512" s="168">
        <f>IF(INDEX(Refsz_Verbräuche[[ID]:[2050]],
           MATCH(B512, Refsz_Verbräuche[ID], 0),
           MATCH($C$390, Refsz_Verbräuche[#Headers], 0)) = "",
    0,
    INDEX(Refsz_Verbräuche[[ID]:[2050]],
          MATCH(B512, Refsz_Verbräuche[ID], 0),
          MATCH($C$390, Refsz_Verbräuche[#Headers], 0))
)
*Emissionsfaktoren!K138/1000</f>
        <v>0</v>
      </c>
    </row>
    <row r="513" spans="2:7">
      <c r="B513" s="150">
        <f>'Refsz-Verbräuche'!B139</f>
        <v>122</v>
      </c>
      <c r="C513" s="150" t="str">
        <f>'Refsz-Verbräuche'!C139</f>
        <v>Baugüter</v>
      </c>
      <c r="D513" s="150" t="str">
        <f>'Refsz-Verbräuche'!D139</f>
        <v>Kalksandstein</v>
      </c>
      <c r="E513" s="169">
        <v>0</v>
      </c>
      <c r="F513" s="169">
        <v>0</v>
      </c>
      <c r="G513" s="168">
        <f>IF(INDEX(Refsz_Verbräuche[[ID]:[2050]],
           MATCH(B513, Refsz_Verbräuche[ID], 0),
           MATCH($C$390, Refsz_Verbräuche[#Headers], 0)) = "",
    0,
    INDEX(Refsz_Verbräuche[[ID]:[2050]],
          MATCH(B513, Refsz_Verbräuche[ID], 0),
          MATCH($C$390, Refsz_Verbräuche[#Headers], 0))
)
*Emissionsfaktoren!K139/1000</f>
        <v>0</v>
      </c>
    </row>
    <row r="514" spans="2:7">
      <c r="B514" s="150">
        <f>'Refsz-Verbräuche'!B140</f>
        <v>123</v>
      </c>
      <c r="C514" s="150" t="str">
        <f>'Refsz-Verbräuche'!C140</f>
        <v>Baugüter</v>
      </c>
      <c r="D514" s="150" t="str">
        <f>'Refsz-Verbräuche'!D140</f>
        <v>Porenbetonstein</v>
      </c>
      <c r="E514" s="169">
        <v>0</v>
      </c>
      <c r="F514" s="169">
        <v>0</v>
      </c>
      <c r="G514" s="168">
        <f>IF(INDEX(Refsz_Verbräuche[[ID]:[2050]],
           MATCH(B514, Refsz_Verbräuche[ID], 0),
           MATCH($C$390, Refsz_Verbräuche[#Headers], 0)) = "",
    0,
    INDEX(Refsz_Verbräuche[[ID]:[2050]],
          MATCH(B514, Refsz_Verbräuche[ID], 0),
          MATCH($C$390, Refsz_Verbräuche[#Headers], 0))
)
*Emissionsfaktoren!K140/1000</f>
        <v>0</v>
      </c>
    </row>
    <row r="515" spans="2:7">
      <c r="B515" s="150">
        <f>'Refsz-Verbräuche'!B141</f>
        <v>124</v>
      </c>
      <c r="C515" s="150" t="str">
        <f>'Refsz-Verbräuche'!C141</f>
        <v>Baugüter</v>
      </c>
      <c r="D515" s="150" t="str">
        <f>'Refsz-Verbräuche'!D141</f>
        <v>Steinwolle</v>
      </c>
      <c r="E515" s="169">
        <v>0</v>
      </c>
      <c r="F515" s="169">
        <v>0</v>
      </c>
      <c r="G515" s="168">
        <f>IF(INDEX(Refsz_Verbräuche[[ID]:[2050]],
           MATCH(B515, Refsz_Verbräuche[ID], 0),
           MATCH($C$390, Refsz_Verbräuche[#Headers], 0)) = "",
    0,
    INDEX(Refsz_Verbräuche[[ID]:[2050]],
          MATCH(B515, Refsz_Verbräuche[ID], 0),
          MATCH($C$390, Refsz_Verbräuche[#Headers], 0))
)
*Emissionsfaktoren!K141/1000</f>
        <v>0</v>
      </c>
    </row>
    <row r="516" spans="2:7">
      <c r="B516" s="150">
        <f>'Refsz-Verbräuche'!B142</f>
        <v>125</v>
      </c>
      <c r="C516" s="150" t="str">
        <f>'Refsz-Verbräuche'!C142</f>
        <v>Baugüter</v>
      </c>
      <c r="D516" s="150" t="str">
        <f>'Refsz-Verbräuche'!D142</f>
        <v>Tonziegel (fürs Dach)</v>
      </c>
      <c r="E516" s="169">
        <v>0</v>
      </c>
      <c r="F516" s="169">
        <v>0</v>
      </c>
      <c r="G516" s="168">
        <f>IF(INDEX(Refsz_Verbräuche[[ID]:[2050]],
           MATCH(B516, Refsz_Verbräuche[ID], 0),
           MATCH($C$390, Refsz_Verbräuche[#Headers], 0)) = "",
    0,
    INDEX(Refsz_Verbräuche[[ID]:[2050]],
          MATCH(B516, Refsz_Verbräuche[ID], 0),
          MATCH($C$390, Refsz_Verbräuche[#Headers], 0))
)
*Emissionsfaktoren!K142/1000</f>
        <v>0</v>
      </c>
    </row>
    <row r="517" spans="2:7">
      <c r="B517" s="150">
        <f>'Refsz-Verbräuche'!B143</f>
        <v>126</v>
      </c>
      <c r="C517" s="150" t="str">
        <f>'Refsz-Verbräuche'!C143</f>
        <v>Baugüter</v>
      </c>
      <c r="D517" s="150" t="str">
        <f>'Refsz-Verbräuche'!D143</f>
        <v>Zement (Portland)</v>
      </c>
      <c r="E517" s="169">
        <v>0</v>
      </c>
      <c r="F517" s="169">
        <v>0</v>
      </c>
      <c r="G517" s="168">
        <f>IF(INDEX(Refsz_Verbräuche[[ID]:[2050]],
           MATCH(B517, Refsz_Verbräuche[ID], 0),
           MATCH($C$390, Refsz_Verbräuche[#Headers], 0)) = "",
    0,
    INDEX(Refsz_Verbräuche[[ID]:[2050]],
          MATCH(B517, Refsz_Verbräuche[ID], 0),
          MATCH($C$390, Refsz_Verbräuche[#Headers], 0))
)
*Emissionsfaktoren!K143/1000</f>
        <v>0</v>
      </c>
    </row>
    <row r="518" spans="2:7">
      <c r="B518" s="150">
        <f>'Refsz-Verbräuche'!B144</f>
        <v>127</v>
      </c>
      <c r="C518" s="150" t="str">
        <f>'Refsz-Verbräuche'!C144</f>
        <v>Baugüter</v>
      </c>
      <c r="D518" s="150" t="str">
        <f>'Refsz-Verbräuche'!D144</f>
        <v>Kies</v>
      </c>
      <c r="E518" s="169">
        <v>0</v>
      </c>
      <c r="F518" s="169">
        <v>0</v>
      </c>
      <c r="G518" s="168">
        <f>IF(INDEX(Refsz_Verbräuche[[ID]:[2050]],
           MATCH(B518, Refsz_Verbräuche[ID], 0),
           MATCH($C$390, Refsz_Verbräuche[#Headers], 0)) = "",
    0,
    INDEX(Refsz_Verbräuche[[ID]:[2050]],
          MATCH(B518, Refsz_Verbräuche[ID], 0),
          MATCH($C$390, Refsz_Verbräuche[#Headers], 0))
)
*Emissionsfaktoren!K144/1000</f>
        <v>0</v>
      </c>
    </row>
    <row r="519" spans="2:7">
      <c r="B519" s="150">
        <f>'Refsz-Verbräuche'!B145</f>
        <v>128</v>
      </c>
      <c r="C519" s="150" t="str">
        <f>'Refsz-Verbräuche'!C145</f>
        <v>Baugüter</v>
      </c>
      <c r="D519" s="150" t="str">
        <f>'Refsz-Verbräuche'!D145</f>
        <v>Sand</v>
      </c>
      <c r="E519" s="169">
        <v>0</v>
      </c>
      <c r="F519" s="169">
        <v>0</v>
      </c>
      <c r="G519" s="168">
        <f>IF(INDEX(Refsz_Verbräuche[[ID]:[2050]],
           MATCH(B519, Refsz_Verbräuche[ID], 0),
           MATCH($C$390, Refsz_Verbräuche[#Headers], 0)) = "",
    0,
    INDEX(Refsz_Verbräuche[[ID]:[2050]],
          MATCH(B519, Refsz_Verbräuche[ID], 0),
          MATCH($C$390, Refsz_Verbräuche[#Headers], 0))
)
*Emissionsfaktoren!K145/1000</f>
        <v>0</v>
      </c>
    </row>
    <row r="520" spans="2:7">
      <c r="B520" s="150">
        <f>'Refsz-Verbräuche'!B146</f>
        <v>129</v>
      </c>
      <c r="C520" s="150" t="str">
        <f>'Refsz-Verbräuche'!C146</f>
        <v>Baugüter</v>
      </c>
      <c r="D520" s="150" t="str">
        <f>'Refsz-Verbräuche'!D146</f>
        <v>Kupferdraht</v>
      </c>
      <c r="E520" s="169">
        <v>0</v>
      </c>
      <c r="F520" s="169">
        <v>0</v>
      </c>
      <c r="G520" s="168">
        <f>IF(INDEX(Refsz_Verbräuche[[ID]:[2050]],
           MATCH(B520, Refsz_Verbräuche[ID], 0),
           MATCH($C$390, Refsz_Verbräuche[#Headers], 0)) = "",
    0,
    INDEX(Refsz_Verbräuche[[ID]:[2050]],
          MATCH(B520, Refsz_Verbräuche[ID], 0),
          MATCH($C$390, Refsz_Verbräuche[#Headers], 0))
)
*Emissionsfaktoren!K146/1000</f>
        <v>0</v>
      </c>
    </row>
    <row r="521" spans="2:7">
      <c r="B521" s="150">
        <f>'Refsz-Verbräuche'!B147</f>
        <v>130</v>
      </c>
      <c r="C521" s="150" t="str">
        <f>'Refsz-Verbräuche'!C147</f>
        <v>Baugüter</v>
      </c>
      <c r="D521" s="150" t="str">
        <f>'Refsz-Verbräuche'!D147</f>
        <v>Kupferrohr</v>
      </c>
      <c r="E521" s="169">
        <v>0</v>
      </c>
      <c r="F521" s="169">
        <v>0</v>
      </c>
      <c r="G521" s="168">
        <f>IF(INDEX(Refsz_Verbräuche[[ID]:[2050]],
           MATCH(B521, Refsz_Verbräuche[ID], 0),
           MATCH($C$390, Refsz_Verbräuche[#Headers], 0)) = "",
    0,
    INDEX(Refsz_Verbräuche[[ID]:[2050]],
          MATCH(B521, Refsz_Verbräuche[ID], 0),
          MATCH($C$390, Refsz_Verbräuche[#Headers], 0))
)
*Emissionsfaktoren!K147/1000</f>
        <v>0</v>
      </c>
    </row>
    <row r="522" spans="2:7">
      <c r="B522" s="150">
        <f>'Refsz-Verbräuche'!B148</f>
        <v>131</v>
      </c>
      <c r="C522" s="150" t="str">
        <f>'Refsz-Verbräuche'!C148</f>
        <v>Baugüter</v>
      </c>
      <c r="D522" s="150" t="str">
        <f>'Refsz-Verbräuche'!D148</f>
        <v>Stahl-Blech</v>
      </c>
      <c r="E522" s="169">
        <v>0</v>
      </c>
      <c r="F522" s="169">
        <v>0</v>
      </c>
      <c r="G522" s="168">
        <f>IF(INDEX(Refsz_Verbräuche[[ID]:[2050]],
           MATCH(B522, Refsz_Verbräuche[ID], 0),
           MATCH($C$390, Refsz_Verbräuche[#Headers], 0)) = "",
    0,
    INDEX(Refsz_Verbräuche[[ID]:[2050]],
          MATCH(B522, Refsz_Verbräuche[ID], 0),
          MATCH($C$390, Refsz_Verbräuche[#Headers], 0))
)
*Emissionsfaktoren!K148/1000</f>
        <v>0</v>
      </c>
    </row>
    <row r="523" spans="2:7">
      <c r="B523" s="150">
        <f>'Refsz-Verbräuche'!B149</f>
        <v>132</v>
      </c>
      <c r="C523" s="150" t="str">
        <f>'Refsz-Verbräuche'!C149</f>
        <v>Baugüter</v>
      </c>
      <c r="D523" s="150" t="str">
        <f>'Refsz-Verbräuche'!D149</f>
        <v>Stahl-Blech verzinkt</v>
      </c>
      <c r="E523" s="169">
        <v>0</v>
      </c>
      <c r="F523" s="169">
        <v>0</v>
      </c>
      <c r="G523" s="168">
        <f>IF(INDEX(Refsz_Verbräuche[[ID]:[2050]],
           MATCH(B523, Refsz_Verbräuche[ID], 0),
           MATCH($C$390, Refsz_Verbräuche[#Headers], 0)) = "",
    0,
    INDEX(Refsz_Verbräuche[[ID]:[2050]],
          MATCH(B523, Refsz_Verbräuche[ID], 0),
          MATCH($C$390, Refsz_Verbräuche[#Headers], 0))
)
*Emissionsfaktoren!K149/1000</f>
        <v>0</v>
      </c>
    </row>
    <row r="524" spans="2:7">
      <c r="B524" s="150">
        <f>'Refsz-Verbräuche'!B150</f>
        <v>133</v>
      </c>
      <c r="C524" s="150" t="str">
        <f>'Refsz-Verbräuche'!C150</f>
        <v>Baugüter</v>
      </c>
      <c r="D524" s="150" t="str">
        <f>'Refsz-Verbräuche'!D150</f>
        <v>Stahl-Elektro</v>
      </c>
      <c r="E524" s="169">
        <v>0</v>
      </c>
      <c r="F524" s="169">
        <v>0</v>
      </c>
      <c r="G524" s="168">
        <f>IF(INDEX(Refsz_Verbräuche[[ID]:[2050]],
           MATCH(B524, Refsz_Verbräuche[ID], 0),
           MATCH($C$390, Refsz_Verbräuche[#Headers], 0)) = "",
    0,
    INDEX(Refsz_Verbräuche[[ID]:[2050]],
          MATCH(B524, Refsz_Verbräuche[ID], 0),
          MATCH($C$390, Refsz_Verbräuche[#Headers], 0))
)
*Emissionsfaktoren!K150/1000</f>
        <v>0</v>
      </c>
    </row>
    <row r="525" spans="2:7">
      <c r="B525" s="150">
        <f>'Refsz-Verbräuche'!B151</f>
        <v>134</v>
      </c>
      <c r="C525" s="150" t="str">
        <f>'Refsz-Verbräuche'!C151</f>
        <v>Baugüter</v>
      </c>
      <c r="D525" s="150" t="str">
        <f>'Refsz-Verbräuche'!D151</f>
        <v>Stahl-mix</v>
      </c>
      <c r="E525" s="169">
        <v>0</v>
      </c>
      <c r="F525" s="169">
        <v>0</v>
      </c>
      <c r="G525" s="168">
        <f>IF(INDEX(Refsz_Verbräuche[[ID]:[2050]],
           MATCH(B525, Refsz_Verbräuche[ID], 0),
           MATCH($C$390, Refsz_Verbräuche[#Headers], 0)) = "",
    0,
    INDEX(Refsz_Verbräuche[[ID]:[2050]],
          MATCH(B525, Refsz_Verbräuche[ID], 0),
          MATCH($C$390, Refsz_Verbräuche[#Headers], 0))
)
*Emissionsfaktoren!K151/1000</f>
        <v>0</v>
      </c>
    </row>
    <row r="526" spans="2:7">
      <c r="B526" s="150">
        <f>'Refsz-Verbräuche'!B152</f>
        <v>135</v>
      </c>
      <c r="C526" s="150" t="str">
        <f>'Refsz-Verbräuche'!C152</f>
        <v>Baugüter</v>
      </c>
      <c r="D526" s="150" t="str">
        <f>'Refsz-Verbräuche'!D152</f>
        <v>Beton</v>
      </c>
      <c r="E526" s="169">
        <v>0</v>
      </c>
      <c r="F526" s="169">
        <v>0</v>
      </c>
      <c r="G526" s="168">
        <f>IF(INDEX(Refsz_Verbräuche[[ID]:[2050]],
           MATCH(B526, Refsz_Verbräuche[ID], 0),
           MATCH($C$390, Refsz_Verbräuche[#Headers], 0)) = "",
    0,
    INDEX(Refsz_Verbräuche[[ID]:[2050]],
          MATCH(B526, Refsz_Verbräuche[ID], 0),
          MATCH($C$390, Refsz_Verbräuche[#Headers], 0))
)
*Emissionsfaktoren!K152/1000</f>
        <v>0</v>
      </c>
    </row>
    <row r="527" spans="2:7">
      <c r="B527" s="150">
        <f>'Refsz-Verbräuche'!B153</f>
        <v>136</v>
      </c>
      <c r="C527" s="150" t="str">
        <f>'Refsz-Verbräuche'!C153</f>
        <v>Baugüter</v>
      </c>
      <c r="D527" s="150" t="str">
        <f>'Refsz-Verbräuche'!D153</f>
        <v>Glaswolle</v>
      </c>
      <c r="E527" s="169">
        <v>0</v>
      </c>
      <c r="F527" s="169">
        <v>0</v>
      </c>
      <c r="G527" s="168">
        <f>IF(INDEX(Refsz_Verbräuche[[ID]:[2050]],
           MATCH(B527, Refsz_Verbräuche[ID], 0),
           MATCH($C$390, Refsz_Verbräuche[#Headers], 0)) = "",
    0,
    INDEX(Refsz_Verbräuche[[ID]:[2050]],
          MATCH(B527, Refsz_Verbräuche[ID], 0),
          MATCH($C$390, Refsz_Verbräuche[#Headers], 0))
)
*Emissionsfaktoren!K153/1000</f>
        <v>0</v>
      </c>
    </row>
    <row r="528" spans="2:7">
      <c r="B528" s="150">
        <f>'Refsz-Verbräuche'!B154</f>
        <v>137</v>
      </c>
      <c r="C528" s="150" t="str">
        <f>'Refsz-Verbräuche'!C154</f>
        <v>Baugüter</v>
      </c>
      <c r="D528" s="150" t="str">
        <f>'Refsz-Verbräuche'!D154</f>
        <v>Konstruktionsvollholz</v>
      </c>
      <c r="E528" s="169">
        <v>0</v>
      </c>
      <c r="F528" s="169">
        <v>0</v>
      </c>
      <c r="G528" s="168">
        <f>IF(INDEX(Refsz_Verbräuche[[ID]:[2050]],
           MATCH(B528, Refsz_Verbräuche[ID], 0),
           MATCH($C$390, Refsz_Verbräuche[#Headers], 0)) = "",
    0,
    INDEX(Refsz_Verbräuche[[ID]:[2050]],
          MATCH(B528, Refsz_Verbräuche[ID], 0),
          MATCH($C$390, Refsz_Verbräuche[#Headers], 0))
)
*Emissionsfaktoren!K154/1000</f>
        <v>0</v>
      </c>
    </row>
    <row r="529" spans="2:7">
      <c r="B529" s="150">
        <f>'Refsz-Verbräuche'!B155</f>
        <v>138</v>
      </c>
      <c r="C529" s="150" t="str">
        <f>'Refsz-Verbräuche'!C155</f>
        <v>Baugüter</v>
      </c>
      <c r="D529" s="150" t="str">
        <f>'Refsz-Verbräuche'!D155</f>
        <v>Spanplatte</v>
      </c>
      <c r="E529" s="169">
        <v>0</v>
      </c>
      <c r="F529" s="169">
        <v>0</v>
      </c>
      <c r="G529" s="168">
        <f>IF(INDEX(Refsz_Verbräuche[[ID]:[2050]],
           MATCH(B529, Refsz_Verbräuche[ID], 0),
           MATCH($C$390, Refsz_Verbräuche[#Headers], 0)) = "",
    0,
    INDEX(Refsz_Verbräuche[[ID]:[2050]],
          MATCH(B529, Refsz_Verbräuche[ID], 0),
          MATCH($C$390, Refsz_Verbräuche[#Headers], 0))
)
*Emissionsfaktoren!K155/1000</f>
        <v>0</v>
      </c>
    </row>
    <row r="530" spans="2:7">
      <c r="B530" s="150">
        <f>'Refsz-Verbräuche'!B156</f>
        <v>139</v>
      </c>
      <c r="C530" s="150" t="str">
        <f>'Refsz-Verbräuche'!C156</f>
        <v>Baugüter</v>
      </c>
      <c r="D530" s="150" t="str">
        <f>'Refsz-Verbräuche'!D156</f>
        <v>Perlit</v>
      </c>
      <c r="E530" s="169">
        <v>0</v>
      </c>
      <c r="F530" s="169">
        <v>0</v>
      </c>
      <c r="G530" s="168">
        <f>IF(INDEX(Refsz_Verbräuche[[ID]:[2050]],
           MATCH(B530, Refsz_Verbräuche[ID], 0),
           MATCH($C$390, Refsz_Verbräuche[#Headers], 0)) = "",
    0,
    INDEX(Refsz_Verbräuche[[ID]:[2050]],
          MATCH(B530, Refsz_Verbräuche[ID], 0),
          MATCH($C$390, Refsz_Verbräuche[#Headers], 0))
)
*Emissionsfaktoren!K156/1000</f>
        <v>0</v>
      </c>
    </row>
    <row r="531" spans="2:7">
      <c r="B531" s="150">
        <f>'Refsz-Verbräuche'!B157</f>
        <v>140</v>
      </c>
      <c r="C531" s="150" t="str">
        <f>'Refsz-Verbräuche'!C157</f>
        <v>Baugüter</v>
      </c>
      <c r="D531" s="150" t="str">
        <f>'Refsz-Verbräuche'!D157</f>
        <v>Stahlbeton Fertigteil Decke (20cm Dicke)</v>
      </c>
      <c r="E531" s="169">
        <v>0</v>
      </c>
      <c r="F531" s="169">
        <v>0</v>
      </c>
      <c r="G531" s="168">
        <f>IF(INDEX(Refsz_Verbräuche[[ID]:[2050]],
           MATCH(B531, Refsz_Verbräuche[ID], 0),
           MATCH($C$390, Refsz_Verbräuche[#Headers], 0)) = "",
    0,
    INDEX(Refsz_Verbräuche[[ID]:[2050]],
          MATCH(B531, Refsz_Verbräuche[ID], 0),
          MATCH($C$390, Refsz_Verbräuche[#Headers], 0))
)
*Emissionsfaktoren!K157/1000</f>
        <v>0</v>
      </c>
    </row>
    <row r="532" spans="2:7">
      <c r="B532" s="150">
        <f>'Refsz-Verbräuche'!B158</f>
        <v>141</v>
      </c>
      <c r="C532" s="150" t="str">
        <f>'Refsz-Verbräuche'!C158</f>
        <v>Baugüter</v>
      </c>
      <c r="D532" s="150" t="str">
        <f>'Refsz-Verbräuche'!D158</f>
        <v>Stahlbeton Fertigteil Wand (12cm Dicke)</v>
      </c>
      <c r="E532" s="169">
        <v>0</v>
      </c>
      <c r="F532" s="169">
        <v>0</v>
      </c>
      <c r="G532" s="168">
        <f>IF(INDEX(Refsz_Verbräuche[[ID]:[2050]],
           MATCH(B532, Refsz_Verbräuche[ID], 0),
           MATCH($C$390, Refsz_Verbräuche[#Headers], 0)) = "",
    0,
    INDEX(Refsz_Verbräuche[[ID]:[2050]],
          MATCH(B532, Refsz_Verbräuche[ID], 0),
          MATCH($C$390, Refsz_Verbräuche[#Headers], 0))
)
*Emissionsfaktoren!K158/1000</f>
        <v>0</v>
      </c>
    </row>
    <row r="533" spans="2:7">
      <c r="B533" s="150">
        <f>'Refsz-Verbräuche'!B159</f>
        <v>142</v>
      </c>
      <c r="C533" s="150" t="str">
        <f>'Refsz-Verbräuche'!C159</f>
        <v>Baugüter</v>
      </c>
      <c r="D533" s="150" t="str">
        <f>'Refsz-Verbräuche'!D159</f>
        <v xml:space="preserve">Stahlbeton Fertigteil Treppe (1,1 m Breite, 9 Stufen a 16 cm) </v>
      </c>
      <c r="E533" s="169">
        <v>0</v>
      </c>
      <c r="F533" s="169">
        <v>0</v>
      </c>
      <c r="G533" s="168">
        <f>IF(INDEX(Refsz_Verbräuche[[ID]:[2050]],
           MATCH(B533, Refsz_Verbräuche[ID], 0),
           MATCH($C$390, Refsz_Verbräuche[#Headers], 0)) = "",
    0,
    INDEX(Refsz_Verbräuche[[ID]:[2050]],
          MATCH(B533, Refsz_Verbräuche[ID], 0),
          MATCH($C$390, Refsz_Verbräuche[#Headers], 0))
)
*Emissionsfaktoren!K159/1000</f>
        <v>0</v>
      </c>
    </row>
    <row r="534" spans="2:7">
      <c r="B534" s="150">
        <f>'Refsz-Verbräuche'!B160</f>
        <v>143</v>
      </c>
      <c r="C534" s="150" t="str">
        <f>'Refsz-Verbräuche'!C160</f>
        <v>Baugüter</v>
      </c>
      <c r="D534" s="150" t="str">
        <f>'Refsz-Verbräuche'!D160</f>
        <v>Mineralwolle</v>
      </c>
      <c r="E534" s="169">
        <v>0</v>
      </c>
      <c r="F534" s="169">
        <v>0</v>
      </c>
      <c r="G534" s="168">
        <f>IF(INDEX(Refsz_Verbräuche[[ID]:[2050]],
           MATCH(B534, Refsz_Verbräuche[ID], 0),
           MATCH($C$390, Refsz_Verbräuche[#Headers], 0)) = "",
    0,
    INDEX(Refsz_Verbräuche[[ID]:[2050]],
          MATCH(B534, Refsz_Verbräuche[ID], 0),
          MATCH($C$390, Refsz_Verbräuche[#Headers], 0))
)
*Emissionsfaktoren!K160/1000</f>
        <v>0</v>
      </c>
    </row>
    <row r="535" spans="2:7">
      <c r="B535" s="150">
        <f>'Refsz-Verbräuche'!B161</f>
        <v>144</v>
      </c>
      <c r="C535" s="150" t="str">
        <f>'Refsz-Verbräuche'!C161</f>
        <v>Baugüter</v>
      </c>
      <c r="D535" s="150" t="str">
        <f>'Refsz-Verbräuche'!D161</f>
        <v>Mauerziegel (ungefüllt)</v>
      </c>
      <c r="E535" s="169">
        <v>0</v>
      </c>
      <c r="F535" s="169">
        <v>0</v>
      </c>
      <c r="G535" s="168">
        <f>IF(INDEX(Refsz_Verbräuche[[ID]:[2050]],
           MATCH(B535, Refsz_Verbräuche[ID], 0),
           MATCH($C$390, Refsz_Verbräuche[#Headers], 0)) = "",
    0,
    INDEX(Refsz_Verbräuche[[ID]:[2050]],
          MATCH(B535, Refsz_Verbräuche[ID], 0),
          MATCH($C$390, Refsz_Verbräuche[#Headers], 0))
)
*Emissionsfaktoren!K161/1000</f>
        <v>0</v>
      </c>
    </row>
    <row r="536" spans="2:7">
      <c r="B536" s="150">
        <f>'Refsz-Verbräuche'!B162</f>
        <v>145</v>
      </c>
      <c r="C536" s="150">
        <f>'Refsz-Verbräuche'!C162</f>
        <v>0</v>
      </c>
      <c r="D536" s="150">
        <f>'Refsz-Verbräuche'!D162</f>
        <v>0</v>
      </c>
      <c r="E536" s="169">
        <v>0</v>
      </c>
      <c r="F536" s="169">
        <v>0</v>
      </c>
      <c r="G536" s="168">
        <f>IF(INDEX(Refsz_Verbräuche[[ID]:[2050]],
           MATCH(B536, Refsz_Verbräuche[ID], 0),
           MATCH($C$390, Refsz_Verbräuche[#Headers], 0)) = "",
    0,
    INDEX(Refsz_Verbräuche[[ID]:[2050]],
          MATCH(B536, Refsz_Verbräuche[ID], 0),
          MATCH($C$390, Refsz_Verbräuche[#Headers], 0))
)
*Emissionsfaktoren!K162/1000</f>
        <v>0</v>
      </c>
    </row>
    <row r="537" spans="2:7">
      <c r="B537" s="150">
        <f>'Refsz-Verbräuche'!B163</f>
        <v>146</v>
      </c>
      <c r="C537" s="150" t="str">
        <f>'Refsz-Verbräuche'!C163</f>
        <v>Waren mit negativem GWP total</v>
      </c>
      <c r="D537" s="150" t="str">
        <f>'Refsz-Verbräuche'!D163</f>
        <v>Holzfaserdämmpatte (flexibe Matte)</v>
      </c>
      <c r="E537" s="169">
        <v>0</v>
      </c>
      <c r="F537" s="169">
        <v>0</v>
      </c>
      <c r="G537" s="168">
        <f>IF(INDEX(Refsz_Verbräuche[[ID]:[2050]],
           MATCH(B537, Refsz_Verbräuche[ID], 0),
           MATCH($C$390, Refsz_Verbräuche[#Headers], 0)) = "",
    0,
    INDEX(Refsz_Verbräuche[[ID]:[2050]],
          MATCH(B537, Refsz_Verbräuche[ID], 0),
          MATCH($C$390, Refsz_Verbräuche[#Headers], 0))
)
*Emissionsfaktoren!K163/1000</f>
        <v>0</v>
      </c>
    </row>
    <row r="538" spans="2:7">
      <c r="B538" s="150">
        <f>'Refsz-Verbräuche'!B164</f>
        <v>147</v>
      </c>
      <c r="C538" s="150">
        <f>'Refsz-Verbräuche'!C164</f>
        <v>0</v>
      </c>
      <c r="D538" s="150">
        <f>'Refsz-Verbräuche'!D164</f>
        <v>0</v>
      </c>
      <c r="E538" s="169">
        <v>0</v>
      </c>
      <c r="F538" s="169">
        <v>0</v>
      </c>
      <c r="G538" s="168">
        <f>IF(INDEX(Refsz_Verbräuche[[ID]:[2050]],
           MATCH(B538, Refsz_Verbräuche[ID], 0),
           MATCH($C$390, Refsz_Verbräuche[#Headers], 0)) = "",
    0,
    INDEX(Refsz_Verbräuche[[ID]:[2050]],
          MATCH(B538, Refsz_Verbräuche[ID], 0),
          MATCH($C$390, Refsz_Verbräuche[#Headers], 0))
)
*Emissionsfaktoren!K164/1000</f>
        <v>0</v>
      </c>
    </row>
    <row r="539" spans="2:7">
      <c r="B539" s="150">
        <f>'Refsz-Verbräuche'!B165</f>
        <v>148</v>
      </c>
      <c r="C539" s="150" t="str">
        <f>'Refsz-Verbräuche'!C165</f>
        <v>Kompensation</v>
      </c>
      <c r="D539" s="150" t="str">
        <f>'Refsz-Verbräuche'!D165</f>
        <v>Kompensation</v>
      </c>
      <c r="E539" s="169">
        <v>0</v>
      </c>
      <c r="F539" s="169">
        <v>0</v>
      </c>
      <c r="G539" s="168">
        <f>IF(INDEX(Refsz_Verbräuche[[ID]:[2050]],
           MATCH(B539, Refsz_Verbräuche[ID], 0),
           MATCH($C$390, Refsz_Verbräuche[#Headers], 0)) = "",
    0,
    INDEX(Refsz_Verbräuche[[ID]:[2050]],
          MATCH(B539, Refsz_Verbräuche[ID], 0),
          MATCH($C$390, Refsz_Verbräuche[#Headers], 0))
)
*Emissionsfaktoren!K165/1000</f>
        <v>0</v>
      </c>
    </row>
    <row r="540" spans="2:7">
      <c r="B540" s="150">
        <f>'Refsz-Verbräuche'!B166</f>
        <v>149</v>
      </c>
      <c r="C540" s="150">
        <f>'Refsz-Verbräuche'!C166</f>
        <v>0</v>
      </c>
      <c r="D540" s="150">
        <f>'Refsz-Verbräuche'!D166</f>
        <v>0</v>
      </c>
      <c r="E540" s="169">
        <v>0</v>
      </c>
      <c r="F540" s="169">
        <v>0</v>
      </c>
      <c r="G540" s="168">
        <f>IF(INDEX(Refsz_Verbräuche[[ID]:[2050]],
           MATCH(B540, Refsz_Verbräuche[ID], 0),
           MATCH($C$390, Refsz_Verbräuche[#Headers], 0)) = "",
    0,
    INDEX(Refsz_Verbräuche[[ID]:[2050]],
          MATCH(B540, Refsz_Verbräuche[ID], 0),
          MATCH($C$390, Refsz_Verbräuche[#Headers], 0))
)
*Emissionsfaktoren!K166/1000</f>
        <v>0</v>
      </c>
    </row>
    <row r="541" spans="2:7">
      <c r="B541" s="150">
        <f>'Refsz-Verbräuche'!B167</f>
        <v>150</v>
      </c>
      <c r="C541" s="150">
        <f>'Refsz-Verbräuche'!C167</f>
        <v>0</v>
      </c>
      <c r="D541" s="150">
        <f>'Refsz-Verbräuche'!D167</f>
        <v>0</v>
      </c>
      <c r="E541" s="169">
        <v>0</v>
      </c>
      <c r="F541" s="169">
        <v>0</v>
      </c>
      <c r="G541" s="168">
        <f>IF(INDEX(Refsz_Verbräuche[[ID]:[2050]],
           MATCH(B541, Refsz_Verbräuche[ID], 0),
           MATCH($C$390, Refsz_Verbräuche[#Headers], 0)) = "",
    0,
    INDEX(Refsz_Verbräuche[[ID]:[2050]],
          MATCH(B541, Refsz_Verbräuche[ID], 0),
          MATCH($C$390, Refsz_Verbräuche[#Headers], 0))
)
*Emissionsfaktoren!K167/1000</f>
        <v>0</v>
      </c>
    </row>
    <row r="542" spans="2:7">
      <c r="B542" s="150">
        <f>'Refsz-Verbräuche'!B168</f>
        <v>151</v>
      </c>
      <c r="C542" s="150">
        <f>'Refsz-Verbräuche'!C168</f>
        <v>0</v>
      </c>
      <c r="D542" s="150">
        <f>'Refsz-Verbräuche'!D168</f>
        <v>0</v>
      </c>
      <c r="E542" s="169">
        <v>0</v>
      </c>
      <c r="F542" s="169">
        <v>0</v>
      </c>
      <c r="G542" s="168">
        <f>IF(INDEX(Refsz_Verbräuche[[ID]:[2050]],
           MATCH(B542, Refsz_Verbräuche[ID], 0),
           MATCH($C$390, Refsz_Verbräuche[#Headers], 0)) = "",
    0,
    INDEX(Refsz_Verbräuche[[ID]:[2050]],
          MATCH(B542, Refsz_Verbräuche[ID], 0),
          MATCH($C$390, Refsz_Verbräuche[#Headers], 0))
)
*Emissionsfaktoren!K168/1000</f>
        <v>0</v>
      </c>
    </row>
    <row r="543" spans="2:7">
      <c r="B543" s="150">
        <f>'Refsz-Verbräuche'!B169</f>
        <v>152</v>
      </c>
      <c r="C543" s="150">
        <f>'Refsz-Verbräuche'!C169</f>
        <v>0</v>
      </c>
      <c r="D543" s="150">
        <f>'Refsz-Verbräuche'!D169</f>
        <v>0</v>
      </c>
      <c r="E543" s="169">
        <v>0</v>
      </c>
      <c r="F543" s="169">
        <v>0</v>
      </c>
      <c r="G543" s="168">
        <f>IF(INDEX(Refsz_Verbräuche[[ID]:[2050]],
           MATCH(B543, Refsz_Verbräuche[ID], 0),
           MATCH($C$390, Refsz_Verbräuche[#Headers], 0)) = "",
    0,
    INDEX(Refsz_Verbräuche[[ID]:[2050]],
          MATCH(B543, Refsz_Verbräuche[ID], 0),
          MATCH($C$390, Refsz_Verbräuche[#Headers], 0))
)
*Emissionsfaktoren!K169/1000</f>
        <v>0</v>
      </c>
    </row>
    <row r="544" spans="2:7">
      <c r="B544" s="150">
        <f>'Refsz-Verbräuche'!B170</f>
        <v>153</v>
      </c>
      <c r="C544" s="150">
        <f>'Refsz-Verbräuche'!C170</f>
        <v>0</v>
      </c>
      <c r="D544" s="150">
        <f>'Refsz-Verbräuche'!D170</f>
        <v>0</v>
      </c>
      <c r="E544" s="169">
        <v>0</v>
      </c>
      <c r="F544" s="169">
        <v>0</v>
      </c>
      <c r="G544" s="168">
        <f>IF(INDEX(Refsz_Verbräuche[[ID]:[2050]],
           MATCH(B544, Refsz_Verbräuche[ID], 0),
           MATCH($C$390, Refsz_Verbräuche[#Headers], 0)) = "",
    0,
    INDEX(Refsz_Verbräuche[[ID]:[2050]],
          MATCH(B544, Refsz_Verbräuche[ID], 0),
          MATCH($C$390, Refsz_Verbräuche[#Headers], 0))
)
*Emissionsfaktoren!K170/1000</f>
        <v>0</v>
      </c>
    </row>
    <row r="545" spans="2:7">
      <c r="B545" s="150">
        <f>'Refsz-Verbräuche'!B171</f>
        <v>154</v>
      </c>
      <c r="C545" s="150">
        <f>'Refsz-Verbräuche'!C171</f>
        <v>0</v>
      </c>
      <c r="D545" s="150">
        <f>'Refsz-Verbräuche'!D171</f>
        <v>0</v>
      </c>
      <c r="E545" s="169">
        <v>0</v>
      </c>
      <c r="F545" s="169">
        <v>0</v>
      </c>
      <c r="G545" s="168">
        <f>IF(INDEX(Refsz_Verbräuche[[ID]:[2050]],
           MATCH(B545, Refsz_Verbräuche[ID], 0),
           MATCH($C$390, Refsz_Verbräuche[#Headers], 0)) = "",
    0,
    INDEX(Refsz_Verbräuche[[ID]:[2050]],
          MATCH(B545, Refsz_Verbräuche[ID], 0),
          MATCH($C$390, Refsz_Verbräuche[#Headers], 0))
)
*Emissionsfaktoren!K171/1000</f>
        <v>0</v>
      </c>
    </row>
    <row r="546" spans="2:7">
      <c r="B546" s="150">
        <f>'Refsz-Verbräuche'!B172</f>
        <v>155</v>
      </c>
      <c r="C546" s="150">
        <f>'Refsz-Verbräuche'!C172</f>
        <v>0</v>
      </c>
      <c r="D546" s="150">
        <f>'Refsz-Verbräuche'!D172</f>
        <v>0</v>
      </c>
      <c r="E546" s="169">
        <v>0</v>
      </c>
      <c r="F546" s="169">
        <v>0</v>
      </c>
      <c r="G546" s="168">
        <f>IF(INDEX(Refsz_Verbräuche[[ID]:[2050]],
           MATCH(B546, Refsz_Verbräuche[ID], 0),
           MATCH($C$390, Refsz_Verbräuche[#Headers], 0)) = "",
    0,
    INDEX(Refsz_Verbräuche[[ID]:[2050]],
          MATCH(B546, Refsz_Verbräuche[ID], 0),
          MATCH($C$390, Refsz_Verbräuche[#Headers], 0))
)
*Emissionsfaktoren!K172/1000</f>
        <v>0</v>
      </c>
    </row>
    <row r="547" spans="2:7">
      <c r="B547" s="150">
        <f>'Refsz-Verbräuche'!B173</f>
        <v>156</v>
      </c>
      <c r="C547" s="150">
        <f>'Refsz-Verbräuche'!C173</f>
        <v>0</v>
      </c>
      <c r="D547" s="150">
        <f>'Refsz-Verbräuche'!D173</f>
        <v>0</v>
      </c>
      <c r="E547" s="169">
        <v>0</v>
      </c>
      <c r="F547" s="169">
        <v>0</v>
      </c>
      <c r="G547" s="168">
        <f>IF(INDEX(Refsz_Verbräuche[[ID]:[2050]],
           MATCH(B547, Refsz_Verbräuche[ID], 0),
           MATCH($C$390, Refsz_Verbräuche[#Headers], 0)) = "",
    0,
    INDEX(Refsz_Verbräuche[[ID]:[2050]],
          MATCH(B547, Refsz_Verbräuche[ID], 0),
          MATCH($C$390, Refsz_Verbräuche[#Headers], 0))
)
*Emissionsfaktoren!K173/1000</f>
        <v>0</v>
      </c>
    </row>
    <row r="548" spans="2:7">
      <c r="B548" s="150">
        <f>'Refsz-Verbräuche'!B174</f>
        <v>157</v>
      </c>
      <c r="C548" s="150">
        <f>'Refsz-Verbräuche'!C174</f>
        <v>0</v>
      </c>
      <c r="D548" s="150">
        <f>'Refsz-Verbräuche'!D174</f>
        <v>0</v>
      </c>
      <c r="E548" s="169">
        <v>0</v>
      </c>
      <c r="F548" s="169">
        <v>0</v>
      </c>
      <c r="G548" s="168">
        <f>IF(INDEX(Refsz_Verbräuche[[ID]:[2050]],
           MATCH(B548, Refsz_Verbräuche[ID], 0),
           MATCH($C$390, Refsz_Verbräuche[#Headers], 0)) = "",
    0,
    INDEX(Refsz_Verbräuche[[ID]:[2050]],
          MATCH(B548, Refsz_Verbräuche[ID], 0),
          MATCH($C$390, Refsz_Verbräuche[#Headers], 0))
)
*Emissionsfaktoren!K174/1000</f>
        <v>0</v>
      </c>
    </row>
    <row r="549" spans="2:7">
      <c r="B549" s="150">
        <f>'Refsz-Verbräuche'!B175</f>
        <v>158</v>
      </c>
      <c r="C549" s="150">
        <f>'Refsz-Verbräuche'!C175</f>
        <v>0</v>
      </c>
      <c r="D549" s="150">
        <f>'Refsz-Verbräuche'!D175</f>
        <v>0</v>
      </c>
      <c r="E549" s="169">
        <v>0</v>
      </c>
      <c r="F549" s="169">
        <v>0</v>
      </c>
      <c r="G549" s="168">
        <f>IF(INDEX(Refsz_Verbräuche[[ID]:[2050]],
           MATCH(B549, Refsz_Verbräuche[ID], 0),
           MATCH($C$390, Refsz_Verbräuche[#Headers], 0)) = "",
    0,
    INDEX(Refsz_Verbräuche[[ID]:[2050]],
          MATCH(B549, Refsz_Verbräuche[ID], 0),
          MATCH($C$390, Refsz_Verbräuche[#Headers], 0))
)
*Emissionsfaktoren!K175/1000</f>
        <v>0</v>
      </c>
    </row>
    <row r="550" spans="2:7">
      <c r="B550" s="150">
        <f>'Refsz-Verbräuche'!B176</f>
        <v>159</v>
      </c>
      <c r="C550" s="150">
        <f>'Refsz-Verbräuche'!C176</f>
        <v>0</v>
      </c>
      <c r="D550" s="150">
        <f>'Refsz-Verbräuche'!D176</f>
        <v>0</v>
      </c>
      <c r="E550" s="169">
        <v>0</v>
      </c>
      <c r="F550" s="169">
        <v>0</v>
      </c>
      <c r="G550" s="168">
        <f>IF(INDEX(Refsz_Verbräuche[[ID]:[2050]],
           MATCH(B550, Refsz_Verbräuche[ID], 0),
           MATCH($C$390, Refsz_Verbräuche[#Headers], 0)) = "",
    0,
    INDEX(Refsz_Verbräuche[[ID]:[2050]],
          MATCH(B550, Refsz_Verbräuche[ID], 0),
          MATCH($C$390, Refsz_Verbräuche[#Headers], 0))
)
*Emissionsfaktoren!K176/1000</f>
        <v>0</v>
      </c>
    </row>
    <row r="551" spans="2:7">
      <c r="B551" s="150">
        <f>'Refsz-Verbräuche'!B177</f>
        <v>160</v>
      </c>
      <c r="C551" s="150">
        <f>'Refsz-Verbräuche'!C177</f>
        <v>0</v>
      </c>
      <c r="D551" s="150">
        <f>'Refsz-Verbräuche'!D177</f>
        <v>0</v>
      </c>
      <c r="E551" s="169">
        <v>0</v>
      </c>
      <c r="F551" s="169">
        <v>0</v>
      </c>
      <c r="G551" s="168">
        <f>IF(INDEX(Refsz_Verbräuche[[ID]:[2050]],
           MATCH(B551, Refsz_Verbräuche[ID], 0),
           MATCH($C$390, Refsz_Verbräuche[#Headers], 0)) = "",
    0,
    INDEX(Refsz_Verbräuche[[ID]:[2050]],
          MATCH(B551, Refsz_Verbräuche[ID], 0),
          MATCH($C$390, Refsz_Verbräuche[#Headers], 0))
)
*Emissionsfaktoren!K177/1000</f>
        <v>0</v>
      </c>
    </row>
    <row r="552" spans="2:7">
      <c r="B552" s="150">
        <f>'Refsz-Verbräuche'!B178</f>
        <v>161</v>
      </c>
      <c r="C552" s="150">
        <f>'Refsz-Verbräuche'!C178</f>
        <v>0</v>
      </c>
      <c r="D552" s="150">
        <f>'Refsz-Verbräuche'!D178</f>
        <v>0</v>
      </c>
      <c r="E552" s="169">
        <v>0</v>
      </c>
      <c r="F552" s="169">
        <v>0</v>
      </c>
      <c r="G552" s="168">
        <f>IF(INDEX(Refsz_Verbräuche[[ID]:[2050]],
           MATCH(B552, Refsz_Verbräuche[ID], 0),
           MATCH($C$390, Refsz_Verbräuche[#Headers], 0)) = "",
    0,
    INDEX(Refsz_Verbräuche[[ID]:[2050]],
          MATCH(B552, Refsz_Verbräuche[ID], 0),
          MATCH($C$390, Refsz_Verbräuche[#Headers], 0))
)
*Emissionsfaktoren!K178/1000</f>
        <v>0</v>
      </c>
    </row>
  </sheetData>
  <phoneticPr fontId="8" type="noConversion"/>
  <conditionalFormatting sqref="B13:C13">
    <cfRule type="cellIs" dxfId="318" priority="1" operator="equal">
      <formula>0</formula>
    </cfRule>
  </conditionalFormatting>
  <conditionalFormatting sqref="F183:Y343 F18:Y178">
    <cfRule type="cellIs" dxfId="317" priority="11" operator="equal">
      <formula>0</formula>
    </cfRule>
  </conditionalFormatting>
  <hyperlinks>
    <hyperlink ref="B5" location="'Refsz-Emissionen'!B16" display="      1.1 Referenzszenario Bundesmix" xr:uid="{7FA45CD9-F572-4A54-AB92-CB0B047BF9BA}"/>
    <hyperlink ref="B6" location="'Refsz-Emissionen'!B181" display="      1.2 Referenzszenario Regiomix" xr:uid="{1ABD6B5C-17B8-4F6D-A5D2-1CBCEB4CC9F6}"/>
    <hyperlink ref="B8" location="'Refsz-Emissionen'!B347" display="      2.1 Referenzszenario Bundesmix" xr:uid="{70A801AA-FE65-43A9-A128-39E1F609AD66}"/>
    <hyperlink ref="B9" location="'Refsz-Emissionen'!B368" display="      2.2 Referenzszenario Regiomix" xr:uid="{8AEA07F5-68D8-4D50-B8B9-867303576C24}"/>
    <hyperlink ref="B10" location="'Refsz-Emissionen'!B388" display="3. Scopes" xr:uid="{A77B2FAB-A8B5-49E0-A16B-10731C6DB9CF}"/>
    <hyperlink ref="K1" r:id="rId1" tooltip="Kontakt zur Autorin" display="Kontakt zur Autorin" xr:uid="{70AB2BD4-6898-4FD5-8C1F-79EA9A0B7C4D}"/>
    <hyperlink ref="B1" location="Startseite!B44" tooltip="Zurück zur Einleitung" display="      Zur Navigation" xr:uid="{534711C1-3860-4402-929C-9C9A7C851343}"/>
  </hyperlinks>
  <pageMargins left="0.7" right="0.7" top="0.78740157499999996" bottom="0.78740157499999996" header="0.3" footer="0.3"/>
  <drawing r:id="rId2"/>
  <legacyDrawing r:id="rId3"/>
  <tableParts count="7">
    <tablePart r:id="rId4"/>
    <tablePart r:id="rId5"/>
    <tablePart r:id="rId6"/>
    <tablePart r:id="rId7"/>
    <tablePart r:id="rId8"/>
    <tablePart r:id="rId9"/>
    <tablePart r:id="rId10"/>
  </tableParts>
  <extLst>
    <ext xmlns:x14="http://schemas.microsoft.com/office/spreadsheetml/2009/9/main" uri="{CCE6A557-97BC-4b89-ADB6-D9C93CAAB3DF}">
      <x14:dataValidations xmlns:xm="http://schemas.microsoft.com/office/excel/2006/main" count="1">
        <x14:dataValidation type="list" allowBlank="1" showInputMessage="1" showErrorMessage="1" xr:uid="{B7DD0522-6DD0-4290-88C6-6AABD11692F4}">
          <x14:formula1>
            <xm:f>'Refsz-Verbräuche'!$L$17:$T$17</xm:f>
          </x14:formula1>
          <xm:sqref>C390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784D0-C809-4764-9D5D-CE3C75C77D5E}">
  <sheetPr>
    <tabColor rgb="FFFFC000"/>
  </sheetPr>
  <dimension ref="B1:Z773"/>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baseColWidth="10" defaultRowHeight="14.5"/>
  <cols>
    <col min="1" max="1" width="2.54296875" customWidth="1"/>
    <col min="2" max="2" width="5" customWidth="1"/>
    <col min="3" max="3" width="28.26953125" customWidth="1"/>
    <col min="4" max="4" width="34.26953125" customWidth="1"/>
    <col min="5" max="5" width="9.81640625" customWidth="1"/>
    <col min="6" max="25" width="8.453125" customWidth="1"/>
    <col min="26" max="26" width="40.26953125" customWidth="1"/>
  </cols>
  <sheetData>
    <row r="1" spans="2:10">
      <c r="B1" s="4" t="s">
        <v>556</v>
      </c>
      <c r="F1" s="5"/>
      <c r="G1" s="5"/>
      <c r="H1" s="5"/>
      <c r="I1" s="5"/>
      <c r="J1" s="3" t="s">
        <v>489</v>
      </c>
    </row>
    <row r="3" spans="2:10" ht="18.5">
      <c r="B3" s="24" t="s">
        <v>579</v>
      </c>
      <c r="D3" s="1"/>
    </row>
    <row r="4" spans="2:10">
      <c r="B4" t="s">
        <v>575</v>
      </c>
    </row>
    <row r="5" spans="2:10">
      <c r="B5" s="25" t="s">
        <v>441</v>
      </c>
    </row>
    <row r="6" spans="2:10">
      <c r="B6" s="25" t="s">
        <v>442</v>
      </c>
    </row>
    <row r="7" spans="2:10">
      <c r="B7" s="25" t="s">
        <v>443</v>
      </c>
    </row>
    <row r="8" spans="2:10">
      <c r="B8" s="25" t="s">
        <v>444</v>
      </c>
    </row>
    <row r="9" spans="2:10">
      <c r="B9" t="s">
        <v>577</v>
      </c>
    </row>
    <row r="10" spans="2:10">
      <c r="B10" s="25" t="s">
        <v>445</v>
      </c>
    </row>
    <row r="11" spans="2:10">
      <c r="B11" s="25" t="s">
        <v>446</v>
      </c>
    </row>
    <row r="12" spans="2:10">
      <c r="B12" s="25" t="s">
        <v>447</v>
      </c>
    </row>
    <row r="13" spans="2:10">
      <c r="B13" s="25" t="s">
        <v>448</v>
      </c>
    </row>
    <row r="15" spans="2:10" ht="15.5">
      <c r="B15" s="6" t="s">
        <v>581</v>
      </c>
    </row>
    <row r="16" spans="2:10">
      <c r="B16" s="1" t="s">
        <v>417</v>
      </c>
    </row>
    <row r="17" spans="2:26">
      <c r="B17" t="s">
        <v>38</v>
      </c>
      <c r="C17" t="s">
        <v>28</v>
      </c>
      <c r="D17" s="14" t="s">
        <v>435</v>
      </c>
      <c r="E17" t="s">
        <v>2</v>
      </c>
      <c r="F17" t="s">
        <v>3</v>
      </c>
      <c r="G17" t="s">
        <v>4</v>
      </c>
      <c r="H17" t="s">
        <v>5</v>
      </c>
      <c r="I17" t="s">
        <v>6</v>
      </c>
      <c r="J17" t="s">
        <v>7</v>
      </c>
      <c r="K17" t="s">
        <v>8</v>
      </c>
      <c r="L17" t="s">
        <v>9</v>
      </c>
      <c r="M17" t="s">
        <v>10</v>
      </c>
      <c r="N17" t="s">
        <v>11</v>
      </c>
      <c r="O17" t="s">
        <v>12</v>
      </c>
      <c r="P17" t="s">
        <v>13</v>
      </c>
      <c r="Q17" t="s">
        <v>14</v>
      </c>
      <c r="R17" t="s">
        <v>216</v>
      </c>
      <c r="S17" t="s">
        <v>217</v>
      </c>
      <c r="T17" t="s">
        <v>218</v>
      </c>
      <c r="U17" t="s">
        <v>15</v>
      </c>
      <c r="V17" t="s">
        <v>16</v>
      </c>
      <c r="W17" t="s">
        <v>17</v>
      </c>
      <c r="X17" t="s">
        <v>18</v>
      </c>
      <c r="Y17" t="s">
        <v>19</v>
      </c>
      <c r="Z17" t="s">
        <v>45</v>
      </c>
    </row>
    <row r="18" spans="2:26" ht="16.5">
      <c r="B18" s="14">
        <v>1</v>
      </c>
      <c r="C18" s="14" t="str">
        <f>Refsz_Verbräuche[[#This Row],[Handlungsfeld]]</f>
        <v>Elektrischer Strom</v>
      </c>
      <c r="D18" s="19" t="str">
        <f>Refsz_Verbräuche[[#This Row],[Datenpunkt]]</f>
        <v>Bundesmix</v>
      </c>
      <c r="E18" t="s">
        <v>195</v>
      </c>
      <c r="F18" s="14">
        <f>IF((OR(ISNUMBER('Klisz-Verbräuche'!G18),ISNUMBER('Klisz-Verbräuche'!G19),ISNUMBER('Klisz-Verbräuche'!G20),ISNUMBER('Klisz-Verbräuche'!G21),ISNUMBER('Klisz-Verbräuche'!G22), ISNUMBER('Klisz-Verbräuche'!G23), ISNUMBER('Klisz-Verbräuche'!G24), ISNUMBER('Klisz-Verbräuche'!G25), ISNUMBER('Klisz-Verbräuche'!G26), ISNUMBER('Klisz-Verbräuche'!G27))), (SUM('Klisz-Verbräuche'!G18:G27)*Emissionsfaktoren[[#This Row],[2015]]/1000)+'Strommix &amp; BHKW'!D187+'Strommix &amp; BHKW'!D203+'Strommix &amp; BHKW'!D209+'Strommix &amp; BHKW'!D215, 0)</f>
        <v>0</v>
      </c>
      <c r="G18" s="14">
        <f>IF((OR(ISNUMBER('Klisz-Verbräuche'!H18),ISNUMBER('Klisz-Verbräuche'!H19),ISNUMBER('Klisz-Verbräuche'!H20),ISNUMBER('Klisz-Verbräuche'!H21),ISNUMBER('Klisz-Verbräuche'!H22), ISNUMBER('Klisz-Verbräuche'!H23), ISNUMBER('Klisz-Verbräuche'!H24), ISNUMBER('Klisz-Verbräuche'!H25), ISNUMBER('Klisz-Verbräuche'!H26), ISNUMBER('Klisz-Verbräuche'!H27))), (SUM('Klisz-Verbräuche'!H18:H27)*Emissionsfaktoren[[#This Row],[2016]]/1000)+'Strommix &amp; BHKW'!E187+'Strommix &amp; BHKW'!E203+'Strommix &amp; BHKW'!E209+'Strommix &amp; BHKW'!E215, 0)</f>
        <v>0</v>
      </c>
      <c r="H18" s="14">
        <f>IF((OR(ISNUMBER('Klisz-Verbräuche'!I18),ISNUMBER('Klisz-Verbräuche'!I19),ISNUMBER('Klisz-Verbräuche'!I20),ISNUMBER('Klisz-Verbräuche'!I21),ISNUMBER('Klisz-Verbräuche'!I22), ISNUMBER('Klisz-Verbräuche'!I23), ISNUMBER('Klisz-Verbräuche'!I24), ISNUMBER('Klisz-Verbräuche'!I25), ISNUMBER('Klisz-Verbräuche'!I26), ISNUMBER('Klisz-Verbräuche'!I27))), (SUM('Klisz-Verbräuche'!I18:I27)*Emissionsfaktoren[[#This Row],[2017]]/1000)+'Strommix &amp; BHKW'!F187+'Strommix &amp; BHKW'!F203+'Strommix &amp; BHKW'!F209+'Strommix &amp; BHKW'!F215, 0)</f>
        <v>0</v>
      </c>
      <c r="I18" s="14">
        <f>IF((OR(ISNUMBER('Klisz-Verbräuche'!J18),ISNUMBER('Klisz-Verbräuche'!J19),ISNUMBER('Klisz-Verbräuche'!J20),ISNUMBER('Klisz-Verbräuche'!J21),ISNUMBER('Klisz-Verbräuche'!J22), ISNUMBER('Klisz-Verbräuche'!J23), ISNUMBER('Klisz-Verbräuche'!J24), ISNUMBER('Klisz-Verbräuche'!J25), ISNUMBER('Klisz-Verbräuche'!J26), ISNUMBER('Klisz-Verbräuche'!J27))), (SUM('Klisz-Verbräuche'!J18:J27)*Emissionsfaktoren[[#This Row],[2018]]/1000)+'Strommix &amp; BHKW'!G187+'Strommix &amp; BHKW'!G203+'Strommix &amp; BHKW'!G209+'Strommix &amp; BHKW'!G215, 0)</f>
        <v>0</v>
      </c>
      <c r="J18" s="14">
        <f>IF((OR(ISNUMBER('Klisz-Verbräuche'!K18),ISNUMBER('Klisz-Verbräuche'!K19),ISNUMBER('Klisz-Verbräuche'!K20),ISNUMBER('Klisz-Verbräuche'!K21),ISNUMBER('Klisz-Verbräuche'!K22), ISNUMBER('Klisz-Verbräuche'!K23), ISNUMBER('Klisz-Verbräuche'!K24), ISNUMBER('Klisz-Verbräuche'!K25), ISNUMBER('Klisz-Verbräuche'!K26), ISNUMBER('Klisz-Verbräuche'!K27))), (SUM('Klisz-Verbräuche'!K18:K27)*Emissionsfaktoren[[#This Row],[2019]]/1000)+'Strommix &amp; BHKW'!H187+'Strommix &amp; BHKW'!H203+'Strommix &amp; BHKW'!H209+'Strommix &amp; BHKW'!H215, 0)</f>
        <v>0</v>
      </c>
      <c r="K18" s="14">
        <f>IF((OR(ISNUMBER('Klisz-Verbräuche'!L18),ISNUMBER('Klisz-Verbräuche'!L19),ISNUMBER('Klisz-Verbräuche'!L20),ISNUMBER('Klisz-Verbräuche'!L21),ISNUMBER('Klisz-Verbräuche'!L22), ISNUMBER('Klisz-Verbräuche'!L23), ISNUMBER('Klisz-Verbräuche'!L24), ISNUMBER('Klisz-Verbräuche'!L25), ISNUMBER('Klisz-Verbräuche'!L26), ISNUMBER('Klisz-Verbräuche'!L27))), (SUM('Klisz-Verbräuche'!L18:L27)*Emissionsfaktoren[[#This Row],[2020]]/1000)+'Strommix &amp; BHKW'!I187+'Strommix &amp; BHKW'!I203+'Strommix &amp; BHKW'!I209+'Strommix &amp; BHKW'!I215, 0)</f>
        <v>0</v>
      </c>
      <c r="L18" s="14">
        <f>IF((OR(ISNUMBER('Klisz-Verbräuche'!M18),ISNUMBER('Klisz-Verbräuche'!M19),ISNUMBER('Klisz-Verbräuche'!M20),ISNUMBER('Klisz-Verbräuche'!M21),ISNUMBER('Klisz-Verbräuche'!M22), ISNUMBER('Klisz-Verbräuche'!M23), ISNUMBER('Klisz-Verbräuche'!M24), ISNUMBER('Klisz-Verbräuche'!M25), ISNUMBER('Klisz-Verbräuche'!M26), ISNUMBER('Klisz-Verbräuche'!M27))), (SUM('Klisz-Verbräuche'!M18:M27)*Emissionsfaktoren[[#This Row],[2021]]/1000)+'Strommix &amp; BHKW'!J187+'Strommix &amp; BHKW'!J203+'Strommix &amp; BHKW'!J209+'Strommix &amp; BHKW'!J215, 0)</f>
        <v>0</v>
      </c>
      <c r="M18" s="14">
        <f>IF((OR(ISNUMBER('Klisz-Verbräuche'!N18),ISNUMBER('Klisz-Verbräuche'!N19),ISNUMBER('Klisz-Verbräuche'!N20),ISNUMBER('Klisz-Verbräuche'!N21),ISNUMBER('Klisz-Verbräuche'!N22), ISNUMBER('Klisz-Verbräuche'!N23), ISNUMBER('Klisz-Verbräuche'!N24), ISNUMBER('Klisz-Verbräuche'!N25), ISNUMBER('Klisz-Verbräuche'!N26), ISNUMBER('Klisz-Verbräuche'!N27))), (SUM('Klisz-Verbräuche'!N18:N27)*Emissionsfaktoren[[#This Row],[2022]]/1000)+'Strommix &amp; BHKW'!K187+'Strommix &amp; BHKW'!K203+'Strommix &amp; BHKW'!K209+'Strommix &amp; BHKW'!K215, 0)</f>
        <v>0</v>
      </c>
      <c r="N18" s="14">
        <f>IF((OR(ISNUMBER('Klisz-Verbräuche'!O18),ISNUMBER('Klisz-Verbräuche'!O19),ISNUMBER('Klisz-Verbräuche'!O20),ISNUMBER('Klisz-Verbräuche'!O21),ISNUMBER('Klisz-Verbräuche'!O22), ISNUMBER('Klisz-Verbräuche'!O23), ISNUMBER('Klisz-Verbräuche'!O24), ISNUMBER('Klisz-Verbräuche'!O25), ISNUMBER('Klisz-Verbräuche'!O26), ISNUMBER('Klisz-Verbräuche'!O27))), (SUM('Klisz-Verbräuche'!O18:O27)*Emissionsfaktoren[[#This Row],[2023]]/1000)+'Strommix &amp; BHKW'!L187+'Strommix &amp; BHKW'!L203+'Strommix &amp; BHKW'!L209+'Strommix &amp; BHKW'!L215, 0)</f>
        <v>0</v>
      </c>
      <c r="O18" s="14">
        <f>IF((OR(ISNUMBER('Klisz-Verbräuche'!P18),ISNUMBER('Klisz-Verbräuche'!P19),ISNUMBER('Klisz-Verbräuche'!P20),ISNUMBER('Klisz-Verbräuche'!P21),ISNUMBER('Klisz-Verbräuche'!P22), ISNUMBER('Klisz-Verbräuche'!P23), ISNUMBER('Klisz-Verbräuche'!P24), ISNUMBER('Klisz-Verbräuche'!P25), ISNUMBER('Klisz-Verbräuche'!P26), ISNUMBER('Klisz-Verbräuche'!P27))), (SUM('Klisz-Verbräuche'!P18:P27)*Emissionsfaktoren[[#This Row],[2024]]/1000)+'Strommix &amp; BHKW'!M187+'Strommix &amp; BHKW'!M203+'Strommix &amp; BHKW'!M209+'Strommix &amp; BHKW'!M215, 0)</f>
        <v>0</v>
      </c>
      <c r="P18" s="14">
        <f>IF((OR(ISNUMBER('Klisz-Verbräuche'!Q18),ISNUMBER('Klisz-Verbräuche'!Q19),ISNUMBER('Klisz-Verbräuche'!Q20),ISNUMBER('Klisz-Verbräuche'!Q21),ISNUMBER('Klisz-Verbräuche'!Q22), ISNUMBER('Klisz-Verbräuche'!Q23), ISNUMBER('Klisz-Verbräuche'!Q24), ISNUMBER('Klisz-Verbräuche'!Q25), ISNUMBER('Klisz-Verbräuche'!Q26), ISNUMBER('Klisz-Verbräuche'!Q27))), (SUM('Klisz-Verbräuche'!Q18:Q27)*Emissionsfaktoren[[#This Row],[2025]]/1000)+'Strommix &amp; BHKW'!N187+'Strommix &amp; BHKW'!N203+'Strommix &amp; BHKW'!N209+'Strommix &amp; BHKW'!N215, 0)</f>
        <v>0</v>
      </c>
      <c r="Q18" s="14">
        <f>IF((OR(ISNUMBER('Klisz-Verbräuche'!R18),ISNUMBER('Klisz-Verbräuche'!R19),ISNUMBER('Klisz-Verbräuche'!R20),ISNUMBER('Klisz-Verbräuche'!R21),ISNUMBER('Klisz-Verbräuche'!R22), ISNUMBER('Klisz-Verbräuche'!R23), ISNUMBER('Klisz-Verbräuche'!R24), ISNUMBER('Klisz-Verbräuche'!R25), ISNUMBER('Klisz-Verbräuche'!R26), ISNUMBER('Klisz-Verbräuche'!R27))), (SUM('Klisz-Verbräuche'!R18:R27)*Emissionsfaktoren[[#This Row],[2026]]/1000)+'Strommix &amp; BHKW'!O187+'Strommix &amp; BHKW'!O203+'Strommix &amp; BHKW'!O209+'Strommix &amp; BHKW'!O215, 0)</f>
        <v>0</v>
      </c>
      <c r="R18" s="14">
        <f>IF((OR(ISNUMBER('Klisz-Verbräuche'!S18),ISNUMBER('Klisz-Verbräuche'!S19),ISNUMBER('Klisz-Verbräuche'!S20),ISNUMBER('Klisz-Verbräuche'!S21),ISNUMBER('Klisz-Verbräuche'!S22), ISNUMBER('Klisz-Verbräuche'!S23), ISNUMBER('Klisz-Verbräuche'!S24), ISNUMBER('Klisz-Verbräuche'!S25), ISNUMBER('Klisz-Verbräuche'!S26), ISNUMBER('Klisz-Verbräuche'!S27))), (SUM('Klisz-Verbräuche'!S18:S27)*Emissionsfaktoren[[#This Row],[2027]]/1000)+'Strommix &amp; BHKW'!P187+'Strommix &amp; BHKW'!P203+'Strommix &amp; BHKW'!P209+'Strommix &amp; BHKW'!P215, 0)</f>
        <v>0</v>
      </c>
      <c r="S18" s="14">
        <f>IF((OR(ISNUMBER('Klisz-Verbräuche'!T18),ISNUMBER('Klisz-Verbräuche'!T19),ISNUMBER('Klisz-Verbräuche'!T20),ISNUMBER('Klisz-Verbräuche'!T21),ISNUMBER('Klisz-Verbräuche'!T22), ISNUMBER('Klisz-Verbräuche'!T23), ISNUMBER('Klisz-Verbräuche'!T24), ISNUMBER('Klisz-Verbräuche'!T25), ISNUMBER('Klisz-Verbräuche'!T26), ISNUMBER('Klisz-Verbräuche'!T27))), (SUM('Klisz-Verbräuche'!T18:T27)*Emissionsfaktoren[[#This Row],[2028]]/1000)+'Strommix &amp; BHKW'!Q187+'Strommix &amp; BHKW'!Q203+'Strommix &amp; BHKW'!Q209+'Strommix &amp; BHKW'!Q215, 0)</f>
        <v>0</v>
      </c>
      <c r="T18" s="14">
        <f>IF((OR(ISNUMBER('Klisz-Verbräuche'!U18),ISNUMBER('Klisz-Verbräuche'!U19),ISNUMBER('Klisz-Verbräuche'!U20),ISNUMBER('Klisz-Verbräuche'!U21),ISNUMBER('Klisz-Verbräuche'!U22), ISNUMBER('Klisz-Verbräuche'!U23), ISNUMBER('Klisz-Verbräuche'!U24), ISNUMBER('Klisz-Verbräuche'!U25), ISNUMBER('Klisz-Verbräuche'!U26), ISNUMBER('Klisz-Verbräuche'!U27))), (SUM('Klisz-Verbräuche'!U18:U27)*Emissionsfaktoren[[#This Row],[2029]]/1000)+'Strommix &amp; BHKW'!R187+'Strommix &amp; BHKW'!R203+'Strommix &amp; BHKW'!R209+'Strommix &amp; BHKW'!R215, 0)</f>
        <v>0</v>
      </c>
      <c r="U18" s="14">
        <f>IF((OR(ISNUMBER('Klisz-Verbräuche'!V18),ISNUMBER('Klisz-Verbräuche'!V19),ISNUMBER('Klisz-Verbräuche'!V20),ISNUMBER('Klisz-Verbräuche'!V21),ISNUMBER('Klisz-Verbräuche'!V22), ISNUMBER('Klisz-Verbräuche'!V23), ISNUMBER('Klisz-Verbräuche'!V24), ISNUMBER('Klisz-Verbräuche'!V25), ISNUMBER('Klisz-Verbräuche'!V26), ISNUMBER('Klisz-Verbräuche'!V27))), (SUM('Klisz-Verbräuche'!V18:V27)*Emissionsfaktoren[[#This Row],[2030]]/1000)+'Strommix &amp; BHKW'!S187+'Strommix &amp; BHKW'!S203+'Strommix &amp; BHKW'!S209+'Strommix &amp; BHKW'!S215, 0)</f>
        <v>0</v>
      </c>
      <c r="V18" s="14">
        <f>IF((OR(ISNUMBER('Klisz-Verbräuche'!W18),ISNUMBER('Klisz-Verbräuche'!W19),ISNUMBER('Klisz-Verbräuche'!W20),ISNUMBER('Klisz-Verbräuche'!W21),ISNUMBER('Klisz-Verbräuche'!W22), ISNUMBER('Klisz-Verbräuche'!W23), ISNUMBER('Klisz-Verbräuche'!W24), ISNUMBER('Klisz-Verbräuche'!W25), ISNUMBER('Klisz-Verbräuche'!W26), ISNUMBER('Klisz-Verbräuche'!W27))), (SUM('Klisz-Verbräuche'!W18:W27)*Emissionsfaktoren[[#This Row],[2035]]/1000)+'Strommix &amp; BHKW'!T187+'Strommix &amp; BHKW'!T203+'Strommix &amp; BHKW'!T209+'Strommix &amp; BHKW'!T215, 0)</f>
        <v>0</v>
      </c>
      <c r="W18" s="14">
        <f>IF((OR(ISNUMBER('Klisz-Verbräuche'!X18),ISNUMBER('Klisz-Verbräuche'!X19),ISNUMBER('Klisz-Verbräuche'!X20),ISNUMBER('Klisz-Verbräuche'!X21),ISNUMBER('Klisz-Verbräuche'!X22), ISNUMBER('Klisz-Verbräuche'!X23), ISNUMBER('Klisz-Verbräuche'!X24), ISNUMBER('Klisz-Verbräuche'!X25), ISNUMBER('Klisz-Verbräuche'!X26), ISNUMBER('Klisz-Verbräuche'!X27))), (SUM('Klisz-Verbräuche'!X18:X27)*Emissionsfaktoren[[#This Row],[2040]]/1000)+'Strommix &amp; BHKW'!U187+'Strommix &amp; BHKW'!U203+'Strommix &amp; BHKW'!U209+'Strommix &amp; BHKW'!U215, 0)</f>
        <v>0</v>
      </c>
      <c r="X18" s="14">
        <f>IF((OR(ISNUMBER('Klisz-Verbräuche'!Y18),ISNUMBER('Klisz-Verbräuche'!Y19),ISNUMBER('Klisz-Verbräuche'!Y20),ISNUMBER('Klisz-Verbräuche'!Y21),ISNUMBER('Klisz-Verbräuche'!Y22), ISNUMBER('Klisz-Verbräuche'!Y23), ISNUMBER('Klisz-Verbräuche'!Y24), ISNUMBER('Klisz-Verbräuche'!Y25), ISNUMBER('Klisz-Verbräuche'!Y26), ISNUMBER('Klisz-Verbräuche'!Y27))), (SUM('Klisz-Verbräuche'!Y18:Y27)*Emissionsfaktoren[[#This Row],[2045]]/1000)+'Strommix &amp; BHKW'!V187+'Strommix &amp; BHKW'!V203+'Strommix &amp; BHKW'!V209+'Strommix &amp; BHKW'!V215, 0)</f>
        <v>0</v>
      </c>
      <c r="Y18" s="14">
        <f>IF((OR(ISNUMBER('Klisz-Verbräuche'!Z18),ISNUMBER('Klisz-Verbräuche'!Z19),ISNUMBER('Klisz-Verbräuche'!Z20),ISNUMBER('Klisz-Verbräuche'!Z21),ISNUMBER('Klisz-Verbräuche'!Z22), ISNUMBER('Klisz-Verbräuche'!Z23), ISNUMBER('Klisz-Verbräuche'!Z24), ISNUMBER('Klisz-Verbräuche'!Z25), ISNUMBER('Klisz-Verbräuche'!Z26), ISNUMBER('Klisz-Verbräuche'!Z27))), (SUM('Klisz-Verbräuche'!Z18:Z27)*Emissionsfaktoren[[#This Row],[2050]]/1000)+'Strommix &amp; BHKW'!W187+'Strommix &amp; BHKW'!W203+'Strommix &amp; BHKW'!W209+'Strommix &amp; BHKW'!W215, 0)</f>
        <v>0</v>
      </c>
    </row>
    <row r="19" spans="2:26" ht="16.5">
      <c r="B19" s="14">
        <v>2</v>
      </c>
      <c r="C19" s="14" t="str">
        <f>Refsz_Verbräuche[[#This Row],[Handlungsfeld]]</f>
        <v>Elektrischer Strom</v>
      </c>
      <c r="D19" s="19" t="str">
        <f>Refsz_Verbräuche[[#This Row],[Datenpunkt]]</f>
        <v>Bundesmix KS80</v>
      </c>
      <c r="E19" t="s">
        <v>195</v>
      </c>
      <c r="F19" s="14"/>
      <c r="G19" s="14"/>
      <c r="H19" s="14"/>
      <c r="I19" s="14"/>
      <c r="J19" s="14"/>
      <c r="K19" s="14"/>
      <c r="L19" s="14"/>
      <c r="M19" s="14"/>
      <c r="N19" s="14"/>
      <c r="O19" s="14"/>
      <c r="P19" s="14"/>
      <c r="Q19" s="14"/>
      <c r="R19" s="14"/>
      <c r="S19" s="14"/>
      <c r="T19" s="14"/>
      <c r="U19" s="14"/>
      <c r="V19" s="14"/>
      <c r="W19" s="14"/>
      <c r="X19" s="14"/>
      <c r="Y19" s="14"/>
    </row>
    <row r="20" spans="2:26" ht="16.5">
      <c r="B20" s="14">
        <v>3</v>
      </c>
      <c r="C20" s="14" t="str">
        <f>Refsz_Verbräuche[[#This Row],[Handlungsfeld]]</f>
        <v>Elektrischer Strom</v>
      </c>
      <c r="D20" s="19" t="str">
        <f>Refsz_Verbräuche[[#This Row],[Datenpunkt]]</f>
        <v>Individueller Strommix Einrichtung 1</v>
      </c>
      <c r="E20" t="s">
        <v>195</v>
      </c>
      <c r="F20" s="14"/>
      <c r="G20" s="14"/>
      <c r="H20" s="14"/>
      <c r="I20" s="14"/>
      <c r="J20" s="14"/>
      <c r="K20" s="14"/>
      <c r="L20" s="14"/>
      <c r="M20" s="14"/>
      <c r="N20" s="14"/>
      <c r="O20" s="14"/>
      <c r="P20" s="14"/>
      <c r="Q20" s="14"/>
      <c r="R20" s="14"/>
      <c r="S20" s="14"/>
      <c r="T20" s="14"/>
      <c r="U20" s="14"/>
      <c r="V20" s="14"/>
      <c r="W20" s="14"/>
      <c r="X20" s="14"/>
      <c r="Y20" s="14"/>
    </row>
    <row r="21" spans="2:26" ht="16.5">
      <c r="B21" s="14">
        <v>4</v>
      </c>
      <c r="C21" s="14" t="str">
        <f>Refsz_Verbräuche[[#This Row],[Handlungsfeld]]</f>
        <v>Elektrischer Strom</v>
      </c>
      <c r="D21" s="19" t="str">
        <f>Refsz_Verbräuche[[#This Row],[Datenpunkt]]</f>
        <v>Individueller Strommix Einrichtung 2</v>
      </c>
      <c r="E21" t="s">
        <v>195</v>
      </c>
      <c r="F21" s="14"/>
      <c r="G21" s="14"/>
      <c r="H21" s="14"/>
      <c r="I21" s="14"/>
      <c r="J21" s="14"/>
      <c r="K21" s="14"/>
      <c r="L21" s="14"/>
      <c r="M21" s="14"/>
      <c r="N21" s="14"/>
      <c r="O21" s="14"/>
      <c r="P21" s="14"/>
      <c r="Q21" s="14"/>
      <c r="R21" s="14"/>
      <c r="S21" s="14"/>
      <c r="T21" s="14"/>
      <c r="U21" s="14"/>
      <c r="V21" s="14"/>
      <c r="W21" s="14"/>
      <c r="X21" s="14"/>
      <c r="Y21" s="14"/>
    </row>
    <row r="22" spans="2:26" ht="16.5">
      <c r="B22" s="14">
        <v>5</v>
      </c>
      <c r="C22" s="14" t="str">
        <f>Refsz_Verbräuche[[#This Row],[Handlungsfeld]]</f>
        <v>Elektrischer Strom</v>
      </c>
      <c r="D22" s="19" t="str">
        <f>Refsz_Verbräuche[[#This Row],[Datenpunkt]]</f>
        <v>Individueller Strommix Einrichtung 3</v>
      </c>
      <c r="E22" t="s">
        <v>195</v>
      </c>
      <c r="F22" s="14"/>
      <c r="G22" s="14"/>
      <c r="H22" s="14"/>
      <c r="I22" s="14"/>
      <c r="J22" s="14"/>
      <c r="K22" s="14"/>
      <c r="L22" s="14"/>
      <c r="M22" s="14"/>
      <c r="N22" s="14"/>
      <c r="O22" s="14"/>
      <c r="P22" s="14"/>
      <c r="Q22" s="14"/>
      <c r="R22" s="14"/>
      <c r="S22" s="14"/>
      <c r="T22" s="14"/>
      <c r="U22" s="14"/>
      <c r="V22" s="14"/>
      <c r="W22" s="14"/>
      <c r="X22" s="14"/>
      <c r="Y22" s="14"/>
    </row>
    <row r="23" spans="2:26" ht="16.5">
      <c r="B23" s="14">
        <v>6</v>
      </c>
      <c r="C23" s="14" t="str">
        <f>Refsz_Verbräuche[[#This Row],[Handlungsfeld]]</f>
        <v>Elektrischer Strom</v>
      </c>
      <c r="D23" s="19" t="str">
        <f>Refsz_Verbräuche[[#This Row],[Datenpunkt]]</f>
        <v>Individueller Strommix Einrichtung 4</v>
      </c>
      <c r="E23" t="s">
        <v>195</v>
      </c>
      <c r="F23" s="14"/>
      <c r="G23" s="14"/>
      <c r="H23" s="14"/>
      <c r="I23" s="14"/>
      <c r="J23" s="14"/>
      <c r="K23" s="14"/>
      <c r="L23" s="14"/>
      <c r="M23" s="14"/>
      <c r="N23" s="14"/>
      <c r="O23" s="14"/>
      <c r="P23" s="14"/>
      <c r="Q23" s="14"/>
      <c r="R23" s="14"/>
      <c r="S23" s="14"/>
      <c r="T23" s="14"/>
      <c r="U23" s="14"/>
      <c r="V23" s="14"/>
      <c r="W23" s="14"/>
      <c r="X23" s="14"/>
      <c r="Y23" s="14"/>
    </row>
    <row r="24" spans="2:26" ht="16.5">
      <c r="B24" s="14">
        <v>7</v>
      </c>
      <c r="C24" s="14" t="str">
        <f>Refsz_Verbräuche[[#This Row],[Handlungsfeld]]</f>
        <v>Elektrischer Strom</v>
      </c>
      <c r="D24" s="19" t="str">
        <f>Refsz_Verbräuche[[#This Row],[Datenpunkt]]</f>
        <v>Individueller Strommix Einrichtung 5</v>
      </c>
      <c r="E24" t="s">
        <v>195</v>
      </c>
      <c r="F24" s="14"/>
      <c r="G24" s="14"/>
      <c r="H24" s="14"/>
      <c r="I24" s="14"/>
      <c r="J24" s="14"/>
      <c r="K24" s="14"/>
      <c r="L24" s="14"/>
      <c r="M24" s="14"/>
      <c r="N24" s="14"/>
      <c r="O24" s="14"/>
      <c r="P24" s="14"/>
      <c r="Q24" s="14"/>
      <c r="R24" s="14"/>
      <c r="S24" s="14"/>
      <c r="T24" s="14"/>
      <c r="U24" s="14"/>
      <c r="V24" s="14"/>
      <c r="W24" s="14"/>
      <c r="X24" s="14"/>
      <c r="Y24" s="14"/>
    </row>
    <row r="25" spans="2:26" ht="16.5">
      <c r="B25" s="14">
        <v>8</v>
      </c>
      <c r="C25" s="14" t="str">
        <f>Refsz_Verbräuche[[#This Row],[Handlungsfeld]]</f>
        <v>Elektrischer Strom</v>
      </c>
      <c r="D25" s="19" t="str">
        <f>Refsz_Verbräuche[[#This Row],[Datenpunkt]]</f>
        <v>Individueller Strommix Einrichtung 6</v>
      </c>
      <c r="E25" t="s">
        <v>195</v>
      </c>
      <c r="F25" s="14"/>
      <c r="G25" s="14"/>
      <c r="H25" s="14"/>
      <c r="I25" s="14"/>
      <c r="J25" s="14"/>
      <c r="K25" s="14"/>
      <c r="L25" s="14"/>
      <c r="M25" s="14"/>
      <c r="N25" s="14"/>
      <c r="O25" s="14"/>
      <c r="P25" s="14"/>
      <c r="Q25" s="14"/>
      <c r="R25" s="14"/>
      <c r="S25" s="14"/>
      <c r="T25" s="14"/>
      <c r="U25" s="14"/>
      <c r="V25" s="14"/>
      <c r="W25" s="14"/>
      <c r="X25" s="14"/>
      <c r="Y25" s="14"/>
    </row>
    <row r="26" spans="2:26" ht="16.5">
      <c r="B26" s="14">
        <v>9</v>
      </c>
      <c r="C26" s="14" t="str">
        <f>Refsz_Verbräuche[[#This Row],[Handlungsfeld]]</f>
        <v>Elektrischer Strom</v>
      </c>
      <c r="D26" s="19" t="str">
        <f>Refsz_Verbräuche[[#This Row],[Datenpunkt]]</f>
        <v>BHKW</v>
      </c>
      <c r="E26" t="s">
        <v>195</v>
      </c>
      <c r="F26" s="14"/>
      <c r="G26" s="14"/>
      <c r="H26" s="14"/>
      <c r="I26" s="14"/>
      <c r="J26" s="14"/>
      <c r="K26" s="14"/>
      <c r="L26" s="14"/>
      <c r="M26" s="14"/>
      <c r="N26" s="14"/>
      <c r="O26" s="14"/>
      <c r="P26" s="14"/>
      <c r="Q26" s="14"/>
      <c r="R26" s="14"/>
      <c r="S26" s="14"/>
      <c r="T26" s="14"/>
      <c r="U26" s="14"/>
      <c r="V26" s="14"/>
      <c r="W26" s="14"/>
      <c r="X26" s="14"/>
      <c r="Y26" s="14"/>
    </row>
    <row r="27" spans="2:26" ht="16.5">
      <c r="B27" s="14">
        <v>10</v>
      </c>
      <c r="C27" s="14" t="str">
        <f>Refsz_Verbräuche[[#This Row],[Handlungsfeld]]</f>
        <v>Elektrischer Strom</v>
      </c>
      <c r="D27" s="19" t="str">
        <f>Refsz_Verbräuche[[#This Row],[Datenpunkt]]</f>
        <v>Ökostrom</v>
      </c>
      <c r="E27" t="s">
        <v>195</v>
      </c>
      <c r="F27" s="14"/>
      <c r="G27" s="14"/>
      <c r="H27" s="14"/>
      <c r="I27" s="14"/>
      <c r="J27" s="14"/>
      <c r="K27" s="14"/>
      <c r="L27" s="14"/>
      <c r="M27" s="14"/>
      <c r="N27" s="14"/>
      <c r="O27" s="14"/>
      <c r="P27" s="14"/>
      <c r="Q27" s="14"/>
      <c r="R27" s="14"/>
      <c r="S27" s="14"/>
      <c r="T27" s="14"/>
      <c r="U27" s="14"/>
      <c r="V27" s="14"/>
      <c r="W27" s="14"/>
      <c r="X27" s="14"/>
      <c r="Y27" s="14"/>
    </row>
    <row r="28" spans="2:26" ht="16.5">
      <c r="B28" s="14">
        <v>11</v>
      </c>
      <c r="C28" s="14" t="str">
        <f>Refsz_Verbräuche[[#This Row],[Handlungsfeld]]</f>
        <v>Elektrischer Strom</v>
      </c>
      <c r="D28" s="19" t="str">
        <f>Refsz_Verbräuche[[#This Row],[Datenpunkt]]</f>
        <v>PV-Eigennutzung</v>
      </c>
      <c r="E28" t="s">
        <v>195</v>
      </c>
      <c r="F28" s="14">
        <f>IF(ISNUMBER(Klisz_Verbräuche[[#This Row],[2015]]), Klisz_Verbräuche[[#This Row],[2015]]*Emissionsfaktoren[[#This Row],[2015]]/1000, 0)</f>
        <v>0</v>
      </c>
      <c r="G28" s="14">
        <f>IF(ISNUMBER(Klisz_Verbräuche[[#This Row],[2016]]), Klisz_Verbräuche[[#This Row],[2016]]*Emissionsfaktoren[[#This Row],[2016]]/1000, 0)</f>
        <v>0</v>
      </c>
      <c r="H28" s="14">
        <f>IF(ISNUMBER(Klisz_Verbräuche[[#This Row],[2017]]), Klisz_Verbräuche[[#This Row],[2017]]*Emissionsfaktoren[[#This Row],[2017]]/1000, 0)</f>
        <v>0</v>
      </c>
      <c r="I28" s="14">
        <f>IF(ISNUMBER(Klisz_Verbräuche[[#This Row],[2018]]), Klisz_Verbräuche[[#This Row],[2018]]*Emissionsfaktoren[[#This Row],[2018]]/1000, 0)</f>
        <v>0</v>
      </c>
      <c r="J28" s="14">
        <f>IF(ISNUMBER(Klisz_Verbräuche[[#This Row],[2019]]), Klisz_Verbräuche[[#This Row],[2019]]*Emissionsfaktoren[[#This Row],[2019]]/1000, 0)</f>
        <v>0</v>
      </c>
      <c r="K28" s="14">
        <f>IF(ISNUMBER(Klisz_Verbräuche[[#This Row],[2020]]), Klisz_Verbräuche[[#This Row],[2020]]*Emissionsfaktoren[[#This Row],[2020]]/1000, 0)</f>
        <v>0</v>
      </c>
      <c r="L28" s="14">
        <f>IF(ISNUMBER(Klisz_Verbräuche[[#This Row],[2021]]), Klisz_Verbräuche[[#This Row],[2021]]*Emissionsfaktoren[[#This Row],[2021]]/1000, 0)</f>
        <v>0</v>
      </c>
      <c r="M28" s="14">
        <f>IF(ISNUMBER(Klisz_Verbräuche[[#This Row],[2022]]), Klisz_Verbräuche[[#This Row],[2022]]*Emissionsfaktoren[[#This Row],[2022]]/1000, 0)</f>
        <v>0</v>
      </c>
      <c r="N28" s="14">
        <f>IF(ISNUMBER(Klisz_Verbräuche[[#This Row],[2023]]), Klisz_Verbräuche[[#This Row],[2023]]*Emissionsfaktoren[[#This Row],[2023]]/1000, 0)</f>
        <v>0</v>
      </c>
      <c r="O28" s="14">
        <f>IF(ISNUMBER(Klisz_Verbräuche[[#This Row],[2024]]), Klisz_Verbräuche[[#This Row],[2024]]*Emissionsfaktoren[[#This Row],[2024]]/1000, 0)</f>
        <v>0</v>
      </c>
      <c r="P28" s="14">
        <f>IF(ISNUMBER(Klisz_Verbräuche[[#This Row],[2025]]), Klisz_Verbräuche[[#This Row],[2025]]*Emissionsfaktoren[[#This Row],[2025]]/1000, 0)</f>
        <v>0</v>
      </c>
      <c r="Q28" s="14">
        <f>IF(ISNUMBER(Klisz_Verbräuche[[#This Row],[2026]]), Klisz_Verbräuche[[#This Row],[2026]]*Emissionsfaktoren[[#This Row],[2026]]/1000, 0)</f>
        <v>0</v>
      </c>
      <c r="R28" s="14">
        <f>IF(ISNUMBER(Klisz_Verbräuche[[#This Row],[2027]]), Klisz_Verbräuche[[#This Row],[2027]]*Emissionsfaktoren[[#This Row],[2027]]/1000, 0)</f>
        <v>0</v>
      </c>
      <c r="S28" s="14">
        <f>IF(ISNUMBER(Klisz_Verbräuche[[#This Row],[2028]]), Klisz_Verbräuche[[#This Row],[2028]]*Emissionsfaktoren[[#This Row],[2028]]/1000, 0)</f>
        <v>0</v>
      </c>
      <c r="T28" s="14">
        <f>IF(ISNUMBER(Klisz_Verbräuche[[#This Row],[2029]]), Klisz_Verbräuche[[#This Row],[2029]]*Emissionsfaktoren[[#This Row],[2029]]/1000, 0)</f>
        <v>0</v>
      </c>
      <c r="U28" s="14">
        <f>IF(ISNUMBER(Klisz_Verbräuche[[#This Row],[2030]]), Klisz_Verbräuche[[#This Row],[2030]]*Emissionsfaktoren[[#This Row],[2030]]/1000, 0)</f>
        <v>0</v>
      </c>
      <c r="V28" s="14">
        <f>IF(ISNUMBER(Klisz_Verbräuche[[#This Row],[2035]]), Klisz_Verbräuche[[#This Row],[2035]]*Emissionsfaktoren[[#This Row],[2035]]/1000, 0)</f>
        <v>0</v>
      </c>
      <c r="W28" s="14">
        <f>IF(ISNUMBER(Klisz_Verbräuche[[#This Row],[2040]]), Klisz_Verbräuche[[#This Row],[2040]]*Emissionsfaktoren[[#This Row],[2040]]/1000, 0)</f>
        <v>0</v>
      </c>
      <c r="X28" s="14">
        <f>IF(ISNUMBER(Klisz_Verbräuche[[#This Row],[2045]]), Klisz_Verbräuche[[#This Row],[2045]]*Emissionsfaktoren[[#This Row],[2045]]/1000, 0)</f>
        <v>0</v>
      </c>
      <c r="Y28" s="14">
        <f>IF(ISNUMBER(Klisz_Verbräuche[[#This Row],[2050]]), Klisz_Verbräuche[[#This Row],[2050]]*Emissionsfaktoren[[#This Row],[2050]]/1000, 0)</f>
        <v>0</v>
      </c>
    </row>
    <row r="29" spans="2:26" ht="16.5">
      <c r="B29" s="14">
        <v>12</v>
      </c>
      <c r="C29" s="14" t="str">
        <f>Refsz_Verbräuche[[#This Row],[Handlungsfeld]]</f>
        <v>Wärme</v>
      </c>
      <c r="D29" s="19" t="str">
        <f>Refsz_Verbräuche[[#This Row],[Datenpunkt]]</f>
        <v>Erdgas</v>
      </c>
      <c r="E29" t="s">
        <v>195</v>
      </c>
      <c r="F29" s="14">
        <f>IF(ISNUMBER(Klisz_Verbräuche[[#This Row],[2015]]), Klisz_Verbräuche[[#This Row],[2015]]*Emissionsfaktoren[[#This Row],[2015]]/1000, 0)</f>
        <v>0</v>
      </c>
      <c r="G29" s="14">
        <f>IF(ISNUMBER(Klisz_Verbräuche[[#This Row],[2016]]), Klisz_Verbräuche[[#This Row],[2016]]*Emissionsfaktoren[[#This Row],[2016]]/1000, 0)</f>
        <v>0</v>
      </c>
      <c r="H29" s="14">
        <f>IF(ISNUMBER(Klisz_Verbräuche[[#This Row],[2017]]), Klisz_Verbräuche[[#This Row],[2017]]*Emissionsfaktoren[[#This Row],[2017]]/1000, 0)</f>
        <v>0</v>
      </c>
      <c r="I29" s="14">
        <f>IF(ISNUMBER(Klisz_Verbräuche[[#This Row],[2018]]), Klisz_Verbräuche[[#This Row],[2018]]*Emissionsfaktoren[[#This Row],[2018]]/1000, 0)</f>
        <v>0</v>
      </c>
      <c r="J29" s="14">
        <f>IF(ISNUMBER(Klisz_Verbräuche[[#This Row],[2019]]), Klisz_Verbräuche[[#This Row],[2019]]*Emissionsfaktoren[[#This Row],[2019]]/1000, 0)</f>
        <v>0</v>
      </c>
      <c r="K29" s="14">
        <f>IF(ISNUMBER(Klisz_Verbräuche[[#This Row],[2020]]), Klisz_Verbräuche[[#This Row],[2020]]*Emissionsfaktoren[[#This Row],[2020]]/1000, 0)</f>
        <v>0</v>
      </c>
      <c r="L29" s="14">
        <f>IF(ISNUMBER(Klisz_Verbräuche[[#This Row],[2021]]), Klisz_Verbräuche[[#This Row],[2021]]*Emissionsfaktoren[[#This Row],[2021]]/1000, 0)</f>
        <v>0</v>
      </c>
      <c r="M29" s="14">
        <f>IF(ISNUMBER(Klisz_Verbräuche[[#This Row],[2022]]), Klisz_Verbräuche[[#This Row],[2022]]*Emissionsfaktoren[[#This Row],[2022]]/1000, 0)</f>
        <v>0</v>
      </c>
      <c r="N29" s="14">
        <f>IF(ISNUMBER(Klisz_Verbräuche[[#This Row],[2023]]), Klisz_Verbräuche[[#This Row],[2023]]*Emissionsfaktoren[[#This Row],[2023]]/1000, 0)</f>
        <v>0</v>
      </c>
      <c r="O29" s="14">
        <f>IF(ISNUMBER(Klisz_Verbräuche[[#This Row],[2024]]), Klisz_Verbräuche[[#This Row],[2024]]*Emissionsfaktoren[[#This Row],[2024]]/1000, 0)</f>
        <v>0</v>
      </c>
      <c r="P29" s="14">
        <f>IF(ISNUMBER(Klisz_Verbräuche[[#This Row],[2025]]), Klisz_Verbräuche[[#This Row],[2025]]*Emissionsfaktoren[[#This Row],[2025]]/1000, 0)</f>
        <v>0</v>
      </c>
      <c r="Q29" s="14">
        <f>IF(ISNUMBER(Klisz_Verbräuche[[#This Row],[2026]]), Klisz_Verbräuche[[#This Row],[2026]]*Emissionsfaktoren[[#This Row],[2026]]/1000, 0)</f>
        <v>0</v>
      </c>
      <c r="R29" s="14">
        <f>IF(ISNUMBER(Klisz_Verbräuche[[#This Row],[2027]]), Klisz_Verbräuche[[#This Row],[2027]]*Emissionsfaktoren[[#This Row],[2027]]/1000, 0)</f>
        <v>0</v>
      </c>
      <c r="S29" s="14">
        <f>IF(ISNUMBER(Klisz_Verbräuche[[#This Row],[2028]]), Klisz_Verbräuche[[#This Row],[2028]]*Emissionsfaktoren[[#This Row],[2028]]/1000, 0)</f>
        <v>0</v>
      </c>
      <c r="T29" s="14">
        <f>IF(ISNUMBER(Klisz_Verbräuche[[#This Row],[2029]]), Klisz_Verbräuche[[#This Row],[2029]]*Emissionsfaktoren[[#This Row],[2029]]/1000, 0)</f>
        <v>0</v>
      </c>
      <c r="U29" s="14">
        <f>IF(ISNUMBER(Klisz_Verbräuche[[#This Row],[2030]]), Klisz_Verbräuche[[#This Row],[2030]]*Emissionsfaktoren[[#This Row],[2030]]/1000, 0)</f>
        <v>0</v>
      </c>
      <c r="V29" s="14">
        <f>IF(ISNUMBER(Klisz_Verbräuche[[#This Row],[2035]]), Klisz_Verbräuche[[#This Row],[2035]]*Emissionsfaktoren[[#This Row],[2035]]/1000, 0)</f>
        <v>0</v>
      </c>
      <c r="W29" s="14">
        <f>IF(ISNUMBER(Klisz_Verbräuche[[#This Row],[2040]]), Klisz_Verbräuche[[#This Row],[2040]]*Emissionsfaktoren[[#This Row],[2040]]/1000, 0)</f>
        <v>0</v>
      </c>
      <c r="X29" s="14">
        <f>IF(ISNUMBER(Klisz_Verbräuche[[#This Row],[2045]]), Klisz_Verbräuche[[#This Row],[2045]]*Emissionsfaktoren[[#This Row],[2045]]/1000, 0)</f>
        <v>0</v>
      </c>
      <c r="Y29" s="14">
        <f>IF(ISNUMBER(Klisz_Verbräuche[[#This Row],[2050]]), Klisz_Verbräuche[[#This Row],[2050]]*Emissionsfaktoren[[#This Row],[2050]]/1000, 0)</f>
        <v>0</v>
      </c>
    </row>
    <row r="30" spans="2:26" ht="16.5">
      <c r="B30" s="14">
        <v>13</v>
      </c>
      <c r="C30" s="14" t="str">
        <f>Refsz_Verbräuche[[#This Row],[Handlungsfeld]]</f>
        <v>Wärme</v>
      </c>
      <c r="D30" s="19" t="str">
        <f>Refsz_Verbräuche[[#This Row],[Datenpunkt]]</f>
        <v>BHKW</v>
      </c>
      <c r="E30" t="s">
        <v>195</v>
      </c>
      <c r="F30" s="14">
        <f>'Strommix &amp; BHKW'!D186+'Strommix &amp; BHKW'!D204+'Strommix &amp; BHKW'!D210+'Strommix &amp; BHKW'!D216</f>
        <v>0</v>
      </c>
      <c r="G30" s="14">
        <f>'Strommix &amp; BHKW'!E186+'Strommix &amp; BHKW'!E204+'Strommix &amp; BHKW'!E210+'Strommix &amp; BHKW'!E216</f>
        <v>0</v>
      </c>
      <c r="H30" s="14">
        <f>'Strommix &amp; BHKW'!F186+'Strommix &amp; BHKW'!F204+'Strommix &amp; BHKW'!F210+'Strommix &amp; BHKW'!F216</f>
        <v>0</v>
      </c>
      <c r="I30" s="14">
        <f>'Strommix &amp; BHKW'!G186+'Strommix &amp; BHKW'!G204+'Strommix &amp; BHKW'!G210+'Strommix &amp; BHKW'!G216</f>
        <v>0</v>
      </c>
      <c r="J30" s="14">
        <f>'Strommix &amp; BHKW'!H186+'Strommix &amp; BHKW'!H204+'Strommix &amp; BHKW'!H210+'Strommix &amp; BHKW'!H216</f>
        <v>0</v>
      </c>
      <c r="K30" s="14">
        <f>'Strommix &amp; BHKW'!I186+'Strommix &amp; BHKW'!I204+'Strommix &amp; BHKW'!I210+'Strommix &amp; BHKW'!I216</f>
        <v>0</v>
      </c>
      <c r="L30" s="14">
        <f>'Strommix &amp; BHKW'!J186+'Strommix &amp; BHKW'!J204+'Strommix &amp; BHKW'!J210+'Strommix &amp; BHKW'!J216</f>
        <v>0</v>
      </c>
      <c r="M30" s="14">
        <f>'Strommix &amp; BHKW'!K186+'Strommix &amp; BHKW'!K204+'Strommix &amp; BHKW'!K210+'Strommix &amp; BHKW'!K216</f>
        <v>0</v>
      </c>
      <c r="N30" s="14">
        <f>'Strommix &amp; BHKW'!L186+'Strommix &amp; BHKW'!L204+'Strommix &amp; BHKW'!L210+'Strommix &amp; BHKW'!L216</f>
        <v>0</v>
      </c>
      <c r="O30" s="14">
        <f>'Strommix &amp; BHKW'!M186+'Strommix &amp; BHKW'!M204+'Strommix &amp; BHKW'!M210+'Strommix &amp; BHKW'!M216</f>
        <v>0</v>
      </c>
      <c r="P30" s="14">
        <f>'Strommix &amp; BHKW'!N186+'Strommix &amp; BHKW'!N204+'Strommix &amp; BHKW'!N210+'Strommix &amp; BHKW'!N216</f>
        <v>0</v>
      </c>
      <c r="Q30" s="14">
        <f>'Strommix &amp; BHKW'!O186+'Strommix &amp; BHKW'!O204+'Strommix &amp; BHKW'!O210+'Strommix &amp; BHKW'!O216</f>
        <v>0</v>
      </c>
      <c r="R30" s="14">
        <f>'Strommix &amp; BHKW'!P186+'Strommix &amp; BHKW'!P204+'Strommix &amp; BHKW'!P210+'Strommix &amp; BHKW'!P216</f>
        <v>0</v>
      </c>
      <c r="S30" s="14">
        <f>'Strommix &amp; BHKW'!Q186+'Strommix &amp; BHKW'!Q204+'Strommix &amp; BHKW'!Q210+'Strommix &amp; BHKW'!Q216</f>
        <v>0</v>
      </c>
      <c r="T30" s="14">
        <f>'Strommix &amp; BHKW'!R186+'Strommix &amp; BHKW'!R204+'Strommix &amp; BHKW'!R210+'Strommix &amp; BHKW'!R216</f>
        <v>0</v>
      </c>
      <c r="U30" s="14">
        <f>'Strommix &amp; BHKW'!S186+'Strommix &amp; BHKW'!S204+'Strommix &amp; BHKW'!S210+'Strommix &amp; BHKW'!S216</f>
        <v>0</v>
      </c>
      <c r="V30" s="14">
        <f>'Strommix &amp; BHKW'!T186+'Strommix &amp; BHKW'!T204+'Strommix &amp; BHKW'!T210+'Strommix &amp; BHKW'!T216</f>
        <v>0</v>
      </c>
      <c r="W30" s="14">
        <f>'Strommix &amp; BHKW'!U186+'Strommix &amp; BHKW'!U204+'Strommix &amp; BHKW'!U210+'Strommix &amp; BHKW'!U216</f>
        <v>0</v>
      </c>
      <c r="X30" s="14">
        <f>'Strommix &amp; BHKW'!V186+'Strommix &amp; BHKW'!V204+'Strommix &amp; BHKW'!V210+'Strommix &amp; BHKW'!V216</f>
        <v>0</v>
      </c>
      <c r="Y30" s="14">
        <f>'Strommix &amp; BHKW'!W186+'Strommix &amp; BHKW'!W204+'Strommix &amp; BHKW'!W210+'Strommix &amp; BHKW'!W216</f>
        <v>0</v>
      </c>
    </row>
    <row r="31" spans="2:26" ht="16.5">
      <c r="B31" s="14">
        <v>14</v>
      </c>
      <c r="C31" s="14" t="str">
        <f>Refsz_Verbräuche[[#This Row],[Handlungsfeld]]</f>
        <v>Wärme</v>
      </c>
      <c r="D31" s="19" t="str">
        <f>Refsz_Verbräuche[[#This Row],[Datenpunkt]]</f>
        <v>Biogas</v>
      </c>
      <c r="E31" t="s">
        <v>195</v>
      </c>
      <c r="F31" s="14">
        <f>IF(ISNUMBER(Klisz_Verbräuche[[#This Row],[2015]]), Klisz_Verbräuche[[#This Row],[2015]]*Emissionsfaktoren[[#This Row],[2015]]/1000, 0)</f>
        <v>0</v>
      </c>
      <c r="G31" s="14">
        <f>IF(ISNUMBER(Klisz_Verbräuche[[#This Row],[2016]]), Klisz_Verbräuche[[#This Row],[2016]]*Emissionsfaktoren[[#This Row],[2016]]/1000, 0)</f>
        <v>0</v>
      </c>
      <c r="H31" s="14">
        <f>IF(ISNUMBER(Klisz_Verbräuche[[#This Row],[2017]]), Klisz_Verbräuche[[#This Row],[2017]]*Emissionsfaktoren[[#This Row],[2017]]/1000, 0)</f>
        <v>0</v>
      </c>
      <c r="I31" s="14">
        <f>IF(ISNUMBER(Klisz_Verbräuche[[#This Row],[2018]]), Klisz_Verbräuche[[#This Row],[2018]]*Emissionsfaktoren[[#This Row],[2018]]/1000, 0)</f>
        <v>0</v>
      </c>
      <c r="J31" s="14">
        <f>IF(ISNUMBER(Klisz_Verbräuche[[#This Row],[2019]]), Klisz_Verbräuche[[#This Row],[2019]]*Emissionsfaktoren[[#This Row],[2019]]/1000, 0)</f>
        <v>0</v>
      </c>
      <c r="K31" s="14">
        <f>IF(ISNUMBER(Klisz_Verbräuche[[#This Row],[2020]]), Klisz_Verbräuche[[#This Row],[2020]]*Emissionsfaktoren[[#This Row],[2020]]/1000, 0)</f>
        <v>0</v>
      </c>
      <c r="L31" s="14">
        <f>IF(ISNUMBER(Klisz_Verbräuche[[#This Row],[2021]]), Klisz_Verbräuche[[#This Row],[2021]]*Emissionsfaktoren[[#This Row],[2021]]/1000, 0)</f>
        <v>0</v>
      </c>
      <c r="M31" s="14">
        <f>IF(ISNUMBER(Klisz_Verbräuche[[#This Row],[2022]]), Klisz_Verbräuche[[#This Row],[2022]]*Emissionsfaktoren[[#This Row],[2022]]/1000, 0)</f>
        <v>0</v>
      </c>
      <c r="N31" s="14">
        <f>IF(ISNUMBER(Klisz_Verbräuche[[#This Row],[2023]]), Klisz_Verbräuche[[#This Row],[2023]]*Emissionsfaktoren[[#This Row],[2023]]/1000, 0)</f>
        <v>0</v>
      </c>
      <c r="O31" s="14">
        <f>IF(ISNUMBER(Klisz_Verbräuche[[#This Row],[2024]]), Klisz_Verbräuche[[#This Row],[2024]]*Emissionsfaktoren[[#This Row],[2024]]/1000, 0)</f>
        <v>0</v>
      </c>
      <c r="P31" s="14">
        <f>IF(ISNUMBER(Klisz_Verbräuche[[#This Row],[2025]]), Klisz_Verbräuche[[#This Row],[2025]]*Emissionsfaktoren[[#This Row],[2025]]/1000, 0)</f>
        <v>0</v>
      </c>
      <c r="Q31" s="14">
        <f>IF(ISNUMBER(Klisz_Verbräuche[[#This Row],[2026]]), Klisz_Verbräuche[[#This Row],[2026]]*Emissionsfaktoren[[#This Row],[2026]]/1000, 0)</f>
        <v>0</v>
      </c>
      <c r="R31" s="14">
        <f>IF(ISNUMBER(Klisz_Verbräuche[[#This Row],[2027]]), Klisz_Verbräuche[[#This Row],[2027]]*Emissionsfaktoren[[#This Row],[2027]]/1000, 0)</f>
        <v>0</v>
      </c>
      <c r="S31" s="14">
        <f>IF(ISNUMBER(Klisz_Verbräuche[[#This Row],[2028]]), Klisz_Verbräuche[[#This Row],[2028]]*Emissionsfaktoren[[#This Row],[2028]]/1000, 0)</f>
        <v>0</v>
      </c>
      <c r="T31" s="14">
        <f>IF(ISNUMBER(Klisz_Verbräuche[[#This Row],[2029]]), Klisz_Verbräuche[[#This Row],[2029]]*Emissionsfaktoren[[#This Row],[2029]]/1000, 0)</f>
        <v>0</v>
      </c>
      <c r="U31" s="14">
        <f>IF(ISNUMBER(Klisz_Verbräuche[[#This Row],[2030]]), Klisz_Verbräuche[[#This Row],[2030]]*Emissionsfaktoren[[#This Row],[2030]]/1000, 0)</f>
        <v>0</v>
      </c>
      <c r="V31" s="14">
        <f>IF(ISNUMBER(Klisz_Verbräuche[[#This Row],[2035]]), Klisz_Verbräuche[[#This Row],[2035]]*Emissionsfaktoren[[#This Row],[2035]]/1000, 0)</f>
        <v>0</v>
      </c>
      <c r="W31" s="14">
        <f>IF(ISNUMBER(Klisz_Verbräuche[[#This Row],[2040]]), Klisz_Verbräuche[[#This Row],[2040]]*Emissionsfaktoren[[#This Row],[2040]]/1000, 0)</f>
        <v>0</v>
      </c>
      <c r="X31" s="14">
        <f>IF(ISNUMBER(Klisz_Verbräuche[[#This Row],[2045]]), Klisz_Verbräuche[[#This Row],[2045]]*Emissionsfaktoren[[#This Row],[2045]]/1000, 0)</f>
        <v>0</v>
      </c>
      <c r="Y31" s="14">
        <f>IF(ISNUMBER(Klisz_Verbräuche[[#This Row],[2050]]), Klisz_Verbräuche[[#This Row],[2050]]*Emissionsfaktoren[[#This Row],[2050]]/1000, 0)</f>
        <v>0</v>
      </c>
    </row>
    <row r="32" spans="2:26" ht="16.5">
      <c r="B32" s="14">
        <v>15</v>
      </c>
      <c r="C32" s="14" t="str">
        <f>Refsz_Verbräuche[[#This Row],[Handlungsfeld]]</f>
        <v>Wärme</v>
      </c>
      <c r="D32" s="19" t="str">
        <f>Refsz_Verbräuche[[#This Row],[Datenpunkt]]</f>
        <v>Individueller Emissionsfaktor</v>
      </c>
      <c r="E32" t="s">
        <v>195</v>
      </c>
      <c r="F32" s="14">
        <f>IF(ISNUMBER(Klisz_Verbräuche[[#This Row],[2015]]), Klisz_Verbräuche[[#This Row],[2015]]*Emissionsfaktoren[[#This Row],[2015]]/1000, 0)</f>
        <v>0</v>
      </c>
      <c r="G32" s="14">
        <f>IF(ISNUMBER(Klisz_Verbräuche[[#This Row],[2016]]), Klisz_Verbräuche[[#This Row],[2016]]*Emissionsfaktoren[[#This Row],[2016]]/1000, 0)</f>
        <v>0</v>
      </c>
      <c r="H32" s="14">
        <f>IF(ISNUMBER(Klisz_Verbräuche[[#This Row],[2017]]), Klisz_Verbräuche[[#This Row],[2017]]*Emissionsfaktoren[[#This Row],[2017]]/1000, 0)</f>
        <v>0</v>
      </c>
      <c r="I32" s="14">
        <f>IF(ISNUMBER(Klisz_Verbräuche[[#This Row],[2018]]), Klisz_Verbräuche[[#This Row],[2018]]*Emissionsfaktoren[[#This Row],[2018]]/1000, 0)</f>
        <v>0</v>
      </c>
      <c r="J32" s="14">
        <f>IF(ISNUMBER(Klisz_Verbräuche[[#This Row],[2019]]), Klisz_Verbräuche[[#This Row],[2019]]*Emissionsfaktoren[[#This Row],[2019]]/1000, 0)</f>
        <v>0</v>
      </c>
      <c r="K32" s="14">
        <f>IF(ISNUMBER(Klisz_Verbräuche[[#This Row],[2020]]), Klisz_Verbräuche[[#This Row],[2020]]*Emissionsfaktoren[[#This Row],[2020]]/1000, 0)</f>
        <v>0</v>
      </c>
      <c r="L32" s="14">
        <f>IF(ISNUMBER(Klisz_Verbräuche[[#This Row],[2021]]), Klisz_Verbräuche[[#This Row],[2021]]*Emissionsfaktoren[[#This Row],[2021]]/1000, 0)</f>
        <v>0</v>
      </c>
      <c r="M32" s="14">
        <f>IF(ISNUMBER(Klisz_Verbräuche[[#This Row],[2022]]), Klisz_Verbräuche[[#This Row],[2022]]*Emissionsfaktoren[[#This Row],[2022]]/1000, 0)</f>
        <v>0</v>
      </c>
      <c r="N32" s="14">
        <f>IF(ISNUMBER(Klisz_Verbräuche[[#This Row],[2023]]), Klisz_Verbräuche[[#This Row],[2023]]*Emissionsfaktoren[[#This Row],[2023]]/1000, 0)</f>
        <v>0</v>
      </c>
      <c r="O32" s="14">
        <f>IF(ISNUMBER(Klisz_Verbräuche[[#This Row],[2024]]), Klisz_Verbräuche[[#This Row],[2024]]*Emissionsfaktoren[[#This Row],[2024]]/1000, 0)</f>
        <v>0</v>
      </c>
      <c r="P32" s="14">
        <f>IF(ISNUMBER(Klisz_Verbräuche[[#This Row],[2025]]), Klisz_Verbräuche[[#This Row],[2025]]*Emissionsfaktoren[[#This Row],[2025]]/1000, 0)</f>
        <v>0</v>
      </c>
      <c r="Q32" s="14">
        <f>IF(ISNUMBER(Klisz_Verbräuche[[#This Row],[2026]]), Klisz_Verbräuche[[#This Row],[2026]]*Emissionsfaktoren[[#This Row],[2026]]/1000, 0)</f>
        <v>0</v>
      </c>
      <c r="R32" s="14">
        <f>IF(ISNUMBER(Klisz_Verbräuche[[#This Row],[2027]]), Klisz_Verbräuche[[#This Row],[2027]]*Emissionsfaktoren[[#This Row],[2027]]/1000, 0)</f>
        <v>0</v>
      </c>
      <c r="S32" s="14">
        <f>IF(ISNUMBER(Klisz_Verbräuche[[#This Row],[2028]]), Klisz_Verbräuche[[#This Row],[2028]]*Emissionsfaktoren[[#This Row],[2028]]/1000, 0)</f>
        <v>0</v>
      </c>
      <c r="T32" s="14">
        <f>IF(ISNUMBER(Klisz_Verbräuche[[#This Row],[2029]]), Klisz_Verbräuche[[#This Row],[2029]]*Emissionsfaktoren[[#This Row],[2029]]/1000, 0)</f>
        <v>0</v>
      </c>
      <c r="U32" s="14">
        <f>IF(ISNUMBER(Klisz_Verbräuche[[#This Row],[2030]]), Klisz_Verbräuche[[#This Row],[2030]]*Emissionsfaktoren[[#This Row],[2030]]/1000, 0)</f>
        <v>0</v>
      </c>
      <c r="V32" s="14">
        <f>IF(ISNUMBER(Klisz_Verbräuche[[#This Row],[2035]]), Klisz_Verbräuche[[#This Row],[2035]]*Emissionsfaktoren[[#This Row],[2035]]/1000, 0)</f>
        <v>0</v>
      </c>
      <c r="W32" s="14">
        <f>IF(ISNUMBER(Klisz_Verbräuche[[#This Row],[2040]]), Klisz_Verbräuche[[#This Row],[2040]]*Emissionsfaktoren[[#This Row],[2040]]/1000, 0)</f>
        <v>0</v>
      </c>
      <c r="X32" s="14">
        <f>IF(ISNUMBER(Klisz_Verbräuche[[#This Row],[2045]]), Klisz_Verbräuche[[#This Row],[2045]]*Emissionsfaktoren[[#This Row],[2045]]/1000, 0)</f>
        <v>0</v>
      </c>
      <c r="Y32" s="14">
        <f>IF(ISNUMBER(Klisz_Verbräuche[[#This Row],[2050]]), Klisz_Verbräuche[[#This Row],[2050]]*Emissionsfaktoren[[#This Row],[2050]]/1000, 0)</f>
        <v>0</v>
      </c>
    </row>
    <row r="33" spans="2:25" ht="16.5">
      <c r="B33" s="14">
        <v>16</v>
      </c>
      <c r="C33" s="14" t="str">
        <f>Refsz_Verbräuche[[#This Row],[Handlungsfeld]]</f>
        <v>Wärme</v>
      </c>
      <c r="D33" s="19" t="str">
        <f>Refsz_Verbräuche[[#This Row],[Datenpunkt]]</f>
        <v>Holzhackschnitzel</v>
      </c>
      <c r="E33" t="s">
        <v>195</v>
      </c>
      <c r="F33" s="14">
        <f>IF(ISNUMBER(Klisz_Verbräuche[[#This Row],[2015]]), Klisz_Verbräuche[[#This Row],[2015]]*Emissionsfaktoren[[#This Row],[2015]]/1000, 0)</f>
        <v>0</v>
      </c>
      <c r="G33" s="14">
        <f>IF(ISNUMBER(Klisz_Verbräuche[[#This Row],[2016]]), Klisz_Verbräuche[[#This Row],[2016]]*Emissionsfaktoren[[#This Row],[2016]]/1000, 0)</f>
        <v>0</v>
      </c>
      <c r="H33" s="14">
        <f>IF(ISNUMBER(Klisz_Verbräuche[[#This Row],[2017]]), Klisz_Verbräuche[[#This Row],[2017]]*Emissionsfaktoren[[#This Row],[2017]]/1000, 0)</f>
        <v>0</v>
      </c>
      <c r="I33" s="14">
        <f>IF(ISNUMBER(Klisz_Verbräuche[[#This Row],[2018]]), Klisz_Verbräuche[[#This Row],[2018]]*Emissionsfaktoren[[#This Row],[2018]]/1000, 0)</f>
        <v>0</v>
      </c>
      <c r="J33" s="14">
        <f>IF(ISNUMBER(Klisz_Verbräuche[[#This Row],[2019]]), Klisz_Verbräuche[[#This Row],[2019]]*Emissionsfaktoren[[#This Row],[2019]]/1000, 0)</f>
        <v>0</v>
      </c>
      <c r="K33" s="14">
        <f>IF(ISNUMBER(Klisz_Verbräuche[[#This Row],[2020]]), Klisz_Verbräuche[[#This Row],[2020]]*Emissionsfaktoren[[#This Row],[2020]]/1000, 0)</f>
        <v>0</v>
      </c>
      <c r="L33" s="14">
        <f>IF(ISNUMBER(Klisz_Verbräuche[[#This Row],[2021]]), Klisz_Verbräuche[[#This Row],[2021]]*Emissionsfaktoren[[#This Row],[2021]]/1000, 0)</f>
        <v>0</v>
      </c>
      <c r="M33" s="14">
        <f>IF(ISNUMBER(Klisz_Verbräuche[[#This Row],[2022]]), Klisz_Verbräuche[[#This Row],[2022]]*Emissionsfaktoren[[#This Row],[2022]]/1000, 0)</f>
        <v>0</v>
      </c>
      <c r="N33" s="14">
        <f>IF(ISNUMBER(Klisz_Verbräuche[[#This Row],[2023]]), Klisz_Verbräuche[[#This Row],[2023]]*Emissionsfaktoren[[#This Row],[2023]]/1000, 0)</f>
        <v>0</v>
      </c>
      <c r="O33" s="14">
        <f>IF(ISNUMBER(Klisz_Verbräuche[[#This Row],[2024]]), Klisz_Verbräuche[[#This Row],[2024]]*Emissionsfaktoren[[#This Row],[2024]]/1000, 0)</f>
        <v>0</v>
      </c>
      <c r="P33" s="14">
        <f>IF(ISNUMBER(Klisz_Verbräuche[[#This Row],[2025]]), Klisz_Verbräuche[[#This Row],[2025]]*Emissionsfaktoren[[#This Row],[2025]]/1000, 0)</f>
        <v>0</v>
      </c>
      <c r="Q33" s="14">
        <f>IF(ISNUMBER(Klisz_Verbräuche[[#This Row],[2026]]), Klisz_Verbräuche[[#This Row],[2026]]*Emissionsfaktoren[[#This Row],[2026]]/1000, 0)</f>
        <v>0</v>
      </c>
      <c r="R33" s="14">
        <f>IF(ISNUMBER(Klisz_Verbräuche[[#This Row],[2027]]), Klisz_Verbräuche[[#This Row],[2027]]*Emissionsfaktoren[[#This Row],[2027]]/1000, 0)</f>
        <v>0</v>
      </c>
      <c r="S33" s="14">
        <f>IF(ISNUMBER(Klisz_Verbräuche[[#This Row],[2028]]), Klisz_Verbräuche[[#This Row],[2028]]*Emissionsfaktoren[[#This Row],[2028]]/1000, 0)</f>
        <v>0</v>
      </c>
      <c r="T33" s="14">
        <f>IF(ISNUMBER(Klisz_Verbräuche[[#This Row],[2029]]), Klisz_Verbräuche[[#This Row],[2029]]*Emissionsfaktoren[[#This Row],[2029]]/1000, 0)</f>
        <v>0</v>
      </c>
      <c r="U33" s="14">
        <f>IF(ISNUMBER(Klisz_Verbräuche[[#This Row],[2030]]), Klisz_Verbräuche[[#This Row],[2030]]*Emissionsfaktoren[[#This Row],[2030]]/1000, 0)</f>
        <v>0</v>
      </c>
      <c r="V33" s="14">
        <f>IF(ISNUMBER(Klisz_Verbräuche[[#This Row],[2035]]), Klisz_Verbräuche[[#This Row],[2035]]*Emissionsfaktoren[[#This Row],[2035]]/1000, 0)</f>
        <v>0</v>
      </c>
      <c r="W33" s="14">
        <f>IF(ISNUMBER(Klisz_Verbräuche[[#This Row],[2040]]), Klisz_Verbräuche[[#This Row],[2040]]*Emissionsfaktoren[[#This Row],[2040]]/1000, 0)</f>
        <v>0</v>
      </c>
      <c r="X33" s="14">
        <f>IF(ISNUMBER(Klisz_Verbräuche[[#This Row],[2045]]), Klisz_Verbräuche[[#This Row],[2045]]*Emissionsfaktoren[[#This Row],[2045]]/1000, 0)</f>
        <v>0</v>
      </c>
      <c r="Y33" s="14">
        <f>IF(ISNUMBER(Klisz_Verbräuche[[#This Row],[2050]]), Klisz_Verbräuche[[#This Row],[2050]]*Emissionsfaktoren[[#This Row],[2050]]/1000, 0)</f>
        <v>0</v>
      </c>
    </row>
    <row r="34" spans="2:25" ht="16.5">
      <c r="B34" s="14">
        <v>17</v>
      </c>
      <c r="C34" s="14" t="str">
        <f>Refsz_Verbräuche[[#This Row],[Handlungsfeld]]</f>
        <v>Wärme</v>
      </c>
      <c r="D34" s="19" t="str">
        <f>Refsz_Verbräuche[[#This Row],[Datenpunkt]]</f>
        <v>Holzpellets, 10kW/kleinere Zentralheizung</v>
      </c>
      <c r="E34" t="s">
        <v>195</v>
      </c>
      <c r="F34" s="14">
        <f>IF(ISNUMBER(Klisz_Verbräuche[[#This Row],[2015]]), Klisz_Verbräuche[[#This Row],[2015]]*Emissionsfaktoren[[#This Row],[2015]]/1000, 0)</f>
        <v>0</v>
      </c>
      <c r="G34" s="14">
        <f>IF(ISNUMBER(Klisz_Verbräuche[[#This Row],[2016]]), Klisz_Verbräuche[[#This Row],[2016]]*Emissionsfaktoren[[#This Row],[2016]]/1000, 0)</f>
        <v>0</v>
      </c>
      <c r="H34" s="14">
        <f>IF(ISNUMBER(Klisz_Verbräuche[[#This Row],[2017]]), Klisz_Verbräuche[[#This Row],[2017]]*Emissionsfaktoren[[#This Row],[2017]]/1000, 0)</f>
        <v>0</v>
      </c>
      <c r="I34" s="14">
        <f>IF(ISNUMBER(Klisz_Verbräuche[[#This Row],[2018]]), Klisz_Verbräuche[[#This Row],[2018]]*Emissionsfaktoren[[#This Row],[2018]]/1000, 0)</f>
        <v>0</v>
      </c>
      <c r="J34" s="14">
        <f>IF(ISNUMBER(Klisz_Verbräuche[[#This Row],[2019]]), Klisz_Verbräuche[[#This Row],[2019]]*Emissionsfaktoren[[#This Row],[2019]]/1000, 0)</f>
        <v>0</v>
      </c>
      <c r="K34" s="14">
        <f>IF(ISNUMBER(Klisz_Verbräuche[[#This Row],[2020]]), Klisz_Verbräuche[[#This Row],[2020]]*Emissionsfaktoren[[#This Row],[2020]]/1000, 0)</f>
        <v>0</v>
      </c>
      <c r="L34" s="14">
        <f>IF(ISNUMBER(Klisz_Verbräuche[[#This Row],[2021]]), Klisz_Verbräuche[[#This Row],[2021]]*Emissionsfaktoren[[#This Row],[2021]]/1000, 0)</f>
        <v>0</v>
      </c>
      <c r="M34" s="14">
        <f>IF(ISNUMBER(Klisz_Verbräuche[[#This Row],[2022]]), Klisz_Verbräuche[[#This Row],[2022]]*Emissionsfaktoren[[#This Row],[2022]]/1000, 0)</f>
        <v>0</v>
      </c>
      <c r="N34" s="14">
        <f>IF(ISNUMBER(Klisz_Verbräuche[[#This Row],[2023]]), Klisz_Verbräuche[[#This Row],[2023]]*Emissionsfaktoren[[#This Row],[2023]]/1000, 0)</f>
        <v>0</v>
      </c>
      <c r="O34" s="14">
        <f>IF(ISNUMBER(Klisz_Verbräuche[[#This Row],[2024]]), Klisz_Verbräuche[[#This Row],[2024]]*Emissionsfaktoren[[#This Row],[2024]]/1000, 0)</f>
        <v>0</v>
      </c>
      <c r="P34" s="14">
        <f>IF(ISNUMBER(Klisz_Verbräuche[[#This Row],[2025]]), Klisz_Verbräuche[[#This Row],[2025]]*Emissionsfaktoren[[#This Row],[2025]]/1000, 0)</f>
        <v>0</v>
      </c>
      <c r="Q34" s="14">
        <f>IF(ISNUMBER(Klisz_Verbräuche[[#This Row],[2026]]), Klisz_Verbräuche[[#This Row],[2026]]*Emissionsfaktoren[[#This Row],[2026]]/1000, 0)</f>
        <v>0</v>
      </c>
      <c r="R34" s="14">
        <f>IF(ISNUMBER(Klisz_Verbräuche[[#This Row],[2027]]), Klisz_Verbräuche[[#This Row],[2027]]*Emissionsfaktoren[[#This Row],[2027]]/1000, 0)</f>
        <v>0</v>
      </c>
      <c r="S34" s="14">
        <f>IF(ISNUMBER(Klisz_Verbräuche[[#This Row],[2028]]), Klisz_Verbräuche[[#This Row],[2028]]*Emissionsfaktoren[[#This Row],[2028]]/1000, 0)</f>
        <v>0</v>
      </c>
      <c r="T34" s="14">
        <f>IF(ISNUMBER(Klisz_Verbräuche[[#This Row],[2029]]), Klisz_Verbräuche[[#This Row],[2029]]*Emissionsfaktoren[[#This Row],[2029]]/1000, 0)</f>
        <v>0</v>
      </c>
      <c r="U34" s="14">
        <f>IF(ISNUMBER(Klisz_Verbräuche[[#This Row],[2030]]), Klisz_Verbräuche[[#This Row],[2030]]*Emissionsfaktoren[[#This Row],[2030]]/1000, 0)</f>
        <v>0</v>
      </c>
      <c r="V34" s="14">
        <f>IF(ISNUMBER(Klisz_Verbräuche[[#This Row],[2035]]), Klisz_Verbräuche[[#This Row],[2035]]*Emissionsfaktoren[[#This Row],[2035]]/1000, 0)</f>
        <v>0</v>
      </c>
      <c r="W34" s="14">
        <f>IF(ISNUMBER(Klisz_Verbräuche[[#This Row],[2040]]), Klisz_Verbräuche[[#This Row],[2040]]*Emissionsfaktoren[[#This Row],[2040]]/1000, 0)</f>
        <v>0</v>
      </c>
      <c r="X34" s="14">
        <f>IF(ISNUMBER(Klisz_Verbräuche[[#This Row],[2045]]), Klisz_Verbräuche[[#This Row],[2045]]*Emissionsfaktoren[[#This Row],[2045]]/1000, 0)</f>
        <v>0</v>
      </c>
      <c r="Y34" s="14">
        <f>IF(ISNUMBER(Klisz_Verbräuche[[#This Row],[2050]]), Klisz_Verbräuche[[#This Row],[2050]]*Emissionsfaktoren[[#This Row],[2050]]/1000, 0)</f>
        <v>0</v>
      </c>
    </row>
    <row r="35" spans="2:25" ht="16.5">
      <c r="B35" s="14">
        <v>18</v>
      </c>
      <c r="C35" s="14" t="str">
        <f>Refsz_Verbräuche[[#This Row],[Handlungsfeld]]</f>
        <v>Wärme</v>
      </c>
      <c r="D35" s="19" t="str">
        <f>Refsz_Verbräuche[[#This Row],[Datenpunkt]]</f>
        <v>Holzpellets, 50kW/größere Zentralheizung</v>
      </c>
      <c r="E35" t="s">
        <v>195</v>
      </c>
      <c r="F35" s="14">
        <f>IF(ISNUMBER(Klisz_Verbräuche[[#This Row],[2015]]), Klisz_Verbräuche[[#This Row],[2015]]*Emissionsfaktoren[[#This Row],[2015]]/1000, 0)</f>
        <v>0</v>
      </c>
      <c r="G35" s="14">
        <f>IF(ISNUMBER(Klisz_Verbräuche[[#This Row],[2016]]), Klisz_Verbräuche[[#This Row],[2016]]*Emissionsfaktoren[[#This Row],[2016]]/1000, 0)</f>
        <v>0</v>
      </c>
      <c r="H35" s="14">
        <f>IF(ISNUMBER(Klisz_Verbräuche[[#This Row],[2017]]), Klisz_Verbräuche[[#This Row],[2017]]*Emissionsfaktoren[[#This Row],[2017]]/1000, 0)</f>
        <v>0</v>
      </c>
      <c r="I35" s="14">
        <f>IF(ISNUMBER(Klisz_Verbräuche[[#This Row],[2018]]), Klisz_Verbräuche[[#This Row],[2018]]*Emissionsfaktoren[[#This Row],[2018]]/1000, 0)</f>
        <v>0</v>
      </c>
      <c r="J35" s="14">
        <f>IF(ISNUMBER(Klisz_Verbräuche[[#This Row],[2019]]), Klisz_Verbräuche[[#This Row],[2019]]*Emissionsfaktoren[[#This Row],[2019]]/1000, 0)</f>
        <v>0</v>
      </c>
      <c r="K35" s="14">
        <f>IF(ISNUMBER(Klisz_Verbräuche[[#This Row],[2020]]), Klisz_Verbräuche[[#This Row],[2020]]*Emissionsfaktoren[[#This Row],[2020]]/1000, 0)</f>
        <v>0</v>
      </c>
      <c r="L35" s="14">
        <f>IF(ISNUMBER(Klisz_Verbräuche[[#This Row],[2021]]), Klisz_Verbräuche[[#This Row],[2021]]*Emissionsfaktoren[[#This Row],[2021]]/1000, 0)</f>
        <v>0</v>
      </c>
      <c r="M35" s="14">
        <f>IF(ISNUMBER(Klisz_Verbräuche[[#This Row],[2022]]), Klisz_Verbräuche[[#This Row],[2022]]*Emissionsfaktoren[[#This Row],[2022]]/1000, 0)</f>
        <v>0</v>
      </c>
      <c r="N35" s="14">
        <f>IF(ISNUMBER(Klisz_Verbräuche[[#This Row],[2023]]), Klisz_Verbräuche[[#This Row],[2023]]*Emissionsfaktoren[[#This Row],[2023]]/1000, 0)</f>
        <v>0</v>
      </c>
      <c r="O35" s="14">
        <f>IF(ISNUMBER(Klisz_Verbräuche[[#This Row],[2024]]), Klisz_Verbräuche[[#This Row],[2024]]*Emissionsfaktoren[[#This Row],[2024]]/1000, 0)</f>
        <v>0</v>
      </c>
      <c r="P35" s="14">
        <f>IF(ISNUMBER(Klisz_Verbräuche[[#This Row],[2025]]), Klisz_Verbräuche[[#This Row],[2025]]*Emissionsfaktoren[[#This Row],[2025]]/1000, 0)</f>
        <v>0</v>
      </c>
      <c r="Q35" s="14">
        <f>IF(ISNUMBER(Klisz_Verbräuche[[#This Row],[2026]]), Klisz_Verbräuche[[#This Row],[2026]]*Emissionsfaktoren[[#This Row],[2026]]/1000, 0)</f>
        <v>0</v>
      </c>
      <c r="R35" s="14">
        <f>IF(ISNUMBER(Klisz_Verbräuche[[#This Row],[2027]]), Klisz_Verbräuche[[#This Row],[2027]]*Emissionsfaktoren[[#This Row],[2027]]/1000, 0)</f>
        <v>0</v>
      </c>
      <c r="S35" s="14">
        <f>IF(ISNUMBER(Klisz_Verbräuche[[#This Row],[2028]]), Klisz_Verbräuche[[#This Row],[2028]]*Emissionsfaktoren[[#This Row],[2028]]/1000, 0)</f>
        <v>0</v>
      </c>
      <c r="T35" s="14">
        <f>IF(ISNUMBER(Klisz_Verbräuche[[#This Row],[2029]]), Klisz_Verbräuche[[#This Row],[2029]]*Emissionsfaktoren[[#This Row],[2029]]/1000, 0)</f>
        <v>0</v>
      </c>
      <c r="U35" s="14">
        <f>IF(ISNUMBER(Klisz_Verbräuche[[#This Row],[2030]]), Klisz_Verbräuche[[#This Row],[2030]]*Emissionsfaktoren[[#This Row],[2030]]/1000, 0)</f>
        <v>0</v>
      </c>
      <c r="V35" s="14">
        <f>IF(ISNUMBER(Klisz_Verbräuche[[#This Row],[2035]]), Klisz_Verbräuche[[#This Row],[2035]]*Emissionsfaktoren[[#This Row],[2035]]/1000, 0)</f>
        <v>0</v>
      </c>
      <c r="W35" s="14">
        <f>IF(ISNUMBER(Klisz_Verbräuche[[#This Row],[2040]]), Klisz_Verbräuche[[#This Row],[2040]]*Emissionsfaktoren[[#This Row],[2040]]/1000, 0)</f>
        <v>0</v>
      </c>
      <c r="X35" s="14">
        <f>IF(ISNUMBER(Klisz_Verbräuche[[#This Row],[2045]]), Klisz_Verbräuche[[#This Row],[2045]]*Emissionsfaktoren[[#This Row],[2045]]/1000, 0)</f>
        <v>0</v>
      </c>
      <c r="Y35" s="14">
        <f>IF(ISNUMBER(Klisz_Verbräuche[[#This Row],[2050]]), Klisz_Verbräuche[[#This Row],[2050]]*Emissionsfaktoren[[#This Row],[2050]]/1000, 0)</f>
        <v>0</v>
      </c>
    </row>
    <row r="36" spans="2:25" ht="16.5">
      <c r="B36" s="14">
        <v>19</v>
      </c>
      <c r="C36" s="14" t="str">
        <f>Refsz_Verbräuche[[#This Row],[Handlungsfeld]]</f>
        <v>Wärme</v>
      </c>
      <c r="D36" s="19" t="str">
        <f>Refsz_Verbräuche[[#This Row],[Datenpunkt]]</f>
        <v>Fernwärme Mix</v>
      </c>
      <c r="E36" t="s">
        <v>195</v>
      </c>
      <c r="F36" s="14">
        <f>IF(ISNUMBER(Klisz_Verbräuche[[#This Row],[2015]]), Klisz_Verbräuche[[#This Row],[2015]]*Emissionsfaktoren[[#This Row],[2015]]/1000, 0)</f>
        <v>0</v>
      </c>
      <c r="G36" s="14">
        <f>IF(ISNUMBER(Klisz_Verbräuche[[#This Row],[2016]]), Klisz_Verbräuche[[#This Row],[2016]]*Emissionsfaktoren[[#This Row],[2016]]/1000, 0)</f>
        <v>0</v>
      </c>
      <c r="H36" s="14">
        <f>IF(ISNUMBER(Klisz_Verbräuche[[#This Row],[2017]]), Klisz_Verbräuche[[#This Row],[2017]]*Emissionsfaktoren[[#This Row],[2017]]/1000, 0)</f>
        <v>0</v>
      </c>
      <c r="I36" s="14">
        <f>IF(ISNUMBER(Klisz_Verbräuche[[#This Row],[2018]]), Klisz_Verbräuche[[#This Row],[2018]]*Emissionsfaktoren[[#This Row],[2018]]/1000, 0)</f>
        <v>0</v>
      </c>
      <c r="J36" s="14">
        <f>IF(ISNUMBER(Klisz_Verbräuche[[#This Row],[2019]]), Klisz_Verbräuche[[#This Row],[2019]]*Emissionsfaktoren[[#This Row],[2019]]/1000, 0)</f>
        <v>0</v>
      </c>
      <c r="K36" s="14">
        <f>IF(ISNUMBER(Klisz_Verbräuche[[#This Row],[2020]]), Klisz_Verbräuche[[#This Row],[2020]]*Emissionsfaktoren[[#This Row],[2020]]/1000, 0)</f>
        <v>0</v>
      </c>
      <c r="L36" s="14">
        <f>IF(ISNUMBER(Klisz_Verbräuche[[#This Row],[2021]]), Klisz_Verbräuche[[#This Row],[2021]]*Emissionsfaktoren[[#This Row],[2021]]/1000, 0)</f>
        <v>0</v>
      </c>
      <c r="M36" s="14">
        <f>IF(ISNUMBER(Klisz_Verbräuche[[#This Row],[2022]]), Klisz_Verbräuche[[#This Row],[2022]]*Emissionsfaktoren[[#This Row],[2022]]/1000, 0)</f>
        <v>0</v>
      </c>
      <c r="N36" s="14">
        <f>IF(ISNUMBER(Klisz_Verbräuche[[#This Row],[2023]]), Klisz_Verbräuche[[#This Row],[2023]]*Emissionsfaktoren[[#This Row],[2023]]/1000, 0)</f>
        <v>0</v>
      </c>
      <c r="O36" s="14">
        <f>IF(ISNUMBER(Klisz_Verbräuche[[#This Row],[2024]]), Klisz_Verbräuche[[#This Row],[2024]]*Emissionsfaktoren[[#This Row],[2024]]/1000, 0)</f>
        <v>0</v>
      </c>
      <c r="P36" s="14">
        <f>IF(ISNUMBER(Klisz_Verbräuche[[#This Row],[2025]]), Klisz_Verbräuche[[#This Row],[2025]]*Emissionsfaktoren[[#This Row],[2025]]/1000, 0)</f>
        <v>0</v>
      </c>
      <c r="Q36" s="14">
        <f>IF(ISNUMBER(Klisz_Verbräuche[[#This Row],[2026]]), Klisz_Verbräuche[[#This Row],[2026]]*Emissionsfaktoren[[#This Row],[2026]]/1000, 0)</f>
        <v>0</v>
      </c>
      <c r="R36" s="14">
        <f>IF(ISNUMBER(Klisz_Verbräuche[[#This Row],[2027]]), Klisz_Verbräuche[[#This Row],[2027]]*Emissionsfaktoren[[#This Row],[2027]]/1000, 0)</f>
        <v>0</v>
      </c>
      <c r="S36" s="14">
        <f>IF(ISNUMBER(Klisz_Verbräuche[[#This Row],[2028]]), Klisz_Verbräuche[[#This Row],[2028]]*Emissionsfaktoren[[#This Row],[2028]]/1000, 0)</f>
        <v>0</v>
      </c>
      <c r="T36" s="14">
        <f>IF(ISNUMBER(Klisz_Verbräuche[[#This Row],[2029]]), Klisz_Verbräuche[[#This Row],[2029]]*Emissionsfaktoren[[#This Row],[2029]]/1000, 0)</f>
        <v>0</v>
      </c>
      <c r="U36" s="14">
        <f>IF(ISNUMBER(Klisz_Verbräuche[[#This Row],[2030]]), Klisz_Verbräuche[[#This Row],[2030]]*Emissionsfaktoren[[#This Row],[2030]]/1000, 0)</f>
        <v>0</v>
      </c>
      <c r="V36" s="14">
        <f>IF(ISNUMBER(Klisz_Verbräuche[[#This Row],[2035]]), Klisz_Verbräuche[[#This Row],[2035]]*Emissionsfaktoren[[#This Row],[2035]]/1000, 0)</f>
        <v>0</v>
      </c>
      <c r="W36" s="14">
        <f>IF(ISNUMBER(Klisz_Verbräuche[[#This Row],[2040]]), Klisz_Verbräuche[[#This Row],[2040]]*Emissionsfaktoren[[#This Row],[2040]]/1000, 0)</f>
        <v>0</v>
      </c>
      <c r="X36" s="14">
        <f>IF(ISNUMBER(Klisz_Verbräuche[[#This Row],[2045]]), Klisz_Verbräuche[[#This Row],[2045]]*Emissionsfaktoren[[#This Row],[2045]]/1000, 0)</f>
        <v>0</v>
      </c>
      <c r="Y36" s="14">
        <f>IF(ISNUMBER(Klisz_Verbräuche[[#This Row],[2050]]), Klisz_Verbräuche[[#This Row],[2050]]*Emissionsfaktoren[[#This Row],[2050]]/1000, 0)</f>
        <v>0</v>
      </c>
    </row>
    <row r="37" spans="2:25" ht="16.5">
      <c r="B37" s="14">
        <v>20</v>
      </c>
      <c r="C37" s="14" t="str">
        <f>Refsz_Verbräuche[[#This Row],[Handlungsfeld]]</f>
        <v>Wärme</v>
      </c>
      <c r="D37" s="19" t="str">
        <f>Refsz_Verbräuche[[#This Row],[Datenpunkt]]</f>
        <v>Fernwärme Abfall</v>
      </c>
      <c r="E37" t="s">
        <v>195</v>
      </c>
      <c r="F37" s="14">
        <f>IF(ISNUMBER(Klisz_Verbräuche[[#This Row],[2015]]), Klisz_Verbräuche[[#This Row],[2015]]*Emissionsfaktoren[[#This Row],[2015]]/1000, 0)</f>
        <v>0</v>
      </c>
      <c r="G37" s="14">
        <f>IF(ISNUMBER(Klisz_Verbräuche[[#This Row],[2016]]), Klisz_Verbräuche[[#This Row],[2016]]*Emissionsfaktoren[[#This Row],[2016]]/1000, 0)</f>
        <v>0</v>
      </c>
      <c r="H37" s="14">
        <f>IF(ISNUMBER(Klisz_Verbräuche[[#This Row],[2017]]), Klisz_Verbräuche[[#This Row],[2017]]*Emissionsfaktoren[[#This Row],[2017]]/1000, 0)</f>
        <v>0</v>
      </c>
      <c r="I37" s="14">
        <f>IF(ISNUMBER(Klisz_Verbräuche[[#This Row],[2018]]), Klisz_Verbräuche[[#This Row],[2018]]*Emissionsfaktoren[[#This Row],[2018]]/1000, 0)</f>
        <v>0</v>
      </c>
      <c r="J37" s="14">
        <f>IF(ISNUMBER(Klisz_Verbräuche[[#This Row],[2019]]), Klisz_Verbräuche[[#This Row],[2019]]*Emissionsfaktoren[[#This Row],[2019]]/1000, 0)</f>
        <v>0</v>
      </c>
      <c r="K37" s="14">
        <f>IF(ISNUMBER(Klisz_Verbräuche[[#This Row],[2020]]), Klisz_Verbräuche[[#This Row],[2020]]*Emissionsfaktoren[[#This Row],[2020]]/1000, 0)</f>
        <v>0</v>
      </c>
      <c r="L37" s="14">
        <f>IF(ISNUMBER(Klisz_Verbräuche[[#This Row],[2021]]), Klisz_Verbräuche[[#This Row],[2021]]*Emissionsfaktoren[[#This Row],[2021]]/1000, 0)</f>
        <v>0</v>
      </c>
      <c r="M37" s="14">
        <f>IF(ISNUMBER(Klisz_Verbräuche[[#This Row],[2022]]), Klisz_Verbräuche[[#This Row],[2022]]*Emissionsfaktoren[[#This Row],[2022]]/1000, 0)</f>
        <v>0</v>
      </c>
      <c r="N37" s="14">
        <f>IF(ISNUMBER(Klisz_Verbräuche[[#This Row],[2023]]), Klisz_Verbräuche[[#This Row],[2023]]*Emissionsfaktoren[[#This Row],[2023]]/1000, 0)</f>
        <v>0</v>
      </c>
      <c r="O37" s="14">
        <f>IF(ISNUMBER(Klisz_Verbräuche[[#This Row],[2024]]), Klisz_Verbräuche[[#This Row],[2024]]*Emissionsfaktoren[[#This Row],[2024]]/1000, 0)</f>
        <v>0</v>
      </c>
      <c r="P37" s="14">
        <f>IF(ISNUMBER(Klisz_Verbräuche[[#This Row],[2025]]), Klisz_Verbräuche[[#This Row],[2025]]*Emissionsfaktoren[[#This Row],[2025]]/1000, 0)</f>
        <v>0</v>
      </c>
      <c r="Q37" s="14">
        <f>IF(ISNUMBER(Klisz_Verbräuche[[#This Row],[2026]]), Klisz_Verbräuche[[#This Row],[2026]]*Emissionsfaktoren[[#This Row],[2026]]/1000, 0)</f>
        <v>0</v>
      </c>
      <c r="R37" s="14">
        <f>IF(ISNUMBER(Klisz_Verbräuche[[#This Row],[2027]]), Klisz_Verbräuche[[#This Row],[2027]]*Emissionsfaktoren[[#This Row],[2027]]/1000, 0)</f>
        <v>0</v>
      </c>
      <c r="S37" s="14">
        <f>IF(ISNUMBER(Klisz_Verbräuche[[#This Row],[2028]]), Klisz_Verbräuche[[#This Row],[2028]]*Emissionsfaktoren[[#This Row],[2028]]/1000, 0)</f>
        <v>0</v>
      </c>
      <c r="T37" s="14">
        <f>IF(ISNUMBER(Klisz_Verbräuche[[#This Row],[2029]]), Klisz_Verbräuche[[#This Row],[2029]]*Emissionsfaktoren[[#This Row],[2029]]/1000, 0)</f>
        <v>0</v>
      </c>
      <c r="U37" s="14">
        <f>IF(ISNUMBER(Klisz_Verbräuche[[#This Row],[2030]]), Klisz_Verbräuche[[#This Row],[2030]]*Emissionsfaktoren[[#This Row],[2030]]/1000, 0)</f>
        <v>0</v>
      </c>
      <c r="V37" s="14">
        <f>IF(ISNUMBER(Klisz_Verbräuche[[#This Row],[2035]]), Klisz_Verbräuche[[#This Row],[2035]]*Emissionsfaktoren[[#This Row],[2035]]/1000, 0)</f>
        <v>0</v>
      </c>
      <c r="W37" s="14">
        <f>IF(ISNUMBER(Klisz_Verbräuche[[#This Row],[2040]]), Klisz_Verbräuche[[#This Row],[2040]]*Emissionsfaktoren[[#This Row],[2040]]/1000, 0)</f>
        <v>0</v>
      </c>
      <c r="X37" s="14">
        <f>IF(ISNUMBER(Klisz_Verbräuche[[#This Row],[2045]]), Klisz_Verbräuche[[#This Row],[2045]]*Emissionsfaktoren[[#This Row],[2045]]/1000, 0)</f>
        <v>0</v>
      </c>
      <c r="Y37" s="14">
        <f>IF(ISNUMBER(Klisz_Verbräuche[[#This Row],[2050]]), Klisz_Verbräuche[[#This Row],[2050]]*Emissionsfaktoren[[#This Row],[2050]]/1000, 0)</f>
        <v>0</v>
      </c>
    </row>
    <row r="38" spans="2:25" ht="16.5">
      <c r="B38" s="14">
        <v>21</v>
      </c>
      <c r="C38" s="14" t="str">
        <f>Refsz_Verbräuche[[#This Row],[Handlungsfeld]]</f>
        <v>Wärme</v>
      </c>
      <c r="D38" s="19" t="str">
        <f>Refsz_Verbräuche[[#This Row],[Datenpunkt]]</f>
        <v>Heizöl</v>
      </c>
      <c r="E38" t="s">
        <v>195</v>
      </c>
      <c r="F38" s="14">
        <f>IF(ISNUMBER(Klisz_Verbräuche[[#This Row],[2015]]), Klisz_Verbräuche[[#This Row],[2015]]*Emissionsfaktoren[[#This Row],[2015]]/1000, 0)</f>
        <v>0</v>
      </c>
      <c r="G38" s="14">
        <f>IF(ISNUMBER(Klisz_Verbräuche[[#This Row],[2016]]), Klisz_Verbräuche[[#This Row],[2016]]*Emissionsfaktoren[[#This Row],[2016]]/1000, 0)</f>
        <v>0</v>
      </c>
      <c r="H38" s="14">
        <f>IF(ISNUMBER(Klisz_Verbräuche[[#This Row],[2017]]), Klisz_Verbräuche[[#This Row],[2017]]*Emissionsfaktoren[[#This Row],[2017]]/1000, 0)</f>
        <v>0</v>
      </c>
      <c r="I38" s="14">
        <f>IF(ISNUMBER(Klisz_Verbräuche[[#This Row],[2018]]), Klisz_Verbräuche[[#This Row],[2018]]*Emissionsfaktoren[[#This Row],[2018]]/1000, 0)</f>
        <v>0</v>
      </c>
      <c r="J38" s="14">
        <f>IF(ISNUMBER(Klisz_Verbräuche[[#This Row],[2019]]), Klisz_Verbräuche[[#This Row],[2019]]*Emissionsfaktoren[[#This Row],[2019]]/1000, 0)</f>
        <v>0</v>
      </c>
      <c r="K38" s="14">
        <f>IF(ISNUMBER(Klisz_Verbräuche[[#This Row],[2020]]), Klisz_Verbräuche[[#This Row],[2020]]*Emissionsfaktoren[[#This Row],[2020]]/1000, 0)</f>
        <v>0</v>
      </c>
      <c r="L38" s="14">
        <f>IF(ISNUMBER(Klisz_Verbräuche[[#This Row],[2021]]), Klisz_Verbräuche[[#This Row],[2021]]*Emissionsfaktoren[[#This Row],[2021]]/1000, 0)</f>
        <v>0</v>
      </c>
      <c r="M38" s="14">
        <f>IF(ISNUMBER(Klisz_Verbräuche[[#This Row],[2022]]), Klisz_Verbräuche[[#This Row],[2022]]*Emissionsfaktoren[[#This Row],[2022]]/1000, 0)</f>
        <v>0</v>
      </c>
      <c r="N38" s="14">
        <f>IF(ISNUMBER(Klisz_Verbräuche[[#This Row],[2023]]), Klisz_Verbräuche[[#This Row],[2023]]*Emissionsfaktoren[[#This Row],[2023]]/1000, 0)</f>
        <v>0</v>
      </c>
      <c r="O38" s="14">
        <f>IF(ISNUMBER(Klisz_Verbräuche[[#This Row],[2024]]), Klisz_Verbräuche[[#This Row],[2024]]*Emissionsfaktoren[[#This Row],[2024]]/1000, 0)</f>
        <v>0</v>
      </c>
      <c r="P38" s="14">
        <f>IF(ISNUMBER(Klisz_Verbräuche[[#This Row],[2025]]), Klisz_Verbräuche[[#This Row],[2025]]*Emissionsfaktoren[[#This Row],[2025]]/1000, 0)</f>
        <v>0</v>
      </c>
      <c r="Q38" s="14">
        <f>IF(ISNUMBER(Klisz_Verbräuche[[#This Row],[2026]]), Klisz_Verbräuche[[#This Row],[2026]]*Emissionsfaktoren[[#This Row],[2026]]/1000, 0)</f>
        <v>0</v>
      </c>
      <c r="R38" s="14">
        <f>IF(ISNUMBER(Klisz_Verbräuche[[#This Row],[2027]]), Klisz_Verbräuche[[#This Row],[2027]]*Emissionsfaktoren[[#This Row],[2027]]/1000, 0)</f>
        <v>0</v>
      </c>
      <c r="S38" s="14">
        <f>IF(ISNUMBER(Klisz_Verbräuche[[#This Row],[2028]]), Klisz_Verbräuche[[#This Row],[2028]]*Emissionsfaktoren[[#This Row],[2028]]/1000, 0)</f>
        <v>0</v>
      </c>
      <c r="T38" s="14">
        <f>IF(ISNUMBER(Klisz_Verbräuche[[#This Row],[2029]]), Klisz_Verbräuche[[#This Row],[2029]]*Emissionsfaktoren[[#This Row],[2029]]/1000, 0)</f>
        <v>0</v>
      </c>
      <c r="U38" s="14">
        <f>IF(ISNUMBER(Klisz_Verbräuche[[#This Row],[2030]]), Klisz_Verbräuche[[#This Row],[2030]]*Emissionsfaktoren[[#This Row],[2030]]/1000, 0)</f>
        <v>0</v>
      </c>
      <c r="V38" s="14">
        <f>IF(ISNUMBER(Klisz_Verbräuche[[#This Row],[2035]]), Klisz_Verbräuche[[#This Row],[2035]]*Emissionsfaktoren[[#This Row],[2035]]/1000, 0)</f>
        <v>0</v>
      </c>
      <c r="W38" s="14">
        <f>IF(ISNUMBER(Klisz_Verbräuche[[#This Row],[2040]]), Klisz_Verbräuche[[#This Row],[2040]]*Emissionsfaktoren[[#This Row],[2040]]/1000, 0)</f>
        <v>0</v>
      </c>
      <c r="X38" s="14">
        <f>IF(ISNUMBER(Klisz_Verbräuche[[#This Row],[2045]]), Klisz_Verbräuche[[#This Row],[2045]]*Emissionsfaktoren[[#This Row],[2045]]/1000, 0)</f>
        <v>0</v>
      </c>
      <c r="Y38" s="14">
        <f>IF(ISNUMBER(Klisz_Verbräuche[[#This Row],[2050]]), Klisz_Verbräuche[[#This Row],[2050]]*Emissionsfaktoren[[#This Row],[2050]]/1000, 0)</f>
        <v>0</v>
      </c>
    </row>
    <row r="39" spans="2:25" ht="16.5">
      <c r="B39" s="14">
        <v>22</v>
      </c>
      <c r="C39" s="14" t="str">
        <f>Refsz_Verbräuche[[#This Row],[Handlungsfeld]]</f>
        <v>Wärme</v>
      </c>
      <c r="D39" s="19" t="str">
        <f>Refsz_Verbräuche[[#This Row],[Datenpunkt]]</f>
        <v>Solarthermie</v>
      </c>
      <c r="E39" t="s">
        <v>195</v>
      </c>
      <c r="F39" s="14">
        <f>IF(ISNUMBER(Klisz_Verbräuche[[#This Row],[2015]]), Klisz_Verbräuche[[#This Row],[2015]]*Emissionsfaktoren[[#This Row],[2015]]/1000, 0)</f>
        <v>0</v>
      </c>
      <c r="G39" s="14">
        <f>IF(ISNUMBER(Klisz_Verbräuche[[#This Row],[2016]]), Klisz_Verbräuche[[#This Row],[2016]]*Emissionsfaktoren[[#This Row],[2016]]/1000, 0)</f>
        <v>0</v>
      </c>
      <c r="H39" s="14">
        <f>IF(ISNUMBER(Klisz_Verbräuche[[#This Row],[2017]]), Klisz_Verbräuche[[#This Row],[2017]]*Emissionsfaktoren[[#This Row],[2017]]/1000, 0)</f>
        <v>0</v>
      </c>
      <c r="I39" s="14">
        <f>IF(ISNUMBER(Klisz_Verbräuche[[#This Row],[2018]]), Klisz_Verbräuche[[#This Row],[2018]]*Emissionsfaktoren[[#This Row],[2018]]/1000, 0)</f>
        <v>0</v>
      </c>
      <c r="J39" s="14">
        <f>IF(ISNUMBER(Klisz_Verbräuche[[#This Row],[2019]]), Klisz_Verbräuche[[#This Row],[2019]]*Emissionsfaktoren[[#This Row],[2019]]/1000, 0)</f>
        <v>0</v>
      </c>
      <c r="K39" s="14">
        <f>IF(ISNUMBER(Klisz_Verbräuche[[#This Row],[2020]]), Klisz_Verbräuche[[#This Row],[2020]]*Emissionsfaktoren[[#This Row],[2020]]/1000, 0)</f>
        <v>0</v>
      </c>
      <c r="L39" s="14">
        <f>IF(ISNUMBER(Klisz_Verbräuche[[#This Row],[2021]]), Klisz_Verbräuche[[#This Row],[2021]]*Emissionsfaktoren[[#This Row],[2021]]/1000, 0)</f>
        <v>0</v>
      </c>
      <c r="M39" s="14">
        <f>IF(ISNUMBER(Klisz_Verbräuche[[#This Row],[2022]]), Klisz_Verbräuche[[#This Row],[2022]]*Emissionsfaktoren[[#This Row],[2022]]/1000, 0)</f>
        <v>0</v>
      </c>
      <c r="N39" s="14">
        <f>IF(ISNUMBER(Klisz_Verbräuche[[#This Row],[2023]]), Klisz_Verbräuche[[#This Row],[2023]]*Emissionsfaktoren[[#This Row],[2023]]/1000, 0)</f>
        <v>0</v>
      </c>
      <c r="O39" s="14">
        <f>IF(ISNUMBER(Klisz_Verbräuche[[#This Row],[2024]]), Klisz_Verbräuche[[#This Row],[2024]]*Emissionsfaktoren[[#This Row],[2024]]/1000, 0)</f>
        <v>0</v>
      </c>
      <c r="P39" s="14">
        <f>IF(ISNUMBER(Klisz_Verbräuche[[#This Row],[2025]]), Klisz_Verbräuche[[#This Row],[2025]]*Emissionsfaktoren[[#This Row],[2025]]/1000, 0)</f>
        <v>0</v>
      </c>
      <c r="Q39" s="14">
        <f>IF(ISNUMBER(Klisz_Verbräuche[[#This Row],[2026]]), Klisz_Verbräuche[[#This Row],[2026]]*Emissionsfaktoren[[#This Row],[2026]]/1000, 0)</f>
        <v>0</v>
      </c>
      <c r="R39" s="14">
        <f>IF(ISNUMBER(Klisz_Verbräuche[[#This Row],[2027]]), Klisz_Verbräuche[[#This Row],[2027]]*Emissionsfaktoren[[#This Row],[2027]]/1000, 0)</f>
        <v>0</v>
      </c>
      <c r="S39" s="14">
        <f>IF(ISNUMBER(Klisz_Verbräuche[[#This Row],[2028]]), Klisz_Verbräuche[[#This Row],[2028]]*Emissionsfaktoren[[#This Row],[2028]]/1000, 0)</f>
        <v>0</v>
      </c>
      <c r="T39" s="14">
        <f>IF(ISNUMBER(Klisz_Verbräuche[[#This Row],[2029]]), Klisz_Verbräuche[[#This Row],[2029]]*Emissionsfaktoren[[#This Row],[2029]]/1000, 0)</f>
        <v>0</v>
      </c>
      <c r="U39" s="14">
        <f>IF(ISNUMBER(Klisz_Verbräuche[[#This Row],[2030]]), Klisz_Verbräuche[[#This Row],[2030]]*Emissionsfaktoren[[#This Row],[2030]]/1000, 0)</f>
        <v>0</v>
      </c>
      <c r="V39" s="14">
        <f>IF(ISNUMBER(Klisz_Verbräuche[[#This Row],[2035]]), Klisz_Verbräuche[[#This Row],[2035]]*Emissionsfaktoren[[#This Row],[2035]]/1000, 0)</f>
        <v>0</v>
      </c>
      <c r="W39" s="14">
        <f>IF(ISNUMBER(Klisz_Verbräuche[[#This Row],[2040]]), Klisz_Verbräuche[[#This Row],[2040]]*Emissionsfaktoren[[#This Row],[2040]]/1000, 0)</f>
        <v>0</v>
      </c>
      <c r="X39" s="14">
        <f>IF(ISNUMBER(Klisz_Verbräuche[[#This Row],[2045]]), Klisz_Verbräuche[[#This Row],[2045]]*Emissionsfaktoren[[#This Row],[2045]]/1000, 0)</f>
        <v>0</v>
      </c>
      <c r="Y39" s="14">
        <f>IF(ISNUMBER(Klisz_Verbräuche[[#This Row],[2050]]), Klisz_Verbräuche[[#This Row],[2050]]*Emissionsfaktoren[[#This Row],[2050]]/1000, 0)</f>
        <v>0</v>
      </c>
    </row>
    <row r="40" spans="2:25" ht="16.5">
      <c r="B40" s="14">
        <v>23</v>
      </c>
      <c r="C40" s="14" t="str">
        <f>Refsz_Verbräuche[[#This Row],[Handlungsfeld]]</f>
        <v>Wärme</v>
      </c>
      <c r="D40" s="19" t="str">
        <f>Refsz_Verbräuche[[#This Row],[Datenpunkt]]</f>
        <v>Sole-Wasser-Wärmepumpe; Bundesstrommix</v>
      </c>
      <c r="E40" t="s">
        <v>195</v>
      </c>
      <c r="F40" s="14">
        <f>IF(ISNUMBER(Klisz_Verbräuche[[#This Row],[2015]]), Klisz_Verbräuche[[#This Row],[2015]]*Emissionsfaktoren[[#This Row],[2015]]/1000, 0)</f>
        <v>0</v>
      </c>
      <c r="G40" s="14">
        <f>IF(ISNUMBER(Klisz_Verbräuche[[#This Row],[2016]]), Klisz_Verbräuche[[#This Row],[2016]]*Emissionsfaktoren[[#This Row],[2016]]/1000, 0)</f>
        <v>0</v>
      </c>
      <c r="H40" s="14">
        <f>IF(ISNUMBER(Klisz_Verbräuche[[#This Row],[2017]]), Klisz_Verbräuche[[#This Row],[2017]]*Emissionsfaktoren[[#This Row],[2017]]/1000, 0)</f>
        <v>0</v>
      </c>
      <c r="I40" s="14">
        <f>IF(ISNUMBER(Klisz_Verbräuche[[#This Row],[2018]]), Klisz_Verbräuche[[#This Row],[2018]]*Emissionsfaktoren[[#This Row],[2018]]/1000, 0)</f>
        <v>0</v>
      </c>
      <c r="J40" s="14">
        <f>IF(ISNUMBER(Klisz_Verbräuche[[#This Row],[2019]]), Klisz_Verbräuche[[#This Row],[2019]]*Emissionsfaktoren[[#This Row],[2019]]/1000, 0)</f>
        <v>0</v>
      </c>
      <c r="K40" s="14">
        <f>IF(ISNUMBER(Klisz_Verbräuche[[#This Row],[2020]]), Klisz_Verbräuche[[#This Row],[2020]]*Emissionsfaktoren[[#This Row],[2020]]/1000, 0)</f>
        <v>0</v>
      </c>
      <c r="L40" s="14">
        <f>IF(ISNUMBER(Klisz_Verbräuche[[#This Row],[2021]]), Klisz_Verbräuche[[#This Row],[2021]]*Emissionsfaktoren[[#This Row],[2021]]/1000, 0)</f>
        <v>0</v>
      </c>
      <c r="M40" s="14">
        <f>IF(ISNUMBER(Klisz_Verbräuche[[#This Row],[2022]]), Klisz_Verbräuche[[#This Row],[2022]]*Emissionsfaktoren[[#This Row],[2022]]/1000, 0)</f>
        <v>0</v>
      </c>
      <c r="N40" s="14">
        <f>IF(ISNUMBER(Klisz_Verbräuche[[#This Row],[2023]]), Klisz_Verbräuche[[#This Row],[2023]]*Emissionsfaktoren[[#This Row],[2023]]/1000, 0)</f>
        <v>0</v>
      </c>
      <c r="O40" s="14">
        <f>IF(ISNUMBER(Klisz_Verbräuche[[#This Row],[2024]]), Klisz_Verbräuche[[#This Row],[2024]]*Emissionsfaktoren[[#This Row],[2024]]/1000, 0)</f>
        <v>0</v>
      </c>
      <c r="P40" s="14">
        <f>IF(ISNUMBER(Klisz_Verbräuche[[#This Row],[2025]]), Klisz_Verbräuche[[#This Row],[2025]]*Emissionsfaktoren[[#This Row],[2025]]/1000, 0)</f>
        <v>0</v>
      </c>
      <c r="Q40" s="14">
        <f>IF(ISNUMBER(Klisz_Verbräuche[[#This Row],[2026]]), Klisz_Verbräuche[[#This Row],[2026]]*Emissionsfaktoren[[#This Row],[2026]]/1000, 0)</f>
        <v>0</v>
      </c>
      <c r="R40" s="14">
        <f>IF(ISNUMBER(Klisz_Verbräuche[[#This Row],[2027]]), Klisz_Verbräuche[[#This Row],[2027]]*Emissionsfaktoren[[#This Row],[2027]]/1000, 0)</f>
        <v>0</v>
      </c>
      <c r="S40" s="14">
        <f>IF(ISNUMBER(Klisz_Verbräuche[[#This Row],[2028]]), Klisz_Verbräuche[[#This Row],[2028]]*Emissionsfaktoren[[#This Row],[2028]]/1000, 0)</f>
        <v>0</v>
      </c>
      <c r="T40" s="14">
        <f>IF(ISNUMBER(Klisz_Verbräuche[[#This Row],[2029]]), Klisz_Verbräuche[[#This Row],[2029]]*Emissionsfaktoren[[#This Row],[2029]]/1000, 0)</f>
        <v>0</v>
      </c>
      <c r="U40" s="14">
        <f>IF(ISNUMBER(Klisz_Verbräuche[[#This Row],[2030]]), Klisz_Verbräuche[[#This Row],[2030]]*Emissionsfaktoren[[#This Row],[2030]]/1000, 0)</f>
        <v>0</v>
      </c>
      <c r="V40" s="14">
        <f>IF(ISNUMBER(Klisz_Verbräuche[[#This Row],[2035]]), Klisz_Verbräuche[[#This Row],[2035]]*Emissionsfaktoren[[#This Row],[2035]]/1000, 0)</f>
        <v>0</v>
      </c>
      <c r="W40" s="14">
        <f>IF(ISNUMBER(Klisz_Verbräuche[[#This Row],[2040]]), Klisz_Verbräuche[[#This Row],[2040]]*Emissionsfaktoren[[#This Row],[2040]]/1000, 0)</f>
        <v>0</v>
      </c>
      <c r="X40" s="14">
        <f>IF(ISNUMBER(Klisz_Verbräuche[[#This Row],[2045]]), Klisz_Verbräuche[[#This Row],[2045]]*Emissionsfaktoren[[#This Row],[2045]]/1000, 0)</f>
        <v>0</v>
      </c>
      <c r="Y40" s="14">
        <f>IF(ISNUMBER(Klisz_Verbräuche[[#This Row],[2050]]), Klisz_Verbräuche[[#This Row],[2050]]*Emissionsfaktoren[[#This Row],[2050]]/1000, 0)</f>
        <v>0</v>
      </c>
    </row>
    <row r="41" spans="2:25" ht="16.5">
      <c r="B41" s="14">
        <v>24</v>
      </c>
      <c r="C41" s="14" t="str">
        <f>Refsz_Verbräuche[[#This Row],[Handlungsfeld]]</f>
        <v>Wärme</v>
      </c>
      <c r="D41" s="19" t="str">
        <f>Refsz_Verbräuche[[#This Row],[Datenpunkt]]</f>
        <v>Sole-Wasser-Wärmepumpe; Ökostrom</v>
      </c>
      <c r="E41" t="s">
        <v>195</v>
      </c>
      <c r="F41" s="14">
        <f>IF(ISNUMBER(Klisz_Verbräuche[[#This Row],[2015]]), Klisz_Verbräuche[[#This Row],[2015]]*Emissionsfaktoren[[#This Row],[2015]]/1000, 0)</f>
        <v>0</v>
      </c>
      <c r="G41" s="14">
        <f>IF(ISNUMBER(Klisz_Verbräuche[[#This Row],[2016]]), Klisz_Verbräuche[[#This Row],[2016]]*Emissionsfaktoren[[#This Row],[2016]]/1000, 0)</f>
        <v>0</v>
      </c>
      <c r="H41" s="14">
        <f>IF(ISNUMBER(Klisz_Verbräuche[[#This Row],[2017]]), Klisz_Verbräuche[[#This Row],[2017]]*Emissionsfaktoren[[#This Row],[2017]]/1000, 0)</f>
        <v>0</v>
      </c>
      <c r="I41" s="14">
        <f>IF(ISNUMBER(Klisz_Verbräuche[[#This Row],[2018]]), Klisz_Verbräuche[[#This Row],[2018]]*Emissionsfaktoren[[#This Row],[2018]]/1000, 0)</f>
        <v>0</v>
      </c>
      <c r="J41" s="14">
        <f>IF(ISNUMBER(Klisz_Verbräuche[[#This Row],[2019]]), Klisz_Verbräuche[[#This Row],[2019]]*Emissionsfaktoren[[#This Row],[2019]]/1000, 0)</f>
        <v>0</v>
      </c>
      <c r="K41" s="14">
        <f>IF(ISNUMBER(Klisz_Verbräuche[[#This Row],[2020]]), Klisz_Verbräuche[[#This Row],[2020]]*Emissionsfaktoren[[#This Row],[2020]]/1000, 0)</f>
        <v>0</v>
      </c>
      <c r="L41" s="14">
        <f>IF(ISNUMBER(Klisz_Verbräuche[[#This Row],[2021]]), Klisz_Verbräuche[[#This Row],[2021]]*Emissionsfaktoren[[#This Row],[2021]]/1000, 0)</f>
        <v>0</v>
      </c>
      <c r="M41" s="14">
        <f>IF(ISNUMBER(Klisz_Verbräuche[[#This Row],[2022]]), Klisz_Verbräuche[[#This Row],[2022]]*Emissionsfaktoren[[#This Row],[2022]]/1000, 0)</f>
        <v>0</v>
      </c>
      <c r="N41" s="14">
        <f>IF(ISNUMBER(Klisz_Verbräuche[[#This Row],[2023]]), Klisz_Verbräuche[[#This Row],[2023]]*Emissionsfaktoren[[#This Row],[2023]]/1000, 0)</f>
        <v>0</v>
      </c>
      <c r="O41" s="14">
        <f>IF(ISNUMBER(Klisz_Verbräuche[[#This Row],[2024]]), Klisz_Verbräuche[[#This Row],[2024]]*Emissionsfaktoren[[#This Row],[2024]]/1000, 0)</f>
        <v>0</v>
      </c>
      <c r="P41" s="14">
        <f>IF(ISNUMBER(Klisz_Verbräuche[[#This Row],[2025]]), Klisz_Verbräuche[[#This Row],[2025]]*Emissionsfaktoren[[#This Row],[2025]]/1000, 0)</f>
        <v>0</v>
      </c>
      <c r="Q41" s="14">
        <f>IF(ISNUMBER(Klisz_Verbräuche[[#This Row],[2026]]), Klisz_Verbräuche[[#This Row],[2026]]*Emissionsfaktoren[[#This Row],[2026]]/1000, 0)</f>
        <v>0</v>
      </c>
      <c r="R41" s="14">
        <f>IF(ISNUMBER(Klisz_Verbräuche[[#This Row],[2027]]), Klisz_Verbräuche[[#This Row],[2027]]*Emissionsfaktoren[[#This Row],[2027]]/1000, 0)</f>
        <v>0</v>
      </c>
      <c r="S41" s="14">
        <f>IF(ISNUMBER(Klisz_Verbräuche[[#This Row],[2028]]), Klisz_Verbräuche[[#This Row],[2028]]*Emissionsfaktoren[[#This Row],[2028]]/1000, 0)</f>
        <v>0</v>
      </c>
      <c r="T41" s="14">
        <f>IF(ISNUMBER(Klisz_Verbräuche[[#This Row],[2029]]), Klisz_Verbräuche[[#This Row],[2029]]*Emissionsfaktoren[[#This Row],[2029]]/1000, 0)</f>
        <v>0</v>
      </c>
      <c r="U41" s="14">
        <f>IF(ISNUMBER(Klisz_Verbräuche[[#This Row],[2030]]), Klisz_Verbräuche[[#This Row],[2030]]*Emissionsfaktoren[[#This Row],[2030]]/1000, 0)</f>
        <v>0</v>
      </c>
      <c r="V41" s="14">
        <f>IF(ISNUMBER(Klisz_Verbräuche[[#This Row],[2035]]), Klisz_Verbräuche[[#This Row],[2035]]*Emissionsfaktoren[[#This Row],[2035]]/1000, 0)</f>
        <v>0</v>
      </c>
      <c r="W41" s="14">
        <f>IF(ISNUMBER(Klisz_Verbräuche[[#This Row],[2040]]), Klisz_Verbräuche[[#This Row],[2040]]*Emissionsfaktoren[[#This Row],[2040]]/1000, 0)</f>
        <v>0</v>
      </c>
      <c r="X41" s="14">
        <f>IF(ISNUMBER(Klisz_Verbräuche[[#This Row],[2045]]), Klisz_Verbräuche[[#This Row],[2045]]*Emissionsfaktoren[[#This Row],[2045]]/1000, 0)</f>
        <v>0</v>
      </c>
      <c r="Y41" s="14">
        <f>IF(ISNUMBER(Klisz_Verbräuche[[#This Row],[2050]]), Klisz_Verbräuche[[#This Row],[2050]]*Emissionsfaktoren[[#This Row],[2050]]/1000, 0)</f>
        <v>0</v>
      </c>
    </row>
    <row r="42" spans="2:25" ht="16.5">
      <c r="B42" s="14">
        <v>25</v>
      </c>
      <c r="C42" s="14" t="str">
        <f>Refsz_Verbräuche[[#This Row],[Handlungsfeld]]</f>
        <v>Wärme</v>
      </c>
      <c r="D42" s="19" t="str">
        <f>Refsz_Verbräuche[[#This Row],[Datenpunkt]]</f>
        <v>Individuelle Wärmepumpe</v>
      </c>
      <c r="E42" t="s">
        <v>195</v>
      </c>
      <c r="F42" s="14">
        <f>IF(ISNUMBER(Klisz_Verbräuche[[#This Row],[2015]]), Klisz_Verbräuche[[#This Row],[2015]]*Emissionsfaktoren[[#This Row],[2015]]/1000, 0)</f>
        <v>0</v>
      </c>
      <c r="G42" s="14">
        <f>IF(ISNUMBER(Klisz_Verbräuche[[#This Row],[2016]]), Klisz_Verbräuche[[#This Row],[2016]]*Emissionsfaktoren[[#This Row],[2016]]/1000, 0)</f>
        <v>0</v>
      </c>
      <c r="H42" s="14">
        <f>IF(ISNUMBER(Klisz_Verbräuche[[#This Row],[2017]]), Klisz_Verbräuche[[#This Row],[2017]]*Emissionsfaktoren[[#This Row],[2017]]/1000, 0)</f>
        <v>0</v>
      </c>
      <c r="I42" s="14">
        <f>IF(ISNUMBER(Klisz_Verbräuche[[#This Row],[2018]]), Klisz_Verbräuche[[#This Row],[2018]]*Emissionsfaktoren[[#This Row],[2018]]/1000, 0)</f>
        <v>0</v>
      </c>
      <c r="J42" s="14">
        <f>IF(ISNUMBER(Klisz_Verbräuche[[#This Row],[2019]]), Klisz_Verbräuche[[#This Row],[2019]]*Emissionsfaktoren[[#This Row],[2019]]/1000, 0)</f>
        <v>0</v>
      </c>
      <c r="K42" s="14">
        <f>IF(ISNUMBER(Klisz_Verbräuche[[#This Row],[2020]]), Klisz_Verbräuche[[#This Row],[2020]]*Emissionsfaktoren[[#This Row],[2020]]/1000, 0)</f>
        <v>0</v>
      </c>
      <c r="L42" s="14">
        <f>IF(ISNUMBER(Klisz_Verbräuche[[#This Row],[2021]]), Klisz_Verbräuche[[#This Row],[2021]]*Emissionsfaktoren[[#This Row],[2021]]/1000, 0)</f>
        <v>0</v>
      </c>
      <c r="M42" s="14">
        <f>IF(ISNUMBER(Klisz_Verbräuche[[#This Row],[2022]]), Klisz_Verbräuche[[#This Row],[2022]]*Emissionsfaktoren[[#This Row],[2022]]/1000, 0)</f>
        <v>0</v>
      </c>
      <c r="N42" s="14">
        <f>IF(ISNUMBER(Klisz_Verbräuche[[#This Row],[2023]]), Klisz_Verbräuche[[#This Row],[2023]]*Emissionsfaktoren[[#This Row],[2023]]/1000, 0)</f>
        <v>0</v>
      </c>
      <c r="O42" s="14">
        <f>IF(ISNUMBER(Klisz_Verbräuche[[#This Row],[2024]]), Klisz_Verbräuche[[#This Row],[2024]]*Emissionsfaktoren[[#This Row],[2024]]/1000, 0)</f>
        <v>0</v>
      </c>
      <c r="P42" s="14">
        <f>IF(ISNUMBER(Klisz_Verbräuche[[#This Row],[2025]]), Klisz_Verbräuche[[#This Row],[2025]]*Emissionsfaktoren[[#This Row],[2025]]/1000, 0)</f>
        <v>0</v>
      </c>
      <c r="Q42" s="14">
        <f>IF(ISNUMBER(Klisz_Verbräuche[[#This Row],[2026]]), Klisz_Verbräuche[[#This Row],[2026]]*Emissionsfaktoren[[#This Row],[2026]]/1000, 0)</f>
        <v>0</v>
      </c>
      <c r="R42" s="14">
        <f>IF(ISNUMBER(Klisz_Verbräuche[[#This Row],[2027]]), Klisz_Verbräuche[[#This Row],[2027]]*Emissionsfaktoren[[#This Row],[2027]]/1000, 0)</f>
        <v>0</v>
      </c>
      <c r="S42" s="14">
        <f>IF(ISNUMBER(Klisz_Verbräuche[[#This Row],[2028]]), Klisz_Verbräuche[[#This Row],[2028]]*Emissionsfaktoren[[#This Row],[2028]]/1000, 0)</f>
        <v>0</v>
      </c>
      <c r="T42" s="14">
        <f>IF(ISNUMBER(Klisz_Verbräuche[[#This Row],[2029]]), Klisz_Verbräuche[[#This Row],[2029]]*Emissionsfaktoren[[#This Row],[2029]]/1000, 0)</f>
        <v>0</v>
      </c>
      <c r="U42" s="14">
        <f>IF(ISNUMBER(Klisz_Verbräuche[[#This Row],[2030]]), Klisz_Verbräuche[[#This Row],[2030]]*Emissionsfaktoren[[#This Row],[2030]]/1000, 0)</f>
        <v>0</v>
      </c>
      <c r="V42" s="14">
        <f>IF(ISNUMBER(Klisz_Verbräuche[[#This Row],[2035]]), Klisz_Verbräuche[[#This Row],[2035]]*Emissionsfaktoren[[#This Row],[2035]]/1000, 0)</f>
        <v>0</v>
      </c>
      <c r="W42" s="14">
        <f>IF(ISNUMBER(Klisz_Verbräuche[[#This Row],[2040]]), Klisz_Verbräuche[[#This Row],[2040]]*Emissionsfaktoren[[#This Row],[2040]]/1000, 0)</f>
        <v>0</v>
      </c>
      <c r="X42" s="14">
        <f>IF(ISNUMBER(Klisz_Verbräuche[[#This Row],[2045]]), Klisz_Verbräuche[[#This Row],[2045]]*Emissionsfaktoren[[#This Row],[2045]]/1000, 0)</f>
        <v>0</v>
      </c>
      <c r="Y42" s="14">
        <f>IF(ISNUMBER(Klisz_Verbräuche[[#This Row],[2050]]), Klisz_Verbräuche[[#This Row],[2050]]*Emissionsfaktoren[[#This Row],[2050]]/1000, 0)</f>
        <v>0</v>
      </c>
    </row>
    <row r="43" spans="2:25" ht="16.5">
      <c r="B43" s="14">
        <v>26</v>
      </c>
      <c r="C43" s="14" t="str">
        <f>Refsz_Verbräuche[[#This Row],[Handlungsfeld]]</f>
        <v>Kälte</v>
      </c>
      <c r="D43" s="19" t="str">
        <f>Refsz_Verbräuche[[#This Row],[Datenpunkt]]</f>
        <v>Nachfüllmenge Kältemittel (R22)</v>
      </c>
      <c r="E43" t="s">
        <v>195</v>
      </c>
      <c r="F43" s="14">
        <f>IF(ISNUMBER(Klisz_Verbräuche[[#This Row],[2015]]), Klisz_Verbräuche[[#This Row],[2015]]*Emissionsfaktoren[[#This Row],[2015]]/1000, 0)</f>
        <v>0</v>
      </c>
      <c r="G43" s="14">
        <f>IF(ISNUMBER(Klisz_Verbräuche[[#This Row],[2016]]), Klisz_Verbräuche[[#This Row],[2016]]*Emissionsfaktoren[[#This Row],[2016]]/1000, 0)</f>
        <v>0</v>
      </c>
      <c r="H43" s="14">
        <f>IF(ISNUMBER(Klisz_Verbräuche[[#This Row],[2017]]), Klisz_Verbräuche[[#This Row],[2017]]*Emissionsfaktoren[[#This Row],[2017]]/1000, 0)</f>
        <v>0</v>
      </c>
      <c r="I43" s="14">
        <f>IF(ISNUMBER(Klisz_Verbräuche[[#This Row],[2018]]), Klisz_Verbräuche[[#This Row],[2018]]*Emissionsfaktoren[[#This Row],[2018]]/1000, 0)</f>
        <v>0</v>
      </c>
      <c r="J43" s="14">
        <f>IF(ISNUMBER(Klisz_Verbräuche[[#This Row],[2019]]), Klisz_Verbräuche[[#This Row],[2019]]*Emissionsfaktoren[[#This Row],[2019]]/1000, 0)</f>
        <v>0</v>
      </c>
      <c r="K43" s="14">
        <f>IF(ISNUMBER(Klisz_Verbräuche[[#This Row],[2020]]), Klisz_Verbräuche[[#This Row],[2020]]*Emissionsfaktoren[[#This Row],[2020]]/1000, 0)</f>
        <v>0</v>
      </c>
      <c r="L43" s="14">
        <f>IF(ISNUMBER(Klisz_Verbräuche[[#This Row],[2021]]), Klisz_Verbräuche[[#This Row],[2021]]*Emissionsfaktoren[[#This Row],[2021]]/1000, 0)</f>
        <v>0</v>
      </c>
      <c r="M43" s="14">
        <f>IF(ISNUMBER(Klisz_Verbräuche[[#This Row],[2022]]), Klisz_Verbräuche[[#This Row],[2022]]*Emissionsfaktoren[[#This Row],[2022]]/1000, 0)</f>
        <v>0</v>
      </c>
      <c r="N43" s="14">
        <f>IF(ISNUMBER(Klisz_Verbräuche[[#This Row],[2023]]), Klisz_Verbräuche[[#This Row],[2023]]*Emissionsfaktoren[[#This Row],[2023]]/1000, 0)</f>
        <v>0</v>
      </c>
      <c r="O43" s="14">
        <f>IF(ISNUMBER(Klisz_Verbräuche[[#This Row],[2024]]), Klisz_Verbräuche[[#This Row],[2024]]*Emissionsfaktoren[[#This Row],[2024]]/1000, 0)</f>
        <v>0</v>
      </c>
      <c r="P43" s="14">
        <f>IF(ISNUMBER(Klisz_Verbräuche[[#This Row],[2025]]), Klisz_Verbräuche[[#This Row],[2025]]*Emissionsfaktoren[[#This Row],[2025]]/1000, 0)</f>
        <v>0</v>
      </c>
      <c r="Q43" s="14">
        <f>IF(ISNUMBER(Klisz_Verbräuche[[#This Row],[2026]]), Klisz_Verbräuche[[#This Row],[2026]]*Emissionsfaktoren[[#This Row],[2026]]/1000, 0)</f>
        <v>0</v>
      </c>
      <c r="R43" s="14">
        <f>IF(ISNUMBER(Klisz_Verbräuche[[#This Row],[2027]]), Klisz_Verbräuche[[#This Row],[2027]]*Emissionsfaktoren[[#This Row],[2027]]/1000, 0)</f>
        <v>0</v>
      </c>
      <c r="S43" s="14">
        <f>IF(ISNUMBER(Klisz_Verbräuche[[#This Row],[2028]]), Klisz_Verbräuche[[#This Row],[2028]]*Emissionsfaktoren[[#This Row],[2028]]/1000, 0)</f>
        <v>0</v>
      </c>
      <c r="T43" s="14">
        <f>IF(ISNUMBER(Klisz_Verbräuche[[#This Row],[2029]]), Klisz_Verbräuche[[#This Row],[2029]]*Emissionsfaktoren[[#This Row],[2029]]/1000, 0)</f>
        <v>0</v>
      </c>
      <c r="U43" s="14">
        <f>IF(ISNUMBER(Klisz_Verbräuche[[#This Row],[2030]]), Klisz_Verbräuche[[#This Row],[2030]]*Emissionsfaktoren[[#This Row],[2030]]/1000, 0)</f>
        <v>0</v>
      </c>
      <c r="V43" s="14">
        <f>IF(ISNUMBER(Klisz_Verbräuche[[#This Row],[2035]]), Klisz_Verbräuche[[#This Row],[2035]]*Emissionsfaktoren[[#This Row],[2035]]/1000, 0)</f>
        <v>0</v>
      </c>
      <c r="W43" s="14">
        <f>IF(ISNUMBER(Klisz_Verbräuche[[#This Row],[2040]]), Klisz_Verbräuche[[#This Row],[2040]]*Emissionsfaktoren[[#This Row],[2040]]/1000, 0)</f>
        <v>0</v>
      </c>
      <c r="X43" s="14">
        <f>IF(ISNUMBER(Klisz_Verbräuche[[#This Row],[2045]]), Klisz_Verbräuche[[#This Row],[2045]]*Emissionsfaktoren[[#This Row],[2045]]/1000, 0)</f>
        <v>0</v>
      </c>
      <c r="Y43" s="14">
        <f>IF(ISNUMBER(Klisz_Verbräuche[[#This Row],[2050]]), Klisz_Verbräuche[[#This Row],[2050]]*Emissionsfaktoren[[#This Row],[2050]]/1000, 0)</f>
        <v>0</v>
      </c>
    </row>
    <row r="44" spans="2:25" ht="16.5">
      <c r="B44" s="14">
        <v>27</v>
      </c>
      <c r="C44" s="14" t="str">
        <f>Refsz_Verbräuche[[#This Row],[Handlungsfeld]]</f>
        <v>Kälte</v>
      </c>
      <c r="D44" s="19" t="str">
        <f>Refsz_Verbräuche[[#This Row],[Datenpunkt]]</f>
        <v>Nachfüllmenge Kältemittel (R134A)</v>
      </c>
      <c r="E44" t="s">
        <v>195</v>
      </c>
      <c r="F44" s="14">
        <f>IF(ISNUMBER(Klisz_Verbräuche[[#This Row],[2015]]), Klisz_Verbräuche[[#This Row],[2015]]*Emissionsfaktoren[[#This Row],[2015]]/1000, 0)</f>
        <v>0</v>
      </c>
      <c r="G44" s="14">
        <f>IF(ISNUMBER(Klisz_Verbräuche[[#This Row],[2016]]), Klisz_Verbräuche[[#This Row],[2016]]*Emissionsfaktoren[[#This Row],[2016]]/1000, 0)</f>
        <v>0</v>
      </c>
      <c r="H44" s="14">
        <f>IF(ISNUMBER(Klisz_Verbräuche[[#This Row],[2017]]), Klisz_Verbräuche[[#This Row],[2017]]*Emissionsfaktoren[[#This Row],[2017]]/1000, 0)</f>
        <v>0</v>
      </c>
      <c r="I44" s="14">
        <f>IF(ISNUMBER(Klisz_Verbräuche[[#This Row],[2018]]), Klisz_Verbräuche[[#This Row],[2018]]*Emissionsfaktoren[[#This Row],[2018]]/1000, 0)</f>
        <v>0</v>
      </c>
      <c r="J44" s="14">
        <f>IF(ISNUMBER(Klisz_Verbräuche[[#This Row],[2019]]), Klisz_Verbräuche[[#This Row],[2019]]*Emissionsfaktoren[[#This Row],[2019]]/1000, 0)</f>
        <v>0</v>
      </c>
      <c r="K44" s="14">
        <f>IF(ISNUMBER(Klisz_Verbräuche[[#This Row],[2020]]), Klisz_Verbräuche[[#This Row],[2020]]*Emissionsfaktoren[[#This Row],[2020]]/1000, 0)</f>
        <v>0</v>
      </c>
      <c r="L44" s="14">
        <f>IF(ISNUMBER(Klisz_Verbräuche[[#This Row],[2021]]), Klisz_Verbräuche[[#This Row],[2021]]*Emissionsfaktoren[[#This Row],[2021]]/1000, 0)</f>
        <v>0</v>
      </c>
      <c r="M44" s="14">
        <f>IF(ISNUMBER(Klisz_Verbräuche[[#This Row],[2022]]), Klisz_Verbräuche[[#This Row],[2022]]*Emissionsfaktoren[[#This Row],[2022]]/1000, 0)</f>
        <v>0</v>
      </c>
      <c r="N44" s="14">
        <f>IF(ISNUMBER(Klisz_Verbräuche[[#This Row],[2023]]), Klisz_Verbräuche[[#This Row],[2023]]*Emissionsfaktoren[[#This Row],[2023]]/1000, 0)</f>
        <v>0</v>
      </c>
      <c r="O44" s="14">
        <f>IF(ISNUMBER(Klisz_Verbräuche[[#This Row],[2024]]), Klisz_Verbräuche[[#This Row],[2024]]*Emissionsfaktoren[[#This Row],[2024]]/1000, 0)</f>
        <v>0</v>
      </c>
      <c r="P44" s="14">
        <f>IF(ISNUMBER(Klisz_Verbräuche[[#This Row],[2025]]), Klisz_Verbräuche[[#This Row],[2025]]*Emissionsfaktoren[[#This Row],[2025]]/1000, 0)</f>
        <v>0</v>
      </c>
      <c r="Q44" s="14">
        <f>IF(ISNUMBER(Klisz_Verbräuche[[#This Row],[2026]]), Klisz_Verbräuche[[#This Row],[2026]]*Emissionsfaktoren[[#This Row],[2026]]/1000, 0)</f>
        <v>0</v>
      </c>
      <c r="R44" s="14">
        <f>IF(ISNUMBER(Klisz_Verbräuche[[#This Row],[2027]]), Klisz_Verbräuche[[#This Row],[2027]]*Emissionsfaktoren[[#This Row],[2027]]/1000, 0)</f>
        <v>0</v>
      </c>
      <c r="S44" s="14">
        <f>IF(ISNUMBER(Klisz_Verbräuche[[#This Row],[2028]]), Klisz_Verbräuche[[#This Row],[2028]]*Emissionsfaktoren[[#This Row],[2028]]/1000, 0)</f>
        <v>0</v>
      </c>
      <c r="T44" s="14">
        <f>IF(ISNUMBER(Klisz_Verbräuche[[#This Row],[2029]]), Klisz_Verbräuche[[#This Row],[2029]]*Emissionsfaktoren[[#This Row],[2029]]/1000, 0)</f>
        <v>0</v>
      </c>
      <c r="U44" s="14">
        <f>IF(ISNUMBER(Klisz_Verbräuche[[#This Row],[2030]]), Klisz_Verbräuche[[#This Row],[2030]]*Emissionsfaktoren[[#This Row],[2030]]/1000, 0)</f>
        <v>0</v>
      </c>
      <c r="V44" s="14">
        <f>IF(ISNUMBER(Klisz_Verbräuche[[#This Row],[2035]]), Klisz_Verbräuche[[#This Row],[2035]]*Emissionsfaktoren[[#This Row],[2035]]/1000, 0)</f>
        <v>0</v>
      </c>
      <c r="W44" s="14">
        <f>IF(ISNUMBER(Klisz_Verbräuche[[#This Row],[2040]]), Klisz_Verbräuche[[#This Row],[2040]]*Emissionsfaktoren[[#This Row],[2040]]/1000, 0)</f>
        <v>0</v>
      </c>
      <c r="X44" s="14">
        <f>IF(ISNUMBER(Klisz_Verbräuche[[#This Row],[2045]]), Klisz_Verbräuche[[#This Row],[2045]]*Emissionsfaktoren[[#This Row],[2045]]/1000, 0)</f>
        <v>0</v>
      </c>
      <c r="Y44" s="14">
        <f>IF(ISNUMBER(Klisz_Verbräuche[[#This Row],[2050]]), Klisz_Verbräuche[[#This Row],[2050]]*Emissionsfaktoren[[#This Row],[2050]]/1000, 0)</f>
        <v>0</v>
      </c>
    </row>
    <row r="45" spans="2:25" ht="16.5">
      <c r="B45" s="14">
        <v>28</v>
      </c>
      <c r="C45" s="14" t="str">
        <f>Refsz_Verbräuche[[#This Row],[Handlungsfeld]]</f>
        <v>Kälte</v>
      </c>
      <c r="D45" s="19" t="str">
        <f>Refsz_Verbräuche[[#This Row],[Datenpunkt]]</f>
        <v>Nachfüllmenge Kältemittel (R404A)</v>
      </c>
      <c r="E45" t="s">
        <v>195</v>
      </c>
      <c r="F45" s="14">
        <f>IF(ISNUMBER(Klisz_Verbräuche[[#This Row],[2015]]), Klisz_Verbräuche[[#This Row],[2015]]*Emissionsfaktoren[[#This Row],[2015]]/1000, 0)</f>
        <v>0</v>
      </c>
      <c r="G45" s="14">
        <f>IF(ISNUMBER(Klisz_Verbräuche[[#This Row],[2016]]), Klisz_Verbräuche[[#This Row],[2016]]*Emissionsfaktoren[[#This Row],[2016]]/1000, 0)</f>
        <v>0</v>
      </c>
      <c r="H45" s="14">
        <f>IF(ISNUMBER(Klisz_Verbräuche[[#This Row],[2017]]), Klisz_Verbräuche[[#This Row],[2017]]*Emissionsfaktoren[[#This Row],[2017]]/1000, 0)</f>
        <v>0</v>
      </c>
      <c r="I45" s="14">
        <f>IF(ISNUMBER(Klisz_Verbräuche[[#This Row],[2018]]), Klisz_Verbräuche[[#This Row],[2018]]*Emissionsfaktoren[[#This Row],[2018]]/1000, 0)</f>
        <v>0</v>
      </c>
      <c r="J45" s="14">
        <f>IF(ISNUMBER(Klisz_Verbräuche[[#This Row],[2019]]), Klisz_Verbräuche[[#This Row],[2019]]*Emissionsfaktoren[[#This Row],[2019]]/1000, 0)</f>
        <v>0</v>
      </c>
      <c r="K45" s="14">
        <f>IF(ISNUMBER(Klisz_Verbräuche[[#This Row],[2020]]), Klisz_Verbräuche[[#This Row],[2020]]*Emissionsfaktoren[[#This Row],[2020]]/1000, 0)</f>
        <v>0</v>
      </c>
      <c r="L45" s="14">
        <f>IF(ISNUMBER(Klisz_Verbräuche[[#This Row],[2021]]), Klisz_Verbräuche[[#This Row],[2021]]*Emissionsfaktoren[[#This Row],[2021]]/1000, 0)</f>
        <v>0</v>
      </c>
      <c r="M45" s="14">
        <f>IF(ISNUMBER(Klisz_Verbräuche[[#This Row],[2022]]), Klisz_Verbräuche[[#This Row],[2022]]*Emissionsfaktoren[[#This Row],[2022]]/1000, 0)</f>
        <v>0</v>
      </c>
      <c r="N45" s="14">
        <f>IF(ISNUMBER(Klisz_Verbräuche[[#This Row],[2023]]), Klisz_Verbräuche[[#This Row],[2023]]*Emissionsfaktoren[[#This Row],[2023]]/1000, 0)</f>
        <v>0</v>
      </c>
      <c r="O45" s="14">
        <f>IF(ISNUMBER(Klisz_Verbräuche[[#This Row],[2024]]), Klisz_Verbräuche[[#This Row],[2024]]*Emissionsfaktoren[[#This Row],[2024]]/1000, 0)</f>
        <v>0</v>
      </c>
      <c r="P45" s="14">
        <f>IF(ISNUMBER(Klisz_Verbräuche[[#This Row],[2025]]), Klisz_Verbräuche[[#This Row],[2025]]*Emissionsfaktoren[[#This Row],[2025]]/1000, 0)</f>
        <v>0</v>
      </c>
      <c r="Q45" s="14">
        <f>IF(ISNUMBER(Klisz_Verbräuche[[#This Row],[2026]]), Klisz_Verbräuche[[#This Row],[2026]]*Emissionsfaktoren[[#This Row],[2026]]/1000, 0)</f>
        <v>0</v>
      </c>
      <c r="R45" s="14">
        <f>IF(ISNUMBER(Klisz_Verbräuche[[#This Row],[2027]]), Klisz_Verbräuche[[#This Row],[2027]]*Emissionsfaktoren[[#This Row],[2027]]/1000, 0)</f>
        <v>0</v>
      </c>
      <c r="S45" s="14">
        <f>IF(ISNUMBER(Klisz_Verbräuche[[#This Row],[2028]]), Klisz_Verbräuche[[#This Row],[2028]]*Emissionsfaktoren[[#This Row],[2028]]/1000, 0)</f>
        <v>0</v>
      </c>
      <c r="T45" s="14">
        <f>IF(ISNUMBER(Klisz_Verbräuche[[#This Row],[2029]]), Klisz_Verbräuche[[#This Row],[2029]]*Emissionsfaktoren[[#This Row],[2029]]/1000, 0)</f>
        <v>0</v>
      </c>
      <c r="U45" s="14">
        <f>IF(ISNUMBER(Klisz_Verbräuche[[#This Row],[2030]]), Klisz_Verbräuche[[#This Row],[2030]]*Emissionsfaktoren[[#This Row],[2030]]/1000, 0)</f>
        <v>0</v>
      </c>
      <c r="V45" s="14">
        <f>IF(ISNUMBER(Klisz_Verbräuche[[#This Row],[2035]]), Klisz_Verbräuche[[#This Row],[2035]]*Emissionsfaktoren[[#This Row],[2035]]/1000, 0)</f>
        <v>0</v>
      </c>
      <c r="W45" s="14">
        <f>IF(ISNUMBER(Klisz_Verbräuche[[#This Row],[2040]]), Klisz_Verbräuche[[#This Row],[2040]]*Emissionsfaktoren[[#This Row],[2040]]/1000, 0)</f>
        <v>0</v>
      </c>
      <c r="X45" s="14">
        <f>IF(ISNUMBER(Klisz_Verbräuche[[#This Row],[2045]]), Klisz_Verbräuche[[#This Row],[2045]]*Emissionsfaktoren[[#This Row],[2045]]/1000, 0)</f>
        <v>0</v>
      </c>
      <c r="Y45" s="14">
        <f>IF(ISNUMBER(Klisz_Verbräuche[[#This Row],[2050]]), Klisz_Verbräuche[[#This Row],[2050]]*Emissionsfaktoren[[#This Row],[2050]]/1000, 0)</f>
        <v>0</v>
      </c>
    </row>
    <row r="46" spans="2:25" ht="16.5">
      <c r="B46" s="14">
        <v>29</v>
      </c>
      <c r="C46" s="14" t="str">
        <f>Refsz_Verbräuche[[#This Row],[Handlungsfeld]]</f>
        <v>Kälte</v>
      </c>
      <c r="D46" s="19" t="str">
        <f>Refsz_Verbräuche[[#This Row],[Datenpunkt]]</f>
        <v>Nachfüllmenge Kältemittel (R410A)</v>
      </c>
      <c r="E46" t="s">
        <v>195</v>
      </c>
      <c r="F46" s="14">
        <f>IF(ISNUMBER(Klisz_Verbräuche[[#This Row],[2015]]), Klisz_Verbräuche[[#This Row],[2015]]*Emissionsfaktoren[[#This Row],[2015]]/1000, 0)</f>
        <v>0</v>
      </c>
      <c r="G46" s="14">
        <f>IF(ISNUMBER(Klisz_Verbräuche[[#This Row],[2016]]), Klisz_Verbräuche[[#This Row],[2016]]*Emissionsfaktoren[[#This Row],[2016]]/1000, 0)</f>
        <v>0</v>
      </c>
      <c r="H46" s="14">
        <f>IF(ISNUMBER(Klisz_Verbräuche[[#This Row],[2017]]), Klisz_Verbräuche[[#This Row],[2017]]*Emissionsfaktoren[[#This Row],[2017]]/1000, 0)</f>
        <v>0</v>
      </c>
      <c r="I46" s="14">
        <f>IF(ISNUMBER(Klisz_Verbräuche[[#This Row],[2018]]), Klisz_Verbräuche[[#This Row],[2018]]*Emissionsfaktoren[[#This Row],[2018]]/1000, 0)</f>
        <v>0</v>
      </c>
      <c r="J46" s="14">
        <f>IF(ISNUMBER(Klisz_Verbräuche[[#This Row],[2019]]), Klisz_Verbräuche[[#This Row],[2019]]*Emissionsfaktoren[[#This Row],[2019]]/1000, 0)</f>
        <v>0</v>
      </c>
      <c r="K46" s="14">
        <f>IF(ISNUMBER(Klisz_Verbräuche[[#This Row],[2020]]), Klisz_Verbräuche[[#This Row],[2020]]*Emissionsfaktoren[[#This Row],[2020]]/1000, 0)</f>
        <v>0</v>
      </c>
      <c r="L46" s="14">
        <f>IF(ISNUMBER(Klisz_Verbräuche[[#This Row],[2021]]), Klisz_Verbräuche[[#This Row],[2021]]*Emissionsfaktoren[[#This Row],[2021]]/1000, 0)</f>
        <v>0</v>
      </c>
      <c r="M46" s="14">
        <f>IF(ISNUMBER(Klisz_Verbräuche[[#This Row],[2022]]), Klisz_Verbräuche[[#This Row],[2022]]*Emissionsfaktoren[[#This Row],[2022]]/1000, 0)</f>
        <v>0</v>
      </c>
      <c r="N46" s="14">
        <f>IF(ISNUMBER(Klisz_Verbräuche[[#This Row],[2023]]), Klisz_Verbräuche[[#This Row],[2023]]*Emissionsfaktoren[[#This Row],[2023]]/1000, 0)</f>
        <v>0</v>
      </c>
      <c r="O46" s="14">
        <f>IF(ISNUMBER(Klisz_Verbräuche[[#This Row],[2024]]), Klisz_Verbräuche[[#This Row],[2024]]*Emissionsfaktoren[[#This Row],[2024]]/1000, 0)</f>
        <v>0</v>
      </c>
      <c r="P46" s="14">
        <f>IF(ISNUMBER(Klisz_Verbräuche[[#This Row],[2025]]), Klisz_Verbräuche[[#This Row],[2025]]*Emissionsfaktoren[[#This Row],[2025]]/1000, 0)</f>
        <v>0</v>
      </c>
      <c r="Q46" s="14">
        <f>IF(ISNUMBER(Klisz_Verbräuche[[#This Row],[2026]]), Klisz_Verbräuche[[#This Row],[2026]]*Emissionsfaktoren[[#This Row],[2026]]/1000, 0)</f>
        <v>0</v>
      </c>
      <c r="R46" s="14">
        <f>IF(ISNUMBER(Klisz_Verbräuche[[#This Row],[2027]]), Klisz_Verbräuche[[#This Row],[2027]]*Emissionsfaktoren[[#This Row],[2027]]/1000, 0)</f>
        <v>0</v>
      </c>
      <c r="S46" s="14">
        <f>IF(ISNUMBER(Klisz_Verbräuche[[#This Row],[2028]]), Klisz_Verbräuche[[#This Row],[2028]]*Emissionsfaktoren[[#This Row],[2028]]/1000, 0)</f>
        <v>0</v>
      </c>
      <c r="T46" s="14">
        <f>IF(ISNUMBER(Klisz_Verbräuche[[#This Row],[2029]]), Klisz_Verbräuche[[#This Row],[2029]]*Emissionsfaktoren[[#This Row],[2029]]/1000, 0)</f>
        <v>0</v>
      </c>
      <c r="U46" s="14">
        <f>IF(ISNUMBER(Klisz_Verbräuche[[#This Row],[2030]]), Klisz_Verbräuche[[#This Row],[2030]]*Emissionsfaktoren[[#This Row],[2030]]/1000, 0)</f>
        <v>0</v>
      </c>
      <c r="V46" s="14">
        <f>IF(ISNUMBER(Klisz_Verbräuche[[#This Row],[2035]]), Klisz_Verbräuche[[#This Row],[2035]]*Emissionsfaktoren[[#This Row],[2035]]/1000, 0)</f>
        <v>0</v>
      </c>
      <c r="W46" s="14">
        <f>IF(ISNUMBER(Klisz_Verbräuche[[#This Row],[2040]]), Klisz_Verbräuche[[#This Row],[2040]]*Emissionsfaktoren[[#This Row],[2040]]/1000, 0)</f>
        <v>0</v>
      </c>
      <c r="X46" s="14">
        <f>IF(ISNUMBER(Klisz_Verbräuche[[#This Row],[2045]]), Klisz_Verbräuche[[#This Row],[2045]]*Emissionsfaktoren[[#This Row],[2045]]/1000, 0)</f>
        <v>0</v>
      </c>
      <c r="Y46" s="14">
        <f>IF(ISNUMBER(Klisz_Verbräuche[[#This Row],[2050]]), Klisz_Verbräuche[[#This Row],[2050]]*Emissionsfaktoren[[#This Row],[2050]]/1000, 0)</f>
        <v>0</v>
      </c>
    </row>
    <row r="47" spans="2:25" ht="16.5">
      <c r="B47" s="14">
        <v>30</v>
      </c>
      <c r="C47" s="14">
        <f>Refsz_Verbräuche[[#This Row],[Handlungsfeld]]</f>
        <v>0</v>
      </c>
      <c r="D47" s="19">
        <f>Refsz_Verbräuche[[#This Row],[Datenpunkt]]</f>
        <v>0</v>
      </c>
      <c r="E47" t="s">
        <v>195</v>
      </c>
      <c r="F47" s="14">
        <f>IF(ISNUMBER(Klisz_Verbräuche[[#This Row],[2015]]), Klisz_Verbräuche[[#This Row],[2015]]*Emissionsfaktoren[[#This Row],[2015]]/1000, 0)</f>
        <v>0</v>
      </c>
      <c r="G47" s="14">
        <f>IF(ISNUMBER(Klisz_Verbräuche[[#This Row],[2016]]), Klisz_Verbräuche[[#This Row],[2016]]*Emissionsfaktoren[[#This Row],[2016]]/1000, 0)</f>
        <v>0</v>
      </c>
      <c r="H47" s="14">
        <f>IF(ISNUMBER(Klisz_Verbräuche[[#This Row],[2017]]), Klisz_Verbräuche[[#This Row],[2017]]*Emissionsfaktoren[[#This Row],[2017]]/1000, 0)</f>
        <v>0</v>
      </c>
      <c r="I47" s="14">
        <f>IF(ISNUMBER(Klisz_Verbräuche[[#This Row],[2018]]), Klisz_Verbräuche[[#This Row],[2018]]*Emissionsfaktoren[[#This Row],[2018]]/1000, 0)</f>
        <v>0</v>
      </c>
      <c r="J47" s="14">
        <f>IF(ISNUMBER(Klisz_Verbräuche[[#This Row],[2019]]), Klisz_Verbräuche[[#This Row],[2019]]*Emissionsfaktoren[[#This Row],[2019]]/1000, 0)</f>
        <v>0</v>
      </c>
      <c r="K47" s="14">
        <f>IF(ISNUMBER(Klisz_Verbräuche[[#This Row],[2020]]), Klisz_Verbräuche[[#This Row],[2020]]*Emissionsfaktoren[[#This Row],[2020]]/1000, 0)</f>
        <v>0</v>
      </c>
      <c r="L47" s="14">
        <f>IF(ISNUMBER(Klisz_Verbräuche[[#This Row],[2021]]), Klisz_Verbräuche[[#This Row],[2021]]*Emissionsfaktoren[[#This Row],[2021]]/1000, 0)</f>
        <v>0</v>
      </c>
      <c r="M47" s="14">
        <f>IF(ISNUMBER(Klisz_Verbräuche[[#This Row],[2022]]), Klisz_Verbräuche[[#This Row],[2022]]*Emissionsfaktoren[[#This Row],[2022]]/1000, 0)</f>
        <v>0</v>
      </c>
      <c r="N47" s="14">
        <f>IF(ISNUMBER(Klisz_Verbräuche[[#This Row],[2023]]), Klisz_Verbräuche[[#This Row],[2023]]*Emissionsfaktoren[[#This Row],[2023]]/1000, 0)</f>
        <v>0</v>
      </c>
      <c r="O47" s="14">
        <f>IF(ISNUMBER(Klisz_Verbräuche[[#This Row],[2024]]), Klisz_Verbräuche[[#This Row],[2024]]*Emissionsfaktoren[[#This Row],[2024]]/1000, 0)</f>
        <v>0</v>
      </c>
      <c r="P47" s="14">
        <f>IF(ISNUMBER(Klisz_Verbräuche[[#This Row],[2025]]), Klisz_Verbräuche[[#This Row],[2025]]*Emissionsfaktoren[[#This Row],[2025]]/1000, 0)</f>
        <v>0</v>
      </c>
      <c r="Q47" s="14">
        <f>IF(ISNUMBER(Klisz_Verbräuche[[#This Row],[2026]]), Klisz_Verbräuche[[#This Row],[2026]]*Emissionsfaktoren[[#This Row],[2026]]/1000, 0)</f>
        <v>0</v>
      </c>
      <c r="R47" s="14">
        <f>IF(ISNUMBER(Klisz_Verbräuche[[#This Row],[2027]]), Klisz_Verbräuche[[#This Row],[2027]]*Emissionsfaktoren[[#This Row],[2027]]/1000, 0)</f>
        <v>0</v>
      </c>
      <c r="S47" s="14">
        <f>IF(ISNUMBER(Klisz_Verbräuche[[#This Row],[2028]]), Klisz_Verbräuche[[#This Row],[2028]]*Emissionsfaktoren[[#This Row],[2028]]/1000, 0)</f>
        <v>0</v>
      </c>
      <c r="T47" s="14">
        <f>IF(ISNUMBER(Klisz_Verbräuche[[#This Row],[2029]]), Klisz_Verbräuche[[#This Row],[2029]]*Emissionsfaktoren[[#This Row],[2029]]/1000, 0)</f>
        <v>0</v>
      </c>
      <c r="U47" s="14">
        <f>IF(ISNUMBER(Klisz_Verbräuche[[#This Row],[2030]]), Klisz_Verbräuche[[#This Row],[2030]]*Emissionsfaktoren[[#This Row],[2030]]/1000, 0)</f>
        <v>0</v>
      </c>
      <c r="V47" s="14">
        <f>IF(ISNUMBER(Klisz_Verbräuche[[#This Row],[2035]]), Klisz_Verbräuche[[#This Row],[2035]]*Emissionsfaktoren[[#This Row],[2035]]/1000, 0)</f>
        <v>0</v>
      </c>
      <c r="W47" s="14">
        <f>IF(ISNUMBER(Klisz_Verbräuche[[#This Row],[2040]]), Klisz_Verbräuche[[#This Row],[2040]]*Emissionsfaktoren[[#This Row],[2040]]/1000, 0)</f>
        <v>0</v>
      </c>
      <c r="X47" s="14">
        <f>IF(ISNUMBER(Klisz_Verbräuche[[#This Row],[2045]]), Klisz_Verbräuche[[#This Row],[2045]]*Emissionsfaktoren[[#This Row],[2045]]/1000, 0)</f>
        <v>0</v>
      </c>
      <c r="Y47" s="14">
        <f>IF(ISNUMBER(Klisz_Verbräuche[[#This Row],[2050]]), Klisz_Verbräuche[[#This Row],[2050]]*Emissionsfaktoren[[#This Row],[2050]]/1000, 0)</f>
        <v>0</v>
      </c>
    </row>
    <row r="48" spans="2:25" ht="16.5">
      <c r="B48" s="14">
        <v>31</v>
      </c>
      <c r="C48" s="14" t="str">
        <f>Refsz_Verbräuche[[#This Row],[Handlungsfeld]]</f>
        <v>Mobilität 1</v>
      </c>
      <c r="D48" s="19" t="str">
        <f>Refsz_Verbräuche[[#This Row],[Datenpunkt]]</f>
        <v>Fuhrpark (Diesel)</v>
      </c>
      <c r="E48" t="s">
        <v>195</v>
      </c>
      <c r="F48" s="14">
        <f>IF(ISNUMBER(Klisz_Verbräuche[[#This Row],[2015]]), Klisz_Verbräuche[[#This Row],[2015]]*Emissionsfaktoren[[#This Row],[2015]]/1000, 0)</f>
        <v>0</v>
      </c>
      <c r="G48" s="14">
        <f>IF(ISNUMBER(Klisz_Verbräuche[[#This Row],[2016]]), Klisz_Verbräuche[[#This Row],[2016]]*Emissionsfaktoren[[#This Row],[2016]]/1000, 0)</f>
        <v>0</v>
      </c>
      <c r="H48" s="14">
        <f>IF(ISNUMBER(Klisz_Verbräuche[[#This Row],[2017]]), Klisz_Verbräuche[[#This Row],[2017]]*Emissionsfaktoren[[#This Row],[2017]]/1000, 0)</f>
        <v>0</v>
      </c>
      <c r="I48" s="14">
        <f>IF(ISNUMBER(Klisz_Verbräuche[[#This Row],[2018]]), Klisz_Verbräuche[[#This Row],[2018]]*Emissionsfaktoren[[#This Row],[2018]]/1000, 0)</f>
        <v>0</v>
      </c>
      <c r="J48" s="14">
        <f>IF(ISNUMBER(Klisz_Verbräuche[[#This Row],[2019]]), Klisz_Verbräuche[[#This Row],[2019]]*Emissionsfaktoren[[#This Row],[2019]]/1000, 0)</f>
        <v>0</v>
      </c>
      <c r="K48" s="14">
        <f>IF(ISNUMBER(Klisz_Verbräuche[[#This Row],[2020]]), Klisz_Verbräuche[[#This Row],[2020]]*Emissionsfaktoren[[#This Row],[2020]]/1000, 0)</f>
        <v>0</v>
      </c>
      <c r="L48" s="14">
        <f>IF(ISNUMBER(Klisz_Verbräuche[[#This Row],[2021]]), Klisz_Verbräuche[[#This Row],[2021]]*Emissionsfaktoren[[#This Row],[2021]]/1000, 0)</f>
        <v>0</v>
      </c>
      <c r="M48" s="14">
        <f>IF(ISNUMBER(Klisz_Verbräuche[[#This Row],[2022]]), Klisz_Verbräuche[[#This Row],[2022]]*Emissionsfaktoren[[#This Row],[2022]]/1000, 0)</f>
        <v>0</v>
      </c>
      <c r="N48" s="14">
        <f>IF(ISNUMBER(Klisz_Verbräuche[[#This Row],[2023]]), Klisz_Verbräuche[[#This Row],[2023]]*Emissionsfaktoren[[#This Row],[2023]]/1000, 0)</f>
        <v>0</v>
      </c>
      <c r="O48" s="14">
        <f>IF(ISNUMBER(Klisz_Verbräuche[[#This Row],[2024]]), Klisz_Verbräuche[[#This Row],[2024]]*Emissionsfaktoren[[#This Row],[2024]]/1000, 0)</f>
        <v>0</v>
      </c>
      <c r="P48" s="14">
        <f>IF(ISNUMBER(Klisz_Verbräuche[[#This Row],[2025]]), Klisz_Verbräuche[[#This Row],[2025]]*Emissionsfaktoren[[#This Row],[2025]]/1000, 0)</f>
        <v>0</v>
      </c>
      <c r="Q48" s="14">
        <f>IF(ISNUMBER(Klisz_Verbräuche[[#This Row],[2026]]), Klisz_Verbräuche[[#This Row],[2026]]*Emissionsfaktoren[[#This Row],[2026]]/1000, 0)</f>
        <v>0</v>
      </c>
      <c r="R48" s="14">
        <f>IF(ISNUMBER(Klisz_Verbräuche[[#This Row],[2027]]), Klisz_Verbräuche[[#This Row],[2027]]*Emissionsfaktoren[[#This Row],[2027]]/1000, 0)</f>
        <v>0</v>
      </c>
      <c r="S48" s="14">
        <f>IF(ISNUMBER(Klisz_Verbräuche[[#This Row],[2028]]), Klisz_Verbräuche[[#This Row],[2028]]*Emissionsfaktoren[[#This Row],[2028]]/1000, 0)</f>
        <v>0</v>
      </c>
      <c r="T48" s="14">
        <f>IF(ISNUMBER(Klisz_Verbräuche[[#This Row],[2029]]), Klisz_Verbräuche[[#This Row],[2029]]*Emissionsfaktoren[[#This Row],[2029]]/1000, 0)</f>
        <v>0</v>
      </c>
      <c r="U48" s="14">
        <f>IF(ISNUMBER(Klisz_Verbräuche[[#This Row],[2030]]), Klisz_Verbräuche[[#This Row],[2030]]*Emissionsfaktoren[[#This Row],[2030]]/1000, 0)</f>
        <v>0</v>
      </c>
      <c r="V48" s="14">
        <f>IF(ISNUMBER(Klisz_Verbräuche[[#This Row],[2035]]), Klisz_Verbräuche[[#This Row],[2035]]*Emissionsfaktoren[[#This Row],[2035]]/1000, 0)</f>
        <v>0</v>
      </c>
      <c r="W48" s="14">
        <f>IF(ISNUMBER(Klisz_Verbräuche[[#This Row],[2040]]), Klisz_Verbräuche[[#This Row],[2040]]*Emissionsfaktoren[[#This Row],[2040]]/1000, 0)</f>
        <v>0</v>
      </c>
      <c r="X48" s="14">
        <f>IF(ISNUMBER(Klisz_Verbräuche[[#This Row],[2045]]), Klisz_Verbräuche[[#This Row],[2045]]*Emissionsfaktoren[[#This Row],[2045]]/1000, 0)</f>
        <v>0</v>
      </c>
      <c r="Y48" s="14">
        <f>IF(ISNUMBER(Klisz_Verbräuche[[#This Row],[2050]]), Klisz_Verbräuche[[#This Row],[2050]]*Emissionsfaktoren[[#This Row],[2050]]/1000, 0)</f>
        <v>0</v>
      </c>
    </row>
    <row r="49" spans="2:25" ht="16.5">
      <c r="B49" s="14">
        <v>32</v>
      </c>
      <c r="C49" s="14" t="str">
        <f>Refsz_Verbräuche[[#This Row],[Handlungsfeld]]</f>
        <v>Mobilität 1</v>
      </c>
      <c r="D49" s="19" t="str">
        <f>Refsz_Verbräuche[[#This Row],[Datenpunkt]]</f>
        <v>Fuhrpark (Benzin)</v>
      </c>
      <c r="E49" t="s">
        <v>195</v>
      </c>
      <c r="F49" s="14">
        <f>IF(ISNUMBER(Klisz_Verbräuche[[#This Row],[2015]]), Klisz_Verbräuche[[#This Row],[2015]]*Emissionsfaktoren[[#This Row],[2015]]/1000, 0)</f>
        <v>0</v>
      </c>
      <c r="G49" s="14">
        <f>IF(ISNUMBER(Klisz_Verbräuche[[#This Row],[2016]]), Klisz_Verbräuche[[#This Row],[2016]]*Emissionsfaktoren[[#This Row],[2016]]/1000, 0)</f>
        <v>0</v>
      </c>
      <c r="H49" s="14">
        <f>IF(ISNUMBER(Klisz_Verbräuche[[#This Row],[2017]]), Klisz_Verbräuche[[#This Row],[2017]]*Emissionsfaktoren[[#This Row],[2017]]/1000, 0)</f>
        <v>0</v>
      </c>
      <c r="I49" s="14">
        <f>IF(ISNUMBER(Klisz_Verbräuche[[#This Row],[2018]]), Klisz_Verbräuche[[#This Row],[2018]]*Emissionsfaktoren[[#This Row],[2018]]/1000, 0)</f>
        <v>0</v>
      </c>
      <c r="J49" s="14">
        <f>IF(ISNUMBER(Klisz_Verbräuche[[#This Row],[2019]]), Klisz_Verbräuche[[#This Row],[2019]]*Emissionsfaktoren[[#This Row],[2019]]/1000, 0)</f>
        <v>0</v>
      </c>
      <c r="K49" s="14">
        <f>IF(ISNUMBER(Klisz_Verbräuche[[#This Row],[2020]]), Klisz_Verbräuche[[#This Row],[2020]]*Emissionsfaktoren[[#This Row],[2020]]/1000, 0)</f>
        <v>0</v>
      </c>
      <c r="L49" s="14">
        <f>IF(ISNUMBER(Klisz_Verbräuche[[#This Row],[2021]]), Klisz_Verbräuche[[#This Row],[2021]]*Emissionsfaktoren[[#This Row],[2021]]/1000, 0)</f>
        <v>0</v>
      </c>
      <c r="M49" s="14">
        <f>IF(ISNUMBER(Klisz_Verbräuche[[#This Row],[2022]]), Klisz_Verbräuche[[#This Row],[2022]]*Emissionsfaktoren[[#This Row],[2022]]/1000, 0)</f>
        <v>0</v>
      </c>
      <c r="N49" s="14">
        <f>IF(ISNUMBER(Klisz_Verbräuche[[#This Row],[2023]]), Klisz_Verbräuche[[#This Row],[2023]]*Emissionsfaktoren[[#This Row],[2023]]/1000, 0)</f>
        <v>0</v>
      </c>
      <c r="O49" s="14">
        <f>IF(ISNUMBER(Klisz_Verbräuche[[#This Row],[2024]]), Klisz_Verbräuche[[#This Row],[2024]]*Emissionsfaktoren[[#This Row],[2024]]/1000, 0)</f>
        <v>0</v>
      </c>
      <c r="P49" s="14">
        <f>IF(ISNUMBER(Klisz_Verbräuche[[#This Row],[2025]]), Klisz_Verbräuche[[#This Row],[2025]]*Emissionsfaktoren[[#This Row],[2025]]/1000, 0)</f>
        <v>0</v>
      </c>
      <c r="Q49" s="14">
        <f>IF(ISNUMBER(Klisz_Verbräuche[[#This Row],[2026]]), Klisz_Verbräuche[[#This Row],[2026]]*Emissionsfaktoren[[#This Row],[2026]]/1000, 0)</f>
        <v>0</v>
      </c>
      <c r="R49" s="14">
        <f>IF(ISNUMBER(Klisz_Verbräuche[[#This Row],[2027]]), Klisz_Verbräuche[[#This Row],[2027]]*Emissionsfaktoren[[#This Row],[2027]]/1000, 0)</f>
        <v>0</v>
      </c>
      <c r="S49" s="14">
        <f>IF(ISNUMBER(Klisz_Verbräuche[[#This Row],[2028]]), Klisz_Verbräuche[[#This Row],[2028]]*Emissionsfaktoren[[#This Row],[2028]]/1000, 0)</f>
        <v>0</v>
      </c>
      <c r="T49" s="14">
        <f>IF(ISNUMBER(Klisz_Verbräuche[[#This Row],[2029]]), Klisz_Verbräuche[[#This Row],[2029]]*Emissionsfaktoren[[#This Row],[2029]]/1000, 0)</f>
        <v>0</v>
      </c>
      <c r="U49" s="14">
        <f>IF(ISNUMBER(Klisz_Verbräuche[[#This Row],[2030]]), Klisz_Verbräuche[[#This Row],[2030]]*Emissionsfaktoren[[#This Row],[2030]]/1000, 0)</f>
        <v>0</v>
      </c>
      <c r="V49" s="14">
        <f>IF(ISNUMBER(Klisz_Verbräuche[[#This Row],[2035]]), Klisz_Verbräuche[[#This Row],[2035]]*Emissionsfaktoren[[#This Row],[2035]]/1000, 0)</f>
        <v>0</v>
      </c>
      <c r="W49" s="14">
        <f>IF(ISNUMBER(Klisz_Verbräuche[[#This Row],[2040]]), Klisz_Verbräuche[[#This Row],[2040]]*Emissionsfaktoren[[#This Row],[2040]]/1000, 0)</f>
        <v>0</v>
      </c>
      <c r="X49" s="14">
        <f>IF(ISNUMBER(Klisz_Verbräuche[[#This Row],[2045]]), Klisz_Verbräuche[[#This Row],[2045]]*Emissionsfaktoren[[#This Row],[2045]]/1000, 0)</f>
        <v>0</v>
      </c>
      <c r="Y49" s="14">
        <f>IF(ISNUMBER(Klisz_Verbräuche[[#This Row],[2050]]), Klisz_Verbräuche[[#This Row],[2050]]*Emissionsfaktoren[[#This Row],[2050]]/1000, 0)</f>
        <v>0</v>
      </c>
    </row>
    <row r="50" spans="2:25" ht="16.5">
      <c r="B50" s="14">
        <v>33</v>
      </c>
      <c r="C50" s="14" t="str">
        <f>Refsz_Verbräuche[[#This Row],[Handlungsfeld]]</f>
        <v>Mobilität 1</v>
      </c>
      <c r="D50" s="19" t="str">
        <f>Refsz_Verbräuche[[#This Row],[Datenpunkt]]</f>
        <v>Fuhrpark (E-Auto/ BEV)</v>
      </c>
      <c r="E50" t="s">
        <v>195</v>
      </c>
      <c r="F50" s="14">
        <f>IF(ISNUMBER(Klisz_Verbräuche[[#This Row],[2015]]), Klisz_Verbräuche[[#This Row],[2015]]*Emissionsfaktoren[[#This Row],[2015]]/1000, 0)</f>
        <v>0</v>
      </c>
      <c r="G50" s="14">
        <f>IF(ISNUMBER(Klisz_Verbräuche[[#This Row],[2016]]), Klisz_Verbräuche[[#This Row],[2016]]*Emissionsfaktoren[[#This Row],[2016]]/1000, 0)</f>
        <v>0</v>
      </c>
      <c r="H50" s="14">
        <f>IF(ISNUMBER(Klisz_Verbräuche[[#This Row],[2017]]), Klisz_Verbräuche[[#This Row],[2017]]*Emissionsfaktoren[[#This Row],[2017]]/1000, 0)</f>
        <v>0</v>
      </c>
      <c r="I50" s="14">
        <f>IF(ISNUMBER(Klisz_Verbräuche[[#This Row],[2018]]), Klisz_Verbräuche[[#This Row],[2018]]*Emissionsfaktoren[[#This Row],[2018]]/1000, 0)</f>
        <v>0</v>
      </c>
      <c r="J50" s="14">
        <f>IF(ISNUMBER(Klisz_Verbräuche[[#This Row],[2019]]), Klisz_Verbräuche[[#This Row],[2019]]*Emissionsfaktoren[[#This Row],[2019]]/1000, 0)</f>
        <v>0</v>
      </c>
      <c r="K50" s="14">
        <f>IF(ISNUMBER(Klisz_Verbräuche[[#This Row],[2020]]), Klisz_Verbräuche[[#This Row],[2020]]*Emissionsfaktoren[[#This Row],[2020]]/1000, 0)</f>
        <v>0</v>
      </c>
      <c r="L50" s="14">
        <f>IF(ISNUMBER(Klisz_Verbräuche[[#This Row],[2021]]), Klisz_Verbräuche[[#This Row],[2021]]*Emissionsfaktoren[[#This Row],[2021]]/1000, 0)</f>
        <v>0</v>
      </c>
      <c r="M50" s="14">
        <f>IF(ISNUMBER(Klisz_Verbräuche[[#This Row],[2022]]), Klisz_Verbräuche[[#This Row],[2022]]*Emissionsfaktoren[[#This Row],[2022]]/1000, 0)</f>
        <v>0</v>
      </c>
      <c r="N50" s="14">
        <f>IF(ISNUMBER(Klisz_Verbräuche[[#This Row],[2023]]), Klisz_Verbräuche[[#This Row],[2023]]*Emissionsfaktoren[[#This Row],[2023]]/1000, 0)</f>
        <v>0</v>
      </c>
      <c r="O50" s="14">
        <f>IF(ISNUMBER(Klisz_Verbräuche[[#This Row],[2024]]), Klisz_Verbräuche[[#This Row],[2024]]*Emissionsfaktoren[[#This Row],[2024]]/1000, 0)</f>
        <v>0</v>
      </c>
      <c r="P50" s="14">
        <f>IF(ISNUMBER(Klisz_Verbräuche[[#This Row],[2025]]), Klisz_Verbräuche[[#This Row],[2025]]*Emissionsfaktoren[[#This Row],[2025]]/1000, 0)</f>
        <v>0</v>
      </c>
      <c r="Q50" s="14">
        <f>IF(ISNUMBER(Klisz_Verbräuche[[#This Row],[2026]]), Klisz_Verbräuche[[#This Row],[2026]]*Emissionsfaktoren[[#This Row],[2026]]/1000, 0)</f>
        <v>0</v>
      </c>
      <c r="R50" s="14">
        <f>IF(ISNUMBER(Klisz_Verbräuche[[#This Row],[2027]]), Klisz_Verbräuche[[#This Row],[2027]]*Emissionsfaktoren[[#This Row],[2027]]/1000, 0)</f>
        <v>0</v>
      </c>
      <c r="S50" s="14">
        <f>IF(ISNUMBER(Klisz_Verbräuche[[#This Row],[2028]]), Klisz_Verbräuche[[#This Row],[2028]]*Emissionsfaktoren[[#This Row],[2028]]/1000, 0)</f>
        <v>0</v>
      </c>
      <c r="T50" s="14">
        <f>IF(ISNUMBER(Klisz_Verbräuche[[#This Row],[2029]]), Klisz_Verbräuche[[#This Row],[2029]]*Emissionsfaktoren[[#This Row],[2029]]/1000, 0)</f>
        <v>0</v>
      </c>
      <c r="U50" s="14">
        <f>IF(ISNUMBER(Klisz_Verbräuche[[#This Row],[2030]]), Klisz_Verbräuche[[#This Row],[2030]]*Emissionsfaktoren[[#This Row],[2030]]/1000, 0)</f>
        <v>0</v>
      </c>
      <c r="V50" s="14">
        <f>IF(ISNUMBER(Klisz_Verbräuche[[#This Row],[2035]]), Klisz_Verbräuche[[#This Row],[2035]]*Emissionsfaktoren[[#This Row],[2035]]/1000, 0)</f>
        <v>0</v>
      </c>
      <c r="W50" s="14">
        <f>IF(ISNUMBER(Klisz_Verbräuche[[#This Row],[2040]]), Klisz_Verbräuche[[#This Row],[2040]]*Emissionsfaktoren[[#This Row],[2040]]/1000, 0)</f>
        <v>0</v>
      </c>
      <c r="X50" s="14">
        <f>IF(ISNUMBER(Klisz_Verbräuche[[#This Row],[2045]]), Klisz_Verbräuche[[#This Row],[2045]]*Emissionsfaktoren[[#This Row],[2045]]/1000, 0)</f>
        <v>0</v>
      </c>
      <c r="Y50" s="14">
        <f>IF(ISNUMBER(Klisz_Verbräuche[[#This Row],[2050]]), Klisz_Verbräuche[[#This Row],[2050]]*Emissionsfaktoren[[#This Row],[2050]]/1000, 0)</f>
        <v>0</v>
      </c>
    </row>
    <row r="51" spans="2:25" ht="16.5">
      <c r="B51" s="14">
        <v>34</v>
      </c>
      <c r="C51" s="14" t="str">
        <f>Refsz_Verbräuche[[#This Row],[Handlungsfeld]]</f>
        <v>Mobilität 1</v>
      </c>
      <c r="D51" s="19" t="str">
        <f>Refsz_Verbräuche[[#This Row],[Datenpunkt]]</f>
        <v>Fuhrpark (Wasserstoff/ FCEV)</v>
      </c>
      <c r="E51" t="s">
        <v>195</v>
      </c>
      <c r="F51" s="14">
        <f>IF(ISNUMBER(Klisz_Verbräuche[[#This Row],[2015]]), Klisz_Verbräuche[[#This Row],[2015]]*Emissionsfaktoren[[#This Row],[2015]]/1000, 0)</f>
        <v>0</v>
      </c>
      <c r="G51" s="14">
        <f>IF(ISNUMBER(Klisz_Verbräuche[[#This Row],[2016]]), Klisz_Verbräuche[[#This Row],[2016]]*Emissionsfaktoren[[#This Row],[2016]]/1000, 0)</f>
        <v>0</v>
      </c>
      <c r="H51" s="14">
        <f>IF(ISNUMBER(Klisz_Verbräuche[[#This Row],[2017]]), Klisz_Verbräuche[[#This Row],[2017]]*Emissionsfaktoren[[#This Row],[2017]]/1000, 0)</f>
        <v>0</v>
      </c>
      <c r="I51" s="14">
        <f>IF(ISNUMBER(Klisz_Verbräuche[[#This Row],[2018]]), Klisz_Verbräuche[[#This Row],[2018]]*Emissionsfaktoren[[#This Row],[2018]]/1000, 0)</f>
        <v>0</v>
      </c>
      <c r="J51" s="14">
        <f>IF(ISNUMBER(Klisz_Verbräuche[[#This Row],[2019]]), Klisz_Verbräuche[[#This Row],[2019]]*Emissionsfaktoren[[#This Row],[2019]]/1000, 0)</f>
        <v>0</v>
      </c>
      <c r="K51" s="14">
        <f>IF(ISNUMBER(Klisz_Verbräuche[[#This Row],[2020]]), Klisz_Verbräuche[[#This Row],[2020]]*Emissionsfaktoren[[#This Row],[2020]]/1000, 0)</f>
        <v>0</v>
      </c>
      <c r="L51" s="14">
        <f>IF(ISNUMBER(Klisz_Verbräuche[[#This Row],[2021]]), Klisz_Verbräuche[[#This Row],[2021]]*Emissionsfaktoren[[#This Row],[2021]]/1000, 0)</f>
        <v>0</v>
      </c>
      <c r="M51" s="14">
        <f>IF(ISNUMBER(Klisz_Verbräuche[[#This Row],[2022]]), Klisz_Verbräuche[[#This Row],[2022]]*Emissionsfaktoren[[#This Row],[2022]]/1000, 0)</f>
        <v>0</v>
      </c>
      <c r="N51" s="14">
        <f>IF(ISNUMBER(Klisz_Verbräuche[[#This Row],[2023]]), Klisz_Verbräuche[[#This Row],[2023]]*Emissionsfaktoren[[#This Row],[2023]]/1000, 0)</f>
        <v>0</v>
      </c>
      <c r="O51" s="14">
        <f>IF(ISNUMBER(Klisz_Verbräuche[[#This Row],[2024]]), Klisz_Verbräuche[[#This Row],[2024]]*Emissionsfaktoren[[#This Row],[2024]]/1000, 0)</f>
        <v>0</v>
      </c>
      <c r="P51" s="14">
        <f>IF(ISNUMBER(Klisz_Verbräuche[[#This Row],[2025]]), Klisz_Verbräuche[[#This Row],[2025]]*Emissionsfaktoren[[#This Row],[2025]]/1000, 0)</f>
        <v>0</v>
      </c>
      <c r="Q51" s="14">
        <f>IF(ISNUMBER(Klisz_Verbräuche[[#This Row],[2026]]), Klisz_Verbräuche[[#This Row],[2026]]*Emissionsfaktoren[[#This Row],[2026]]/1000, 0)</f>
        <v>0</v>
      </c>
      <c r="R51" s="14">
        <f>IF(ISNUMBER(Klisz_Verbräuche[[#This Row],[2027]]), Klisz_Verbräuche[[#This Row],[2027]]*Emissionsfaktoren[[#This Row],[2027]]/1000, 0)</f>
        <v>0</v>
      </c>
      <c r="S51" s="14">
        <f>IF(ISNUMBER(Klisz_Verbräuche[[#This Row],[2028]]), Klisz_Verbräuche[[#This Row],[2028]]*Emissionsfaktoren[[#This Row],[2028]]/1000, 0)</f>
        <v>0</v>
      </c>
      <c r="T51" s="14">
        <f>IF(ISNUMBER(Klisz_Verbräuche[[#This Row],[2029]]), Klisz_Verbräuche[[#This Row],[2029]]*Emissionsfaktoren[[#This Row],[2029]]/1000, 0)</f>
        <v>0</v>
      </c>
      <c r="U51" s="14">
        <f>IF(ISNUMBER(Klisz_Verbräuche[[#This Row],[2030]]), Klisz_Verbräuche[[#This Row],[2030]]*Emissionsfaktoren[[#This Row],[2030]]/1000, 0)</f>
        <v>0</v>
      </c>
      <c r="V51" s="14">
        <f>IF(ISNUMBER(Klisz_Verbräuche[[#This Row],[2035]]), Klisz_Verbräuche[[#This Row],[2035]]*Emissionsfaktoren[[#This Row],[2035]]/1000, 0)</f>
        <v>0</v>
      </c>
      <c r="W51" s="14">
        <f>IF(ISNUMBER(Klisz_Verbräuche[[#This Row],[2040]]), Klisz_Verbräuche[[#This Row],[2040]]*Emissionsfaktoren[[#This Row],[2040]]/1000, 0)</f>
        <v>0</v>
      </c>
      <c r="X51" s="14">
        <f>IF(ISNUMBER(Klisz_Verbräuche[[#This Row],[2045]]), Klisz_Verbräuche[[#This Row],[2045]]*Emissionsfaktoren[[#This Row],[2045]]/1000, 0)</f>
        <v>0</v>
      </c>
      <c r="Y51" s="14">
        <f>IF(ISNUMBER(Klisz_Verbräuche[[#This Row],[2050]]), Klisz_Verbräuche[[#This Row],[2050]]*Emissionsfaktoren[[#This Row],[2050]]/1000, 0)</f>
        <v>0</v>
      </c>
    </row>
    <row r="52" spans="2:25" ht="16.5">
      <c r="B52" s="14">
        <v>35</v>
      </c>
      <c r="C52" s="14" t="str">
        <f>Refsz_Verbräuche[[#This Row],[Handlungsfeld]]</f>
        <v>Mobilität 1</v>
      </c>
      <c r="D52" s="19" t="str">
        <f>Refsz_Verbräuche[[#This Row],[Datenpunkt]]</f>
        <v>Fuhrpark (CNG)</v>
      </c>
      <c r="E52" t="s">
        <v>195</v>
      </c>
      <c r="F52" s="14">
        <f>IF(ISNUMBER(Klisz_Verbräuche[[#This Row],[2015]]), Klisz_Verbräuche[[#This Row],[2015]]*Emissionsfaktoren[[#This Row],[2015]]/1000, 0)</f>
        <v>0</v>
      </c>
      <c r="G52" s="14">
        <f>IF(ISNUMBER(Klisz_Verbräuche[[#This Row],[2016]]), Klisz_Verbräuche[[#This Row],[2016]]*Emissionsfaktoren[[#This Row],[2016]]/1000, 0)</f>
        <v>0</v>
      </c>
      <c r="H52" s="14">
        <f>IF(ISNUMBER(Klisz_Verbräuche[[#This Row],[2017]]), Klisz_Verbräuche[[#This Row],[2017]]*Emissionsfaktoren[[#This Row],[2017]]/1000, 0)</f>
        <v>0</v>
      </c>
      <c r="I52" s="14">
        <f>IF(ISNUMBER(Klisz_Verbräuche[[#This Row],[2018]]), Klisz_Verbräuche[[#This Row],[2018]]*Emissionsfaktoren[[#This Row],[2018]]/1000, 0)</f>
        <v>0</v>
      </c>
      <c r="J52" s="14">
        <f>IF(ISNUMBER(Klisz_Verbräuche[[#This Row],[2019]]), Klisz_Verbräuche[[#This Row],[2019]]*Emissionsfaktoren[[#This Row],[2019]]/1000, 0)</f>
        <v>0</v>
      </c>
      <c r="K52" s="14">
        <f>IF(ISNUMBER(Klisz_Verbräuche[[#This Row],[2020]]), Klisz_Verbräuche[[#This Row],[2020]]*Emissionsfaktoren[[#This Row],[2020]]/1000, 0)</f>
        <v>0</v>
      </c>
      <c r="L52" s="14">
        <f>IF(ISNUMBER(Klisz_Verbräuche[[#This Row],[2021]]), Klisz_Verbräuche[[#This Row],[2021]]*Emissionsfaktoren[[#This Row],[2021]]/1000, 0)</f>
        <v>0</v>
      </c>
      <c r="M52" s="14">
        <f>IF(ISNUMBER(Klisz_Verbräuche[[#This Row],[2022]]), Klisz_Verbräuche[[#This Row],[2022]]*Emissionsfaktoren[[#This Row],[2022]]/1000, 0)</f>
        <v>0</v>
      </c>
      <c r="N52" s="14">
        <f>IF(ISNUMBER(Klisz_Verbräuche[[#This Row],[2023]]), Klisz_Verbräuche[[#This Row],[2023]]*Emissionsfaktoren[[#This Row],[2023]]/1000, 0)</f>
        <v>0</v>
      </c>
      <c r="O52" s="14">
        <f>IF(ISNUMBER(Klisz_Verbräuche[[#This Row],[2024]]), Klisz_Verbräuche[[#This Row],[2024]]*Emissionsfaktoren[[#This Row],[2024]]/1000, 0)</f>
        <v>0</v>
      </c>
      <c r="P52" s="14">
        <f>IF(ISNUMBER(Klisz_Verbräuche[[#This Row],[2025]]), Klisz_Verbräuche[[#This Row],[2025]]*Emissionsfaktoren[[#This Row],[2025]]/1000, 0)</f>
        <v>0</v>
      </c>
      <c r="Q52" s="14">
        <f>IF(ISNUMBER(Klisz_Verbräuche[[#This Row],[2026]]), Klisz_Verbräuche[[#This Row],[2026]]*Emissionsfaktoren[[#This Row],[2026]]/1000, 0)</f>
        <v>0</v>
      </c>
      <c r="R52" s="14">
        <f>IF(ISNUMBER(Klisz_Verbräuche[[#This Row],[2027]]), Klisz_Verbräuche[[#This Row],[2027]]*Emissionsfaktoren[[#This Row],[2027]]/1000, 0)</f>
        <v>0</v>
      </c>
      <c r="S52" s="14">
        <f>IF(ISNUMBER(Klisz_Verbräuche[[#This Row],[2028]]), Klisz_Verbräuche[[#This Row],[2028]]*Emissionsfaktoren[[#This Row],[2028]]/1000, 0)</f>
        <v>0</v>
      </c>
      <c r="T52" s="14">
        <f>IF(ISNUMBER(Klisz_Verbräuche[[#This Row],[2029]]), Klisz_Verbräuche[[#This Row],[2029]]*Emissionsfaktoren[[#This Row],[2029]]/1000, 0)</f>
        <v>0</v>
      </c>
      <c r="U52" s="14">
        <f>IF(ISNUMBER(Klisz_Verbräuche[[#This Row],[2030]]), Klisz_Verbräuche[[#This Row],[2030]]*Emissionsfaktoren[[#This Row],[2030]]/1000, 0)</f>
        <v>0</v>
      </c>
      <c r="V52" s="14">
        <f>IF(ISNUMBER(Klisz_Verbräuche[[#This Row],[2035]]), Klisz_Verbräuche[[#This Row],[2035]]*Emissionsfaktoren[[#This Row],[2035]]/1000, 0)</f>
        <v>0</v>
      </c>
      <c r="W52" s="14">
        <f>IF(ISNUMBER(Klisz_Verbräuche[[#This Row],[2040]]), Klisz_Verbräuche[[#This Row],[2040]]*Emissionsfaktoren[[#This Row],[2040]]/1000, 0)</f>
        <v>0</v>
      </c>
      <c r="X52" s="14">
        <f>IF(ISNUMBER(Klisz_Verbräuche[[#This Row],[2045]]), Klisz_Verbräuche[[#This Row],[2045]]*Emissionsfaktoren[[#This Row],[2045]]/1000, 0)</f>
        <v>0</v>
      </c>
      <c r="Y52" s="14">
        <f>IF(ISNUMBER(Klisz_Verbräuche[[#This Row],[2050]]), Klisz_Verbräuche[[#This Row],[2050]]*Emissionsfaktoren[[#This Row],[2050]]/1000, 0)</f>
        <v>0</v>
      </c>
    </row>
    <row r="53" spans="2:25" ht="16.5">
      <c r="B53" s="14">
        <v>36</v>
      </c>
      <c r="C53" s="14" t="str">
        <f>Refsz_Verbräuche[[#This Row],[Handlungsfeld]]</f>
        <v>Mobilität 1</v>
      </c>
      <c r="D53" s="19" t="str">
        <f>Refsz_Verbräuche[[#This Row],[Datenpunkt]]</f>
        <v>Fuhrpark (Plug-In-Hybrid, PHEV)</v>
      </c>
      <c r="E53" t="s">
        <v>195</v>
      </c>
      <c r="F53" s="14">
        <f>IF(ISNUMBER(Klisz_Verbräuche[[#This Row],[2015]]), Klisz_Verbräuche[[#This Row],[2015]]*Emissionsfaktoren[[#This Row],[2015]]/1000, 0)</f>
        <v>0</v>
      </c>
      <c r="G53" s="14">
        <f>IF(ISNUMBER(Klisz_Verbräuche[[#This Row],[2016]]), Klisz_Verbräuche[[#This Row],[2016]]*Emissionsfaktoren[[#This Row],[2016]]/1000, 0)</f>
        <v>0</v>
      </c>
      <c r="H53" s="14">
        <f>IF(ISNUMBER(Klisz_Verbräuche[[#This Row],[2017]]), Klisz_Verbräuche[[#This Row],[2017]]*Emissionsfaktoren[[#This Row],[2017]]/1000, 0)</f>
        <v>0</v>
      </c>
      <c r="I53" s="14">
        <f>IF(ISNUMBER(Klisz_Verbräuche[[#This Row],[2018]]), Klisz_Verbräuche[[#This Row],[2018]]*Emissionsfaktoren[[#This Row],[2018]]/1000, 0)</f>
        <v>0</v>
      </c>
      <c r="J53" s="14">
        <f>IF(ISNUMBER(Klisz_Verbräuche[[#This Row],[2019]]), Klisz_Verbräuche[[#This Row],[2019]]*Emissionsfaktoren[[#This Row],[2019]]/1000, 0)</f>
        <v>0</v>
      </c>
      <c r="K53" s="14">
        <f>IF(ISNUMBER(Klisz_Verbräuche[[#This Row],[2020]]), Klisz_Verbräuche[[#This Row],[2020]]*Emissionsfaktoren[[#This Row],[2020]]/1000, 0)</f>
        <v>0</v>
      </c>
      <c r="L53" s="14">
        <f>IF(ISNUMBER(Klisz_Verbräuche[[#This Row],[2021]]), Klisz_Verbräuche[[#This Row],[2021]]*Emissionsfaktoren[[#This Row],[2021]]/1000, 0)</f>
        <v>0</v>
      </c>
      <c r="M53" s="14">
        <f>IF(ISNUMBER(Klisz_Verbräuche[[#This Row],[2022]]), Klisz_Verbräuche[[#This Row],[2022]]*Emissionsfaktoren[[#This Row],[2022]]/1000, 0)</f>
        <v>0</v>
      </c>
      <c r="N53" s="14">
        <f>IF(ISNUMBER(Klisz_Verbräuche[[#This Row],[2023]]), Klisz_Verbräuche[[#This Row],[2023]]*Emissionsfaktoren[[#This Row],[2023]]/1000, 0)</f>
        <v>0</v>
      </c>
      <c r="O53" s="14">
        <f>IF(ISNUMBER(Klisz_Verbräuche[[#This Row],[2024]]), Klisz_Verbräuche[[#This Row],[2024]]*Emissionsfaktoren[[#This Row],[2024]]/1000, 0)</f>
        <v>0</v>
      </c>
      <c r="P53" s="14">
        <f>IF(ISNUMBER(Klisz_Verbräuche[[#This Row],[2025]]), Klisz_Verbräuche[[#This Row],[2025]]*Emissionsfaktoren[[#This Row],[2025]]/1000, 0)</f>
        <v>0</v>
      </c>
      <c r="Q53" s="14">
        <f>IF(ISNUMBER(Klisz_Verbräuche[[#This Row],[2026]]), Klisz_Verbräuche[[#This Row],[2026]]*Emissionsfaktoren[[#This Row],[2026]]/1000, 0)</f>
        <v>0</v>
      </c>
      <c r="R53" s="14">
        <f>IF(ISNUMBER(Klisz_Verbräuche[[#This Row],[2027]]), Klisz_Verbräuche[[#This Row],[2027]]*Emissionsfaktoren[[#This Row],[2027]]/1000, 0)</f>
        <v>0</v>
      </c>
      <c r="S53" s="14">
        <f>IF(ISNUMBER(Klisz_Verbräuche[[#This Row],[2028]]), Klisz_Verbräuche[[#This Row],[2028]]*Emissionsfaktoren[[#This Row],[2028]]/1000, 0)</f>
        <v>0</v>
      </c>
      <c r="T53" s="14">
        <f>IF(ISNUMBER(Klisz_Verbräuche[[#This Row],[2029]]), Klisz_Verbräuche[[#This Row],[2029]]*Emissionsfaktoren[[#This Row],[2029]]/1000, 0)</f>
        <v>0</v>
      </c>
      <c r="U53" s="14">
        <f>IF(ISNUMBER(Klisz_Verbräuche[[#This Row],[2030]]), Klisz_Verbräuche[[#This Row],[2030]]*Emissionsfaktoren[[#This Row],[2030]]/1000, 0)</f>
        <v>0</v>
      </c>
      <c r="V53" s="14">
        <f>IF(ISNUMBER(Klisz_Verbräuche[[#This Row],[2035]]), Klisz_Verbräuche[[#This Row],[2035]]*Emissionsfaktoren[[#This Row],[2035]]/1000, 0)</f>
        <v>0</v>
      </c>
      <c r="W53" s="14">
        <f>IF(ISNUMBER(Klisz_Verbräuche[[#This Row],[2040]]), Klisz_Verbräuche[[#This Row],[2040]]*Emissionsfaktoren[[#This Row],[2040]]/1000, 0)</f>
        <v>0</v>
      </c>
      <c r="X53" s="14">
        <f>IF(ISNUMBER(Klisz_Verbräuche[[#This Row],[2045]]), Klisz_Verbräuche[[#This Row],[2045]]*Emissionsfaktoren[[#This Row],[2045]]/1000, 0)</f>
        <v>0</v>
      </c>
      <c r="Y53" s="14">
        <f>IF(ISNUMBER(Klisz_Verbräuche[[#This Row],[2050]]), Klisz_Verbräuche[[#This Row],[2050]]*Emissionsfaktoren[[#This Row],[2050]]/1000, 0)</f>
        <v>0</v>
      </c>
    </row>
    <row r="54" spans="2:25" ht="16.5">
      <c r="B54" s="14">
        <v>37</v>
      </c>
      <c r="C54" s="14">
        <f>Refsz_Verbräuche[[#This Row],[Handlungsfeld]]</f>
        <v>0</v>
      </c>
      <c r="D54" s="19">
        <f>Refsz_Verbräuche[[#This Row],[Datenpunkt]]</f>
        <v>0</v>
      </c>
      <c r="E54" t="s">
        <v>195</v>
      </c>
      <c r="F54" s="14">
        <f>IF(ISNUMBER(Klisz_Verbräuche[[#This Row],[2015]]), Klisz_Verbräuche[[#This Row],[2015]]*Emissionsfaktoren[[#This Row],[2015]]/1000, 0)</f>
        <v>0</v>
      </c>
      <c r="G54" s="14">
        <f>IF(ISNUMBER(Klisz_Verbräuche[[#This Row],[2016]]), Klisz_Verbräuche[[#This Row],[2016]]*Emissionsfaktoren[[#This Row],[2016]]/1000, 0)</f>
        <v>0</v>
      </c>
      <c r="H54" s="14">
        <f>IF(ISNUMBER(Klisz_Verbräuche[[#This Row],[2017]]), Klisz_Verbräuche[[#This Row],[2017]]*Emissionsfaktoren[[#This Row],[2017]]/1000, 0)</f>
        <v>0</v>
      </c>
      <c r="I54" s="14">
        <f>IF(ISNUMBER(Klisz_Verbräuche[[#This Row],[2018]]), Klisz_Verbräuche[[#This Row],[2018]]*Emissionsfaktoren[[#This Row],[2018]]/1000, 0)</f>
        <v>0</v>
      </c>
      <c r="J54" s="14">
        <f>IF(ISNUMBER(Klisz_Verbräuche[[#This Row],[2019]]), Klisz_Verbräuche[[#This Row],[2019]]*Emissionsfaktoren[[#This Row],[2019]]/1000, 0)</f>
        <v>0</v>
      </c>
      <c r="K54" s="14">
        <f>IF(ISNUMBER(Klisz_Verbräuche[[#This Row],[2020]]), Klisz_Verbräuche[[#This Row],[2020]]*Emissionsfaktoren[[#This Row],[2020]]/1000, 0)</f>
        <v>0</v>
      </c>
      <c r="L54" s="14">
        <f>IF(ISNUMBER(Klisz_Verbräuche[[#This Row],[2021]]), Klisz_Verbräuche[[#This Row],[2021]]*Emissionsfaktoren[[#This Row],[2021]]/1000, 0)</f>
        <v>0</v>
      </c>
      <c r="M54" s="14">
        <f>IF(ISNUMBER(Klisz_Verbräuche[[#This Row],[2022]]), Klisz_Verbräuche[[#This Row],[2022]]*Emissionsfaktoren[[#This Row],[2022]]/1000, 0)</f>
        <v>0</v>
      </c>
      <c r="N54" s="14">
        <f>IF(ISNUMBER(Klisz_Verbräuche[[#This Row],[2023]]), Klisz_Verbräuche[[#This Row],[2023]]*Emissionsfaktoren[[#This Row],[2023]]/1000, 0)</f>
        <v>0</v>
      </c>
      <c r="O54" s="14">
        <f>IF(ISNUMBER(Klisz_Verbräuche[[#This Row],[2024]]), Klisz_Verbräuche[[#This Row],[2024]]*Emissionsfaktoren[[#This Row],[2024]]/1000, 0)</f>
        <v>0</v>
      </c>
      <c r="P54" s="14">
        <f>IF(ISNUMBER(Klisz_Verbräuche[[#This Row],[2025]]), Klisz_Verbräuche[[#This Row],[2025]]*Emissionsfaktoren[[#This Row],[2025]]/1000, 0)</f>
        <v>0</v>
      </c>
      <c r="Q54" s="14">
        <f>IF(ISNUMBER(Klisz_Verbräuche[[#This Row],[2026]]), Klisz_Verbräuche[[#This Row],[2026]]*Emissionsfaktoren[[#This Row],[2026]]/1000, 0)</f>
        <v>0</v>
      </c>
      <c r="R54" s="14">
        <f>IF(ISNUMBER(Klisz_Verbräuche[[#This Row],[2027]]), Klisz_Verbräuche[[#This Row],[2027]]*Emissionsfaktoren[[#This Row],[2027]]/1000, 0)</f>
        <v>0</v>
      </c>
      <c r="S54" s="14">
        <f>IF(ISNUMBER(Klisz_Verbräuche[[#This Row],[2028]]), Klisz_Verbräuche[[#This Row],[2028]]*Emissionsfaktoren[[#This Row],[2028]]/1000, 0)</f>
        <v>0</v>
      </c>
      <c r="T54" s="14">
        <f>IF(ISNUMBER(Klisz_Verbräuche[[#This Row],[2029]]), Klisz_Verbräuche[[#This Row],[2029]]*Emissionsfaktoren[[#This Row],[2029]]/1000, 0)</f>
        <v>0</v>
      </c>
      <c r="U54" s="14">
        <f>IF(ISNUMBER(Klisz_Verbräuche[[#This Row],[2030]]), Klisz_Verbräuche[[#This Row],[2030]]*Emissionsfaktoren[[#This Row],[2030]]/1000, 0)</f>
        <v>0</v>
      </c>
      <c r="V54" s="14">
        <f>IF(ISNUMBER(Klisz_Verbräuche[[#This Row],[2035]]), Klisz_Verbräuche[[#This Row],[2035]]*Emissionsfaktoren[[#This Row],[2035]]/1000, 0)</f>
        <v>0</v>
      </c>
      <c r="W54" s="14">
        <f>IF(ISNUMBER(Klisz_Verbräuche[[#This Row],[2040]]), Klisz_Verbräuche[[#This Row],[2040]]*Emissionsfaktoren[[#This Row],[2040]]/1000, 0)</f>
        <v>0</v>
      </c>
      <c r="X54" s="14">
        <f>IF(ISNUMBER(Klisz_Verbräuche[[#This Row],[2045]]), Klisz_Verbräuche[[#This Row],[2045]]*Emissionsfaktoren[[#This Row],[2045]]/1000, 0)</f>
        <v>0</v>
      </c>
      <c r="Y54" s="14">
        <f>IF(ISNUMBER(Klisz_Verbräuche[[#This Row],[2050]]), Klisz_Verbräuche[[#This Row],[2050]]*Emissionsfaktoren[[#This Row],[2050]]/1000, 0)</f>
        <v>0</v>
      </c>
    </row>
    <row r="55" spans="2:25" ht="16.5">
      <c r="B55" s="14">
        <v>38</v>
      </c>
      <c r="C55" s="14" t="str">
        <f>Refsz_Verbräuche[[#This Row],[Handlungsfeld]]</f>
        <v>Mobilität 1</v>
      </c>
      <c r="D55" s="19" t="str">
        <f>Refsz_Verbräuche[[#This Row],[Datenpunkt]]</f>
        <v>DR - Flugreisen</v>
      </c>
      <c r="E55" t="s">
        <v>195</v>
      </c>
      <c r="F55" s="14">
        <f>IF(ISNUMBER(Klisz_Verbräuche[[#This Row],[2015]]), Klisz_Verbräuche[[#This Row],[2015]]*Emissionsfaktoren[[#This Row],[2015]]/1000, 0)</f>
        <v>0</v>
      </c>
      <c r="G55" s="14">
        <f>IF(ISNUMBER(Klisz_Verbräuche[[#This Row],[2016]]), Klisz_Verbräuche[[#This Row],[2016]]*Emissionsfaktoren[[#This Row],[2016]]/1000, 0)</f>
        <v>0</v>
      </c>
      <c r="H55" s="14">
        <f>IF(ISNUMBER(Klisz_Verbräuche[[#This Row],[2017]]), Klisz_Verbräuche[[#This Row],[2017]]*Emissionsfaktoren[[#This Row],[2017]]/1000, 0)</f>
        <v>0</v>
      </c>
      <c r="I55" s="14">
        <f>IF(ISNUMBER(Klisz_Verbräuche[[#This Row],[2018]]), Klisz_Verbräuche[[#This Row],[2018]]*Emissionsfaktoren[[#This Row],[2018]]/1000, 0)</f>
        <v>0</v>
      </c>
      <c r="J55" s="14">
        <f>IF(ISNUMBER(Klisz_Verbräuche[[#This Row],[2019]]), Klisz_Verbräuche[[#This Row],[2019]]*Emissionsfaktoren[[#This Row],[2019]]/1000, 0)</f>
        <v>0</v>
      </c>
      <c r="K55" s="14">
        <f>IF(ISNUMBER(Klisz_Verbräuche[[#This Row],[2020]]), Klisz_Verbräuche[[#This Row],[2020]]*Emissionsfaktoren[[#This Row],[2020]]/1000, 0)</f>
        <v>0</v>
      </c>
      <c r="L55" s="14">
        <f>IF(ISNUMBER(Klisz_Verbräuche[[#This Row],[2021]]), Klisz_Verbräuche[[#This Row],[2021]]*Emissionsfaktoren[[#This Row],[2021]]/1000, 0)</f>
        <v>0</v>
      </c>
      <c r="M55" s="14">
        <f>IF(ISNUMBER(Klisz_Verbräuche[[#This Row],[2022]]), Klisz_Verbräuche[[#This Row],[2022]]*Emissionsfaktoren[[#This Row],[2022]]/1000, 0)</f>
        <v>0</v>
      </c>
      <c r="N55" s="14">
        <f>IF(ISNUMBER(Klisz_Verbräuche[[#This Row],[2023]]), Klisz_Verbräuche[[#This Row],[2023]]*Emissionsfaktoren[[#This Row],[2023]]/1000, 0)</f>
        <v>0</v>
      </c>
      <c r="O55" s="14">
        <f>IF(ISNUMBER(Klisz_Verbräuche[[#This Row],[2024]]), Klisz_Verbräuche[[#This Row],[2024]]*Emissionsfaktoren[[#This Row],[2024]]/1000, 0)</f>
        <v>0</v>
      </c>
      <c r="P55" s="14">
        <f>IF(ISNUMBER(Klisz_Verbräuche[[#This Row],[2025]]), Klisz_Verbräuche[[#This Row],[2025]]*Emissionsfaktoren[[#This Row],[2025]]/1000, 0)</f>
        <v>0</v>
      </c>
      <c r="Q55" s="14">
        <f>IF(ISNUMBER(Klisz_Verbräuche[[#This Row],[2026]]), Klisz_Verbräuche[[#This Row],[2026]]*Emissionsfaktoren[[#This Row],[2026]]/1000, 0)</f>
        <v>0</v>
      </c>
      <c r="R55" s="14">
        <f>IF(ISNUMBER(Klisz_Verbräuche[[#This Row],[2027]]), Klisz_Verbräuche[[#This Row],[2027]]*Emissionsfaktoren[[#This Row],[2027]]/1000, 0)</f>
        <v>0</v>
      </c>
      <c r="S55" s="14">
        <f>IF(ISNUMBER(Klisz_Verbräuche[[#This Row],[2028]]), Klisz_Verbräuche[[#This Row],[2028]]*Emissionsfaktoren[[#This Row],[2028]]/1000, 0)</f>
        <v>0</v>
      </c>
      <c r="T55" s="14">
        <f>IF(ISNUMBER(Klisz_Verbräuche[[#This Row],[2029]]), Klisz_Verbräuche[[#This Row],[2029]]*Emissionsfaktoren[[#This Row],[2029]]/1000, 0)</f>
        <v>0</v>
      </c>
      <c r="U55" s="14">
        <f>IF(ISNUMBER(Klisz_Verbräuche[[#This Row],[2030]]), Klisz_Verbräuche[[#This Row],[2030]]*Emissionsfaktoren[[#This Row],[2030]]/1000, 0)</f>
        <v>0</v>
      </c>
      <c r="V55" s="14">
        <f>IF(ISNUMBER(Klisz_Verbräuche[[#This Row],[2035]]), Klisz_Verbräuche[[#This Row],[2035]]*Emissionsfaktoren[[#This Row],[2035]]/1000, 0)</f>
        <v>0</v>
      </c>
      <c r="W55" s="14">
        <f>IF(ISNUMBER(Klisz_Verbräuche[[#This Row],[2040]]), Klisz_Verbräuche[[#This Row],[2040]]*Emissionsfaktoren[[#This Row],[2040]]/1000, 0)</f>
        <v>0</v>
      </c>
      <c r="X55" s="14">
        <f>IF(ISNUMBER(Klisz_Verbräuche[[#This Row],[2045]]), Klisz_Verbräuche[[#This Row],[2045]]*Emissionsfaktoren[[#This Row],[2045]]/1000, 0)</f>
        <v>0</v>
      </c>
      <c r="Y55" s="14">
        <f>IF(ISNUMBER(Klisz_Verbräuche[[#This Row],[2050]]), Klisz_Verbräuche[[#This Row],[2050]]*Emissionsfaktoren[[#This Row],[2050]]/1000, 0)</f>
        <v>0</v>
      </c>
    </row>
    <row r="56" spans="2:25" ht="16.5">
      <c r="B56" s="14">
        <v>39</v>
      </c>
      <c r="C56" s="14" t="str">
        <f>Refsz_Verbräuche[[#This Row],[Handlungsfeld]]</f>
        <v>Mobilität 1</v>
      </c>
      <c r="D56" s="19" t="str">
        <f>Refsz_Verbräuche[[#This Row],[Datenpunkt]]</f>
        <v>DR - Eisenbahn (Fernverkehr)</v>
      </c>
      <c r="E56" t="s">
        <v>195</v>
      </c>
      <c r="F56" s="14">
        <f>IF(ISNUMBER(Klisz_Verbräuche[[#This Row],[2015]]), Klisz_Verbräuche[[#This Row],[2015]]*Emissionsfaktoren[[#This Row],[2015]]/1000, 0)</f>
        <v>0</v>
      </c>
      <c r="G56" s="14">
        <f>IF(ISNUMBER(Klisz_Verbräuche[[#This Row],[2016]]), Klisz_Verbräuche[[#This Row],[2016]]*Emissionsfaktoren[[#This Row],[2016]]/1000, 0)</f>
        <v>0</v>
      </c>
      <c r="H56" s="14">
        <f>IF(ISNUMBER(Klisz_Verbräuche[[#This Row],[2017]]), Klisz_Verbräuche[[#This Row],[2017]]*Emissionsfaktoren[[#This Row],[2017]]/1000, 0)</f>
        <v>0</v>
      </c>
      <c r="I56" s="14">
        <f>IF(ISNUMBER(Klisz_Verbräuche[[#This Row],[2018]]), Klisz_Verbräuche[[#This Row],[2018]]*Emissionsfaktoren[[#This Row],[2018]]/1000, 0)</f>
        <v>0</v>
      </c>
      <c r="J56" s="14">
        <f>IF(ISNUMBER(Klisz_Verbräuche[[#This Row],[2019]]), Klisz_Verbräuche[[#This Row],[2019]]*Emissionsfaktoren[[#This Row],[2019]]/1000, 0)</f>
        <v>0</v>
      </c>
      <c r="K56" s="14">
        <f>IF(ISNUMBER(Klisz_Verbräuche[[#This Row],[2020]]), Klisz_Verbräuche[[#This Row],[2020]]*Emissionsfaktoren[[#This Row],[2020]]/1000, 0)</f>
        <v>0</v>
      </c>
      <c r="L56" s="14">
        <f>IF(ISNUMBER(Klisz_Verbräuche[[#This Row],[2021]]), Klisz_Verbräuche[[#This Row],[2021]]*Emissionsfaktoren[[#This Row],[2021]]/1000, 0)</f>
        <v>0</v>
      </c>
      <c r="M56" s="14">
        <f>IF(ISNUMBER(Klisz_Verbräuche[[#This Row],[2022]]), Klisz_Verbräuche[[#This Row],[2022]]*Emissionsfaktoren[[#This Row],[2022]]/1000, 0)</f>
        <v>0</v>
      </c>
      <c r="N56" s="14">
        <f>IF(ISNUMBER(Klisz_Verbräuche[[#This Row],[2023]]), Klisz_Verbräuche[[#This Row],[2023]]*Emissionsfaktoren[[#This Row],[2023]]/1000, 0)</f>
        <v>0</v>
      </c>
      <c r="O56" s="14">
        <f>IF(ISNUMBER(Klisz_Verbräuche[[#This Row],[2024]]), Klisz_Verbräuche[[#This Row],[2024]]*Emissionsfaktoren[[#This Row],[2024]]/1000, 0)</f>
        <v>0</v>
      </c>
      <c r="P56" s="14">
        <f>IF(ISNUMBER(Klisz_Verbräuche[[#This Row],[2025]]), Klisz_Verbräuche[[#This Row],[2025]]*Emissionsfaktoren[[#This Row],[2025]]/1000, 0)</f>
        <v>0</v>
      </c>
      <c r="Q56" s="14">
        <f>IF(ISNUMBER(Klisz_Verbräuche[[#This Row],[2026]]), Klisz_Verbräuche[[#This Row],[2026]]*Emissionsfaktoren[[#This Row],[2026]]/1000, 0)</f>
        <v>0</v>
      </c>
      <c r="R56" s="14">
        <f>IF(ISNUMBER(Klisz_Verbräuche[[#This Row],[2027]]), Klisz_Verbräuche[[#This Row],[2027]]*Emissionsfaktoren[[#This Row],[2027]]/1000, 0)</f>
        <v>0</v>
      </c>
      <c r="S56" s="14">
        <f>IF(ISNUMBER(Klisz_Verbräuche[[#This Row],[2028]]), Klisz_Verbräuche[[#This Row],[2028]]*Emissionsfaktoren[[#This Row],[2028]]/1000, 0)</f>
        <v>0</v>
      </c>
      <c r="T56" s="14">
        <f>IF(ISNUMBER(Klisz_Verbräuche[[#This Row],[2029]]), Klisz_Verbräuche[[#This Row],[2029]]*Emissionsfaktoren[[#This Row],[2029]]/1000, 0)</f>
        <v>0</v>
      </c>
      <c r="U56" s="14">
        <f>IF(ISNUMBER(Klisz_Verbräuche[[#This Row],[2030]]), Klisz_Verbräuche[[#This Row],[2030]]*Emissionsfaktoren[[#This Row],[2030]]/1000, 0)</f>
        <v>0</v>
      </c>
      <c r="V56" s="14">
        <f>IF(ISNUMBER(Klisz_Verbräuche[[#This Row],[2035]]), Klisz_Verbräuche[[#This Row],[2035]]*Emissionsfaktoren[[#This Row],[2035]]/1000, 0)</f>
        <v>0</v>
      </c>
      <c r="W56" s="14">
        <f>IF(ISNUMBER(Klisz_Verbräuche[[#This Row],[2040]]), Klisz_Verbräuche[[#This Row],[2040]]*Emissionsfaktoren[[#This Row],[2040]]/1000, 0)</f>
        <v>0</v>
      </c>
      <c r="X56" s="14">
        <f>IF(ISNUMBER(Klisz_Verbräuche[[#This Row],[2045]]), Klisz_Verbräuche[[#This Row],[2045]]*Emissionsfaktoren[[#This Row],[2045]]/1000, 0)</f>
        <v>0</v>
      </c>
      <c r="Y56" s="14">
        <f>IF(ISNUMBER(Klisz_Verbräuche[[#This Row],[2050]]), Klisz_Verbräuche[[#This Row],[2050]]*Emissionsfaktoren[[#This Row],[2050]]/1000, 0)</f>
        <v>0</v>
      </c>
    </row>
    <row r="57" spans="2:25" ht="16.5">
      <c r="B57" s="14">
        <v>40</v>
      </c>
      <c r="C57" s="14" t="str">
        <f>Refsz_Verbräuche[[#This Row],[Handlungsfeld]]</f>
        <v>Mobilität 1</v>
      </c>
      <c r="D57" s="19" t="str">
        <f>Refsz_Verbräuche[[#This Row],[Datenpunkt]]</f>
        <v>DR - Eisenbahn (Nahverkehr)</v>
      </c>
      <c r="E57" t="s">
        <v>195</v>
      </c>
      <c r="F57" s="14">
        <f>IF(ISNUMBER(Klisz_Verbräuche[[#This Row],[2015]]), Klisz_Verbräuche[[#This Row],[2015]]*Emissionsfaktoren[[#This Row],[2015]]/1000, 0)</f>
        <v>0</v>
      </c>
      <c r="G57" s="14">
        <f>IF(ISNUMBER(Klisz_Verbräuche[[#This Row],[2016]]), Klisz_Verbräuche[[#This Row],[2016]]*Emissionsfaktoren[[#This Row],[2016]]/1000, 0)</f>
        <v>0</v>
      </c>
      <c r="H57" s="14">
        <f>IF(ISNUMBER(Klisz_Verbräuche[[#This Row],[2017]]), Klisz_Verbräuche[[#This Row],[2017]]*Emissionsfaktoren[[#This Row],[2017]]/1000, 0)</f>
        <v>0</v>
      </c>
      <c r="I57" s="14">
        <f>IF(ISNUMBER(Klisz_Verbräuche[[#This Row],[2018]]), Klisz_Verbräuche[[#This Row],[2018]]*Emissionsfaktoren[[#This Row],[2018]]/1000, 0)</f>
        <v>0</v>
      </c>
      <c r="J57" s="14">
        <f>IF(ISNUMBER(Klisz_Verbräuche[[#This Row],[2019]]), Klisz_Verbräuche[[#This Row],[2019]]*Emissionsfaktoren[[#This Row],[2019]]/1000, 0)</f>
        <v>0</v>
      </c>
      <c r="K57" s="14">
        <f>IF(ISNUMBER(Klisz_Verbräuche[[#This Row],[2020]]), Klisz_Verbräuche[[#This Row],[2020]]*Emissionsfaktoren[[#This Row],[2020]]/1000, 0)</f>
        <v>0</v>
      </c>
      <c r="L57" s="14">
        <f>IF(ISNUMBER(Klisz_Verbräuche[[#This Row],[2021]]), Klisz_Verbräuche[[#This Row],[2021]]*Emissionsfaktoren[[#This Row],[2021]]/1000, 0)</f>
        <v>0</v>
      </c>
      <c r="M57" s="14">
        <f>IF(ISNUMBER(Klisz_Verbräuche[[#This Row],[2022]]), Klisz_Verbräuche[[#This Row],[2022]]*Emissionsfaktoren[[#This Row],[2022]]/1000, 0)</f>
        <v>0</v>
      </c>
      <c r="N57" s="14">
        <f>IF(ISNUMBER(Klisz_Verbräuche[[#This Row],[2023]]), Klisz_Verbräuche[[#This Row],[2023]]*Emissionsfaktoren[[#This Row],[2023]]/1000, 0)</f>
        <v>0</v>
      </c>
      <c r="O57" s="14">
        <f>IF(ISNUMBER(Klisz_Verbräuche[[#This Row],[2024]]), Klisz_Verbräuche[[#This Row],[2024]]*Emissionsfaktoren[[#This Row],[2024]]/1000, 0)</f>
        <v>0</v>
      </c>
      <c r="P57" s="14">
        <f>IF(ISNUMBER(Klisz_Verbräuche[[#This Row],[2025]]), Klisz_Verbräuche[[#This Row],[2025]]*Emissionsfaktoren[[#This Row],[2025]]/1000, 0)</f>
        <v>0</v>
      </c>
      <c r="Q57" s="14">
        <f>IF(ISNUMBER(Klisz_Verbräuche[[#This Row],[2026]]), Klisz_Verbräuche[[#This Row],[2026]]*Emissionsfaktoren[[#This Row],[2026]]/1000, 0)</f>
        <v>0</v>
      </c>
      <c r="R57" s="14">
        <f>IF(ISNUMBER(Klisz_Verbräuche[[#This Row],[2027]]), Klisz_Verbräuche[[#This Row],[2027]]*Emissionsfaktoren[[#This Row],[2027]]/1000, 0)</f>
        <v>0</v>
      </c>
      <c r="S57" s="14">
        <f>IF(ISNUMBER(Klisz_Verbräuche[[#This Row],[2028]]), Klisz_Verbräuche[[#This Row],[2028]]*Emissionsfaktoren[[#This Row],[2028]]/1000, 0)</f>
        <v>0</v>
      </c>
      <c r="T57" s="14">
        <f>IF(ISNUMBER(Klisz_Verbräuche[[#This Row],[2029]]), Klisz_Verbräuche[[#This Row],[2029]]*Emissionsfaktoren[[#This Row],[2029]]/1000, 0)</f>
        <v>0</v>
      </c>
      <c r="U57" s="14">
        <f>IF(ISNUMBER(Klisz_Verbräuche[[#This Row],[2030]]), Klisz_Verbräuche[[#This Row],[2030]]*Emissionsfaktoren[[#This Row],[2030]]/1000, 0)</f>
        <v>0</v>
      </c>
      <c r="V57" s="14">
        <f>IF(ISNUMBER(Klisz_Verbräuche[[#This Row],[2035]]), Klisz_Verbräuche[[#This Row],[2035]]*Emissionsfaktoren[[#This Row],[2035]]/1000, 0)</f>
        <v>0</v>
      </c>
      <c r="W57" s="14">
        <f>IF(ISNUMBER(Klisz_Verbräuche[[#This Row],[2040]]), Klisz_Verbräuche[[#This Row],[2040]]*Emissionsfaktoren[[#This Row],[2040]]/1000, 0)</f>
        <v>0</v>
      </c>
      <c r="X57" s="14">
        <f>IF(ISNUMBER(Klisz_Verbräuche[[#This Row],[2045]]), Klisz_Verbräuche[[#This Row],[2045]]*Emissionsfaktoren[[#This Row],[2045]]/1000, 0)</f>
        <v>0</v>
      </c>
      <c r="Y57" s="14">
        <f>IF(ISNUMBER(Klisz_Verbräuche[[#This Row],[2050]]), Klisz_Verbräuche[[#This Row],[2050]]*Emissionsfaktoren[[#This Row],[2050]]/1000, 0)</f>
        <v>0</v>
      </c>
    </row>
    <row r="58" spans="2:25" ht="16.5">
      <c r="B58" s="14">
        <v>41</v>
      </c>
      <c r="C58" s="14" t="str">
        <f>Refsz_Verbräuche[[#This Row],[Handlungsfeld]]</f>
        <v>Mobilität 1</v>
      </c>
      <c r="D58" s="19" t="str">
        <f>Refsz_Verbräuche[[#This Row],[Datenpunkt]]</f>
        <v>DR - Reisebus, Linienbus (Fernverkehr)</v>
      </c>
      <c r="E58" t="s">
        <v>195</v>
      </c>
      <c r="F58" s="14">
        <f>IF(ISNUMBER(Klisz_Verbräuche[[#This Row],[2015]]), Klisz_Verbräuche[[#This Row],[2015]]*Emissionsfaktoren[[#This Row],[2015]]/1000, 0)</f>
        <v>0</v>
      </c>
      <c r="G58" s="14">
        <f>IF(ISNUMBER(Klisz_Verbräuche[[#This Row],[2016]]), Klisz_Verbräuche[[#This Row],[2016]]*Emissionsfaktoren[[#This Row],[2016]]/1000, 0)</f>
        <v>0</v>
      </c>
      <c r="H58" s="14">
        <f>IF(ISNUMBER(Klisz_Verbräuche[[#This Row],[2017]]), Klisz_Verbräuche[[#This Row],[2017]]*Emissionsfaktoren[[#This Row],[2017]]/1000, 0)</f>
        <v>0</v>
      </c>
      <c r="I58" s="14">
        <f>IF(ISNUMBER(Klisz_Verbräuche[[#This Row],[2018]]), Klisz_Verbräuche[[#This Row],[2018]]*Emissionsfaktoren[[#This Row],[2018]]/1000, 0)</f>
        <v>0</v>
      </c>
      <c r="J58" s="14">
        <f>IF(ISNUMBER(Klisz_Verbräuche[[#This Row],[2019]]), Klisz_Verbräuche[[#This Row],[2019]]*Emissionsfaktoren[[#This Row],[2019]]/1000, 0)</f>
        <v>0</v>
      </c>
      <c r="K58" s="14">
        <f>IF(ISNUMBER(Klisz_Verbräuche[[#This Row],[2020]]), Klisz_Verbräuche[[#This Row],[2020]]*Emissionsfaktoren[[#This Row],[2020]]/1000, 0)</f>
        <v>0</v>
      </c>
      <c r="L58" s="14">
        <f>IF(ISNUMBER(Klisz_Verbräuche[[#This Row],[2021]]), Klisz_Verbräuche[[#This Row],[2021]]*Emissionsfaktoren[[#This Row],[2021]]/1000, 0)</f>
        <v>0</v>
      </c>
      <c r="M58" s="14">
        <f>IF(ISNUMBER(Klisz_Verbräuche[[#This Row],[2022]]), Klisz_Verbräuche[[#This Row],[2022]]*Emissionsfaktoren[[#This Row],[2022]]/1000, 0)</f>
        <v>0</v>
      </c>
      <c r="N58" s="14">
        <f>IF(ISNUMBER(Klisz_Verbräuche[[#This Row],[2023]]), Klisz_Verbräuche[[#This Row],[2023]]*Emissionsfaktoren[[#This Row],[2023]]/1000, 0)</f>
        <v>0</v>
      </c>
      <c r="O58" s="14">
        <f>IF(ISNUMBER(Klisz_Verbräuche[[#This Row],[2024]]), Klisz_Verbräuche[[#This Row],[2024]]*Emissionsfaktoren[[#This Row],[2024]]/1000, 0)</f>
        <v>0</v>
      </c>
      <c r="P58" s="14">
        <f>IF(ISNUMBER(Klisz_Verbräuche[[#This Row],[2025]]), Klisz_Verbräuche[[#This Row],[2025]]*Emissionsfaktoren[[#This Row],[2025]]/1000, 0)</f>
        <v>0</v>
      </c>
      <c r="Q58" s="14">
        <f>IF(ISNUMBER(Klisz_Verbräuche[[#This Row],[2026]]), Klisz_Verbräuche[[#This Row],[2026]]*Emissionsfaktoren[[#This Row],[2026]]/1000, 0)</f>
        <v>0</v>
      </c>
      <c r="R58" s="14">
        <f>IF(ISNUMBER(Klisz_Verbräuche[[#This Row],[2027]]), Klisz_Verbräuche[[#This Row],[2027]]*Emissionsfaktoren[[#This Row],[2027]]/1000, 0)</f>
        <v>0</v>
      </c>
      <c r="S58" s="14">
        <f>IF(ISNUMBER(Klisz_Verbräuche[[#This Row],[2028]]), Klisz_Verbräuche[[#This Row],[2028]]*Emissionsfaktoren[[#This Row],[2028]]/1000, 0)</f>
        <v>0</v>
      </c>
      <c r="T58" s="14">
        <f>IF(ISNUMBER(Klisz_Verbräuche[[#This Row],[2029]]), Klisz_Verbräuche[[#This Row],[2029]]*Emissionsfaktoren[[#This Row],[2029]]/1000, 0)</f>
        <v>0</v>
      </c>
      <c r="U58" s="14">
        <f>IF(ISNUMBER(Klisz_Verbräuche[[#This Row],[2030]]), Klisz_Verbräuche[[#This Row],[2030]]*Emissionsfaktoren[[#This Row],[2030]]/1000, 0)</f>
        <v>0</v>
      </c>
      <c r="V58" s="14">
        <f>IF(ISNUMBER(Klisz_Verbräuche[[#This Row],[2035]]), Klisz_Verbräuche[[#This Row],[2035]]*Emissionsfaktoren[[#This Row],[2035]]/1000, 0)</f>
        <v>0</v>
      </c>
      <c r="W58" s="14">
        <f>IF(ISNUMBER(Klisz_Verbräuche[[#This Row],[2040]]), Klisz_Verbräuche[[#This Row],[2040]]*Emissionsfaktoren[[#This Row],[2040]]/1000, 0)</f>
        <v>0</v>
      </c>
      <c r="X58" s="14">
        <f>IF(ISNUMBER(Klisz_Verbräuche[[#This Row],[2045]]), Klisz_Verbräuche[[#This Row],[2045]]*Emissionsfaktoren[[#This Row],[2045]]/1000, 0)</f>
        <v>0</v>
      </c>
      <c r="Y58" s="14">
        <f>IF(ISNUMBER(Klisz_Verbräuche[[#This Row],[2050]]), Klisz_Verbräuche[[#This Row],[2050]]*Emissionsfaktoren[[#This Row],[2050]]/1000, 0)</f>
        <v>0</v>
      </c>
    </row>
    <row r="59" spans="2:25" ht="16.5">
      <c r="B59" s="14">
        <v>42</v>
      </c>
      <c r="C59" s="14" t="str">
        <f>Refsz_Verbräuche[[#This Row],[Handlungsfeld]]</f>
        <v>Mobilität 1</v>
      </c>
      <c r="D59" s="19" t="str">
        <f>Refsz_Verbräuche[[#This Row],[Datenpunkt]]</f>
        <v>DR - Linienbus (Nahverkehr)</v>
      </c>
      <c r="E59" t="s">
        <v>195</v>
      </c>
      <c r="F59" s="14">
        <f>IF(ISNUMBER(Klisz_Verbräuche[[#This Row],[2015]]), Klisz_Verbräuche[[#This Row],[2015]]*Emissionsfaktoren[[#This Row],[2015]]/1000, 0)</f>
        <v>0</v>
      </c>
      <c r="G59" s="14">
        <f>IF(ISNUMBER(Klisz_Verbräuche[[#This Row],[2016]]), Klisz_Verbräuche[[#This Row],[2016]]*Emissionsfaktoren[[#This Row],[2016]]/1000, 0)</f>
        <v>0</v>
      </c>
      <c r="H59" s="14">
        <f>IF(ISNUMBER(Klisz_Verbräuche[[#This Row],[2017]]), Klisz_Verbräuche[[#This Row],[2017]]*Emissionsfaktoren[[#This Row],[2017]]/1000, 0)</f>
        <v>0</v>
      </c>
      <c r="I59" s="14">
        <f>IF(ISNUMBER(Klisz_Verbräuche[[#This Row],[2018]]), Klisz_Verbräuche[[#This Row],[2018]]*Emissionsfaktoren[[#This Row],[2018]]/1000, 0)</f>
        <v>0</v>
      </c>
      <c r="J59" s="14">
        <f>IF(ISNUMBER(Klisz_Verbräuche[[#This Row],[2019]]), Klisz_Verbräuche[[#This Row],[2019]]*Emissionsfaktoren[[#This Row],[2019]]/1000, 0)</f>
        <v>0</v>
      </c>
      <c r="K59" s="14">
        <f>IF(ISNUMBER(Klisz_Verbräuche[[#This Row],[2020]]), Klisz_Verbräuche[[#This Row],[2020]]*Emissionsfaktoren[[#This Row],[2020]]/1000, 0)</f>
        <v>0</v>
      </c>
      <c r="L59" s="14">
        <f>IF(ISNUMBER(Klisz_Verbräuche[[#This Row],[2021]]), Klisz_Verbräuche[[#This Row],[2021]]*Emissionsfaktoren[[#This Row],[2021]]/1000, 0)</f>
        <v>0</v>
      </c>
      <c r="M59" s="14">
        <f>IF(ISNUMBER(Klisz_Verbräuche[[#This Row],[2022]]), Klisz_Verbräuche[[#This Row],[2022]]*Emissionsfaktoren[[#This Row],[2022]]/1000, 0)</f>
        <v>0</v>
      </c>
      <c r="N59" s="14">
        <f>IF(ISNUMBER(Klisz_Verbräuche[[#This Row],[2023]]), Klisz_Verbräuche[[#This Row],[2023]]*Emissionsfaktoren[[#This Row],[2023]]/1000, 0)</f>
        <v>0</v>
      </c>
      <c r="O59" s="14">
        <f>IF(ISNUMBER(Klisz_Verbräuche[[#This Row],[2024]]), Klisz_Verbräuche[[#This Row],[2024]]*Emissionsfaktoren[[#This Row],[2024]]/1000, 0)</f>
        <v>0</v>
      </c>
      <c r="P59" s="14">
        <f>IF(ISNUMBER(Klisz_Verbräuche[[#This Row],[2025]]), Klisz_Verbräuche[[#This Row],[2025]]*Emissionsfaktoren[[#This Row],[2025]]/1000, 0)</f>
        <v>0</v>
      </c>
      <c r="Q59" s="14">
        <f>IF(ISNUMBER(Klisz_Verbräuche[[#This Row],[2026]]), Klisz_Verbräuche[[#This Row],[2026]]*Emissionsfaktoren[[#This Row],[2026]]/1000, 0)</f>
        <v>0</v>
      </c>
      <c r="R59" s="14">
        <f>IF(ISNUMBER(Klisz_Verbräuche[[#This Row],[2027]]), Klisz_Verbräuche[[#This Row],[2027]]*Emissionsfaktoren[[#This Row],[2027]]/1000, 0)</f>
        <v>0</v>
      </c>
      <c r="S59" s="14">
        <f>IF(ISNUMBER(Klisz_Verbräuche[[#This Row],[2028]]), Klisz_Verbräuche[[#This Row],[2028]]*Emissionsfaktoren[[#This Row],[2028]]/1000, 0)</f>
        <v>0</v>
      </c>
      <c r="T59" s="14">
        <f>IF(ISNUMBER(Klisz_Verbräuche[[#This Row],[2029]]), Klisz_Verbräuche[[#This Row],[2029]]*Emissionsfaktoren[[#This Row],[2029]]/1000, 0)</f>
        <v>0</v>
      </c>
      <c r="U59" s="14">
        <f>IF(ISNUMBER(Klisz_Verbräuche[[#This Row],[2030]]), Klisz_Verbräuche[[#This Row],[2030]]*Emissionsfaktoren[[#This Row],[2030]]/1000, 0)</f>
        <v>0</v>
      </c>
      <c r="V59" s="14">
        <f>IF(ISNUMBER(Klisz_Verbräuche[[#This Row],[2035]]), Klisz_Verbräuche[[#This Row],[2035]]*Emissionsfaktoren[[#This Row],[2035]]/1000, 0)</f>
        <v>0</v>
      </c>
      <c r="W59" s="14">
        <f>IF(ISNUMBER(Klisz_Verbräuche[[#This Row],[2040]]), Klisz_Verbräuche[[#This Row],[2040]]*Emissionsfaktoren[[#This Row],[2040]]/1000, 0)</f>
        <v>0</v>
      </c>
      <c r="X59" s="14">
        <f>IF(ISNUMBER(Klisz_Verbräuche[[#This Row],[2045]]), Klisz_Verbräuche[[#This Row],[2045]]*Emissionsfaktoren[[#This Row],[2045]]/1000, 0)</f>
        <v>0</v>
      </c>
      <c r="Y59" s="14">
        <f>IF(ISNUMBER(Klisz_Verbräuche[[#This Row],[2050]]), Klisz_Verbräuche[[#This Row],[2050]]*Emissionsfaktoren[[#This Row],[2050]]/1000, 0)</f>
        <v>0</v>
      </c>
    </row>
    <row r="60" spans="2:25" ht="16.5">
      <c r="B60" s="14">
        <v>43</v>
      </c>
      <c r="C60" s="14" t="str">
        <f>Refsz_Verbräuche[[#This Row],[Handlungsfeld]]</f>
        <v>Mobilität 1</v>
      </c>
      <c r="D60" s="19" t="str">
        <f>Refsz_Verbräuche[[#This Row],[Datenpunkt]]</f>
        <v>DR - Privater PKW (alle Antriebsarten)</v>
      </c>
      <c r="E60" t="s">
        <v>195</v>
      </c>
      <c r="F60" s="14">
        <f>IF(ISNUMBER(Klisz_Verbräuche[[#This Row],[2015]]), Klisz_Verbräuche[[#This Row],[2015]]*Emissionsfaktoren[[#This Row],[2015]]/1000, 0)</f>
        <v>0</v>
      </c>
      <c r="G60" s="14">
        <f>IF(ISNUMBER(Klisz_Verbräuche[[#This Row],[2016]]), Klisz_Verbräuche[[#This Row],[2016]]*Emissionsfaktoren[[#This Row],[2016]]/1000, 0)</f>
        <v>0</v>
      </c>
      <c r="H60" s="14">
        <f>IF(ISNUMBER(Klisz_Verbräuche[[#This Row],[2017]]), Klisz_Verbräuche[[#This Row],[2017]]*Emissionsfaktoren[[#This Row],[2017]]/1000, 0)</f>
        <v>0</v>
      </c>
      <c r="I60" s="14">
        <f>IF(ISNUMBER(Klisz_Verbräuche[[#This Row],[2018]]), Klisz_Verbräuche[[#This Row],[2018]]*Emissionsfaktoren[[#This Row],[2018]]/1000, 0)</f>
        <v>0</v>
      </c>
      <c r="J60" s="14">
        <f>IF(ISNUMBER(Klisz_Verbräuche[[#This Row],[2019]]), Klisz_Verbräuche[[#This Row],[2019]]*Emissionsfaktoren[[#This Row],[2019]]/1000, 0)</f>
        <v>0</v>
      </c>
      <c r="K60" s="14">
        <f>IF(ISNUMBER(Klisz_Verbräuche[[#This Row],[2020]]), Klisz_Verbräuche[[#This Row],[2020]]*Emissionsfaktoren[[#This Row],[2020]]/1000, 0)</f>
        <v>0</v>
      </c>
      <c r="L60" s="14">
        <f>IF(ISNUMBER(Klisz_Verbräuche[[#This Row],[2021]]), Klisz_Verbräuche[[#This Row],[2021]]*Emissionsfaktoren[[#This Row],[2021]]/1000, 0)</f>
        <v>0</v>
      </c>
      <c r="M60" s="14">
        <f>IF(ISNUMBER(Klisz_Verbräuche[[#This Row],[2022]]), Klisz_Verbräuche[[#This Row],[2022]]*Emissionsfaktoren[[#This Row],[2022]]/1000, 0)</f>
        <v>0</v>
      </c>
      <c r="N60" s="14">
        <f>IF(ISNUMBER(Klisz_Verbräuche[[#This Row],[2023]]), Klisz_Verbräuche[[#This Row],[2023]]*Emissionsfaktoren[[#This Row],[2023]]/1000, 0)</f>
        <v>0</v>
      </c>
      <c r="O60" s="14">
        <f>IF(ISNUMBER(Klisz_Verbräuche[[#This Row],[2024]]), Klisz_Verbräuche[[#This Row],[2024]]*Emissionsfaktoren[[#This Row],[2024]]/1000, 0)</f>
        <v>0</v>
      </c>
      <c r="P60" s="14">
        <f>IF(ISNUMBER(Klisz_Verbräuche[[#This Row],[2025]]), Klisz_Verbräuche[[#This Row],[2025]]*Emissionsfaktoren[[#This Row],[2025]]/1000, 0)</f>
        <v>0</v>
      </c>
      <c r="Q60" s="14">
        <f>IF(ISNUMBER(Klisz_Verbräuche[[#This Row],[2026]]), Klisz_Verbräuche[[#This Row],[2026]]*Emissionsfaktoren[[#This Row],[2026]]/1000, 0)</f>
        <v>0</v>
      </c>
      <c r="R60" s="14">
        <f>IF(ISNUMBER(Klisz_Verbräuche[[#This Row],[2027]]), Klisz_Verbräuche[[#This Row],[2027]]*Emissionsfaktoren[[#This Row],[2027]]/1000, 0)</f>
        <v>0</v>
      </c>
      <c r="S60" s="14">
        <f>IF(ISNUMBER(Klisz_Verbräuche[[#This Row],[2028]]), Klisz_Verbräuche[[#This Row],[2028]]*Emissionsfaktoren[[#This Row],[2028]]/1000, 0)</f>
        <v>0</v>
      </c>
      <c r="T60" s="14">
        <f>IF(ISNUMBER(Klisz_Verbräuche[[#This Row],[2029]]), Klisz_Verbräuche[[#This Row],[2029]]*Emissionsfaktoren[[#This Row],[2029]]/1000, 0)</f>
        <v>0</v>
      </c>
      <c r="U60" s="14">
        <f>IF(ISNUMBER(Klisz_Verbräuche[[#This Row],[2030]]), Klisz_Verbräuche[[#This Row],[2030]]*Emissionsfaktoren[[#This Row],[2030]]/1000, 0)</f>
        <v>0</v>
      </c>
      <c r="V60" s="14">
        <f>IF(ISNUMBER(Klisz_Verbräuche[[#This Row],[2035]]), Klisz_Verbräuche[[#This Row],[2035]]*Emissionsfaktoren[[#This Row],[2035]]/1000, 0)</f>
        <v>0</v>
      </c>
      <c r="W60" s="14">
        <f>IF(ISNUMBER(Klisz_Verbräuche[[#This Row],[2040]]), Klisz_Verbräuche[[#This Row],[2040]]*Emissionsfaktoren[[#This Row],[2040]]/1000, 0)</f>
        <v>0</v>
      </c>
      <c r="X60" s="14">
        <f>IF(ISNUMBER(Klisz_Verbräuche[[#This Row],[2045]]), Klisz_Verbräuche[[#This Row],[2045]]*Emissionsfaktoren[[#This Row],[2045]]/1000, 0)</f>
        <v>0</v>
      </c>
      <c r="Y60" s="14">
        <f>IF(ISNUMBER(Klisz_Verbräuche[[#This Row],[2050]]), Klisz_Verbräuche[[#This Row],[2050]]*Emissionsfaktoren[[#This Row],[2050]]/1000, 0)</f>
        <v>0</v>
      </c>
    </row>
    <row r="61" spans="2:25" ht="16.5">
      <c r="B61" s="14">
        <v>44</v>
      </c>
      <c r="C61" s="14" t="str">
        <f>Refsz_Verbräuche[[#This Row],[Handlungsfeld]]</f>
        <v>Mobilität 1</v>
      </c>
      <c r="D61" s="19" t="str">
        <f>Refsz_Verbräuche[[#This Row],[Datenpunkt]]</f>
        <v>DR - Privater PKW (Diesel)</v>
      </c>
      <c r="E61" t="s">
        <v>195</v>
      </c>
      <c r="F61" s="14">
        <f>IF(ISNUMBER(Klisz_Verbräuche[[#This Row],[2015]]), Klisz_Verbräuche[[#This Row],[2015]]*Emissionsfaktoren[[#This Row],[2015]]/1000, 0)</f>
        <v>0</v>
      </c>
      <c r="G61" s="14">
        <f>IF(ISNUMBER(Klisz_Verbräuche[[#This Row],[2016]]), Klisz_Verbräuche[[#This Row],[2016]]*Emissionsfaktoren[[#This Row],[2016]]/1000, 0)</f>
        <v>0</v>
      </c>
      <c r="H61" s="14">
        <f>IF(ISNUMBER(Klisz_Verbräuche[[#This Row],[2017]]), Klisz_Verbräuche[[#This Row],[2017]]*Emissionsfaktoren[[#This Row],[2017]]/1000, 0)</f>
        <v>0</v>
      </c>
      <c r="I61" s="14">
        <f>IF(ISNUMBER(Klisz_Verbräuche[[#This Row],[2018]]), Klisz_Verbräuche[[#This Row],[2018]]*Emissionsfaktoren[[#This Row],[2018]]/1000, 0)</f>
        <v>0</v>
      </c>
      <c r="J61" s="14">
        <f>IF(ISNUMBER(Klisz_Verbräuche[[#This Row],[2019]]), Klisz_Verbräuche[[#This Row],[2019]]*Emissionsfaktoren[[#This Row],[2019]]/1000, 0)</f>
        <v>0</v>
      </c>
      <c r="K61" s="14">
        <f>IF(ISNUMBER(Klisz_Verbräuche[[#This Row],[2020]]), Klisz_Verbräuche[[#This Row],[2020]]*Emissionsfaktoren[[#This Row],[2020]]/1000, 0)</f>
        <v>0</v>
      </c>
      <c r="L61" s="14">
        <f>IF(ISNUMBER(Klisz_Verbräuche[[#This Row],[2021]]), Klisz_Verbräuche[[#This Row],[2021]]*Emissionsfaktoren[[#This Row],[2021]]/1000, 0)</f>
        <v>0</v>
      </c>
      <c r="M61" s="14">
        <f>IF(ISNUMBER(Klisz_Verbräuche[[#This Row],[2022]]), Klisz_Verbräuche[[#This Row],[2022]]*Emissionsfaktoren[[#This Row],[2022]]/1000, 0)</f>
        <v>0</v>
      </c>
      <c r="N61" s="14">
        <f>IF(ISNUMBER(Klisz_Verbräuche[[#This Row],[2023]]), Klisz_Verbräuche[[#This Row],[2023]]*Emissionsfaktoren[[#This Row],[2023]]/1000, 0)</f>
        <v>0</v>
      </c>
      <c r="O61" s="14">
        <f>IF(ISNUMBER(Klisz_Verbräuche[[#This Row],[2024]]), Klisz_Verbräuche[[#This Row],[2024]]*Emissionsfaktoren[[#This Row],[2024]]/1000, 0)</f>
        <v>0</v>
      </c>
      <c r="P61" s="14">
        <f>IF(ISNUMBER(Klisz_Verbräuche[[#This Row],[2025]]), Klisz_Verbräuche[[#This Row],[2025]]*Emissionsfaktoren[[#This Row],[2025]]/1000, 0)</f>
        <v>0</v>
      </c>
      <c r="Q61" s="14">
        <f>IF(ISNUMBER(Klisz_Verbräuche[[#This Row],[2026]]), Klisz_Verbräuche[[#This Row],[2026]]*Emissionsfaktoren[[#This Row],[2026]]/1000, 0)</f>
        <v>0</v>
      </c>
      <c r="R61" s="14">
        <f>IF(ISNUMBER(Klisz_Verbräuche[[#This Row],[2027]]), Klisz_Verbräuche[[#This Row],[2027]]*Emissionsfaktoren[[#This Row],[2027]]/1000, 0)</f>
        <v>0</v>
      </c>
      <c r="S61" s="14">
        <f>IF(ISNUMBER(Klisz_Verbräuche[[#This Row],[2028]]), Klisz_Verbräuche[[#This Row],[2028]]*Emissionsfaktoren[[#This Row],[2028]]/1000, 0)</f>
        <v>0</v>
      </c>
      <c r="T61" s="14">
        <f>IF(ISNUMBER(Klisz_Verbräuche[[#This Row],[2029]]), Klisz_Verbräuche[[#This Row],[2029]]*Emissionsfaktoren[[#This Row],[2029]]/1000, 0)</f>
        <v>0</v>
      </c>
      <c r="U61" s="14">
        <f>IF(ISNUMBER(Klisz_Verbräuche[[#This Row],[2030]]), Klisz_Verbräuche[[#This Row],[2030]]*Emissionsfaktoren[[#This Row],[2030]]/1000, 0)</f>
        <v>0</v>
      </c>
      <c r="V61" s="14">
        <f>IF(ISNUMBER(Klisz_Verbräuche[[#This Row],[2035]]), Klisz_Verbräuche[[#This Row],[2035]]*Emissionsfaktoren[[#This Row],[2035]]/1000, 0)</f>
        <v>0</v>
      </c>
      <c r="W61" s="14">
        <f>IF(ISNUMBER(Klisz_Verbräuche[[#This Row],[2040]]), Klisz_Verbräuche[[#This Row],[2040]]*Emissionsfaktoren[[#This Row],[2040]]/1000, 0)</f>
        <v>0</v>
      </c>
      <c r="X61" s="14">
        <f>IF(ISNUMBER(Klisz_Verbräuche[[#This Row],[2045]]), Klisz_Verbräuche[[#This Row],[2045]]*Emissionsfaktoren[[#This Row],[2045]]/1000, 0)</f>
        <v>0</v>
      </c>
      <c r="Y61" s="14">
        <f>IF(ISNUMBER(Klisz_Verbräuche[[#This Row],[2050]]), Klisz_Verbräuche[[#This Row],[2050]]*Emissionsfaktoren[[#This Row],[2050]]/1000, 0)</f>
        <v>0</v>
      </c>
    </row>
    <row r="62" spans="2:25" ht="16.5">
      <c r="B62" s="14">
        <v>45</v>
      </c>
      <c r="C62" s="14" t="str">
        <f>Refsz_Verbräuche[[#This Row],[Handlungsfeld]]</f>
        <v>Mobilität 1</v>
      </c>
      <c r="D62" s="19" t="str">
        <f>Refsz_Verbräuche[[#This Row],[Datenpunkt]]</f>
        <v>DR - Privater PKW (Benzin)</v>
      </c>
      <c r="E62" t="s">
        <v>195</v>
      </c>
      <c r="F62" s="14">
        <f>IF(ISNUMBER(Klisz_Verbräuche[[#This Row],[2015]]), Klisz_Verbräuche[[#This Row],[2015]]*Emissionsfaktoren[[#This Row],[2015]]/1000, 0)</f>
        <v>0</v>
      </c>
      <c r="G62" s="14">
        <f>IF(ISNUMBER(Klisz_Verbräuche[[#This Row],[2016]]), Klisz_Verbräuche[[#This Row],[2016]]*Emissionsfaktoren[[#This Row],[2016]]/1000, 0)</f>
        <v>0</v>
      </c>
      <c r="H62" s="14">
        <f>IF(ISNUMBER(Klisz_Verbräuche[[#This Row],[2017]]), Klisz_Verbräuche[[#This Row],[2017]]*Emissionsfaktoren[[#This Row],[2017]]/1000, 0)</f>
        <v>0</v>
      </c>
      <c r="I62" s="14">
        <f>IF(ISNUMBER(Klisz_Verbräuche[[#This Row],[2018]]), Klisz_Verbräuche[[#This Row],[2018]]*Emissionsfaktoren[[#This Row],[2018]]/1000, 0)</f>
        <v>0</v>
      </c>
      <c r="J62" s="14">
        <f>IF(ISNUMBER(Klisz_Verbräuche[[#This Row],[2019]]), Klisz_Verbräuche[[#This Row],[2019]]*Emissionsfaktoren[[#This Row],[2019]]/1000, 0)</f>
        <v>0</v>
      </c>
      <c r="K62" s="14">
        <f>IF(ISNUMBER(Klisz_Verbräuche[[#This Row],[2020]]), Klisz_Verbräuche[[#This Row],[2020]]*Emissionsfaktoren[[#This Row],[2020]]/1000, 0)</f>
        <v>0</v>
      </c>
      <c r="L62" s="14">
        <f>IF(ISNUMBER(Klisz_Verbräuche[[#This Row],[2021]]), Klisz_Verbräuche[[#This Row],[2021]]*Emissionsfaktoren[[#This Row],[2021]]/1000, 0)</f>
        <v>0</v>
      </c>
      <c r="M62" s="14">
        <f>IF(ISNUMBER(Klisz_Verbräuche[[#This Row],[2022]]), Klisz_Verbräuche[[#This Row],[2022]]*Emissionsfaktoren[[#This Row],[2022]]/1000, 0)</f>
        <v>0</v>
      </c>
      <c r="N62" s="14">
        <f>IF(ISNUMBER(Klisz_Verbräuche[[#This Row],[2023]]), Klisz_Verbräuche[[#This Row],[2023]]*Emissionsfaktoren[[#This Row],[2023]]/1000, 0)</f>
        <v>0</v>
      </c>
      <c r="O62" s="14">
        <f>IF(ISNUMBER(Klisz_Verbräuche[[#This Row],[2024]]), Klisz_Verbräuche[[#This Row],[2024]]*Emissionsfaktoren[[#This Row],[2024]]/1000, 0)</f>
        <v>0</v>
      </c>
      <c r="P62" s="14">
        <f>IF(ISNUMBER(Klisz_Verbräuche[[#This Row],[2025]]), Klisz_Verbräuche[[#This Row],[2025]]*Emissionsfaktoren[[#This Row],[2025]]/1000, 0)</f>
        <v>0</v>
      </c>
      <c r="Q62" s="14">
        <f>IF(ISNUMBER(Klisz_Verbräuche[[#This Row],[2026]]), Klisz_Verbräuche[[#This Row],[2026]]*Emissionsfaktoren[[#This Row],[2026]]/1000, 0)</f>
        <v>0</v>
      </c>
      <c r="R62" s="14">
        <f>IF(ISNUMBER(Klisz_Verbräuche[[#This Row],[2027]]), Klisz_Verbräuche[[#This Row],[2027]]*Emissionsfaktoren[[#This Row],[2027]]/1000, 0)</f>
        <v>0</v>
      </c>
      <c r="S62" s="14">
        <f>IF(ISNUMBER(Klisz_Verbräuche[[#This Row],[2028]]), Klisz_Verbräuche[[#This Row],[2028]]*Emissionsfaktoren[[#This Row],[2028]]/1000, 0)</f>
        <v>0</v>
      </c>
      <c r="T62" s="14">
        <f>IF(ISNUMBER(Klisz_Verbräuche[[#This Row],[2029]]), Klisz_Verbräuche[[#This Row],[2029]]*Emissionsfaktoren[[#This Row],[2029]]/1000, 0)</f>
        <v>0</v>
      </c>
      <c r="U62" s="14">
        <f>IF(ISNUMBER(Klisz_Verbräuche[[#This Row],[2030]]), Klisz_Verbräuche[[#This Row],[2030]]*Emissionsfaktoren[[#This Row],[2030]]/1000, 0)</f>
        <v>0</v>
      </c>
      <c r="V62" s="14">
        <f>IF(ISNUMBER(Klisz_Verbräuche[[#This Row],[2035]]), Klisz_Verbräuche[[#This Row],[2035]]*Emissionsfaktoren[[#This Row],[2035]]/1000, 0)</f>
        <v>0</v>
      </c>
      <c r="W62" s="14">
        <f>IF(ISNUMBER(Klisz_Verbräuche[[#This Row],[2040]]), Klisz_Verbräuche[[#This Row],[2040]]*Emissionsfaktoren[[#This Row],[2040]]/1000, 0)</f>
        <v>0</v>
      </c>
      <c r="X62" s="14">
        <f>IF(ISNUMBER(Klisz_Verbräuche[[#This Row],[2045]]), Klisz_Verbräuche[[#This Row],[2045]]*Emissionsfaktoren[[#This Row],[2045]]/1000, 0)</f>
        <v>0</v>
      </c>
      <c r="Y62" s="14">
        <f>IF(ISNUMBER(Klisz_Verbräuche[[#This Row],[2050]]), Klisz_Verbräuche[[#This Row],[2050]]*Emissionsfaktoren[[#This Row],[2050]]/1000, 0)</f>
        <v>0</v>
      </c>
    </row>
    <row r="63" spans="2:25" ht="16.5">
      <c r="B63" s="14">
        <v>46</v>
      </c>
      <c r="C63" s="14" t="str">
        <f>Refsz_Verbräuche[[#This Row],[Handlungsfeld]]</f>
        <v>Mobilität 1</v>
      </c>
      <c r="D63" s="19" t="str">
        <f>Refsz_Verbräuche[[#This Row],[Datenpunkt]]</f>
        <v>DR - Mietwägen (Diesel)</v>
      </c>
      <c r="E63" t="s">
        <v>195</v>
      </c>
      <c r="F63" s="14">
        <f>IF(ISNUMBER(Klisz_Verbräuche[[#This Row],[2015]]), Klisz_Verbräuche[[#This Row],[2015]]*Emissionsfaktoren[[#This Row],[2015]]/1000, 0)</f>
        <v>0</v>
      </c>
      <c r="G63" s="14">
        <f>IF(ISNUMBER(Klisz_Verbräuche[[#This Row],[2016]]), Klisz_Verbräuche[[#This Row],[2016]]*Emissionsfaktoren[[#This Row],[2016]]/1000, 0)</f>
        <v>0</v>
      </c>
      <c r="H63" s="14">
        <f>IF(ISNUMBER(Klisz_Verbräuche[[#This Row],[2017]]), Klisz_Verbräuche[[#This Row],[2017]]*Emissionsfaktoren[[#This Row],[2017]]/1000, 0)</f>
        <v>0</v>
      </c>
      <c r="I63" s="14">
        <f>IF(ISNUMBER(Klisz_Verbräuche[[#This Row],[2018]]), Klisz_Verbräuche[[#This Row],[2018]]*Emissionsfaktoren[[#This Row],[2018]]/1000, 0)</f>
        <v>0</v>
      </c>
      <c r="J63" s="14">
        <f>IF(ISNUMBER(Klisz_Verbräuche[[#This Row],[2019]]), Klisz_Verbräuche[[#This Row],[2019]]*Emissionsfaktoren[[#This Row],[2019]]/1000, 0)</f>
        <v>0</v>
      </c>
      <c r="K63" s="14">
        <f>IF(ISNUMBER(Klisz_Verbräuche[[#This Row],[2020]]), Klisz_Verbräuche[[#This Row],[2020]]*Emissionsfaktoren[[#This Row],[2020]]/1000, 0)</f>
        <v>0</v>
      </c>
      <c r="L63" s="14">
        <f>IF(ISNUMBER(Klisz_Verbräuche[[#This Row],[2021]]), Klisz_Verbräuche[[#This Row],[2021]]*Emissionsfaktoren[[#This Row],[2021]]/1000, 0)</f>
        <v>0</v>
      </c>
      <c r="M63" s="14">
        <f>IF(ISNUMBER(Klisz_Verbräuche[[#This Row],[2022]]), Klisz_Verbräuche[[#This Row],[2022]]*Emissionsfaktoren[[#This Row],[2022]]/1000, 0)</f>
        <v>0</v>
      </c>
      <c r="N63" s="14">
        <f>IF(ISNUMBER(Klisz_Verbräuche[[#This Row],[2023]]), Klisz_Verbräuche[[#This Row],[2023]]*Emissionsfaktoren[[#This Row],[2023]]/1000, 0)</f>
        <v>0</v>
      </c>
      <c r="O63" s="14">
        <f>IF(ISNUMBER(Klisz_Verbräuche[[#This Row],[2024]]), Klisz_Verbräuche[[#This Row],[2024]]*Emissionsfaktoren[[#This Row],[2024]]/1000, 0)</f>
        <v>0</v>
      </c>
      <c r="P63" s="14">
        <f>IF(ISNUMBER(Klisz_Verbräuche[[#This Row],[2025]]), Klisz_Verbräuche[[#This Row],[2025]]*Emissionsfaktoren[[#This Row],[2025]]/1000, 0)</f>
        <v>0</v>
      </c>
      <c r="Q63" s="14">
        <f>IF(ISNUMBER(Klisz_Verbräuche[[#This Row],[2026]]), Klisz_Verbräuche[[#This Row],[2026]]*Emissionsfaktoren[[#This Row],[2026]]/1000, 0)</f>
        <v>0</v>
      </c>
      <c r="R63" s="14">
        <f>IF(ISNUMBER(Klisz_Verbräuche[[#This Row],[2027]]), Klisz_Verbräuche[[#This Row],[2027]]*Emissionsfaktoren[[#This Row],[2027]]/1000, 0)</f>
        <v>0</v>
      </c>
      <c r="S63" s="14">
        <f>IF(ISNUMBER(Klisz_Verbräuche[[#This Row],[2028]]), Klisz_Verbräuche[[#This Row],[2028]]*Emissionsfaktoren[[#This Row],[2028]]/1000, 0)</f>
        <v>0</v>
      </c>
      <c r="T63" s="14">
        <f>IF(ISNUMBER(Klisz_Verbräuche[[#This Row],[2029]]), Klisz_Verbräuche[[#This Row],[2029]]*Emissionsfaktoren[[#This Row],[2029]]/1000, 0)</f>
        <v>0</v>
      </c>
      <c r="U63" s="14">
        <f>IF(ISNUMBER(Klisz_Verbräuche[[#This Row],[2030]]), Klisz_Verbräuche[[#This Row],[2030]]*Emissionsfaktoren[[#This Row],[2030]]/1000, 0)</f>
        <v>0</v>
      </c>
      <c r="V63" s="14">
        <f>IF(ISNUMBER(Klisz_Verbräuche[[#This Row],[2035]]), Klisz_Verbräuche[[#This Row],[2035]]*Emissionsfaktoren[[#This Row],[2035]]/1000, 0)</f>
        <v>0</v>
      </c>
      <c r="W63" s="14">
        <f>IF(ISNUMBER(Klisz_Verbräuche[[#This Row],[2040]]), Klisz_Verbräuche[[#This Row],[2040]]*Emissionsfaktoren[[#This Row],[2040]]/1000, 0)</f>
        <v>0</v>
      </c>
      <c r="X63" s="14">
        <f>IF(ISNUMBER(Klisz_Verbräuche[[#This Row],[2045]]), Klisz_Verbräuche[[#This Row],[2045]]*Emissionsfaktoren[[#This Row],[2045]]/1000, 0)</f>
        <v>0</v>
      </c>
      <c r="Y63" s="14">
        <f>IF(ISNUMBER(Klisz_Verbräuche[[#This Row],[2050]]), Klisz_Verbräuche[[#This Row],[2050]]*Emissionsfaktoren[[#This Row],[2050]]/1000, 0)</f>
        <v>0</v>
      </c>
    </row>
    <row r="64" spans="2:25" ht="16.5">
      <c r="B64" s="14">
        <v>47</v>
      </c>
      <c r="C64" s="14" t="str">
        <f>Refsz_Verbräuche[[#This Row],[Handlungsfeld]]</f>
        <v>Mobilität 1</v>
      </c>
      <c r="D64" s="19" t="str">
        <f>Refsz_Verbräuche[[#This Row],[Datenpunkt]]</f>
        <v>DR - Mietwägen (Benzin)</v>
      </c>
      <c r="E64" t="s">
        <v>195</v>
      </c>
      <c r="F64" s="14">
        <f>IF(ISNUMBER(Klisz_Verbräuche[[#This Row],[2015]]), Klisz_Verbräuche[[#This Row],[2015]]*Emissionsfaktoren[[#This Row],[2015]]/1000, 0)</f>
        <v>0</v>
      </c>
      <c r="G64" s="14">
        <f>IF(ISNUMBER(Klisz_Verbräuche[[#This Row],[2016]]), Klisz_Verbräuche[[#This Row],[2016]]*Emissionsfaktoren[[#This Row],[2016]]/1000, 0)</f>
        <v>0</v>
      </c>
      <c r="H64" s="14">
        <f>IF(ISNUMBER(Klisz_Verbräuche[[#This Row],[2017]]), Klisz_Verbräuche[[#This Row],[2017]]*Emissionsfaktoren[[#This Row],[2017]]/1000, 0)</f>
        <v>0</v>
      </c>
      <c r="I64" s="14">
        <f>IF(ISNUMBER(Klisz_Verbräuche[[#This Row],[2018]]), Klisz_Verbräuche[[#This Row],[2018]]*Emissionsfaktoren[[#This Row],[2018]]/1000, 0)</f>
        <v>0</v>
      </c>
      <c r="J64" s="14">
        <f>IF(ISNUMBER(Klisz_Verbräuche[[#This Row],[2019]]), Klisz_Verbräuche[[#This Row],[2019]]*Emissionsfaktoren[[#This Row],[2019]]/1000, 0)</f>
        <v>0</v>
      </c>
      <c r="K64" s="14">
        <f>IF(ISNUMBER(Klisz_Verbräuche[[#This Row],[2020]]), Klisz_Verbräuche[[#This Row],[2020]]*Emissionsfaktoren[[#This Row],[2020]]/1000, 0)</f>
        <v>0</v>
      </c>
      <c r="L64" s="14">
        <f>IF(ISNUMBER(Klisz_Verbräuche[[#This Row],[2021]]), Klisz_Verbräuche[[#This Row],[2021]]*Emissionsfaktoren[[#This Row],[2021]]/1000, 0)</f>
        <v>0</v>
      </c>
      <c r="M64" s="14">
        <f>IF(ISNUMBER(Klisz_Verbräuche[[#This Row],[2022]]), Klisz_Verbräuche[[#This Row],[2022]]*Emissionsfaktoren[[#This Row],[2022]]/1000, 0)</f>
        <v>0</v>
      </c>
      <c r="N64" s="14">
        <f>IF(ISNUMBER(Klisz_Verbräuche[[#This Row],[2023]]), Klisz_Verbräuche[[#This Row],[2023]]*Emissionsfaktoren[[#This Row],[2023]]/1000, 0)</f>
        <v>0</v>
      </c>
      <c r="O64" s="14">
        <f>IF(ISNUMBER(Klisz_Verbräuche[[#This Row],[2024]]), Klisz_Verbräuche[[#This Row],[2024]]*Emissionsfaktoren[[#This Row],[2024]]/1000, 0)</f>
        <v>0</v>
      </c>
      <c r="P64" s="14">
        <f>IF(ISNUMBER(Klisz_Verbräuche[[#This Row],[2025]]), Klisz_Verbräuche[[#This Row],[2025]]*Emissionsfaktoren[[#This Row],[2025]]/1000, 0)</f>
        <v>0</v>
      </c>
      <c r="Q64" s="14">
        <f>IF(ISNUMBER(Klisz_Verbräuche[[#This Row],[2026]]), Klisz_Verbräuche[[#This Row],[2026]]*Emissionsfaktoren[[#This Row],[2026]]/1000, 0)</f>
        <v>0</v>
      </c>
      <c r="R64" s="14">
        <f>IF(ISNUMBER(Klisz_Verbräuche[[#This Row],[2027]]), Klisz_Verbräuche[[#This Row],[2027]]*Emissionsfaktoren[[#This Row],[2027]]/1000, 0)</f>
        <v>0</v>
      </c>
      <c r="S64" s="14">
        <f>IF(ISNUMBER(Klisz_Verbräuche[[#This Row],[2028]]), Klisz_Verbräuche[[#This Row],[2028]]*Emissionsfaktoren[[#This Row],[2028]]/1000, 0)</f>
        <v>0</v>
      </c>
      <c r="T64" s="14">
        <f>IF(ISNUMBER(Klisz_Verbräuche[[#This Row],[2029]]), Klisz_Verbräuche[[#This Row],[2029]]*Emissionsfaktoren[[#This Row],[2029]]/1000, 0)</f>
        <v>0</v>
      </c>
      <c r="U64" s="14">
        <f>IF(ISNUMBER(Klisz_Verbräuche[[#This Row],[2030]]), Klisz_Verbräuche[[#This Row],[2030]]*Emissionsfaktoren[[#This Row],[2030]]/1000, 0)</f>
        <v>0</v>
      </c>
      <c r="V64" s="14">
        <f>IF(ISNUMBER(Klisz_Verbräuche[[#This Row],[2035]]), Klisz_Verbräuche[[#This Row],[2035]]*Emissionsfaktoren[[#This Row],[2035]]/1000, 0)</f>
        <v>0</v>
      </c>
      <c r="W64" s="14">
        <f>IF(ISNUMBER(Klisz_Verbräuche[[#This Row],[2040]]), Klisz_Verbräuche[[#This Row],[2040]]*Emissionsfaktoren[[#This Row],[2040]]/1000, 0)</f>
        <v>0</v>
      </c>
      <c r="X64" s="14">
        <f>IF(ISNUMBER(Klisz_Verbräuche[[#This Row],[2045]]), Klisz_Verbräuche[[#This Row],[2045]]*Emissionsfaktoren[[#This Row],[2045]]/1000, 0)</f>
        <v>0</v>
      </c>
      <c r="Y64" s="14">
        <f>IF(ISNUMBER(Klisz_Verbräuche[[#This Row],[2050]]), Klisz_Verbräuche[[#This Row],[2050]]*Emissionsfaktoren[[#This Row],[2050]]/1000, 0)</f>
        <v>0</v>
      </c>
    </row>
    <row r="65" spans="2:25" ht="16.5">
      <c r="B65" s="14">
        <v>48</v>
      </c>
      <c r="C65" s="14" t="str">
        <f>Refsz_Verbräuche[[#This Row],[Handlungsfeld]]</f>
        <v>Mobilität 1</v>
      </c>
      <c r="D65" s="19" t="str">
        <f>Refsz_Verbräuche[[#This Row],[Datenpunkt]]</f>
        <v>DR - Mietwägen (E-Auto/ BEV)</v>
      </c>
      <c r="E65" t="s">
        <v>195</v>
      </c>
      <c r="F65" s="14">
        <f>IF(ISNUMBER(Klisz_Verbräuche[[#This Row],[2015]]), Klisz_Verbräuche[[#This Row],[2015]]*Emissionsfaktoren[[#This Row],[2015]]/1000, 0)</f>
        <v>0</v>
      </c>
      <c r="G65" s="14">
        <f>IF(ISNUMBER(Klisz_Verbräuche[[#This Row],[2016]]), Klisz_Verbräuche[[#This Row],[2016]]*Emissionsfaktoren[[#This Row],[2016]]/1000, 0)</f>
        <v>0</v>
      </c>
      <c r="H65" s="14">
        <f>IF(ISNUMBER(Klisz_Verbräuche[[#This Row],[2017]]), Klisz_Verbräuche[[#This Row],[2017]]*Emissionsfaktoren[[#This Row],[2017]]/1000, 0)</f>
        <v>0</v>
      </c>
      <c r="I65" s="14">
        <f>IF(ISNUMBER(Klisz_Verbräuche[[#This Row],[2018]]), Klisz_Verbräuche[[#This Row],[2018]]*Emissionsfaktoren[[#This Row],[2018]]/1000, 0)</f>
        <v>0</v>
      </c>
      <c r="J65" s="14">
        <f>IF(ISNUMBER(Klisz_Verbräuche[[#This Row],[2019]]), Klisz_Verbräuche[[#This Row],[2019]]*Emissionsfaktoren[[#This Row],[2019]]/1000, 0)</f>
        <v>0</v>
      </c>
      <c r="K65" s="14">
        <f>IF(ISNUMBER(Klisz_Verbräuche[[#This Row],[2020]]), Klisz_Verbräuche[[#This Row],[2020]]*Emissionsfaktoren[[#This Row],[2020]]/1000, 0)</f>
        <v>0</v>
      </c>
      <c r="L65" s="14">
        <f>IF(ISNUMBER(Klisz_Verbräuche[[#This Row],[2021]]), Klisz_Verbräuche[[#This Row],[2021]]*Emissionsfaktoren[[#This Row],[2021]]/1000, 0)</f>
        <v>0</v>
      </c>
      <c r="M65" s="14">
        <f>IF(ISNUMBER(Klisz_Verbräuche[[#This Row],[2022]]), Klisz_Verbräuche[[#This Row],[2022]]*Emissionsfaktoren[[#This Row],[2022]]/1000, 0)</f>
        <v>0</v>
      </c>
      <c r="N65" s="14">
        <f>IF(ISNUMBER(Klisz_Verbräuche[[#This Row],[2023]]), Klisz_Verbräuche[[#This Row],[2023]]*Emissionsfaktoren[[#This Row],[2023]]/1000, 0)</f>
        <v>0</v>
      </c>
      <c r="O65" s="14">
        <f>IF(ISNUMBER(Klisz_Verbräuche[[#This Row],[2024]]), Klisz_Verbräuche[[#This Row],[2024]]*Emissionsfaktoren[[#This Row],[2024]]/1000, 0)</f>
        <v>0</v>
      </c>
      <c r="P65" s="14">
        <f>IF(ISNUMBER(Klisz_Verbräuche[[#This Row],[2025]]), Klisz_Verbräuche[[#This Row],[2025]]*Emissionsfaktoren[[#This Row],[2025]]/1000, 0)</f>
        <v>0</v>
      </c>
      <c r="Q65" s="14">
        <f>IF(ISNUMBER(Klisz_Verbräuche[[#This Row],[2026]]), Klisz_Verbräuche[[#This Row],[2026]]*Emissionsfaktoren[[#This Row],[2026]]/1000, 0)</f>
        <v>0</v>
      </c>
      <c r="R65" s="14">
        <f>IF(ISNUMBER(Klisz_Verbräuche[[#This Row],[2027]]), Klisz_Verbräuche[[#This Row],[2027]]*Emissionsfaktoren[[#This Row],[2027]]/1000, 0)</f>
        <v>0</v>
      </c>
      <c r="S65" s="14">
        <f>IF(ISNUMBER(Klisz_Verbräuche[[#This Row],[2028]]), Klisz_Verbräuche[[#This Row],[2028]]*Emissionsfaktoren[[#This Row],[2028]]/1000, 0)</f>
        <v>0</v>
      </c>
      <c r="T65" s="14">
        <f>IF(ISNUMBER(Klisz_Verbräuche[[#This Row],[2029]]), Klisz_Verbräuche[[#This Row],[2029]]*Emissionsfaktoren[[#This Row],[2029]]/1000, 0)</f>
        <v>0</v>
      </c>
      <c r="U65" s="14">
        <f>IF(ISNUMBER(Klisz_Verbräuche[[#This Row],[2030]]), Klisz_Verbräuche[[#This Row],[2030]]*Emissionsfaktoren[[#This Row],[2030]]/1000, 0)</f>
        <v>0</v>
      </c>
      <c r="V65" s="14">
        <f>IF(ISNUMBER(Klisz_Verbräuche[[#This Row],[2035]]), Klisz_Verbräuche[[#This Row],[2035]]*Emissionsfaktoren[[#This Row],[2035]]/1000, 0)</f>
        <v>0</v>
      </c>
      <c r="W65" s="14">
        <f>IF(ISNUMBER(Klisz_Verbräuche[[#This Row],[2040]]), Klisz_Verbräuche[[#This Row],[2040]]*Emissionsfaktoren[[#This Row],[2040]]/1000, 0)</f>
        <v>0</v>
      </c>
      <c r="X65" s="14">
        <f>IF(ISNUMBER(Klisz_Verbräuche[[#This Row],[2045]]), Klisz_Verbräuche[[#This Row],[2045]]*Emissionsfaktoren[[#This Row],[2045]]/1000, 0)</f>
        <v>0</v>
      </c>
      <c r="Y65" s="14">
        <f>IF(ISNUMBER(Klisz_Verbräuche[[#This Row],[2050]]), Klisz_Verbräuche[[#This Row],[2050]]*Emissionsfaktoren[[#This Row],[2050]]/1000, 0)</f>
        <v>0</v>
      </c>
    </row>
    <row r="66" spans="2:25" ht="16.5">
      <c r="B66" s="14">
        <v>49</v>
      </c>
      <c r="C66" s="14" t="str">
        <f>Refsz_Verbräuche[[#This Row],[Handlungsfeld]]</f>
        <v>Mobilität 1</v>
      </c>
      <c r="D66" s="19" t="str">
        <f>Refsz_Verbräuche[[#This Row],[Datenpunkt]]</f>
        <v>DR - Mietwägen (Wasserstoff/ FCEV)</v>
      </c>
      <c r="E66" t="s">
        <v>195</v>
      </c>
      <c r="F66" s="14">
        <f>IF(ISNUMBER(Klisz_Verbräuche[[#This Row],[2015]]), Klisz_Verbräuche[[#This Row],[2015]]*Emissionsfaktoren[[#This Row],[2015]]/1000, 0)</f>
        <v>0</v>
      </c>
      <c r="G66" s="14">
        <f>IF(ISNUMBER(Klisz_Verbräuche[[#This Row],[2016]]), Klisz_Verbräuche[[#This Row],[2016]]*Emissionsfaktoren[[#This Row],[2016]]/1000, 0)</f>
        <v>0</v>
      </c>
      <c r="H66" s="14">
        <f>IF(ISNUMBER(Klisz_Verbräuche[[#This Row],[2017]]), Klisz_Verbräuche[[#This Row],[2017]]*Emissionsfaktoren[[#This Row],[2017]]/1000, 0)</f>
        <v>0</v>
      </c>
      <c r="I66" s="14">
        <f>IF(ISNUMBER(Klisz_Verbräuche[[#This Row],[2018]]), Klisz_Verbräuche[[#This Row],[2018]]*Emissionsfaktoren[[#This Row],[2018]]/1000, 0)</f>
        <v>0</v>
      </c>
      <c r="J66" s="14">
        <f>IF(ISNUMBER(Klisz_Verbräuche[[#This Row],[2019]]), Klisz_Verbräuche[[#This Row],[2019]]*Emissionsfaktoren[[#This Row],[2019]]/1000, 0)</f>
        <v>0</v>
      </c>
      <c r="K66" s="14">
        <f>IF(ISNUMBER(Klisz_Verbräuche[[#This Row],[2020]]), Klisz_Verbräuche[[#This Row],[2020]]*Emissionsfaktoren[[#This Row],[2020]]/1000, 0)</f>
        <v>0</v>
      </c>
      <c r="L66" s="14">
        <f>IF(ISNUMBER(Klisz_Verbräuche[[#This Row],[2021]]), Klisz_Verbräuche[[#This Row],[2021]]*Emissionsfaktoren[[#This Row],[2021]]/1000, 0)</f>
        <v>0</v>
      </c>
      <c r="M66" s="14">
        <f>IF(ISNUMBER(Klisz_Verbräuche[[#This Row],[2022]]), Klisz_Verbräuche[[#This Row],[2022]]*Emissionsfaktoren[[#This Row],[2022]]/1000, 0)</f>
        <v>0</v>
      </c>
      <c r="N66" s="14">
        <f>IF(ISNUMBER(Klisz_Verbräuche[[#This Row],[2023]]), Klisz_Verbräuche[[#This Row],[2023]]*Emissionsfaktoren[[#This Row],[2023]]/1000, 0)</f>
        <v>0</v>
      </c>
      <c r="O66" s="14">
        <f>IF(ISNUMBER(Klisz_Verbräuche[[#This Row],[2024]]), Klisz_Verbräuche[[#This Row],[2024]]*Emissionsfaktoren[[#This Row],[2024]]/1000, 0)</f>
        <v>0</v>
      </c>
      <c r="P66" s="14">
        <f>IF(ISNUMBER(Klisz_Verbräuche[[#This Row],[2025]]), Klisz_Verbräuche[[#This Row],[2025]]*Emissionsfaktoren[[#This Row],[2025]]/1000, 0)</f>
        <v>0</v>
      </c>
      <c r="Q66" s="14">
        <f>IF(ISNUMBER(Klisz_Verbräuche[[#This Row],[2026]]), Klisz_Verbräuche[[#This Row],[2026]]*Emissionsfaktoren[[#This Row],[2026]]/1000, 0)</f>
        <v>0</v>
      </c>
      <c r="R66" s="14">
        <f>IF(ISNUMBER(Klisz_Verbräuche[[#This Row],[2027]]), Klisz_Verbräuche[[#This Row],[2027]]*Emissionsfaktoren[[#This Row],[2027]]/1000, 0)</f>
        <v>0</v>
      </c>
      <c r="S66" s="14">
        <f>IF(ISNUMBER(Klisz_Verbräuche[[#This Row],[2028]]), Klisz_Verbräuche[[#This Row],[2028]]*Emissionsfaktoren[[#This Row],[2028]]/1000, 0)</f>
        <v>0</v>
      </c>
      <c r="T66" s="14">
        <f>IF(ISNUMBER(Klisz_Verbräuche[[#This Row],[2029]]), Klisz_Verbräuche[[#This Row],[2029]]*Emissionsfaktoren[[#This Row],[2029]]/1000, 0)</f>
        <v>0</v>
      </c>
      <c r="U66" s="14">
        <f>IF(ISNUMBER(Klisz_Verbräuche[[#This Row],[2030]]), Klisz_Verbräuche[[#This Row],[2030]]*Emissionsfaktoren[[#This Row],[2030]]/1000, 0)</f>
        <v>0</v>
      </c>
      <c r="V66" s="14">
        <f>IF(ISNUMBER(Klisz_Verbräuche[[#This Row],[2035]]), Klisz_Verbräuche[[#This Row],[2035]]*Emissionsfaktoren[[#This Row],[2035]]/1000, 0)</f>
        <v>0</v>
      </c>
      <c r="W66" s="14">
        <f>IF(ISNUMBER(Klisz_Verbräuche[[#This Row],[2040]]), Klisz_Verbräuche[[#This Row],[2040]]*Emissionsfaktoren[[#This Row],[2040]]/1000, 0)</f>
        <v>0</v>
      </c>
      <c r="X66" s="14">
        <f>IF(ISNUMBER(Klisz_Verbräuche[[#This Row],[2045]]), Klisz_Verbräuche[[#This Row],[2045]]*Emissionsfaktoren[[#This Row],[2045]]/1000, 0)</f>
        <v>0</v>
      </c>
      <c r="Y66" s="14">
        <f>IF(ISNUMBER(Klisz_Verbräuche[[#This Row],[2050]]), Klisz_Verbräuche[[#This Row],[2050]]*Emissionsfaktoren[[#This Row],[2050]]/1000, 0)</f>
        <v>0</v>
      </c>
    </row>
    <row r="67" spans="2:25" ht="16.5">
      <c r="B67" s="14">
        <v>50</v>
      </c>
      <c r="C67" s="14" t="str">
        <f>Refsz_Verbräuche[[#This Row],[Handlungsfeld]]</f>
        <v>Mobilität 1</v>
      </c>
      <c r="D67" s="19" t="str">
        <f>Refsz_Verbräuche[[#This Row],[Datenpunkt]]</f>
        <v>DR - Mietwägen (CNG)</v>
      </c>
      <c r="E67" t="s">
        <v>195</v>
      </c>
      <c r="F67" s="14">
        <f>IF(ISNUMBER(Klisz_Verbräuche[[#This Row],[2015]]), Klisz_Verbräuche[[#This Row],[2015]]*Emissionsfaktoren[[#This Row],[2015]]/1000, 0)</f>
        <v>0</v>
      </c>
      <c r="G67" s="14">
        <f>IF(ISNUMBER(Klisz_Verbräuche[[#This Row],[2016]]), Klisz_Verbräuche[[#This Row],[2016]]*Emissionsfaktoren[[#This Row],[2016]]/1000, 0)</f>
        <v>0</v>
      </c>
      <c r="H67" s="14">
        <f>IF(ISNUMBER(Klisz_Verbräuche[[#This Row],[2017]]), Klisz_Verbräuche[[#This Row],[2017]]*Emissionsfaktoren[[#This Row],[2017]]/1000, 0)</f>
        <v>0</v>
      </c>
      <c r="I67" s="14">
        <f>IF(ISNUMBER(Klisz_Verbräuche[[#This Row],[2018]]), Klisz_Verbräuche[[#This Row],[2018]]*Emissionsfaktoren[[#This Row],[2018]]/1000, 0)</f>
        <v>0</v>
      </c>
      <c r="J67" s="14">
        <f>IF(ISNUMBER(Klisz_Verbräuche[[#This Row],[2019]]), Klisz_Verbräuche[[#This Row],[2019]]*Emissionsfaktoren[[#This Row],[2019]]/1000, 0)</f>
        <v>0</v>
      </c>
      <c r="K67" s="14">
        <f>IF(ISNUMBER(Klisz_Verbräuche[[#This Row],[2020]]), Klisz_Verbräuche[[#This Row],[2020]]*Emissionsfaktoren[[#This Row],[2020]]/1000, 0)</f>
        <v>0</v>
      </c>
      <c r="L67" s="14">
        <f>IF(ISNUMBER(Klisz_Verbräuche[[#This Row],[2021]]), Klisz_Verbräuche[[#This Row],[2021]]*Emissionsfaktoren[[#This Row],[2021]]/1000, 0)</f>
        <v>0</v>
      </c>
      <c r="M67" s="14">
        <f>IF(ISNUMBER(Klisz_Verbräuche[[#This Row],[2022]]), Klisz_Verbräuche[[#This Row],[2022]]*Emissionsfaktoren[[#This Row],[2022]]/1000, 0)</f>
        <v>0</v>
      </c>
      <c r="N67" s="14">
        <f>IF(ISNUMBER(Klisz_Verbräuche[[#This Row],[2023]]), Klisz_Verbräuche[[#This Row],[2023]]*Emissionsfaktoren[[#This Row],[2023]]/1000, 0)</f>
        <v>0</v>
      </c>
      <c r="O67" s="14">
        <f>IF(ISNUMBER(Klisz_Verbräuche[[#This Row],[2024]]), Klisz_Verbräuche[[#This Row],[2024]]*Emissionsfaktoren[[#This Row],[2024]]/1000, 0)</f>
        <v>0</v>
      </c>
      <c r="P67" s="14">
        <f>IF(ISNUMBER(Klisz_Verbräuche[[#This Row],[2025]]), Klisz_Verbräuche[[#This Row],[2025]]*Emissionsfaktoren[[#This Row],[2025]]/1000, 0)</f>
        <v>0</v>
      </c>
      <c r="Q67" s="14">
        <f>IF(ISNUMBER(Klisz_Verbräuche[[#This Row],[2026]]), Klisz_Verbräuche[[#This Row],[2026]]*Emissionsfaktoren[[#This Row],[2026]]/1000, 0)</f>
        <v>0</v>
      </c>
      <c r="R67" s="14">
        <f>IF(ISNUMBER(Klisz_Verbräuche[[#This Row],[2027]]), Klisz_Verbräuche[[#This Row],[2027]]*Emissionsfaktoren[[#This Row],[2027]]/1000, 0)</f>
        <v>0</v>
      </c>
      <c r="S67" s="14">
        <f>IF(ISNUMBER(Klisz_Verbräuche[[#This Row],[2028]]), Klisz_Verbräuche[[#This Row],[2028]]*Emissionsfaktoren[[#This Row],[2028]]/1000, 0)</f>
        <v>0</v>
      </c>
      <c r="T67" s="14">
        <f>IF(ISNUMBER(Klisz_Verbräuche[[#This Row],[2029]]), Klisz_Verbräuche[[#This Row],[2029]]*Emissionsfaktoren[[#This Row],[2029]]/1000, 0)</f>
        <v>0</v>
      </c>
      <c r="U67" s="14">
        <f>IF(ISNUMBER(Klisz_Verbräuche[[#This Row],[2030]]), Klisz_Verbräuche[[#This Row],[2030]]*Emissionsfaktoren[[#This Row],[2030]]/1000, 0)</f>
        <v>0</v>
      </c>
      <c r="V67" s="14">
        <f>IF(ISNUMBER(Klisz_Verbräuche[[#This Row],[2035]]), Klisz_Verbräuche[[#This Row],[2035]]*Emissionsfaktoren[[#This Row],[2035]]/1000, 0)</f>
        <v>0</v>
      </c>
      <c r="W67" s="14">
        <f>IF(ISNUMBER(Klisz_Verbräuche[[#This Row],[2040]]), Klisz_Verbräuche[[#This Row],[2040]]*Emissionsfaktoren[[#This Row],[2040]]/1000, 0)</f>
        <v>0</v>
      </c>
      <c r="X67" s="14">
        <f>IF(ISNUMBER(Klisz_Verbräuche[[#This Row],[2045]]), Klisz_Verbräuche[[#This Row],[2045]]*Emissionsfaktoren[[#This Row],[2045]]/1000, 0)</f>
        <v>0</v>
      </c>
      <c r="Y67" s="14">
        <f>IF(ISNUMBER(Klisz_Verbräuche[[#This Row],[2050]]), Klisz_Verbräuche[[#This Row],[2050]]*Emissionsfaktoren[[#This Row],[2050]]/1000, 0)</f>
        <v>0</v>
      </c>
    </row>
    <row r="68" spans="2:25" ht="16.5">
      <c r="B68" s="14">
        <v>51</v>
      </c>
      <c r="C68" s="14" t="str">
        <f>Refsz_Verbräuche[[#This Row],[Handlungsfeld]]</f>
        <v>Mobilität 1</v>
      </c>
      <c r="D68" s="19" t="str">
        <f>Refsz_Verbräuche[[#This Row],[Datenpunkt]]</f>
        <v>DR - Mietwägen (Plug-In-Hybrid/ PHEV)</v>
      </c>
      <c r="E68" t="s">
        <v>195</v>
      </c>
      <c r="F68" s="14">
        <f>IF(ISNUMBER(Klisz_Verbräuche[[#This Row],[2015]]), Klisz_Verbräuche[[#This Row],[2015]]*Emissionsfaktoren[[#This Row],[2015]]/1000, 0)</f>
        <v>0</v>
      </c>
      <c r="G68" s="14">
        <f>IF(ISNUMBER(Klisz_Verbräuche[[#This Row],[2016]]), Klisz_Verbräuche[[#This Row],[2016]]*Emissionsfaktoren[[#This Row],[2016]]/1000, 0)</f>
        <v>0</v>
      </c>
      <c r="H68" s="14">
        <f>IF(ISNUMBER(Klisz_Verbräuche[[#This Row],[2017]]), Klisz_Verbräuche[[#This Row],[2017]]*Emissionsfaktoren[[#This Row],[2017]]/1000, 0)</f>
        <v>0</v>
      </c>
      <c r="I68" s="14">
        <f>IF(ISNUMBER(Klisz_Verbräuche[[#This Row],[2018]]), Klisz_Verbräuche[[#This Row],[2018]]*Emissionsfaktoren[[#This Row],[2018]]/1000, 0)</f>
        <v>0</v>
      </c>
      <c r="J68" s="14">
        <f>IF(ISNUMBER(Klisz_Verbräuche[[#This Row],[2019]]), Klisz_Verbräuche[[#This Row],[2019]]*Emissionsfaktoren[[#This Row],[2019]]/1000, 0)</f>
        <v>0</v>
      </c>
      <c r="K68" s="14">
        <f>IF(ISNUMBER(Klisz_Verbräuche[[#This Row],[2020]]), Klisz_Verbräuche[[#This Row],[2020]]*Emissionsfaktoren[[#This Row],[2020]]/1000, 0)</f>
        <v>0</v>
      </c>
      <c r="L68" s="14">
        <f>IF(ISNUMBER(Klisz_Verbräuche[[#This Row],[2021]]), Klisz_Verbräuche[[#This Row],[2021]]*Emissionsfaktoren[[#This Row],[2021]]/1000, 0)</f>
        <v>0</v>
      </c>
      <c r="M68" s="14">
        <f>IF(ISNUMBER(Klisz_Verbräuche[[#This Row],[2022]]), Klisz_Verbräuche[[#This Row],[2022]]*Emissionsfaktoren[[#This Row],[2022]]/1000, 0)</f>
        <v>0</v>
      </c>
      <c r="N68" s="14">
        <f>IF(ISNUMBER(Klisz_Verbräuche[[#This Row],[2023]]), Klisz_Verbräuche[[#This Row],[2023]]*Emissionsfaktoren[[#This Row],[2023]]/1000, 0)</f>
        <v>0</v>
      </c>
      <c r="O68" s="14">
        <f>IF(ISNUMBER(Klisz_Verbräuche[[#This Row],[2024]]), Klisz_Verbräuche[[#This Row],[2024]]*Emissionsfaktoren[[#This Row],[2024]]/1000, 0)</f>
        <v>0</v>
      </c>
      <c r="P68" s="14">
        <f>IF(ISNUMBER(Klisz_Verbräuche[[#This Row],[2025]]), Klisz_Verbräuche[[#This Row],[2025]]*Emissionsfaktoren[[#This Row],[2025]]/1000, 0)</f>
        <v>0</v>
      </c>
      <c r="Q68" s="14">
        <f>IF(ISNUMBER(Klisz_Verbräuche[[#This Row],[2026]]), Klisz_Verbräuche[[#This Row],[2026]]*Emissionsfaktoren[[#This Row],[2026]]/1000, 0)</f>
        <v>0</v>
      </c>
      <c r="R68" s="14">
        <f>IF(ISNUMBER(Klisz_Verbräuche[[#This Row],[2027]]), Klisz_Verbräuche[[#This Row],[2027]]*Emissionsfaktoren[[#This Row],[2027]]/1000, 0)</f>
        <v>0</v>
      </c>
      <c r="S68" s="14">
        <f>IF(ISNUMBER(Klisz_Verbräuche[[#This Row],[2028]]), Klisz_Verbräuche[[#This Row],[2028]]*Emissionsfaktoren[[#This Row],[2028]]/1000, 0)</f>
        <v>0</v>
      </c>
      <c r="T68" s="14">
        <f>IF(ISNUMBER(Klisz_Verbräuche[[#This Row],[2029]]), Klisz_Verbräuche[[#This Row],[2029]]*Emissionsfaktoren[[#This Row],[2029]]/1000, 0)</f>
        <v>0</v>
      </c>
      <c r="U68" s="14">
        <f>IF(ISNUMBER(Klisz_Verbräuche[[#This Row],[2030]]), Klisz_Verbräuche[[#This Row],[2030]]*Emissionsfaktoren[[#This Row],[2030]]/1000, 0)</f>
        <v>0</v>
      </c>
      <c r="V68" s="14">
        <f>IF(ISNUMBER(Klisz_Verbräuche[[#This Row],[2035]]), Klisz_Verbräuche[[#This Row],[2035]]*Emissionsfaktoren[[#This Row],[2035]]/1000, 0)</f>
        <v>0</v>
      </c>
      <c r="W68" s="14">
        <f>IF(ISNUMBER(Klisz_Verbräuche[[#This Row],[2040]]), Klisz_Verbräuche[[#This Row],[2040]]*Emissionsfaktoren[[#This Row],[2040]]/1000, 0)</f>
        <v>0</v>
      </c>
      <c r="X68" s="14">
        <f>IF(ISNUMBER(Klisz_Verbräuche[[#This Row],[2045]]), Klisz_Verbräuche[[#This Row],[2045]]*Emissionsfaktoren[[#This Row],[2045]]/1000, 0)</f>
        <v>0</v>
      </c>
      <c r="Y68" s="14">
        <f>IF(ISNUMBER(Klisz_Verbräuche[[#This Row],[2050]]), Klisz_Verbräuche[[#This Row],[2050]]*Emissionsfaktoren[[#This Row],[2050]]/1000, 0)</f>
        <v>0</v>
      </c>
    </row>
    <row r="69" spans="2:25" ht="16.5">
      <c r="B69" s="14">
        <v>52</v>
      </c>
      <c r="C69" s="14" t="str">
        <f>Refsz_Verbräuche[[#This Row],[Handlungsfeld]]</f>
        <v>Mobilität 1</v>
      </c>
      <c r="D69" s="19" t="str">
        <f>Refsz_Verbräuche[[#This Row],[Datenpunkt]]</f>
        <v>DR - E-Bike</v>
      </c>
      <c r="E69" t="s">
        <v>195</v>
      </c>
      <c r="F69" s="14">
        <f>IF(ISNUMBER(Klisz_Verbräuche[[#This Row],[2015]]), Klisz_Verbräuche[[#This Row],[2015]]*Emissionsfaktoren[[#This Row],[2015]]/1000, 0)</f>
        <v>0</v>
      </c>
      <c r="G69" s="14">
        <f>IF(ISNUMBER(Klisz_Verbräuche[[#This Row],[2016]]), Klisz_Verbräuche[[#This Row],[2016]]*Emissionsfaktoren[[#This Row],[2016]]/1000, 0)</f>
        <v>0</v>
      </c>
      <c r="H69" s="14">
        <f>IF(ISNUMBER(Klisz_Verbräuche[[#This Row],[2017]]), Klisz_Verbräuche[[#This Row],[2017]]*Emissionsfaktoren[[#This Row],[2017]]/1000, 0)</f>
        <v>0</v>
      </c>
      <c r="I69" s="14">
        <f>IF(ISNUMBER(Klisz_Verbräuche[[#This Row],[2018]]), Klisz_Verbräuche[[#This Row],[2018]]*Emissionsfaktoren[[#This Row],[2018]]/1000, 0)</f>
        <v>0</v>
      </c>
      <c r="J69" s="14">
        <f>IF(ISNUMBER(Klisz_Verbräuche[[#This Row],[2019]]), Klisz_Verbräuche[[#This Row],[2019]]*Emissionsfaktoren[[#This Row],[2019]]/1000, 0)</f>
        <v>0</v>
      </c>
      <c r="K69" s="14">
        <f>IF(ISNUMBER(Klisz_Verbräuche[[#This Row],[2020]]), Klisz_Verbräuche[[#This Row],[2020]]*Emissionsfaktoren[[#This Row],[2020]]/1000, 0)</f>
        <v>0</v>
      </c>
      <c r="L69" s="14">
        <f>IF(ISNUMBER(Klisz_Verbräuche[[#This Row],[2021]]), Klisz_Verbräuche[[#This Row],[2021]]*Emissionsfaktoren[[#This Row],[2021]]/1000, 0)</f>
        <v>0</v>
      </c>
      <c r="M69" s="14">
        <f>IF(ISNUMBER(Klisz_Verbräuche[[#This Row],[2022]]), Klisz_Verbräuche[[#This Row],[2022]]*Emissionsfaktoren[[#This Row],[2022]]/1000, 0)</f>
        <v>0</v>
      </c>
      <c r="N69" s="14">
        <f>IF(ISNUMBER(Klisz_Verbräuche[[#This Row],[2023]]), Klisz_Verbräuche[[#This Row],[2023]]*Emissionsfaktoren[[#This Row],[2023]]/1000, 0)</f>
        <v>0</v>
      </c>
      <c r="O69" s="14">
        <f>IF(ISNUMBER(Klisz_Verbräuche[[#This Row],[2024]]), Klisz_Verbräuche[[#This Row],[2024]]*Emissionsfaktoren[[#This Row],[2024]]/1000, 0)</f>
        <v>0</v>
      </c>
      <c r="P69" s="14">
        <f>IF(ISNUMBER(Klisz_Verbräuche[[#This Row],[2025]]), Klisz_Verbräuche[[#This Row],[2025]]*Emissionsfaktoren[[#This Row],[2025]]/1000, 0)</f>
        <v>0</v>
      </c>
      <c r="Q69" s="14">
        <f>IF(ISNUMBER(Klisz_Verbräuche[[#This Row],[2026]]), Klisz_Verbräuche[[#This Row],[2026]]*Emissionsfaktoren[[#This Row],[2026]]/1000, 0)</f>
        <v>0</v>
      </c>
      <c r="R69" s="14">
        <f>IF(ISNUMBER(Klisz_Verbräuche[[#This Row],[2027]]), Klisz_Verbräuche[[#This Row],[2027]]*Emissionsfaktoren[[#This Row],[2027]]/1000, 0)</f>
        <v>0</v>
      </c>
      <c r="S69" s="14">
        <f>IF(ISNUMBER(Klisz_Verbräuche[[#This Row],[2028]]), Klisz_Verbräuche[[#This Row],[2028]]*Emissionsfaktoren[[#This Row],[2028]]/1000, 0)</f>
        <v>0</v>
      </c>
      <c r="T69" s="14">
        <f>IF(ISNUMBER(Klisz_Verbräuche[[#This Row],[2029]]), Klisz_Verbräuche[[#This Row],[2029]]*Emissionsfaktoren[[#This Row],[2029]]/1000, 0)</f>
        <v>0</v>
      </c>
      <c r="U69" s="14">
        <f>IF(ISNUMBER(Klisz_Verbräuche[[#This Row],[2030]]), Klisz_Verbräuche[[#This Row],[2030]]*Emissionsfaktoren[[#This Row],[2030]]/1000, 0)</f>
        <v>0</v>
      </c>
      <c r="V69" s="14">
        <f>IF(ISNUMBER(Klisz_Verbräuche[[#This Row],[2035]]), Klisz_Verbräuche[[#This Row],[2035]]*Emissionsfaktoren[[#This Row],[2035]]/1000, 0)</f>
        <v>0</v>
      </c>
      <c r="W69" s="14">
        <f>IF(ISNUMBER(Klisz_Verbräuche[[#This Row],[2040]]), Klisz_Verbräuche[[#This Row],[2040]]*Emissionsfaktoren[[#This Row],[2040]]/1000, 0)</f>
        <v>0</v>
      </c>
      <c r="X69" s="14">
        <f>IF(ISNUMBER(Klisz_Verbräuche[[#This Row],[2045]]), Klisz_Verbräuche[[#This Row],[2045]]*Emissionsfaktoren[[#This Row],[2045]]/1000, 0)</f>
        <v>0</v>
      </c>
      <c r="Y69" s="14">
        <f>IF(ISNUMBER(Klisz_Verbräuche[[#This Row],[2050]]), Klisz_Verbräuche[[#This Row],[2050]]*Emissionsfaktoren[[#This Row],[2050]]/1000, 0)</f>
        <v>0</v>
      </c>
    </row>
    <row r="70" spans="2:25" ht="16.5">
      <c r="B70" s="14">
        <v>53</v>
      </c>
      <c r="C70" s="14" t="str">
        <f>Refsz_Verbräuche[[#This Row],[Handlungsfeld]]</f>
        <v>Mobilität 1</v>
      </c>
      <c r="D70" s="19" t="str">
        <f>Refsz_Verbräuche[[#This Row],[Datenpunkt]]</f>
        <v>DR - Fahrrad</v>
      </c>
      <c r="E70" t="s">
        <v>195</v>
      </c>
      <c r="F70" s="14">
        <f>IF(ISNUMBER(Klisz_Verbräuche[[#This Row],[2015]]), Klisz_Verbräuche[[#This Row],[2015]]*Emissionsfaktoren[[#This Row],[2015]]/1000, 0)</f>
        <v>0</v>
      </c>
      <c r="G70" s="14">
        <f>IF(ISNUMBER(Klisz_Verbräuche[[#This Row],[2016]]), Klisz_Verbräuche[[#This Row],[2016]]*Emissionsfaktoren[[#This Row],[2016]]/1000, 0)</f>
        <v>0</v>
      </c>
      <c r="H70" s="14">
        <f>IF(ISNUMBER(Klisz_Verbräuche[[#This Row],[2017]]), Klisz_Verbräuche[[#This Row],[2017]]*Emissionsfaktoren[[#This Row],[2017]]/1000, 0)</f>
        <v>0</v>
      </c>
      <c r="I70" s="14">
        <f>IF(ISNUMBER(Klisz_Verbräuche[[#This Row],[2018]]), Klisz_Verbräuche[[#This Row],[2018]]*Emissionsfaktoren[[#This Row],[2018]]/1000, 0)</f>
        <v>0</v>
      </c>
      <c r="J70" s="14">
        <f>IF(ISNUMBER(Klisz_Verbräuche[[#This Row],[2019]]), Klisz_Verbräuche[[#This Row],[2019]]*Emissionsfaktoren[[#This Row],[2019]]/1000, 0)</f>
        <v>0</v>
      </c>
      <c r="K70" s="14">
        <f>IF(ISNUMBER(Klisz_Verbräuche[[#This Row],[2020]]), Klisz_Verbräuche[[#This Row],[2020]]*Emissionsfaktoren[[#This Row],[2020]]/1000, 0)</f>
        <v>0</v>
      </c>
      <c r="L70" s="14">
        <f>IF(ISNUMBER(Klisz_Verbräuche[[#This Row],[2021]]), Klisz_Verbräuche[[#This Row],[2021]]*Emissionsfaktoren[[#This Row],[2021]]/1000, 0)</f>
        <v>0</v>
      </c>
      <c r="M70" s="14">
        <f>IF(ISNUMBER(Klisz_Verbräuche[[#This Row],[2022]]), Klisz_Verbräuche[[#This Row],[2022]]*Emissionsfaktoren[[#This Row],[2022]]/1000, 0)</f>
        <v>0</v>
      </c>
      <c r="N70" s="14">
        <f>IF(ISNUMBER(Klisz_Verbräuche[[#This Row],[2023]]), Klisz_Verbräuche[[#This Row],[2023]]*Emissionsfaktoren[[#This Row],[2023]]/1000, 0)</f>
        <v>0</v>
      </c>
      <c r="O70" s="14">
        <f>IF(ISNUMBER(Klisz_Verbräuche[[#This Row],[2024]]), Klisz_Verbräuche[[#This Row],[2024]]*Emissionsfaktoren[[#This Row],[2024]]/1000, 0)</f>
        <v>0</v>
      </c>
      <c r="P70" s="14">
        <f>IF(ISNUMBER(Klisz_Verbräuche[[#This Row],[2025]]), Klisz_Verbräuche[[#This Row],[2025]]*Emissionsfaktoren[[#This Row],[2025]]/1000, 0)</f>
        <v>0</v>
      </c>
      <c r="Q70" s="14">
        <f>IF(ISNUMBER(Klisz_Verbräuche[[#This Row],[2026]]), Klisz_Verbräuche[[#This Row],[2026]]*Emissionsfaktoren[[#This Row],[2026]]/1000, 0)</f>
        <v>0</v>
      </c>
      <c r="R70" s="14">
        <f>IF(ISNUMBER(Klisz_Verbräuche[[#This Row],[2027]]), Klisz_Verbräuche[[#This Row],[2027]]*Emissionsfaktoren[[#This Row],[2027]]/1000, 0)</f>
        <v>0</v>
      </c>
      <c r="S70" s="14">
        <f>IF(ISNUMBER(Klisz_Verbräuche[[#This Row],[2028]]), Klisz_Verbräuche[[#This Row],[2028]]*Emissionsfaktoren[[#This Row],[2028]]/1000, 0)</f>
        <v>0</v>
      </c>
      <c r="T70" s="14">
        <f>IF(ISNUMBER(Klisz_Verbräuche[[#This Row],[2029]]), Klisz_Verbräuche[[#This Row],[2029]]*Emissionsfaktoren[[#This Row],[2029]]/1000, 0)</f>
        <v>0</v>
      </c>
      <c r="U70" s="14">
        <f>IF(ISNUMBER(Klisz_Verbräuche[[#This Row],[2030]]), Klisz_Verbräuche[[#This Row],[2030]]*Emissionsfaktoren[[#This Row],[2030]]/1000, 0)</f>
        <v>0</v>
      </c>
      <c r="V70" s="14">
        <f>IF(ISNUMBER(Klisz_Verbräuche[[#This Row],[2035]]), Klisz_Verbräuche[[#This Row],[2035]]*Emissionsfaktoren[[#This Row],[2035]]/1000, 0)</f>
        <v>0</v>
      </c>
      <c r="W70" s="14">
        <f>IF(ISNUMBER(Klisz_Verbräuche[[#This Row],[2040]]), Klisz_Verbräuche[[#This Row],[2040]]*Emissionsfaktoren[[#This Row],[2040]]/1000, 0)</f>
        <v>0</v>
      </c>
      <c r="X70" s="14">
        <f>IF(ISNUMBER(Klisz_Verbräuche[[#This Row],[2045]]), Klisz_Verbräuche[[#This Row],[2045]]*Emissionsfaktoren[[#This Row],[2045]]/1000, 0)</f>
        <v>0</v>
      </c>
      <c r="Y70" s="14">
        <f>IF(ISNUMBER(Klisz_Verbräuche[[#This Row],[2050]]), Klisz_Verbräuche[[#This Row],[2050]]*Emissionsfaktoren[[#This Row],[2050]]/1000, 0)</f>
        <v>0</v>
      </c>
    </row>
    <row r="71" spans="2:25" ht="16.5">
      <c r="B71" s="14">
        <v>54</v>
      </c>
      <c r="C71" s="14">
        <f>Refsz_Verbräuche[[#This Row],[Handlungsfeld]]</f>
        <v>0</v>
      </c>
      <c r="D71" s="19">
        <f>Refsz_Verbräuche[[#This Row],[Datenpunkt]]</f>
        <v>0</v>
      </c>
      <c r="E71" t="s">
        <v>195</v>
      </c>
      <c r="F71" s="14">
        <f>IF(ISNUMBER(Klisz_Verbräuche[[#This Row],[2015]]), Klisz_Verbräuche[[#This Row],[2015]]*Emissionsfaktoren[[#This Row],[2015]]/1000, 0)</f>
        <v>0</v>
      </c>
      <c r="G71" s="14">
        <f>IF(ISNUMBER(Klisz_Verbräuche[[#This Row],[2016]]), Klisz_Verbräuche[[#This Row],[2016]]*Emissionsfaktoren[[#This Row],[2016]]/1000, 0)</f>
        <v>0</v>
      </c>
      <c r="H71" s="14">
        <f>IF(ISNUMBER(Klisz_Verbräuche[[#This Row],[2017]]), Klisz_Verbräuche[[#This Row],[2017]]*Emissionsfaktoren[[#This Row],[2017]]/1000, 0)</f>
        <v>0</v>
      </c>
      <c r="I71" s="14">
        <f>IF(ISNUMBER(Klisz_Verbräuche[[#This Row],[2018]]), Klisz_Verbräuche[[#This Row],[2018]]*Emissionsfaktoren[[#This Row],[2018]]/1000, 0)</f>
        <v>0</v>
      </c>
      <c r="J71" s="14">
        <f>IF(ISNUMBER(Klisz_Verbräuche[[#This Row],[2019]]), Klisz_Verbräuche[[#This Row],[2019]]*Emissionsfaktoren[[#This Row],[2019]]/1000, 0)</f>
        <v>0</v>
      </c>
      <c r="K71" s="14">
        <f>IF(ISNUMBER(Klisz_Verbräuche[[#This Row],[2020]]), Klisz_Verbräuche[[#This Row],[2020]]*Emissionsfaktoren[[#This Row],[2020]]/1000, 0)</f>
        <v>0</v>
      </c>
      <c r="L71" s="14">
        <f>IF(ISNUMBER(Klisz_Verbräuche[[#This Row],[2021]]), Klisz_Verbräuche[[#This Row],[2021]]*Emissionsfaktoren[[#This Row],[2021]]/1000, 0)</f>
        <v>0</v>
      </c>
      <c r="M71" s="14">
        <f>IF(ISNUMBER(Klisz_Verbräuche[[#This Row],[2022]]), Klisz_Verbräuche[[#This Row],[2022]]*Emissionsfaktoren[[#This Row],[2022]]/1000, 0)</f>
        <v>0</v>
      </c>
      <c r="N71" s="14">
        <f>IF(ISNUMBER(Klisz_Verbräuche[[#This Row],[2023]]), Klisz_Verbräuche[[#This Row],[2023]]*Emissionsfaktoren[[#This Row],[2023]]/1000, 0)</f>
        <v>0</v>
      </c>
      <c r="O71" s="14">
        <f>IF(ISNUMBER(Klisz_Verbräuche[[#This Row],[2024]]), Klisz_Verbräuche[[#This Row],[2024]]*Emissionsfaktoren[[#This Row],[2024]]/1000, 0)</f>
        <v>0</v>
      </c>
      <c r="P71" s="14">
        <f>IF(ISNUMBER(Klisz_Verbräuche[[#This Row],[2025]]), Klisz_Verbräuche[[#This Row],[2025]]*Emissionsfaktoren[[#This Row],[2025]]/1000, 0)</f>
        <v>0</v>
      </c>
      <c r="Q71" s="14">
        <f>IF(ISNUMBER(Klisz_Verbräuche[[#This Row],[2026]]), Klisz_Verbräuche[[#This Row],[2026]]*Emissionsfaktoren[[#This Row],[2026]]/1000, 0)</f>
        <v>0</v>
      </c>
      <c r="R71" s="14">
        <f>IF(ISNUMBER(Klisz_Verbräuche[[#This Row],[2027]]), Klisz_Verbräuche[[#This Row],[2027]]*Emissionsfaktoren[[#This Row],[2027]]/1000, 0)</f>
        <v>0</v>
      </c>
      <c r="S71" s="14">
        <f>IF(ISNUMBER(Klisz_Verbräuche[[#This Row],[2028]]), Klisz_Verbräuche[[#This Row],[2028]]*Emissionsfaktoren[[#This Row],[2028]]/1000, 0)</f>
        <v>0</v>
      </c>
      <c r="T71" s="14">
        <f>IF(ISNUMBER(Klisz_Verbräuche[[#This Row],[2029]]), Klisz_Verbräuche[[#This Row],[2029]]*Emissionsfaktoren[[#This Row],[2029]]/1000, 0)</f>
        <v>0</v>
      </c>
      <c r="U71" s="14">
        <f>IF(ISNUMBER(Klisz_Verbräuche[[#This Row],[2030]]), Klisz_Verbräuche[[#This Row],[2030]]*Emissionsfaktoren[[#This Row],[2030]]/1000, 0)</f>
        <v>0</v>
      </c>
      <c r="V71" s="14">
        <f>IF(ISNUMBER(Klisz_Verbräuche[[#This Row],[2035]]), Klisz_Verbräuche[[#This Row],[2035]]*Emissionsfaktoren[[#This Row],[2035]]/1000, 0)</f>
        <v>0</v>
      </c>
      <c r="W71" s="14">
        <f>IF(ISNUMBER(Klisz_Verbräuche[[#This Row],[2040]]), Klisz_Verbräuche[[#This Row],[2040]]*Emissionsfaktoren[[#This Row],[2040]]/1000, 0)</f>
        <v>0</v>
      </c>
      <c r="X71" s="14">
        <f>IF(ISNUMBER(Klisz_Verbräuche[[#This Row],[2045]]), Klisz_Verbräuche[[#This Row],[2045]]*Emissionsfaktoren[[#This Row],[2045]]/1000, 0)</f>
        <v>0</v>
      </c>
      <c r="Y71" s="14">
        <f>IF(ISNUMBER(Klisz_Verbräuche[[#This Row],[2050]]), Klisz_Verbräuche[[#This Row],[2050]]*Emissionsfaktoren[[#This Row],[2050]]/1000, 0)</f>
        <v>0</v>
      </c>
    </row>
    <row r="72" spans="2:25" ht="16.5">
      <c r="B72" s="14">
        <v>55</v>
      </c>
      <c r="C72" s="14" t="str">
        <f>Refsz_Verbräuche[[#This Row],[Handlungsfeld]]</f>
        <v>Mobilität 1</v>
      </c>
      <c r="D72" s="19" t="str">
        <f>Refsz_Verbräuche[[#This Row],[Datenpunkt]]</f>
        <v>Studierendenreisen (Outgoing) - Flugreisen</v>
      </c>
      <c r="E72" t="s">
        <v>195</v>
      </c>
      <c r="F72" s="14">
        <f>IF(ISNUMBER(Klisz_Verbräuche[[#This Row],[2015]]), Klisz_Verbräuche[[#This Row],[2015]]*Emissionsfaktoren[[#This Row],[2015]]/1000, 0)</f>
        <v>0</v>
      </c>
      <c r="G72" s="14">
        <f>IF(ISNUMBER(Klisz_Verbräuche[[#This Row],[2016]]), Klisz_Verbräuche[[#This Row],[2016]]*Emissionsfaktoren[[#This Row],[2016]]/1000, 0)</f>
        <v>0</v>
      </c>
      <c r="H72" s="14">
        <f>IF(ISNUMBER(Klisz_Verbräuche[[#This Row],[2017]]), Klisz_Verbräuche[[#This Row],[2017]]*Emissionsfaktoren[[#This Row],[2017]]/1000, 0)</f>
        <v>0</v>
      </c>
      <c r="I72" s="14">
        <f>IF(ISNUMBER(Klisz_Verbräuche[[#This Row],[2018]]), Klisz_Verbräuche[[#This Row],[2018]]*Emissionsfaktoren[[#This Row],[2018]]/1000, 0)</f>
        <v>0</v>
      </c>
      <c r="J72" s="14">
        <f>IF(ISNUMBER(Klisz_Verbräuche[[#This Row],[2019]]), Klisz_Verbräuche[[#This Row],[2019]]*Emissionsfaktoren[[#This Row],[2019]]/1000, 0)</f>
        <v>0</v>
      </c>
      <c r="K72" s="14">
        <f>IF(ISNUMBER(Klisz_Verbräuche[[#This Row],[2020]]), Klisz_Verbräuche[[#This Row],[2020]]*Emissionsfaktoren[[#This Row],[2020]]/1000, 0)</f>
        <v>0</v>
      </c>
      <c r="L72" s="14">
        <f>IF(ISNUMBER(Klisz_Verbräuche[[#This Row],[2021]]), Klisz_Verbräuche[[#This Row],[2021]]*Emissionsfaktoren[[#This Row],[2021]]/1000, 0)</f>
        <v>0</v>
      </c>
      <c r="M72" s="14">
        <f>IF(ISNUMBER(Klisz_Verbräuche[[#This Row],[2022]]), Klisz_Verbräuche[[#This Row],[2022]]*Emissionsfaktoren[[#This Row],[2022]]/1000, 0)</f>
        <v>0</v>
      </c>
      <c r="N72" s="14">
        <f>IF(ISNUMBER(Klisz_Verbräuche[[#This Row],[2023]]), Klisz_Verbräuche[[#This Row],[2023]]*Emissionsfaktoren[[#This Row],[2023]]/1000, 0)</f>
        <v>0</v>
      </c>
      <c r="O72" s="14">
        <f>IF(ISNUMBER(Klisz_Verbräuche[[#This Row],[2024]]), Klisz_Verbräuche[[#This Row],[2024]]*Emissionsfaktoren[[#This Row],[2024]]/1000, 0)</f>
        <v>0</v>
      </c>
      <c r="P72" s="14">
        <f>IF(ISNUMBER(Klisz_Verbräuche[[#This Row],[2025]]), Klisz_Verbräuche[[#This Row],[2025]]*Emissionsfaktoren[[#This Row],[2025]]/1000, 0)</f>
        <v>0</v>
      </c>
      <c r="Q72" s="14">
        <f>IF(ISNUMBER(Klisz_Verbräuche[[#This Row],[2026]]), Klisz_Verbräuche[[#This Row],[2026]]*Emissionsfaktoren[[#This Row],[2026]]/1000, 0)</f>
        <v>0</v>
      </c>
      <c r="R72" s="14">
        <f>IF(ISNUMBER(Klisz_Verbräuche[[#This Row],[2027]]), Klisz_Verbräuche[[#This Row],[2027]]*Emissionsfaktoren[[#This Row],[2027]]/1000, 0)</f>
        <v>0</v>
      </c>
      <c r="S72" s="14">
        <f>IF(ISNUMBER(Klisz_Verbräuche[[#This Row],[2028]]), Klisz_Verbräuche[[#This Row],[2028]]*Emissionsfaktoren[[#This Row],[2028]]/1000, 0)</f>
        <v>0</v>
      </c>
      <c r="T72" s="14">
        <f>IF(ISNUMBER(Klisz_Verbräuche[[#This Row],[2029]]), Klisz_Verbräuche[[#This Row],[2029]]*Emissionsfaktoren[[#This Row],[2029]]/1000, 0)</f>
        <v>0</v>
      </c>
      <c r="U72" s="14">
        <f>IF(ISNUMBER(Klisz_Verbräuche[[#This Row],[2030]]), Klisz_Verbräuche[[#This Row],[2030]]*Emissionsfaktoren[[#This Row],[2030]]/1000, 0)</f>
        <v>0</v>
      </c>
      <c r="V72" s="14">
        <f>IF(ISNUMBER(Klisz_Verbräuche[[#This Row],[2035]]), Klisz_Verbräuche[[#This Row],[2035]]*Emissionsfaktoren[[#This Row],[2035]]/1000, 0)</f>
        <v>0</v>
      </c>
      <c r="W72" s="14">
        <f>IF(ISNUMBER(Klisz_Verbräuche[[#This Row],[2040]]), Klisz_Verbräuche[[#This Row],[2040]]*Emissionsfaktoren[[#This Row],[2040]]/1000, 0)</f>
        <v>0</v>
      </c>
      <c r="X72" s="14">
        <f>IF(ISNUMBER(Klisz_Verbräuche[[#This Row],[2045]]), Klisz_Verbräuche[[#This Row],[2045]]*Emissionsfaktoren[[#This Row],[2045]]/1000, 0)</f>
        <v>0</v>
      </c>
      <c r="Y72" s="14">
        <f>IF(ISNUMBER(Klisz_Verbräuche[[#This Row],[2050]]), Klisz_Verbräuche[[#This Row],[2050]]*Emissionsfaktoren[[#This Row],[2050]]/1000, 0)</f>
        <v>0</v>
      </c>
    </row>
    <row r="73" spans="2:25" ht="16.5">
      <c r="B73" s="14">
        <v>56</v>
      </c>
      <c r="C73" s="14" t="str">
        <f>Refsz_Verbräuche[[#This Row],[Handlungsfeld]]</f>
        <v>Mobilität 1</v>
      </c>
      <c r="D73" s="19" t="str">
        <f>Refsz_Verbräuche[[#This Row],[Datenpunkt]]</f>
        <v>Studierendenreisen (Outgoing) - Eisenbahn (Nahverkehr)</v>
      </c>
      <c r="E73" t="s">
        <v>195</v>
      </c>
      <c r="F73" s="14">
        <f>IF(ISNUMBER(Klisz_Verbräuche[[#This Row],[2015]]), Klisz_Verbräuche[[#This Row],[2015]]*Emissionsfaktoren[[#This Row],[2015]]/1000, 0)</f>
        <v>0</v>
      </c>
      <c r="G73" s="14">
        <f>IF(ISNUMBER(Klisz_Verbräuche[[#This Row],[2016]]), Klisz_Verbräuche[[#This Row],[2016]]*Emissionsfaktoren[[#This Row],[2016]]/1000, 0)</f>
        <v>0</v>
      </c>
      <c r="H73" s="14">
        <f>IF(ISNUMBER(Klisz_Verbräuche[[#This Row],[2017]]), Klisz_Verbräuche[[#This Row],[2017]]*Emissionsfaktoren[[#This Row],[2017]]/1000, 0)</f>
        <v>0</v>
      </c>
      <c r="I73" s="14">
        <f>IF(ISNUMBER(Klisz_Verbräuche[[#This Row],[2018]]), Klisz_Verbräuche[[#This Row],[2018]]*Emissionsfaktoren[[#This Row],[2018]]/1000, 0)</f>
        <v>0</v>
      </c>
      <c r="J73" s="14">
        <f>IF(ISNUMBER(Klisz_Verbräuche[[#This Row],[2019]]), Klisz_Verbräuche[[#This Row],[2019]]*Emissionsfaktoren[[#This Row],[2019]]/1000, 0)</f>
        <v>0</v>
      </c>
      <c r="K73" s="14">
        <f>IF(ISNUMBER(Klisz_Verbräuche[[#This Row],[2020]]), Klisz_Verbräuche[[#This Row],[2020]]*Emissionsfaktoren[[#This Row],[2020]]/1000, 0)</f>
        <v>0</v>
      </c>
      <c r="L73" s="14">
        <f>IF(ISNUMBER(Klisz_Verbräuche[[#This Row],[2021]]), Klisz_Verbräuche[[#This Row],[2021]]*Emissionsfaktoren[[#This Row],[2021]]/1000, 0)</f>
        <v>0</v>
      </c>
      <c r="M73" s="14">
        <f>IF(ISNUMBER(Klisz_Verbräuche[[#This Row],[2022]]), Klisz_Verbräuche[[#This Row],[2022]]*Emissionsfaktoren[[#This Row],[2022]]/1000, 0)</f>
        <v>0</v>
      </c>
      <c r="N73" s="14">
        <f>IF(ISNUMBER(Klisz_Verbräuche[[#This Row],[2023]]), Klisz_Verbräuche[[#This Row],[2023]]*Emissionsfaktoren[[#This Row],[2023]]/1000, 0)</f>
        <v>0</v>
      </c>
      <c r="O73" s="14">
        <f>IF(ISNUMBER(Klisz_Verbräuche[[#This Row],[2024]]), Klisz_Verbräuche[[#This Row],[2024]]*Emissionsfaktoren[[#This Row],[2024]]/1000, 0)</f>
        <v>0</v>
      </c>
      <c r="P73" s="14">
        <f>IF(ISNUMBER(Klisz_Verbräuche[[#This Row],[2025]]), Klisz_Verbräuche[[#This Row],[2025]]*Emissionsfaktoren[[#This Row],[2025]]/1000, 0)</f>
        <v>0</v>
      </c>
      <c r="Q73" s="14">
        <f>IF(ISNUMBER(Klisz_Verbräuche[[#This Row],[2026]]), Klisz_Verbräuche[[#This Row],[2026]]*Emissionsfaktoren[[#This Row],[2026]]/1000, 0)</f>
        <v>0</v>
      </c>
      <c r="R73" s="14">
        <f>IF(ISNUMBER(Klisz_Verbräuche[[#This Row],[2027]]), Klisz_Verbräuche[[#This Row],[2027]]*Emissionsfaktoren[[#This Row],[2027]]/1000, 0)</f>
        <v>0</v>
      </c>
      <c r="S73" s="14">
        <f>IF(ISNUMBER(Klisz_Verbräuche[[#This Row],[2028]]), Klisz_Verbräuche[[#This Row],[2028]]*Emissionsfaktoren[[#This Row],[2028]]/1000, 0)</f>
        <v>0</v>
      </c>
      <c r="T73" s="14">
        <f>IF(ISNUMBER(Klisz_Verbräuche[[#This Row],[2029]]), Klisz_Verbräuche[[#This Row],[2029]]*Emissionsfaktoren[[#This Row],[2029]]/1000, 0)</f>
        <v>0</v>
      </c>
      <c r="U73" s="14">
        <f>IF(ISNUMBER(Klisz_Verbräuche[[#This Row],[2030]]), Klisz_Verbräuche[[#This Row],[2030]]*Emissionsfaktoren[[#This Row],[2030]]/1000, 0)</f>
        <v>0</v>
      </c>
      <c r="V73" s="14">
        <f>IF(ISNUMBER(Klisz_Verbräuche[[#This Row],[2035]]), Klisz_Verbräuche[[#This Row],[2035]]*Emissionsfaktoren[[#This Row],[2035]]/1000, 0)</f>
        <v>0</v>
      </c>
      <c r="W73" s="14">
        <f>IF(ISNUMBER(Klisz_Verbräuche[[#This Row],[2040]]), Klisz_Verbräuche[[#This Row],[2040]]*Emissionsfaktoren[[#This Row],[2040]]/1000, 0)</f>
        <v>0</v>
      </c>
      <c r="X73" s="14">
        <f>IF(ISNUMBER(Klisz_Verbräuche[[#This Row],[2045]]), Klisz_Verbräuche[[#This Row],[2045]]*Emissionsfaktoren[[#This Row],[2045]]/1000, 0)</f>
        <v>0</v>
      </c>
      <c r="Y73" s="14">
        <f>IF(ISNUMBER(Klisz_Verbräuche[[#This Row],[2050]]), Klisz_Verbräuche[[#This Row],[2050]]*Emissionsfaktoren[[#This Row],[2050]]/1000, 0)</f>
        <v>0</v>
      </c>
    </row>
    <row r="74" spans="2:25" ht="16.5">
      <c r="B74" s="14">
        <v>57</v>
      </c>
      <c r="C74" s="14" t="str">
        <f>Refsz_Verbräuche[[#This Row],[Handlungsfeld]]</f>
        <v>Mobilität 1</v>
      </c>
      <c r="D74" s="19" t="str">
        <f>Refsz_Verbräuche[[#This Row],[Datenpunkt]]</f>
        <v>Studierendenreisen (Outgoing) - Privater PKW (alle Antriebsarten)</v>
      </c>
      <c r="E74" t="s">
        <v>195</v>
      </c>
      <c r="F74" s="14">
        <f>IF(ISNUMBER(Klisz_Verbräuche[[#This Row],[2015]]), Klisz_Verbräuche[[#This Row],[2015]]*Emissionsfaktoren[[#This Row],[2015]]/1000, 0)</f>
        <v>0</v>
      </c>
      <c r="G74" s="14">
        <f>IF(ISNUMBER(Klisz_Verbräuche[[#This Row],[2016]]), Klisz_Verbräuche[[#This Row],[2016]]*Emissionsfaktoren[[#This Row],[2016]]/1000, 0)</f>
        <v>0</v>
      </c>
      <c r="H74" s="14">
        <f>IF(ISNUMBER(Klisz_Verbräuche[[#This Row],[2017]]), Klisz_Verbräuche[[#This Row],[2017]]*Emissionsfaktoren[[#This Row],[2017]]/1000, 0)</f>
        <v>0</v>
      </c>
      <c r="I74" s="14">
        <f>IF(ISNUMBER(Klisz_Verbräuche[[#This Row],[2018]]), Klisz_Verbräuche[[#This Row],[2018]]*Emissionsfaktoren[[#This Row],[2018]]/1000, 0)</f>
        <v>0</v>
      </c>
      <c r="J74" s="14">
        <f>IF(ISNUMBER(Klisz_Verbräuche[[#This Row],[2019]]), Klisz_Verbräuche[[#This Row],[2019]]*Emissionsfaktoren[[#This Row],[2019]]/1000, 0)</f>
        <v>0</v>
      </c>
      <c r="K74" s="14">
        <f>IF(ISNUMBER(Klisz_Verbräuche[[#This Row],[2020]]), Klisz_Verbräuche[[#This Row],[2020]]*Emissionsfaktoren[[#This Row],[2020]]/1000, 0)</f>
        <v>0</v>
      </c>
      <c r="L74" s="14">
        <f>IF(ISNUMBER(Klisz_Verbräuche[[#This Row],[2021]]), Klisz_Verbräuche[[#This Row],[2021]]*Emissionsfaktoren[[#This Row],[2021]]/1000, 0)</f>
        <v>0</v>
      </c>
      <c r="M74" s="14">
        <f>IF(ISNUMBER(Klisz_Verbräuche[[#This Row],[2022]]), Klisz_Verbräuche[[#This Row],[2022]]*Emissionsfaktoren[[#This Row],[2022]]/1000, 0)</f>
        <v>0</v>
      </c>
      <c r="N74" s="14">
        <f>IF(ISNUMBER(Klisz_Verbräuche[[#This Row],[2023]]), Klisz_Verbräuche[[#This Row],[2023]]*Emissionsfaktoren[[#This Row],[2023]]/1000, 0)</f>
        <v>0</v>
      </c>
      <c r="O74" s="14">
        <f>IF(ISNUMBER(Klisz_Verbräuche[[#This Row],[2024]]), Klisz_Verbräuche[[#This Row],[2024]]*Emissionsfaktoren[[#This Row],[2024]]/1000, 0)</f>
        <v>0</v>
      </c>
      <c r="P74" s="14">
        <f>IF(ISNUMBER(Klisz_Verbräuche[[#This Row],[2025]]), Klisz_Verbräuche[[#This Row],[2025]]*Emissionsfaktoren[[#This Row],[2025]]/1000, 0)</f>
        <v>0</v>
      </c>
      <c r="Q74" s="14">
        <f>IF(ISNUMBER(Klisz_Verbräuche[[#This Row],[2026]]), Klisz_Verbräuche[[#This Row],[2026]]*Emissionsfaktoren[[#This Row],[2026]]/1000, 0)</f>
        <v>0</v>
      </c>
      <c r="R74" s="14">
        <f>IF(ISNUMBER(Klisz_Verbräuche[[#This Row],[2027]]), Klisz_Verbräuche[[#This Row],[2027]]*Emissionsfaktoren[[#This Row],[2027]]/1000, 0)</f>
        <v>0</v>
      </c>
      <c r="S74" s="14">
        <f>IF(ISNUMBER(Klisz_Verbräuche[[#This Row],[2028]]), Klisz_Verbräuche[[#This Row],[2028]]*Emissionsfaktoren[[#This Row],[2028]]/1000, 0)</f>
        <v>0</v>
      </c>
      <c r="T74" s="14">
        <f>IF(ISNUMBER(Klisz_Verbräuche[[#This Row],[2029]]), Klisz_Verbräuche[[#This Row],[2029]]*Emissionsfaktoren[[#This Row],[2029]]/1000, 0)</f>
        <v>0</v>
      </c>
      <c r="U74" s="14">
        <f>IF(ISNUMBER(Klisz_Verbräuche[[#This Row],[2030]]), Klisz_Verbräuche[[#This Row],[2030]]*Emissionsfaktoren[[#This Row],[2030]]/1000, 0)</f>
        <v>0</v>
      </c>
      <c r="V74" s="14">
        <f>IF(ISNUMBER(Klisz_Verbräuche[[#This Row],[2035]]), Klisz_Verbräuche[[#This Row],[2035]]*Emissionsfaktoren[[#This Row],[2035]]/1000, 0)</f>
        <v>0</v>
      </c>
      <c r="W74" s="14">
        <f>IF(ISNUMBER(Klisz_Verbräuche[[#This Row],[2040]]), Klisz_Verbräuche[[#This Row],[2040]]*Emissionsfaktoren[[#This Row],[2040]]/1000, 0)</f>
        <v>0</v>
      </c>
      <c r="X74" s="14">
        <f>IF(ISNUMBER(Klisz_Verbräuche[[#This Row],[2045]]), Klisz_Verbräuche[[#This Row],[2045]]*Emissionsfaktoren[[#This Row],[2045]]/1000, 0)</f>
        <v>0</v>
      </c>
      <c r="Y74" s="14">
        <f>IF(ISNUMBER(Klisz_Verbräuche[[#This Row],[2050]]), Klisz_Verbräuche[[#This Row],[2050]]*Emissionsfaktoren[[#This Row],[2050]]/1000, 0)</f>
        <v>0</v>
      </c>
    </row>
    <row r="75" spans="2:25" ht="16.5">
      <c r="B75" s="14">
        <v>58</v>
      </c>
      <c r="C75" s="14">
        <f>Refsz_Verbräuche[[#This Row],[Handlungsfeld]]</f>
        <v>0</v>
      </c>
      <c r="D75" s="19">
        <f>Refsz_Verbräuche[[#This Row],[Datenpunkt]]</f>
        <v>0</v>
      </c>
      <c r="E75" t="s">
        <v>195</v>
      </c>
      <c r="F75" s="14">
        <f>IF(ISNUMBER(Klisz_Verbräuche[[#This Row],[2015]]), Klisz_Verbräuche[[#This Row],[2015]]*Emissionsfaktoren[[#This Row],[2015]]/1000, 0)</f>
        <v>0</v>
      </c>
      <c r="G75" s="14">
        <f>IF(ISNUMBER(Klisz_Verbräuche[[#This Row],[2016]]), Klisz_Verbräuche[[#This Row],[2016]]*Emissionsfaktoren[[#This Row],[2016]]/1000, 0)</f>
        <v>0</v>
      </c>
      <c r="H75" s="14">
        <f>IF(ISNUMBER(Klisz_Verbräuche[[#This Row],[2017]]), Klisz_Verbräuche[[#This Row],[2017]]*Emissionsfaktoren[[#This Row],[2017]]/1000, 0)</f>
        <v>0</v>
      </c>
      <c r="I75" s="14">
        <f>IF(ISNUMBER(Klisz_Verbräuche[[#This Row],[2018]]), Klisz_Verbräuche[[#This Row],[2018]]*Emissionsfaktoren[[#This Row],[2018]]/1000, 0)</f>
        <v>0</v>
      </c>
      <c r="J75" s="14">
        <f>IF(ISNUMBER(Klisz_Verbräuche[[#This Row],[2019]]), Klisz_Verbräuche[[#This Row],[2019]]*Emissionsfaktoren[[#This Row],[2019]]/1000, 0)</f>
        <v>0</v>
      </c>
      <c r="K75" s="14">
        <f>IF(ISNUMBER(Klisz_Verbräuche[[#This Row],[2020]]), Klisz_Verbräuche[[#This Row],[2020]]*Emissionsfaktoren[[#This Row],[2020]]/1000, 0)</f>
        <v>0</v>
      </c>
      <c r="L75" s="14">
        <f>IF(ISNUMBER(Klisz_Verbräuche[[#This Row],[2021]]), Klisz_Verbräuche[[#This Row],[2021]]*Emissionsfaktoren[[#This Row],[2021]]/1000, 0)</f>
        <v>0</v>
      </c>
      <c r="M75" s="14">
        <f>IF(ISNUMBER(Klisz_Verbräuche[[#This Row],[2022]]), Klisz_Verbräuche[[#This Row],[2022]]*Emissionsfaktoren[[#This Row],[2022]]/1000, 0)</f>
        <v>0</v>
      </c>
      <c r="N75" s="14">
        <f>IF(ISNUMBER(Klisz_Verbräuche[[#This Row],[2023]]), Klisz_Verbräuche[[#This Row],[2023]]*Emissionsfaktoren[[#This Row],[2023]]/1000, 0)</f>
        <v>0</v>
      </c>
      <c r="O75" s="14">
        <f>IF(ISNUMBER(Klisz_Verbräuche[[#This Row],[2024]]), Klisz_Verbräuche[[#This Row],[2024]]*Emissionsfaktoren[[#This Row],[2024]]/1000, 0)</f>
        <v>0</v>
      </c>
      <c r="P75" s="14">
        <f>IF(ISNUMBER(Klisz_Verbräuche[[#This Row],[2025]]), Klisz_Verbräuche[[#This Row],[2025]]*Emissionsfaktoren[[#This Row],[2025]]/1000, 0)</f>
        <v>0</v>
      </c>
      <c r="Q75" s="14">
        <f>IF(ISNUMBER(Klisz_Verbräuche[[#This Row],[2026]]), Klisz_Verbräuche[[#This Row],[2026]]*Emissionsfaktoren[[#This Row],[2026]]/1000, 0)</f>
        <v>0</v>
      </c>
      <c r="R75" s="14">
        <f>IF(ISNUMBER(Klisz_Verbräuche[[#This Row],[2027]]), Klisz_Verbräuche[[#This Row],[2027]]*Emissionsfaktoren[[#This Row],[2027]]/1000, 0)</f>
        <v>0</v>
      </c>
      <c r="S75" s="14">
        <f>IF(ISNUMBER(Klisz_Verbräuche[[#This Row],[2028]]), Klisz_Verbräuche[[#This Row],[2028]]*Emissionsfaktoren[[#This Row],[2028]]/1000, 0)</f>
        <v>0</v>
      </c>
      <c r="T75" s="14">
        <f>IF(ISNUMBER(Klisz_Verbräuche[[#This Row],[2029]]), Klisz_Verbräuche[[#This Row],[2029]]*Emissionsfaktoren[[#This Row],[2029]]/1000, 0)</f>
        <v>0</v>
      </c>
      <c r="U75" s="14">
        <f>IF(ISNUMBER(Klisz_Verbräuche[[#This Row],[2030]]), Klisz_Verbräuche[[#This Row],[2030]]*Emissionsfaktoren[[#This Row],[2030]]/1000, 0)</f>
        <v>0</v>
      </c>
      <c r="V75" s="14">
        <f>IF(ISNUMBER(Klisz_Verbräuche[[#This Row],[2035]]), Klisz_Verbräuche[[#This Row],[2035]]*Emissionsfaktoren[[#This Row],[2035]]/1000, 0)</f>
        <v>0</v>
      </c>
      <c r="W75" s="14">
        <f>IF(ISNUMBER(Klisz_Verbräuche[[#This Row],[2040]]), Klisz_Verbräuche[[#This Row],[2040]]*Emissionsfaktoren[[#This Row],[2040]]/1000, 0)</f>
        <v>0</v>
      </c>
      <c r="X75" s="14">
        <f>IF(ISNUMBER(Klisz_Verbräuche[[#This Row],[2045]]), Klisz_Verbräuche[[#This Row],[2045]]*Emissionsfaktoren[[#This Row],[2045]]/1000, 0)</f>
        <v>0</v>
      </c>
      <c r="Y75" s="14">
        <f>IF(ISNUMBER(Klisz_Verbräuche[[#This Row],[2050]]), Klisz_Verbräuche[[#This Row],[2050]]*Emissionsfaktoren[[#This Row],[2050]]/1000, 0)</f>
        <v>0</v>
      </c>
    </row>
    <row r="76" spans="2:25" ht="16.5">
      <c r="B76" s="14">
        <v>59</v>
      </c>
      <c r="C76" s="14" t="str">
        <f>Refsz_Verbräuche[[#This Row],[Handlungsfeld]]</f>
        <v>Mobilität 1</v>
      </c>
      <c r="D76" s="19" t="str">
        <f>Refsz_Verbräuche[[#This Row],[Datenpunkt]]</f>
        <v>Exkursionen - Flugreisen</v>
      </c>
      <c r="E76" t="s">
        <v>195</v>
      </c>
      <c r="F76" s="14">
        <f>IF(ISNUMBER(Klisz_Verbräuche[[#This Row],[2015]]), Klisz_Verbräuche[[#This Row],[2015]]*Emissionsfaktoren[[#This Row],[2015]]/1000, 0)</f>
        <v>0</v>
      </c>
      <c r="G76" s="14">
        <f>IF(ISNUMBER(Klisz_Verbräuche[[#This Row],[2016]]), Klisz_Verbräuche[[#This Row],[2016]]*Emissionsfaktoren[[#This Row],[2016]]/1000, 0)</f>
        <v>0</v>
      </c>
      <c r="H76" s="14">
        <f>IF(ISNUMBER(Klisz_Verbräuche[[#This Row],[2017]]), Klisz_Verbräuche[[#This Row],[2017]]*Emissionsfaktoren[[#This Row],[2017]]/1000, 0)</f>
        <v>0</v>
      </c>
      <c r="I76" s="14">
        <f>IF(ISNUMBER(Klisz_Verbräuche[[#This Row],[2018]]), Klisz_Verbräuche[[#This Row],[2018]]*Emissionsfaktoren[[#This Row],[2018]]/1000, 0)</f>
        <v>0</v>
      </c>
      <c r="J76" s="14">
        <f>IF(ISNUMBER(Klisz_Verbräuche[[#This Row],[2019]]), Klisz_Verbräuche[[#This Row],[2019]]*Emissionsfaktoren[[#This Row],[2019]]/1000, 0)</f>
        <v>0</v>
      </c>
      <c r="K76" s="14">
        <f>IF(ISNUMBER(Klisz_Verbräuche[[#This Row],[2020]]), Klisz_Verbräuche[[#This Row],[2020]]*Emissionsfaktoren[[#This Row],[2020]]/1000, 0)</f>
        <v>0</v>
      </c>
      <c r="L76" s="14">
        <f>IF(ISNUMBER(Klisz_Verbräuche[[#This Row],[2021]]), Klisz_Verbräuche[[#This Row],[2021]]*Emissionsfaktoren[[#This Row],[2021]]/1000, 0)</f>
        <v>0</v>
      </c>
      <c r="M76" s="14">
        <f>IF(ISNUMBER(Klisz_Verbräuche[[#This Row],[2022]]), Klisz_Verbräuche[[#This Row],[2022]]*Emissionsfaktoren[[#This Row],[2022]]/1000, 0)</f>
        <v>0</v>
      </c>
      <c r="N76" s="14">
        <f>IF(ISNUMBER(Klisz_Verbräuche[[#This Row],[2023]]), Klisz_Verbräuche[[#This Row],[2023]]*Emissionsfaktoren[[#This Row],[2023]]/1000, 0)</f>
        <v>0</v>
      </c>
      <c r="O76" s="14">
        <f>IF(ISNUMBER(Klisz_Verbräuche[[#This Row],[2024]]), Klisz_Verbräuche[[#This Row],[2024]]*Emissionsfaktoren[[#This Row],[2024]]/1000, 0)</f>
        <v>0</v>
      </c>
      <c r="P76" s="14">
        <f>IF(ISNUMBER(Klisz_Verbräuche[[#This Row],[2025]]), Klisz_Verbräuche[[#This Row],[2025]]*Emissionsfaktoren[[#This Row],[2025]]/1000, 0)</f>
        <v>0</v>
      </c>
      <c r="Q76" s="14">
        <f>IF(ISNUMBER(Klisz_Verbräuche[[#This Row],[2026]]), Klisz_Verbräuche[[#This Row],[2026]]*Emissionsfaktoren[[#This Row],[2026]]/1000, 0)</f>
        <v>0</v>
      </c>
      <c r="R76" s="14">
        <f>IF(ISNUMBER(Klisz_Verbräuche[[#This Row],[2027]]), Klisz_Verbräuche[[#This Row],[2027]]*Emissionsfaktoren[[#This Row],[2027]]/1000, 0)</f>
        <v>0</v>
      </c>
      <c r="S76" s="14">
        <f>IF(ISNUMBER(Klisz_Verbräuche[[#This Row],[2028]]), Klisz_Verbräuche[[#This Row],[2028]]*Emissionsfaktoren[[#This Row],[2028]]/1000, 0)</f>
        <v>0</v>
      </c>
      <c r="T76" s="14">
        <f>IF(ISNUMBER(Klisz_Verbräuche[[#This Row],[2029]]), Klisz_Verbräuche[[#This Row],[2029]]*Emissionsfaktoren[[#This Row],[2029]]/1000, 0)</f>
        <v>0</v>
      </c>
      <c r="U76" s="14">
        <f>IF(ISNUMBER(Klisz_Verbräuche[[#This Row],[2030]]), Klisz_Verbräuche[[#This Row],[2030]]*Emissionsfaktoren[[#This Row],[2030]]/1000, 0)</f>
        <v>0</v>
      </c>
      <c r="V76" s="14">
        <f>IF(ISNUMBER(Klisz_Verbräuche[[#This Row],[2035]]), Klisz_Verbräuche[[#This Row],[2035]]*Emissionsfaktoren[[#This Row],[2035]]/1000, 0)</f>
        <v>0</v>
      </c>
      <c r="W76" s="14">
        <f>IF(ISNUMBER(Klisz_Verbräuche[[#This Row],[2040]]), Klisz_Verbräuche[[#This Row],[2040]]*Emissionsfaktoren[[#This Row],[2040]]/1000, 0)</f>
        <v>0</v>
      </c>
      <c r="X76" s="14">
        <f>IF(ISNUMBER(Klisz_Verbräuche[[#This Row],[2045]]), Klisz_Verbräuche[[#This Row],[2045]]*Emissionsfaktoren[[#This Row],[2045]]/1000, 0)</f>
        <v>0</v>
      </c>
      <c r="Y76" s="14">
        <f>IF(ISNUMBER(Klisz_Verbräuche[[#This Row],[2050]]), Klisz_Verbräuche[[#This Row],[2050]]*Emissionsfaktoren[[#This Row],[2050]]/1000, 0)</f>
        <v>0</v>
      </c>
    </row>
    <row r="77" spans="2:25" ht="16.5">
      <c r="B77" s="14">
        <v>60</v>
      </c>
      <c r="C77" s="14" t="str">
        <f>Refsz_Verbräuche[[#This Row],[Handlungsfeld]]</f>
        <v>Mobilität 1</v>
      </c>
      <c r="D77" s="19" t="str">
        <f>Refsz_Verbräuche[[#This Row],[Datenpunkt]]</f>
        <v>Exkursionen - Eisenbahn (Nahverkehr)</v>
      </c>
      <c r="E77" t="s">
        <v>195</v>
      </c>
      <c r="F77" s="14">
        <f>IF(ISNUMBER(Klisz_Verbräuche[[#This Row],[2015]]), Klisz_Verbräuche[[#This Row],[2015]]*Emissionsfaktoren[[#This Row],[2015]]/1000, 0)</f>
        <v>0</v>
      </c>
      <c r="G77" s="14">
        <f>IF(ISNUMBER(Klisz_Verbräuche[[#This Row],[2016]]), Klisz_Verbräuche[[#This Row],[2016]]*Emissionsfaktoren[[#This Row],[2016]]/1000, 0)</f>
        <v>0</v>
      </c>
      <c r="H77" s="14">
        <f>IF(ISNUMBER(Klisz_Verbräuche[[#This Row],[2017]]), Klisz_Verbräuche[[#This Row],[2017]]*Emissionsfaktoren[[#This Row],[2017]]/1000, 0)</f>
        <v>0</v>
      </c>
      <c r="I77" s="14">
        <f>IF(ISNUMBER(Klisz_Verbräuche[[#This Row],[2018]]), Klisz_Verbräuche[[#This Row],[2018]]*Emissionsfaktoren[[#This Row],[2018]]/1000, 0)</f>
        <v>0</v>
      </c>
      <c r="J77" s="14">
        <f>IF(ISNUMBER(Klisz_Verbräuche[[#This Row],[2019]]), Klisz_Verbräuche[[#This Row],[2019]]*Emissionsfaktoren[[#This Row],[2019]]/1000, 0)</f>
        <v>0</v>
      </c>
      <c r="K77" s="14">
        <f>IF(ISNUMBER(Klisz_Verbräuche[[#This Row],[2020]]), Klisz_Verbräuche[[#This Row],[2020]]*Emissionsfaktoren[[#This Row],[2020]]/1000, 0)</f>
        <v>0</v>
      </c>
      <c r="L77" s="14">
        <f>IF(ISNUMBER(Klisz_Verbräuche[[#This Row],[2021]]), Klisz_Verbräuche[[#This Row],[2021]]*Emissionsfaktoren[[#This Row],[2021]]/1000, 0)</f>
        <v>0</v>
      </c>
      <c r="M77" s="14">
        <f>IF(ISNUMBER(Klisz_Verbräuche[[#This Row],[2022]]), Klisz_Verbräuche[[#This Row],[2022]]*Emissionsfaktoren[[#This Row],[2022]]/1000, 0)</f>
        <v>0</v>
      </c>
      <c r="N77" s="14">
        <f>IF(ISNUMBER(Klisz_Verbräuche[[#This Row],[2023]]), Klisz_Verbräuche[[#This Row],[2023]]*Emissionsfaktoren[[#This Row],[2023]]/1000, 0)</f>
        <v>0</v>
      </c>
      <c r="O77" s="14">
        <f>IF(ISNUMBER(Klisz_Verbräuche[[#This Row],[2024]]), Klisz_Verbräuche[[#This Row],[2024]]*Emissionsfaktoren[[#This Row],[2024]]/1000, 0)</f>
        <v>0</v>
      </c>
      <c r="P77" s="14">
        <f>IF(ISNUMBER(Klisz_Verbräuche[[#This Row],[2025]]), Klisz_Verbräuche[[#This Row],[2025]]*Emissionsfaktoren[[#This Row],[2025]]/1000, 0)</f>
        <v>0</v>
      </c>
      <c r="Q77" s="14">
        <f>IF(ISNUMBER(Klisz_Verbräuche[[#This Row],[2026]]), Klisz_Verbräuche[[#This Row],[2026]]*Emissionsfaktoren[[#This Row],[2026]]/1000, 0)</f>
        <v>0</v>
      </c>
      <c r="R77" s="14">
        <f>IF(ISNUMBER(Klisz_Verbräuche[[#This Row],[2027]]), Klisz_Verbräuche[[#This Row],[2027]]*Emissionsfaktoren[[#This Row],[2027]]/1000, 0)</f>
        <v>0</v>
      </c>
      <c r="S77" s="14">
        <f>IF(ISNUMBER(Klisz_Verbräuche[[#This Row],[2028]]), Klisz_Verbräuche[[#This Row],[2028]]*Emissionsfaktoren[[#This Row],[2028]]/1000, 0)</f>
        <v>0</v>
      </c>
      <c r="T77" s="14">
        <f>IF(ISNUMBER(Klisz_Verbräuche[[#This Row],[2029]]), Klisz_Verbräuche[[#This Row],[2029]]*Emissionsfaktoren[[#This Row],[2029]]/1000, 0)</f>
        <v>0</v>
      </c>
      <c r="U77" s="14">
        <f>IF(ISNUMBER(Klisz_Verbräuche[[#This Row],[2030]]), Klisz_Verbräuche[[#This Row],[2030]]*Emissionsfaktoren[[#This Row],[2030]]/1000, 0)</f>
        <v>0</v>
      </c>
      <c r="V77" s="14">
        <f>IF(ISNUMBER(Klisz_Verbräuche[[#This Row],[2035]]), Klisz_Verbräuche[[#This Row],[2035]]*Emissionsfaktoren[[#This Row],[2035]]/1000, 0)</f>
        <v>0</v>
      </c>
      <c r="W77" s="14">
        <f>IF(ISNUMBER(Klisz_Verbräuche[[#This Row],[2040]]), Klisz_Verbräuche[[#This Row],[2040]]*Emissionsfaktoren[[#This Row],[2040]]/1000, 0)</f>
        <v>0</v>
      </c>
      <c r="X77" s="14">
        <f>IF(ISNUMBER(Klisz_Verbräuche[[#This Row],[2045]]), Klisz_Verbräuche[[#This Row],[2045]]*Emissionsfaktoren[[#This Row],[2045]]/1000, 0)</f>
        <v>0</v>
      </c>
      <c r="Y77" s="14">
        <f>IF(ISNUMBER(Klisz_Verbräuche[[#This Row],[2050]]), Klisz_Verbräuche[[#This Row],[2050]]*Emissionsfaktoren[[#This Row],[2050]]/1000, 0)</f>
        <v>0</v>
      </c>
    </row>
    <row r="78" spans="2:25" ht="16.5">
      <c r="B78" s="14">
        <v>61</v>
      </c>
      <c r="C78" s="14" t="str">
        <f>Refsz_Verbräuche[[#This Row],[Handlungsfeld]]</f>
        <v>Mobilität 1</v>
      </c>
      <c r="D78" s="19" t="str">
        <f>Refsz_Verbräuche[[#This Row],[Datenpunkt]]</f>
        <v>Exkursionen - Privater PKW (alle Antriebsarten)</v>
      </c>
      <c r="E78" t="s">
        <v>195</v>
      </c>
      <c r="F78" s="14">
        <f>IF(ISNUMBER(Klisz_Verbräuche[[#This Row],[2015]]), Klisz_Verbräuche[[#This Row],[2015]]*Emissionsfaktoren[[#This Row],[2015]]/1000, 0)</f>
        <v>0</v>
      </c>
      <c r="G78" s="14">
        <f>IF(ISNUMBER(Klisz_Verbräuche[[#This Row],[2016]]), Klisz_Verbräuche[[#This Row],[2016]]*Emissionsfaktoren[[#This Row],[2016]]/1000, 0)</f>
        <v>0</v>
      </c>
      <c r="H78" s="14">
        <f>IF(ISNUMBER(Klisz_Verbräuche[[#This Row],[2017]]), Klisz_Verbräuche[[#This Row],[2017]]*Emissionsfaktoren[[#This Row],[2017]]/1000, 0)</f>
        <v>0</v>
      </c>
      <c r="I78" s="14">
        <f>IF(ISNUMBER(Klisz_Verbräuche[[#This Row],[2018]]), Klisz_Verbräuche[[#This Row],[2018]]*Emissionsfaktoren[[#This Row],[2018]]/1000, 0)</f>
        <v>0</v>
      </c>
      <c r="J78" s="14">
        <f>IF(ISNUMBER(Klisz_Verbräuche[[#This Row],[2019]]), Klisz_Verbräuche[[#This Row],[2019]]*Emissionsfaktoren[[#This Row],[2019]]/1000, 0)</f>
        <v>0</v>
      </c>
      <c r="K78" s="14">
        <f>IF(ISNUMBER(Klisz_Verbräuche[[#This Row],[2020]]), Klisz_Verbräuche[[#This Row],[2020]]*Emissionsfaktoren[[#This Row],[2020]]/1000, 0)</f>
        <v>0</v>
      </c>
      <c r="L78" s="14">
        <f>IF(ISNUMBER(Klisz_Verbräuche[[#This Row],[2021]]), Klisz_Verbräuche[[#This Row],[2021]]*Emissionsfaktoren[[#This Row],[2021]]/1000, 0)</f>
        <v>0</v>
      </c>
      <c r="M78" s="14">
        <f>IF(ISNUMBER(Klisz_Verbräuche[[#This Row],[2022]]), Klisz_Verbräuche[[#This Row],[2022]]*Emissionsfaktoren[[#This Row],[2022]]/1000, 0)</f>
        <v>0</v>
      </c>
      <c r="N78" s="14">
        <f>IF(ISNUMBER(Klisz_Verbräuche[[#This Row],[2023]]), Klisz_Verbräuche[[#This Row],[2023]]*Emissionsfaktoren[[#This Row],[2023]]/1000, 0)</f>
        <v>0</v>
      </c>
      <c r="O78" s="14">
        <f>IF(ISNUMBER(Klisz_Verbräuche[[#This Row],[2024]]), Klisz_Verbräuche[[#This Row],[2024]]*Emissionsfaktoren[[#This Row],[2024]]/1000, 0)</f>
        <v>0</v>
      </c>
      <c r="P78" s="14">
        <f>IF(ISNUMBER(Klisz_Verbräuche[[#This Row],[2025]]), Klisz_Verbräuche[[#This Row],[2025]]*Emissionsfaktoren[[#This Row],[2025]]/1000, 0)</f>
        <v>0</v>
      </c>
      <c r="Q78" s="14">
        <f>IF(ISNUMBER(Klisz_Verbräuche[[#This Row],[2026]]), Klisz_Verbräuche[[#This Row],[2026]]*Emissionsfaktoren[[#This Row],[2026]]/1000, 0)</f>
        <v>0</v>
      </c>
      <c r="R78" s="14">
        <f>IF(ISNUMBER(Klisz_Verbräuche[[#This Row],[2027]]), Klisz_Verbräuche[[#This Row],[2027]]*Emissionsfaktoren[[#This Row],[2027]]/1000, 0)</f>
        <v>0</v>
      </c>
      <c r="S78" s="14">
        <f>IF(ISNUMBER(Klisz_Verbräuche[[#This Row],[2028]]), Klisz_Verbräuche[[#This Row],[2028]]*Emissionsfaktoren[[#This Row],[2028]]/1000, 0)</f>
        <v>0</v>
      </c>
      <c r="T78" s="14">
        <f>IF(ISNUMBER(Klisz_Verbräuche[[#This Row],[2029]]), Klisz_Verbräuche[[#This Row],[2029]]*Emissionsfaktoren[[#This Row],[2029]]/1000, 0)</f>
        <v>0</v>
      </c>
      <c r="U78" s="14">
        <f>IF(ISNUMBER(Klisz_Verbräuche[[#This Row],[2030]]), Klisz_Verbräuche[[#This Row],[2030]]*Emissionsfaktoren[[#This Row],[2030]]/1000, 0)</f>
        <v>0</v>
      </c>
      <c r="V78" s="14">
        <f>IF(ISNUMBER(Klisz_Verbräuche[[#This Row],[2035]]), Klisz_Verbräuche[[#This Row],[2035]]*Emissionsfaktoren[[#This Row],[2035]]/1000, 0)</f>
        <v>0</v>
      </c>
      <c r="W78" s="14">
        <f>IF(ISNUMBER(Klisz_Verbräuche[[#This Row],[2040]]), Klisz_Verbräuche[[#This Row],[2040]]*Emissionsfaktoren[[#This Row],[2040]]/1000, 0)</f>
        <v>0</v>
      </c>
      <c r="X78" s="14">
        <f>IF(ISNUMBER(Klisz_Verbräuche[[#This Row],[2045]]), Klisz_Verbräuche[[#This Row],[2045]]*Emissionsfaktoren[[#This Row],[2045]]/1000, 0)</f>
        <v>0</v>
      </c>
      <c r="Y78" s="14">
        <f>IF(ISNUMBER(Klisz_Verbräuche[[#This Row],[2050]]), Klisz_Verbräuche[[#This Row],[2050]]*Emissionsfaktoren[[#This Row],[2050]]/1000, 0)</f>
        <v>0</v>
      </c>
    </row>
    <row r="79" spans="2:25" ht="16.5">
      <c r="B79" s="14">
        <v>62</v>
      </c>
      <c r="C79" s="14">
        <f>Refsz_Verbräuche[[#This Row],[Handlungsfeld]]</f>
        <v>0</v>
      </c>
      <c r="D79" s="19">
        <f>Refsz_Verbräuche[[#This Row],[Datenpunkt]]</f>
        <v>0</v>
      </c>
      <c r="E79" t="s">
        <v>195</v>
      </c>
      <c r="F79" s="14">
        <f>IF(ISNUMBER(Klisz_Verbräuche[[#This Row],[2015]]), Klisz_Verbräuche[[#This Row],[2015]]*Emissionsfaktoren[[#This Row],[2015]]/1000, 0)</f>
        <v>0</v>
      </c>
      <c r="G79" s="14">
        <f>IF(ISNUMBER(Klisz_Verbräuche[[#This Row],[2016]]), Klisz_Verbräuche[[#This Row],[2016]]*Emissionsfaktoren[[#This Row],[2016]]/1000, 0)</f>
        <v>0</v>
      </c>
      <c r="H79" s="14">
        <f>IF(ISNUMBER(Klisz_Verbräuche[[#This Row],[2017]]), Klisz_Verbräuche[[#This Row],[2017]]*Emissionsfaktoren[[#This Row],[2017]]/1000, 0)</f>
        <v>0</v>
      </c>
      <c r="I79" s="14">
        <f>IF(ISNUMBER(Klisz_Verbräuche[[#This Row],[2018]]), Klisz_Verbräuche[[#This Row],[2018]]*Emissionsfaktoren[[#This Row],[2018]]/1000, 0)</f>
        <v>0</v>
      </c>
      <c r="J79" s="14">
        <f>IF(ISNUMBER(Klisz_Verbräuche[[#This Row],[2019]]), Klisz_Verbräuche[[#This Row],[2019]]*Emissionsfaktoren[[#This Row],[2019]]/1000, 0)</f>
        <v>0</v>
      </c>
      <c r="K79" s="14">
        <f>IF(ISNUMBER(Klisz_Verbräuche[[#This Row],[2020]]), Klisz_Verbräuche[[#This Row],[2020]]*Emissionsfaktoren[[#This Row],[2020]]/1000, 0)</f>
        <v>0</v>
      </c>
      <c r="L79" s="14">
        <f>IF(ISNUMBER(Klisz_Verbräuche[[#This Row],[2021]]), Klisz_Verbräuche[[#This Row],[2021]]*Emissionsfaktoren[[#This Row],[2021]]/1000, 0)</f>
        <v>0</v>
      </c>
      <c r="M79" s="14">
        <f>IF(ISNUMBER(Klisz_Verbräuche[[#This Row],[2022]]), Klisz_Verbräuche[[#This Row],[2022]]*Emissionsfaktoren[[#This Row],[2022]]/1000, 0)</f>
        <v>0</v>
      </c>
      <c r="N79" s="14">
        <f>IF(ISNUMBER(Klisz_Verbräuche[[#This Row],[2023]]), Klisz_Verbräuche[[#This Row],[2023]]*Emissionsfaktoren[[#This Row],[2023]]/1000, 0)</f>
        <v>0</v>
      </c>
      <c r="O79" s="14">
        <f>IF(ISNUMBER(Klisz_Verbräuche[[#This Row],[2024]]), Klisz_Verbräuche[[#This Row],[2024]]*Emissionsfaktoren[[#This Row],[2024]]/1000, 0)</f>
        <v>0</v>
      </c>
      <c r="P79" s="14">
        <f>IF(ISNUMBER(Klisz_Verbräuche[[#This Row],[2025]]), Klisz_Verbräuche[[#This Row],[2025]]*Emissionsfaktoren[[#This Row],[2025]]/1000, 0)</f>
        <v>0</v>
      </c>
      <c r="Q79" s="14">
        <f>IF(ISNUMBER(Klisz_Verbräuche[[#This Row],[2026]]), Klisz_Verbräuche[[#This Row],[2026]]*Emissionsfaktoren[[#This Row],[2026]]/1000, 0)</f>
        <v>0</v>
      </c>
      <c r="R79" s="14">
        <f>IF(ISNUMBER(Klisz_Verbräuche[[#This Row],[2027]]), Klisz_Verbräuche[[#This Row],[2027]]*Emissionsfaktoren[[#This Row],[2027]]/1000, 0)</f>
        <v>0</v>
      </c>
      <c r="S79" s="14">
        <f>IF(ISNUMBER(Klisz_Verbräuche[[#This Row],[2028]]), Klisz_Verbräuche[[#This Row],[2028]]*Emissionsfaktoren[[#This Row],[2028]]/1000, 0)</f>
        <v>0</v>
      </c>
      <c r="T79" s="14">
        <f>IF(ISNUMBER(Klisz_Verbräuche[[#This Row],[2029]]), Klisz_Verbräuche[[#This Row],[2029]]*Emissionsfaktoren[[#This Row],[2029]]/1000, 0)</f>
        <v>0</v>
      </c>
      <c r="U79" s="14">
        <f>IF(ISNUMBER(Klisz_Verbräuche[[#This Row],[2030]]), Klisz_Verbräuche[[#This Row],[2030]]*Emissionsfaktoren[[#This Row],[2030]]/1000, 0)</f>
        <v>0</v>
      </c>
      <c r="V79" s="14">
        <f>IF(ISNUMBER(Klisz_Verbräuche[[#This Row],[2035]]), Klisz_Verbräuche[[#This Row],[2035]]*Emissionsfaktoren[[#This Row],[2035]]/1000, 0)</f>
        <v>0</v>
      </c>
      <c r="W79" s="14">
        <f>IF(ISNUMBER(Klisz_Verbräuche[[#This Row],[2040]]), Klisz_Verbräuche[[#This Row],[2040]]*Emissionsfaktoren[[#This Row],[2040]]/1000, 0)</f>
        <v>0</v>
      </c>
      <c r="X79" s="14">
        <f>IF(ISNUMBER(Klisz_Verbräuche[[#This Row],[2045]]), Klisz_Verbräuche[[#This Row],[2045]]*Emissionsfaktoren[[#This Row],[2045]]/1000, 0)</f>
        <v>0</v>
      </c>
      <c r="Y79" s="14">
        <f>IF(ISNUMBER(Klisz_Verbräuche[[#This Row],[2050]]), Klisz_Verbräuche[[#This Row],[2050]]*Emissionsfaktoren[[#This Row],[2050]]/1000, 0)</f>
        <v>0</v>
      </c>
    </row>
    <row r="80" spans="2:25" ht="16.5">
      <c r="B80" s="14">
        <v>63</v>
      </c>
      <c r="C80" s="14" t="str">
        <f>Refsz_Verbräuche[[#This Row],[Handlungsfeld]]</f>
        <v>Mobilität 2</v>
      </c>
      <c r="D80" s="19" t="str">
        <f>Refsz_Verbräuche[[#This Row],[Datenpunkt]]</f>
        <v>Pendeln - Eisenbahn (Fernverkehr)</v>
      </c>
      <c r="E80" t="s">
        <v>195</v>
      </c>
      <c r="F80" s="14">
        <f>IF(ISNUMBER(Klisz_Verbräuche[[#This Row],[2015]]), Klisz_Verbräuche[[#This Row],[2015]]*Emissionsfaktoren[[#This Row],[2015]]/1000, 0)</f>
        <v>0</v>
      </c>
      <c r="G80" s="14">
        <f>IF(ISNUMBER(Klisz_Verbräuche[[#This Row],[2016]]), Klisz_Verbräuche[[#This Row],[2016]]*Emissionsfaktoren[[#This Row],[2016]]/1000, 0)</f>
        <v>0</v>
      </c>
      <c r="H80" s="14">
        <f>IF(ISNUMBER(Klisz_Verbräuche[[#This Row],[2017]]), Klisz_Verbräuche[[#This Row],[2017]]*Emissionsfaktoren[[#This Row],[2017]]/1000, 0)</f>
        <v>0</v>
      </c>
      <c r="I80" s="14">
        <f>IF(ISNUMBER(Klisz_Verbräuche[[#This Row],[2018]]), Klisz_Verbräuche[[#This Row],[2018]]*Emissionsfaktoren[[#This Row],[2018]]/1000, 0)</f>
        <v>0</v>
      </c>
      <c r="J80" s="14">
        <f>IF(ISNUMBER(Klisz_Verbräuche[[#This Row],[2019]]), Klisz_Verbräuche[[#This Row],[2019]]*Emissionsfaktoren[[#This Row],[2019]]/1000, 0)</f>
        <v>0</v>
      </c>
      <c r="K80" s="14">
        <f>IF(ISNUMBER(Klisz_Verbräuche[[#This Row],[2020]]), Klisz_Verbräuche[[#This Row],[2020]]*Emissionsfaktoren[[#This Row],[2020]]/1000, 0)</f>
        <v>0</v>
      </c>
      <c r="L80" s="14">
        <f>IF(ISNUMBER(Klisz_Verbräuche[[#This Row],[2021]]), Klisz_Verbräuche[[#This Row],[2021]]*Emissionsfaktoren[[#This Row],[2021]]/1000, 0)</f>
        <v>0</v>
      </c>
      <c r="M80" s="14">
        <f>IF(ISNUMBER(Klisz_Verbräuche[[#This Row],[2022]]), Klisz_Verbräuche[[#This Row],[2022]]*Emissionsfaktoren[[#This Row],[2022]]/1000, 0)</f>
        <v>0</v>
      </c>
      <c r="N80" s="14">
        <f>IF(ISNUMBER(Klisz_Verbräuche[[#This Row],[2023]]), Klisz_Verbräuche[[#This Row],[2023]]*Emissionsfaktoren[[#This Row],[2023]]/1000, 0)</f>
        <v>0</v>
      </c>
      <c r="O80" s="14">
        <f>IF(ISNUMBER(Klisz_Verbräuche[[#This Row],[2024]]), Klisz_Verbräuche[[#This Row],[2024]]*Emissionsfaktoren[[#This Row],[2024]]/1000, 0)</f>
        <v>0</v>
      </c>
      <c r="P80" s="14">
        <f>IF(ISNUMBER(Klisz_Verbräuche[[#This Row],[2025]]), Klisz_Verbräuche[[#This Row],[2025]]*Emissionsfaktoren[[#This Row],[2025]]/1000, 0)</f>
        <v>0</v>
      </c>
      <c r="Q80" s="14">
        <f>IF(ISNUMBER(Klisz_Verbräuche[[#This Row],[2026]]), Klisz_Verbräuche[[#This Row],[2026]]*Emissionsfaktoren[[#This Row],[2026]]/1000, 0)</f>
        <v>0</v>
      </c>
      <c r="R80" s="14">
        <f>IF(ISNUMBER(Klisz_Verbräuche[[#This Row],[2027]]), Klisz_Verbräuche[[#This Row],[2027]]*Emissionsfaktoren[[#This Row],[2027]]/1000, 0)</f>
        <v>0</v>
      </c>
      <c r="S80" s="14">
        <f>IF(ISNUMBER(Klisz_Verbräuche[[#This Row],[2028]]), Klisz_Verbräuche[[#This Row],[2028]]*Emissionsfaktoren[[#This Row],[2028]]/1000, 0)</f>
        <v>0</v>
      </c>
      <c r="T80" s="14">
        <f>IF(ISNUMBER(Klisz_Verbräuche[[#This Row],[2029]]), Klisz_Verbräuche[[#This Row],[2029]]*Emissionsfaktoren[[#This Row],[2029]]/1000, 0)</f>
        <v>0</v>
      </c>
      <c r="U80" s="14">
        <f>IF(ISNUMBER(Klisz_Verbräuche[[#This Row],[2030]]), Klisz_Verbräuche[[#This Row],[2030]]*Emissionsfaktoren[[#This Row],[2030]]/1000, 0)</f>
        <v>0</v>
      </c>
      <c r="V80" s="14">
        <f>IF(ISNUMBER(Klisz_Verbräuche[[#This Row],[2035]]), Klisz_Verbräuche[[#This Row],[2035]]*Emissionsfaktoren[[#This Row],[2035]]/1000, 0)</f>
        <v>0</v>
      </c>
      <c r="W80" s="14">
        <f>IF(ISNUMBER(Klisz_Verbräuche[[#This Row],[2040]]), Klisz_Verbräuche[[#This Row],[2040]]*Emissionsfaktoren[[#This Row],[2040]]/1000, 0)</f>
        <v>0</v>
      </c>
      <c r="X80" s="14">
        <f>IF(ISNUMBER(Klisz_Verbräuche[[#This Row],[2045]]), Klisz_Verbräuche[[#This Row],[2045]]*Emissionsfaktoren[[#This Row],[2045]]/1000, 0)</f>
        <v>0</v>
      </c>
      <c r="Y80" s="14">
        <f>IF(ISNUMBER(Klisz_Verbräuche[[#This Row],[2050]]), Klisz_Verbräuche[[#This Row],[2050]]*Emissionsfaktoren[[#This Row],[2050]]/1000, 0)</f>
        <v>0</v>
      </c>
    </row>
    <row r="81" spans="2:25" ht="16.5">
      <c r="B81" s="14">
        <v>64</v>
      </c>
      <c r="C81" s="14" t="str">
        <f>Refsz_Verbräuche[[#This Row],[Handlungsfeld]]</f>
        <v>Mobilität 2</v>
      </c>
      <c r="D81" s="19" t="str">
        <f>Refsz_Verbräuche[[#This Row],[Datenpunkt]]</f>
        <v>Pendeln - Eisenbahn (Nahverkehr)</v>
      </c>
      <c r="E81" t="s">
        <v>195</v>
      </c>
      <c r="F81" s="14">
        <f>IF(ISNUMBER(Klisz_Verbräuche[[#This Row],[2015]]), Klisz_Verbräuche[[#This Row],[2015]]*Emissionsfaktoren[[#This Row],[2015]]/1000, 0)</f>
        <v>0</v>
      </c>
      <c r="G81" s="14">
        <f>IF(ISNUMBER(Klisz_Verbräuche[[#This Row],[2016]]), Klisz_Verbräuche[[#This Row],[2016]]*Emissionsfaktoren[[#This Row],[2016]]/1000, 0)</f>
        <v>0</v>
      </c>
      <c r="H81" s="14">
        <f>IF(ISNUMBER(Klisz_Verbräuche[[#This Row],[2017]]), Klisz_Verbräuche[[#This Row],[2017]]*Emissionsfaktoren[[#This Row],[2017]]/1000, 0)</f>
        <v>0</v>
      </c>
      <c r="I81" s="14">
        <f>IF(ISNUMBER(Klisz_Verbräuche[[#This Row],[2018]]), Klisz_Verbräuche[[#This Row],[2018]]*Emissionsfaktoren[[#This Row],[2018]]/1000, 0)</f>
        <v>0</v>
      </c>
      <c r="J81" s="14">
        <f>IF(ISNUMBER(Klisz_Verbräuche[[#This Row],[2019]]), Klisz_Verbräuche[[#This Row],[2019]]*Emissionsfaktoren[[#This Row],[2019]]/1000, 0)</f>
        <v>0</v>
      </c>
      <c r="K81" s="14">
        <f>IF(ISNUMBER(Klisz_Verbräuche[[#This Row],[2020]]), Klisz_Verbräuche[[#This Row],[2020]]*Emissionsfaktoren[[#This Row],[2020]]/1000, 0)</f>
        <v>0</v>
      </c>
      <c r="L81" s="14">
        <f>IF(ISNUMBER(Klisz_Verbräuche[[#This Row],[2021]]), Klisz_Verbräuche[[#This Row],[2021]]*Emissionsfaktoren[[#This Row],[2021]]/1000, 0)</f>
        <v>0</v>
      </c>
      <c r="M81" s="14">
        <f>IF(ISNUMBER(Klisz_Verbräuche[[#This Row],[2022]]), Klisz_Verbräuche[[#This Row],[2022]]*Emissionsfaktoren[[#This Row],[2022]]/1000, 0)</f>
        <v>0</v>
      </c>
      <c r="N81" s="14">
        <f>IF(ISNUMBER(Klisz_Verbräuche[[#This Row],[2023]]), Klisz_Verbräuche[[#This Row],[2023]]*Emissionsfaktoren[[#This Row],[2023]]/1000, 0)</f>
        <v>0</v>
      </c>
      <c r="O81" s="14">
        <f>IF(ISNUMBER(Klisz_Verbräuche[[#This Row],[2024]]), Klisz_Verbräuche[[#This Row],[2024]]*Emissionsfaktoren[[#This Row],[2024]]/1000, 0)</f>
        <v>0</v>
      </c>
      <c r="P81" s="14">
        <f>IF(ISNUMBER(Klisz_Verbräuche[[#This Row],[2025]]), Klisz_Verbräuche[[#This Row],[2025]]*Emissionsfaktoren[[#This Row],[2025]]/1000, 0)</f>
        <v>0</v>
      </c>
      <c r="Q81" s="14">
        <f>IF(ISNUMBER(Klisz_Verbräuche[[#This Row],[2026]]), Klisz_Verbräuche[[#This Row],[2026]]*Emissionsfaktoren[[#This Row],[2026]]/1000, 0)</f>
        <v>0</v>
      </c>
      <c r="R81" s="14">
        <f>IF(ISNUMBER(Klisz_Verbräuche[[#This Row],[2027]]), Klisz_Verbräuche[[#This Row],[2027]]*Emissionsfaktoren[[#This Row],[2027]]/1000, 0)</f>
        <v>0</v>
      </c>
      <c r="S81" s="14">
        <f>IF(ISNUMBER(Klisz_Verbräuche[[#This Row],[2028]]), Klisz_Verbräuche[[#This Row],[2028]]*Emissionsfaktoren[[#This Row],[2028]]/1000, 0)</f>
        <v>0</v>
      </c>
      <c r="T81" s="14">
        <f>IF(ISNUMBER(Klisz_Verbräuche[[#This Row],[2029]]), Klisz_Verbräuche[[#This Row],[2029]]*Emissionsfaktoren[[#This Row],[2029]]/1000, 0)</f>
        <v>0</v>
      </c>
      <c r="U81" s="14">
        <f>IF(ISNUMBER(Klisz_Verbräuche[[#This Row],[2030]]), Klisz_Verbräuche[[#This Row],[2030]]*Emissionsfaktoren[[#This Row],[2030]]/1000, 0)</f>
        <v>0</v>
      </c>
      <c r="V81" s="14">
        <f>IF(ISNUMBER(Klisz_Verbräuche[[#This Row],[2035]]), Klisz_Verbräuche[[#This Row],[2035]]*Emissionsfaktoren[[#This Row],[2035]]/1000, 0)</f>
        <v>0</v>
      </c>
      <c r="W81" s="14">
        <f>IF(ISNUMBER(Klisz_Verbräuche[[#This Row],[2040]]), Klisz_Verbräuche[[#This Row],[2040]]*Emissionsfaktoren[[#This Row],[2040]]/1000, 0)</f>
        <v>0</v>
      </c>
      <c r="X81" s="14">
        <f>IF(ISNUMBER(Klisz_Verbräuche[[#This Row],[2045]]), Klisz_Verbräuche[[#This Row],[2045]]*Emissionsfaktoren[[#This Row],[2045]]/1000, 0)</f>
        <v>0</v>
      </c>
      <c r="Y81" s="14">
        <f>IF(ISNUMBER(Klisz_Verbräuche[[#This Row],[2050]]), Klisz_Verbräuche[[#This Row],[2050]]*Emissionsfaktoren[[#This Row],[2050]]/1000, 0)</f>
        <v>0</v>
      </c>
    </row>
    <row r="82" spans="2:25" ht="16.5">
      <c r="B82" s="14">
        <v>65</v>
      </c>
      <c r="C82" s="14" t="str">
        <f>Refsz_Verbräuche[[#This Row],[Handlungsfeld]]</f>
        <v>Mobilität 2</v>
      </c>
      <c r="D82" s="19" t="str">
        <f>Refsz_Verbräuche[[#This Row],[Datenpunkt]]</f>
        <v>Pendeln - Linienbus (Nahverkehr)</v>
      </c>
      <c r="E82" t="s">
        <v>195</v>
      </c>
      <c r="F82" s="14">
        <f>IF(ISNUMBER(Klisz_Verbräuche[[#This Row],[2015]]), Klisz_Verbräuche[[#This Row],[2015]]*Emissionsfaktoren[[#This Row],[2015]]/1000, 0)</f>
        <v>0</v>
      </c>
      <c r="G82" s="14">
        <f>IF(ISNUMBER(Klisz_Verbräuche[[#This Row],[2016]]), Klisz_Verbräuche[[#This Row],[2016]]*Emissionsfaktoren[[#This Row],[2016]]/1000, 0)</f>
        <v>0</v>
      </c>
      <c r="H82" s="14">
        <f>IF(ISNUMBER(Klisz_Verbräuche[[#This Row],[2017]]), Klisz_Verbräuche[[#This Row],[2017]]*Emissionsfaktoren[[#This Row],[2017]]/1000, 0)</f>
        <v>0</v>
      </c>
      <c r="I82" s="14">
        <f>IF(ISNUMBER(Klisz_Verbräuche[[#This Row],[2018]]), Klisz_Verbräuche[[#This Row],[2018]]*Emissionsfaktoren[[#This Row],[2018]]/1000, 0)</f>
        <v>0</v>
      </c>
      <c r="J82" s="14">
        <f>IF(ISNUMBER(Klisz_Verbräuche[[#This Row],[2019]]), Klisz_Verbräuche[[#This Row],[2019]]*Emissionsfaktoren[[#This Row],[2019]]/1000, 0)</f>
        <v>0</v>
      </c>
      <c r="K82" s="14">
        <f>IF(ISNUMBER(Klisz_Verbräuche[[#This Row],[2020]]), Klisz_Verbräuche[[#This Row],[2020]]*Emissionsfaktoren[[#This Row],[2020]]/1000, 0)</f>
        <v>0</v>
      </c>
      <c r="L82" s="14">
        <f>IF(ISNUMBER(Klisz_Verbräuche[[#This Row],[2021]]), Klisz_Verbräuche[[#This Row],[2021]]*Emissionsfaktoren[[#This Row],[2021]]/1000, 0)</f>
        <v>0</v>
      </c>
      <c r="M82" s="14">
        <f>IF(ISNUMBER(Klisz_Verbräuche[[#This Row],[2022]]), Klisz_Verbräuche[[#This Row],[2022]]*Emissionsfaktoren[[#This Row],[2022]]/1000, 0)</f>
        <v>0</v>
      </c>
      <c r="N82" s="14">
        <f>IF(ISNUMBER(Klisz_Verbräuche[[#This Row],[2023]]), Klisz_Verbräuche[[#This Row],[2023]]*Emissionsfaktoren[[#This Row],[2023]]/1000, 0)</f>
        <v>0</v>
      </c>
      <c r="O82" s="14">
        <f>IF(ISNUMBER(Klisz_Verbräuche[[#This Row],[2024]]), Klisz_Verbräuche[[#This Row],[2024]]*Emissionsfaktoren[[#This Row],[2024]]/1000, 0)</f>
        <v>0</v>
      </c>
      <c r="P82" s="14">
        <f>IF(ISNUMBER(Klisz_Verbräuche[[#This Row],[2025]]), Klisz_Verbräuche[[#This Row],[2025]]*Emissionsfaktoren[[#This Row],[2025]]/1000, 0)</f>
        <v>0</v>
      </c>
      <c r="Q82" s="14">
        <f>IF(ISNUMBER(Klisz_Verbräuche[[#This Row],[2026]]), Klisz_Verbräuche[[#This Row],[2026]]*Emissionsfaktoren[[#This Row],[2026]]/1000, 0)</f>
        <v>0</v>
      </c>
      <c r="R82" s="14">
        <f>IF(ISNUMBER(Klisz_Verbräuche[[#This Row],[2027]]), Klisz_Verbräuche[[#This Row],[2027]]*Emissionsfaktoren[[#This Row],[2027]]/1000, 0)</f>
        <v>0</v>
      </c>
      <c r="S82" s="14">
        <f>IF(ISNUMBER(Klisz_Verbräuche[[#This Row],[2028]]), Klisz_Verbräuche[[#This Row],[2028]]*Emissionsfaktoren[[#This Row],[2028]]/1000, 0)</f>
        <v>0</v>
      </c>
      <c r="T82" s="14">
        <f>IF(ISNUMBER(Klisz_Verbräuche[[#This Row],[2029]]), Klisz_Verbräuche[[#This Row],[2029]]*Emissionsfaktoren[[#This Row],[2029]]/1000, 0)</f>
        <v>0</v>
      </c>
      <c r="U82" s="14">
        <f>IF(ISNUMBER(Klisz_Verbräuche[[#This Row],[2030]]), Klisz_Verbräuche[[#This Row],[2030]]*Emissionsfaktoren[[#This Row],[2030]]/1000, 0)</f>
        <v>0</v>
      </c>
      <c r="V82" s="14">
        <f>IF(ISNUMBER(Klisz_Verbräuche[[#This Row],[2035]]), Klisz_Verbräuche[[#This Row],[2035]]*Emissionsfaktoren[[#This Row],[2035]]/1000, 0)</f>
        <v>0</v>
      </c>
      <c r="W82" s="14">
        <f>IF(ISNUMBER(Klisz_Verbräuche[[#This Row],[2040]]), Klisz_Verbräuche[[#This Row],[2040]]*Emissionsfaktoren[[#This Row],[2040]]/1000, 0)</f>
        <v>0</v>
      </c>
      <c r="X82" s="14">
        <f>IF(ISNUMBER(Klisz_Verbräuche[[#This Row],[2045]]), Klisz_Verbräuche[[#This Row],[2045]]*Emissionsfaktoren[[#This Row],[2045]]/1000, 0)</f>
        <v>0</v>
      </c>
      <c r="Y82" s="14">
        <f>IF(ISNUMBER(Klisz_Verbräuche[[#This Row],[2050]]), Klisz_Verbräuche[[#This Row],[2050]]*Emissionsfaktoren[[#This Row],[2050]]/1000, 0)</f>
        <v>0</v>
      </c>
    </row>
    <row r="83" spans="2:25" ht="16.5">
      <c r="B83" s="14">
        <v>66</v>
      </c>
      <c r="C83" s="14" t="str">
        <f>Refsz_Verbräuche[[#This Row],[Handlungsfeld]]</f>
        <v>Mobilität 2</v>
      </c>
      <c r="D83" s="19" t="str">
        <f>Refsz_Verbräuche[[#This Row],[Datenpunkt]]</f>
        <v>Pendeln - PKW (alle Antriebsarten)</v>
      </c>
      <c r="E83" t="s">
        <v>195</v>
      </c>
      <c r="F83" s="14">
        <f>IF(ISNUMBER(Klisz_Verbräuche[[#This Row],[2015]]), Klisz_Verbräuche[[#This Row],[2015]]*Emissionsfaktoren[[#This Row],[2015]]/1000, 0)</f>
        <v>0</v>
      </c>
      <c r="G83" s="14">
        <f>IF(ISNUMBER(Klisz_Verbräuche[[#This Row],[2016]]), Klisz_Verbräuche[[#This Row],[2016]]*Emissionsfaktoren[[#This Row],[2016]]/1000, 0)</f>
        <v>0</v>
      </c>
      <c r="H83" s="14">
        <f>IF(ISNUMBER(Klisz_Verbräuche[[#This Row],[2017]]), Klisz_Verbräuche[[#This Row],[2017]]*Emissionsfaktoren[[#This Row],[2017]]/1000, 0)</f>
        <v>0</v>
      </c>
      <c r="I83" s="14">
        <f>IF(ISNUMBER(Klisz_Verbräuche[[#This Row],[2018]]), Klisz_Verbräuche[[#This Row],[2018]]*Emissionsfaktoren[[#This Row],[2018]]/1000, 0)</f>
        <v>0</v>
      </c>
      <c r="J83" s="14">
        <f>IF(ISNUMBER(Klisz_Verbräuche[[#This Row],[2019]]), Klisz_Verbräuche[[#This Row],[2019]]*Emissionsfaktoren[[#This Row],[2019]]/1000, 0)</f>
        <v>0</v>
      </c>
      <c r="K83" s="14">
        <f>IF(ISNUMBER(Klisz_Verbräuche[[#This Row],[2020]]), Klisz_Verbräuche[[#This Row],[2020]]*Emissionsfaktoren[[#This Row],[2020]]/1000, 0)</f>
        <v>0</v>
      </c>
      <c r="L83" s="14">
        <f>IF(ISNUMBER(Klisz_Verbräuche[[#This Row],[2021]]), Klisz_Verbräuche[[#This Row],[2021]]*Emissionsfaktoren[[#This Row],[2021]]/1000, 0)</f>
        <v>0</v>
      </c>
      <c r="M83" s="14">
        <f>IF(ISNUMBER(Klisz_Verbräuche[[#This Row],[2022]]), Klisz_Verbräuche[[#This Row],[2022]]*Emissionsfaktoren[[#This Row],[2022]]/1000, 0)</f>
        <v>0</v>
      </c>
      <c r="N83" s="14">
        <f>IF(ISNUMBER(Klisz_Verbräuche[[#This Row],[2023]]), Klisz_Verbräuche[[#This Row],[2023]]*Emissionsfaktoren[[#This Row],[2023]]/1000, 0)</f>
        <v>0</v>
      </c>
      <c r="O83" s="14">
        <f>IF(ISNUMBER(Klisz_Verbräuche[[#This Row],[2024]]), Klisz_Verbräuche[[#This Row],[2024]]*Emissionsfaktoren[[#This Row],[2024]]/1000, 0)</f>
        <v>0</v>
      </c>
      <c r="P83" s="14">
        <f>IF(ISNUMBER(Klisz_Verbräuche[[#This Row],[2025]]), Klisz_Verbräuche[[#This Row],[2025]]*Emissionsfaktoren[[#This Row],[2025]]/1000, 0)</f>
        <v>0</v>
      </c>
      <c r="Q83" s="14">
        <f>IF(ISNUMBER(Klisz_Verbräuche[[#This Row],[2026]]), Klisz_Verbräuche[[#This Row],[2026]]*Emissionsfaktoren[[#This Row],[2026]]/1000, 0)</f>
        <v>0</v>
      </c>
      <c r="R83" s="14">
        <f>IF(ISNUMBER(Klisz_Verbräuche[[#This Row],[2027]]), Klisz_Verbräuche[[#This Row],[2027]]*Emissionsfaktoren[[#This Row],[2027]]/1000, 0)</f>
        <v>0</v>
      </c>
      <c r="S83" s="14">
        <f>IF(ISNUMBER(Klisz_Verbräuche[[#This Row],[2028]]), Klisz_Verbräuche[[#This Row],[2028]]*Emissionsfaktoren[[#This Row],[2028]]/1000, 0)</f>
        <v>0</v>
      </c>
      <c r="T83" s="14">
        <f>IF(ISNUMBER(Klisz_Verbräuche[[#This Row],[2029]]), Klisz_Verbräuche[[#This Row],[2029]]*Emissionsfaktoren[[#This Row],[2029]]/1000, 0)</f>
        <v>0</v>
      </c>
      <c r="U83" s="14">
        <f>IF(ISNUMBER(Klisz_Verbräuche[[#This Row],[2030]]), Klisz_Verbräuche[[#This Row],[2030]]*Emissionsfaktoren[[#This Row],[2030]]/1000, 0)</f>
        <v>0</v>
      </c>
      <c r="V83" s="14">
        <f>IF(ISNUMBER(Klisz_Verbräuche[[#This Row],[2035]]), Klisz_Verbräuche[[#This Row],[2035]]*Emissionsfaktoren[[#This Row],[2035]]/1000, 0)</f>
        <v>0</v>
      </c>
      <c r="W83" s="14">
        <f>IF(ISNUMBER(Klisz_Verbräuche[[#This Row],[2040]]), Klisz_Verbräuche[[#This Row],[2040]]*Emissionsfaktoren[[#This Row],[2040]]/1000, 0)</f>
        <v>0</v>
      </c>
      <c r="X83" s="14">
        <f>IF(ISNUMBER(Klisz_Verbräuche[[#This Row],[2045]]), Klisz_Verbräuche[[#This Row],[2045]]*Emissionsfaktoren[[#This Row],[2045]]/1000, 0)</f>
        <v>0</v>
      </c>
      <c r="Y83" s="14">
        <f>IF(ISNUMBER(Klisz_Verbräuche[[#This Row],[2050]]), Klisz_Verbräuche[[#This Row],[2050]]*Emissionsfaktoren[[#This Row],[2050]]/1000, 0)</f>
        <v>0</v>
      </c>
    </row>
    <row r="84" spans="2:25" ht="16.5">
      <c r="B84" s="14">
        <v>67</v>
      </c>
      <c r="C84" s="14" t="str">
        <f>Refsz_Verbräuche[[#This Row],[Handlungsfeld]]</f>
        <v>Mobilität 2</v>
      </c>
      <c r="D84" s="19" t="str">
        <f>Refsz_Verbräuche[[#This Row],[Datenpunkt]]</f>
        <v>Pendeln - PKW (Diesel)</v>
      </c>
      <c r="E84" t="s">
        <v>195</v>
      </c>
      <c r="F84" s="14">
        <f>IF(ISNUMBER(Klisz_Verbräuche[[#This Row],[2015]]), Klisz_Verbräuche[[#This Row],[2015]]*Emissionsfaktoren[[#This Row],[2015]]/1000, 0)</f>
        <v>0</v>
      </c>
      <c r="G84" s="14">
        <f>IF(ISNUMBER(Klisz_Verbräuche[[#This Row],[2016]]), Klisz_Verbräuche[[#This Row],[2016]]*Emissionsfaktoren[[#This Row],[2016]]/1000, 0)</f>
        <v>0</v>
      </c>
      <c r="H84" s="14">
        <f>IF(ISNUMBER(Klisz_Verbräuche[[#This Row],[2017]]), Klisz_Verbräuche[[#This Row],[2017]]*Emissionsfaktoren[[#This Row],[2017]]/1000, 0)</f>
        <v>0</v>
      </c>
      <c r="I84" s="14">
        <f>IF(ISNUMBER(Klisz_Verbräuche[[#This Row],[2018]]), Klisz_Verbräuche[[#This Row],[2018]]*Emissionsfaktoren[[#This Row],[2018]]/1000, 0)</f>
        <v>0</v>
      </c>
      <c r="J84" s="14">
        <f>IF(ISNUMBER(Klisz_Verbräuche[[#This Row],[2019]]), Klisz_Verbräuche[[#This Row],[2019]]*Emissionsfaktoren[[#This Row],[2019]]/1000, 0)</f>
        <v>0</v>
      </c>
      <c r="K84" s="14">
        <f>IF(ISNUMBER(Klisz_Verbräuche[[#This Row],[2020]]), Klisz_Verbräuche[[#This Row],[2020]]*Emissionsfaktoren[[#This Row],[2020]]/1000, 0)</f>
        <v>0</v>
      </c>
      <c r="L84" s="14">
        <f>IF(ISNUMBER(Klisz_Verbräuche[[#This Row],[2021]]), Klisz_Verbräuche[[#This Row],[2021]]*Emissionsfaktoren[[#This Row],[2021]]/1000, 0)</f>
        <v>0</v>
      </c>
      <c r="M84" s="14">
        <f>IF(ISNUMBER(Klisz_Verbräuche[[#This Row],[2022]]), Klisz_Verbräuche[[#This Row],[2022]]*Emissionsfaktoren[[#This Row],[2022]]/1000, 0)</f>
        <v>0</v>
      </c>
      <c r="N84" s="14">
        <f>IF(ISNUMBER(Klisz_Verbräuche[[#This Row],[2023]]), Klisz_Verbräuche[[#This Row],[2023]]*Emissionsfaktoren[[#This Row],[2023]]/1000, 0)</f>
        <v>0</v>
      </c>
      <c r="O84" s="14">
        <f>IF(ISNUMBER(Klisz_Verbräuche[[#This Row],[2024]]), Klisz_Verbräuche[[#This Row],[2024]]*Emissionsfaktoren[[#This Row],[2024]]/1000, 0)</f>
        <v>0</v>
      </c>
      <c r="P84" s="14">
        <f>IF(ISNUMBER(Klisz_Verbräuche[[#This Row],[2025]]), Klisz_Verbräuche[[#This Row],[2025]]*Emissionsfaktoren[[#This Row],[2025]]/1000, 0)</f>
        <v>0</v>
      </c>
      <c r="Q84" s="14">
        <f>IF(ISNUMBER(Klisz_Verbräuche[[#This Row],[2026]]), Klisz_Verbräuche[[#This Row],[2026]]*Emissionsfaktoren[[#This Row],[2026]]/1000, 0)</f>
        <v>0</v>
      </c>
      <c r="R84" s="14">
        <f>IF(ISNUMBER(Klisz_Verbräuche[[#This Row],[2027]]), Klisz_Verbräuche[[#This Row],[2027]]*Emissionsfaktoren[[#This Row],[2027]]/1000, 0)</f>
        <v>0</v>
      </c>
      <c r="S84" s="14">
        <f>IF(ISNUMBER(Klisz_Verbräuche[[#This Row],[2028]]), Klisz_Verbräuche[[#This Row],[2028]]*Emissionsfaktoren[[#This Row],[2028]]/1000, 0)</f>
        <v>0</v>
      </c>
      <c r="T84" s="14">
        <f>IF(ISNUMBER(Klisz_Verbräuche[[#This Row],[2029]]), Klisz_Verbräuche[[#This Row],[2029]]*Emissionsfaktoren[[#This Row],[2029]]/1000, 0)</f>
        <v>0</v>
      </c>
      <c r="U84" s="14">
        <f>IF(ISNUMBER(Klisz_Verbräuche[[#This Row],[2030]]), Klisz_Verbräuche[[#This Row],[2030]]*Emissionsfaktoren[[#This Row],[2030]]/1000, 0)</f>
        <v>0</v>
      </c>
      <c r="V84" s="14">
        <f>IF(ISNUMBER(Klisz_Verbräuche[[#This Row],[2035]]), Klisz_Verbräuche[[#This Row],[2035]]*Emissionsfaktoren[[#This Row],[2035]]/1000, 0)</f>
        <v>0</v>
      </c>
      <c r="W84" s="14">
        <f>IF(ISNUMBER(Klisz_Verbräuche[[#This Row],[2040]]), Klisz_Verbräuche[[#This Row],[2040]]*Emissionsfaktoren[[#This Row],[2040]]/1000, 0)</f>
        <v>0</v>
      </c>
      <c r="X84" s="14">
        <f>IF(ISNUMBER(Klisz_Verbräuche[[#This Row],[2045]]), Klisz_Verbräuche[[#This Row],[2045]]*Emissionsfaktoren[[#This Row],[2045]]/1000, 0)</f>
        <v>0</v>
      </c>
      <c r="Y84" s="14">
        <f>IF(ISNUMBER(Klisz_Verbräuche[[#This Row],[2050]]), Klisz_Verbräuche[[#This Row],[2050]]*Emissionsfaktoren[[#This Row],[2050]]/1000, 0)</f>
        <v>0</v>
      </c>
    </row>
    <row r="85" spans="2:25" ht="16.5">
      <c r="B85" s="14">
        <v>68</v>
      </c>
      <c r="C85" s="14" t="str">
        <f>Refsz_Verbräuche[[#This Row],[Handlungsfeld]]</f>
        <v>Mobilität 2</v>
      </c>
      <c r="D85" s="19" t="str">
        <f>Refsz_Verbräuche[[#This Row],[Datenpunkt]]</f>
        <v>Pendeln - PKW (Benzin)</v>
      </c>
      <c r="E85" t="s">
        <v>195</v>
      </c>
      <c r="F85" s="14">
        <f>IF(ISNUMBER(Klisz_Verbräuche[[#This Row],[2015]]), Klisz_Verbräuche[[#This Row],[2015]]*Emissionsfaktoren[[#This Row],[2015]]/1000, 0)</f>
        <v>0</v>
      </c>
      <c r="G85" s="14">
        <f>IF(ISNUMBER(Klisz_Verbräuche[[#This Row],[2016]]), Klisz_Verbräuche[[#This Row],[2016]]*Emissionsfaktoren[[#This Row],[2016]]/1000, 0)</f>
        <v>0</v>
      </c>
      <c r="H85" s="14">
        <f>IF(ISNUMBER(Klisz_Verbräuche[[#This Row],[2017]]), Klisz_Verbräuche[[#This Row],[2017]]*Emissionsfaktoren[[#This Row],[2017]]/1000, 0)</f>
        <v>0</v>
      </c>
      <c r="I85" s="14">
        <f>IF(ISNUMBER(Klisz_Verbräuche[[#This Row],[2018]]), Klisz_Verbräuche[[#This Row],[2018]]*Emissionsfaktoren[[#This Row],[2018]]/1000, 0)</f>
        <v>0</v>
      </c>
      <c r="J85" s="14">
        <f>IF(ISNUMBER(Klisz_Verbräuche[[#This Row],[2019]]), Klisz_Verbräuche[[#This Row],[2019]]*Emissionsfaktoren[[#This Row],[2019]]/1000, 0)</f>
        <v>0</v>
      </c>
      <c r="K85" s="14">
        <f>IF(ISNUMBER(Klisz_Verbräuche[[#This Row],[2020]]), Klisz_Verbräuche[[#This Row],[2020]]*Emissionsfaktoren[[#This Row],[2020]]/1000, 0)</f>
        <v>0</v>
      </c>
      <c r="L85" s="14">
        <f>IF(ISNUMBER(Klisz_Verbräuche[[#This Row],[2021]]), Klisz_Verbräuche[[#This Row],[2021]]*Emissionsfaktoren[[#This Row],[2021]]/1000, 0)</f>
        <v>0</v>
      </c>
      <c r="M85" s="14">
        <f>IF(ISNUMBER(Klisz_Verbräuche[[#This Row],[2022]]), Klisz_Verbräuche[[#This Row],[2022]]*Emissionsfaktoren[[#This Row],[2022]]/1000, 0)</f>
        <v>0</v>
      </c>
      <c r="N85" s="14">
        <f>IF(ISNUMBER(Klisz_Verbräuche[[#This Row],[2023]]), Klisz_Verbräuche[[#This Row],[2023]]*Emissionsfaktoren[[#This Row],[2023]]/1000, 0)</f>
        <v>0</v>
      </c>
      <c r="O85" s="14">
        <f>IF(ISNUMBER(Klisz_Verbräuche[[#This Row],[2024]]), Klisz_Verbräuche[[#This Row],[2024]]*Emissionsfaktoren[[#This Row],[2024]]/1000, 0)</f>
        <v>0</v>
      </c>
      <c r="P85" s="14">
        <f>IF(ISNUMBER(Klisz_Verbräuche[[#This Row],[2025]]), Klisz_Verbräuche[[#This Row],[2025]]*Emissionsfaktoren[[#This Row],[2025]]/1000, 0)</f>
        <v>0</v>
      </c>
      <c r="Q85" s="14">
        <f>IF(ISNUMBER(Klisz_Verbräuche[[#This Row],[2026]]), Klisz_Verbräuche[[#This Row],[2026]]*Emissionsfaktoren[[#This Row],[2026]]/1000, 0)</f>
        <v>0</v>
      </c>
      <c r="R85" s="14">
        <f>IF(ISNUMBER(Klisz_Verbräuche[[#This Row],[2027]]), Klisz_Verbräuche[[#This Row],[2027]]*Emissionsfaktoren[[#This Row],[2027]]/1000, 0)</f>
        <v>0</v>
      </c>
      <c r="S85" s="14">
        <f>IF(ISNUMBER(Klisz_Verbräuche[[#This Row],[2028]]), Klisz_Verbräuche[[#This Row],[2028]]*Emissionsfaktoren[[#This Row],[2028]]/1000, 0)</f>
        <v>0</v>
      </c>
      <c r="T85" s="14">
        <f>IF(ISNUMBER(Klisz_Verbräuche[[#This Row],[2029]]), Klisz_Verbräuche[[#This Row],[2029]]*Emissionsfaktoren[[#This Row],[2029]]/1000, 0)</f>
        <v>0</v>
      </c>
      <c r="U85" s="14">
        <f>IF(ISNUMBER(Klisz_Verbräuche[[#This Row],[2030]]), Klisz_Verbräuche[[#This Row],[2030]]*Emissionsfaktoren[[#This Row],[2030]]/1000, 0)</f>
        <v>0</v>
      </c>
      <c r="V85" s="14">
        <f>IF(ISNUMBER(Klisz_Verbräuche[[#This Row],[2035]]), Klisz_Verbräuche[[#This Row],[2035]]*Emissionsfaktoren[[#This Row],[2035]]/1000, 0)</f>
        <v>0</v>
      </c>
      <c r="W85" s="14">
        <f>IF(ISNUMBER(Klisz_Verbräuche[[#This Row],[2040]]), Klisz_Verbräuche[[#This Row],[2040]]*Emissionsfaktoren[[#This Row],[2040]]/1000, 0)</f>
        <v>0</v>
      </c>
      <c r="X85" s="14">
        <f>IF(ISNUMBER(Klisz_Verbräuche[[#This Row],[2045]]), Klisz_Verbräuche[[#This Row],[2045]]*Emissionsfaktoren[[#This Row],[2045]]/1000, 0)</f>
        <v>0</v>
      </c>
      <c r="Y85" s="14">
        <f>IF(ISNUMBER(Klisz_Verbräuche[[#This Row],[2050]]), Klisz_Verbräuche[[#This Row],[2050]]*Emissionsfaktoren[[#This Row],[2050]]/1000, 0)</f>
        <v>0</v>
      </c>
    </row>
    <row r="86" spans="2:25" ht="16.5">
      <c r="B86" s="14">
        <v>69</v>
      </c>
      <c r="C86" s="14" t="str">
        <f>Refsz_Verbräuche[[#This Row],[Handlungsfeld]]</f>
        <v>Mobilität 2</v>
      </c>
      <c r="D86" s="19" t="str">
        <f>Refsz_Verbräuche[[#This Row],[Datenpunkt]]</f>
        <v>Pendeln - PKW (E-Auto/ BEV)</v>
      </c>
      <c r="E86" t="s">
        <v>195</v>
      </c>
      <c r="F86" s="14">
        <f>IF(ISNUMBER(Klisz_Verbräuche[[#This Row],[2015]]), Klisz_Verbräuche[[#This Row],[2015]]*Emissionsfaktoren[[#This Row],[2015]]/1000, 0)</f>
        <v>0</v>
      </c>
      <c r="G86" s="14">
        <f>IF(ISNUMBER(Klisz_Verbräuche[[#This Row],[2016]]), Klisz_Verbräuche[[#This Row],[2016]]*Emissionsfaktoren[[#This Row],[2016]]/1000, 0)</f>
        <v>0</v>
      </c>
      <c r="H86" s="14">
        <f>IF(ISNUMBER(Klisz_Verbräuche[[#This Row],[2017]]), Klisz_Verbräuche[[#This Row],[2017]]*Emissionsfaktoren[[#This Row],[2017]]/1000, 0)</f>
        <v>0</v>
      </c>
      <c r="I86" s="14">
        <f>IF(ISNUMBER(Klisz_Verbräuche[[#This Row],[2018]]), Klisz_Verbräuche[[#This Row],[2018]]*Emissionsfaktoren[[#This Row],[2018]]/1000, 0)</f>
        <v>0</v>
      </c>
      <c r="J86" s="14">
        <f>IF(ISNUMBER(Klisz_Verbräuche[[#This Row],[2019]]), Klisz_Verbräuche[[#This Row],[2019]]*Emissionsfaktoren[[#This Row],[2019]]/1000, 0)</f>
        <v>0</v>
      </c>
      <c r="K86" s="14">
        <f>IF(ISNUMBER(Klisz_Verbräuche[[#This Row],[2020]]), Klisz_Verbräuche[[#This Row],[2020]]*Emissionsfaktoren[[#This Row],[2020]]/1000, 0)</f>
        <v>0</v>
      </c>
      <c r="L86" s="14">
        <f>IF(ISNUMBER(Klisz_Verbräuche[[#This Row],[2021]]), Klisz_Verbräuche[[#This Row],[2021]]*Emissionsfaktoren[[#This Row],[2021]]/1000, 0)</f>
        <v>0</v>
      </c>
      <c r="M86" s="14">
        <f>IF(ISNUMBER(Klisz_Verbräuche[[#This Row],[2022]]), Klisz_Verbräuche[[#This Row],[2022]]*Emissionsfaktoren[[#This Row],[2022]]/1000, 0)</f>
        <v>0</v>
      </c>
      <c r="N86" s="14">
        <f>IF(ISNUMBER(Klisz_Verbräuche[[#This Row],[2023]]), Klisz_Verbräuche[[#This Row],[2023]]*Emissionsfaktoren[[#This Row],[2023]]/1000, 0)</f>
        <v>0</v>
      </c>
      <c r="O86" s="14">
        <f>IF(ISNUMBER(Klisz_Verbräuche[[#This Row],[2024]]), Klisz_Verbräuche[[#This Row],[2024]]*Emissionsfaktoren[[#This Row],[2024]]/1000, 0)</f>
        <v>0</v>
      </c>
      <c r="P86" s="14">
        <f>IF(ISNUMBER(Klisz_Verbräuche[[#This Row],[2025]]), Klisz_Verbräuche[[#This Row],[2025]]*Emissionsfaktoren[[#This Row],[2025]]/1000, 0)</f>
        <v>0</v>
      </c>
      <c r="Q86" s="14">
        <f>IF(ISNUMBER(Klisz_Verbräuche[[#This Row],[2026]]), Klisz_Verbräuche[[#This Row],[2026]]*Emissionsfaktoren[[#This Row],[2026]]/1000, 0)</f>
        <v>0</v>
      </c>
      <c r="R86" s="14">
        <f>IF(ISNUMBER(Klisz_Verbräuche[[#This Row],[2027]]), Klisz_Verbräuche[[#This Row],[2027]]*Emissionsfaktoren[[#This Row],[2027]]/1000, 0)</f>
        <v>0</v>
      </c>
      <c r="S86" s="14">
        <f>IF(ISNUMBER(Klisz_Verbräuche[[#This Row],[2028]]), Klisz_Verbräuche[[#This Row],[2028]]*Emissionsfaktoren[[#This Row],[2028]]/1000, 0)</f>
        <v>0</v>
      </c>
      <c r="T86" s="14">
        <f>IF(ISNUMBER(Klisz_Verbräuche[[#This Row],[2029]]), Klisz_Verbräuche[[#This Row],[2029]]*Emissionsfaktoren[[#This Row],[2029]]/1000, 0)</f>
        <v>0</v>
      </c>
      <c r="U86" s="14">
        <f>IF(ISNUMBER(Klisz_Verbräuche[[#This Row],[2030]]), Klisz_Verbräuche[[#This Row],[2030]]*Emissionsfaktoren[[#This Row],[2030]]/1000, 0)</f>
        <v>0</v>
      </c>
      <c r="V86" s="14">
        <f>IF(ISNUMBER(Klisz_Verbräuche[[#This Row],[2035]]), Klisz_Verbräuche[[#This Row],[2035]]*Emissionsfaktoren[[#This Row],[2035]]/1000, 0)</f>
        <v>0</v>
      </c>
      <c r="W86" s="14">
        <f>IF(ISNUMBER(Klisz_Verbräuche[[#This Row],[2040]]), Klisz_Verbräuche[[#This Row],[2040]]*Emissionsfaktoren[[#This Row],[2040]]/1000, 0)</f>
        <v>0</v>
      </c>
      <c r="X86" s="14">
        <f>IF(ISNUMBER(Klisz_Verbräuche[[#This Row],[2045]]), Klisz_Verbräuche[[#This Row],[2045]]*Emissionsfaktoren[[#This Row],[2045]]/1000, 0)</f>
        <v>0</v>
      </c>
      <c r="Y86" s="14">
        <f>IF(ISNUMBER(Klisz_Verbräuche[[#This Row],[2050]]), Klisz_Verbräuche[[#This Row],[2050]]*Emissionsfaktoren[[#This Row],[2050]]/1000, 0)</f>
        <v>0</v>
      </c>
    </row>
    <row r="87" spans="2:25" ht="16.5">
      <c r="B87" s="14">
        <v>70</v>
      </c>
      <c r="C87" s="14" t="str">
        <f>Refsz_Verbräuche[[#This Row],[Handlungsfeld]]</f>
        <v>Mobilität 2</v>
      </c>
      <c r="D87" s="19" t="str">
        <f>Refsz_Verbräuche[[#This Row],[Datenpunkt]]</f>
        <v>Pendeln - PKW (Wasserstoff/ FCEV)</v>
      </c>
      <c r="E87" t="s">
        <v>195</v>
      </c>
      <c r="F87" s="14">
        <f>IF(ISNUMBER(Klisz_Verbräuche[[#This Row],[2015]]), Klisz_Verbräuche[[#This Row],[2015]]*Emissionsfaktoren[[#This Row],[2015]]/1000, 0)</f>
        <v>0</v>
      </c>
      <c r="G87" s="14">
        <f>IF(ISNUMBER(Klisz_Verbräuche[[#This Row],[2016]]), Klisz_Verbräuche[[#This Row],[2016]]*Emissionsfaktoren[[#This Row],[2016]]/1000, 0)</f>
        <v>0</v>
      </c>
      <c r="H87" s="14">
        <f>IF(ISNUMBER(Klisz_Verbräuche[[#This Row],[2017]]), Klisz_Verbräuche[[#This Row],[2017]]*Emissionsfaktoren[[#This Row],[2017]]/1000, 0)</f>
        <v>0</v>
      </c>
      <c r="I87" s="14">
        <f>IF(ISNUMBER(Klisz_Verbräuche[[#This Row],[2018]]), Klisz_Verbräuche[[#This Row],[2018]]*Emissionsfaktoren[[#This Row],[2018]]/1000, 0)</f>
        <v>0</v>
      </c>
      <c r="J87" s="14">
        <f>IF(ISNUMBER(Klisz_Verbräuche[[#This Row],[2019]]), Klisz_Verbräuche[[#This Row],[2019]]*Emissionsfaktoren[[#This Row],[2019]]/1000, 0)</f>
        <v>0</v>
      </c>
      <c r="K87" s="14">
        <f>IF(ISNUMBER(Klisz_Verbräuche[[#This Row],[2020]]), Klisz_Verbräuche[[#This Row],[2020]]*Emissionsfaktoren[[#This Row],[2020]]/1000, 0)</f>
        <v>0</v>
      </c>
      <c r="L87" s="14">
        <f>IF(ISNUMBER(Klisz_Verbräuche[[#This Row],[2021]]), Klisz_Verbräuche[[#This Row],[2021]]*Emissionsfaktoren[[#This Row],[2021]]/1000, 0)</f>
        <v>0</v>
      </c>
      <c r="M87" s="14">
        <f>IF(ISNUMBER(Klisz_Verbräuche[[#This Row],[2022]]), Klisz_Verbräuche[[#This Row],[2022]]*Emissionsfaktoren[[#This Row],[2022]]/1000, 0)</f>
        <v>0</v>
      </c>
      <c r="N87" s="14">
        <f>IF(ISNUMBER(Klisz_Verbräuche[[#This Row],[2023]]), Klisz_Verbräuche[[#This Row],[2023]]*Emissionsfaktoren[[#This Row],[2023]]/1000, 0)</f>
        <v>0</v>
      </c>
      <c r="O87" s="14">
        <f>IF(ISNUMBER(Klisz_Verbräuche[[#This Row],[2024]]), Klisz_Verbräuche[[#This Row],[2024]]*Emissionsfaktoren[[#This Row],[2024]]/1000, 0)</f>
        <v>0</v>
      </c>
      <c r="P87" s="14">
        <f>IF(ISNUMBER(Klisz_Verbräuche[[#This Row],[2025]]), Klisz_Verbräuche[[#This Row],[2025]]*Emissionsfaktoren[[#This Row],[2025]]/1000, 0)</f>
        <v>0</v>
      </c>
      <c r="Q87" s="14">
        <f>IF(ISNUMBER(Klisz_Verbräuche[[#This Row],[2026]]), Klisz_Verbräuche[[#This Row],[2026]]*Emissionsfaktoren[[#This Row],[2026]]/1000, 0)</f>
        <v>0</v>
      </c>
      <c r="R87" s="14">
        <f>IF(ISNUMBER(Klisz_Verbräuche[[#This Row],[2027]]), Klisz_Verbräuche[[#This Row],[2027]]*Emissionsfaktoren[[#This Row],[2027]]/1000, 0)</f>
        <v>0</v>
      </c>
      <c r="S87" s="14">
        <f>IF(ISNUMBER(Klisz_Verbräuche[[#This Row],[2028]]), Klisz_Verbräuche[[#This Row],[2028]]*Emissionsfaktoren[[#This Row],[2028]]/1000, 0)</f>
        <v>0</v>
      </c>
      <c r="T87" s="14">
        <f>IF(ISNUMBER(Klisz_Verbräuche[[#This Row],[2029]]), Klisz_Verbräuche[[#This Row],[2029]]*Emissionsfaktoren[[#This Row],[2029]]/1000, 0)</f>
        <v>0</v>
      </c>
      <c r="U87" s="14">
        <f>IF(ISNUMBER(Klisz_Verbräuche[[#This Row],[2030]]), Klisz_Verbräuche[[#This Row],[2030]]*Emissionsfaktoren[[#This Row],[2030]]/1000, 0)</f>
        <v>0</v>
      </c>
      <c r="V87" s="14">
        <f>IF(ISNUMBER(Klisz_Verbräuche[[#This Row],[2035]]), Klisz_Verbräuche[[#This Row],[2035]]*Emissionsfaktoren[[#This Row],[2035]]/1000, 0)</f>
        <v>0</v>
      </c>
      <c r="W87" s="14">
        <f>IF(ISNUMBER(Klisz_Verbräuche[[#This Row],[2040]]), Klisz_Verbräuche[[#This Row],[2040]]*Emissionsfaktoren[[#This Row],[2040]]/1000, 0)</f>
        <v>0</v>
      </c>
      <c r="X87" s="14">
        <f>IF(ISNUMBER(Klisz_Verbräuche[[#This Row],[2045]]), Klisz_Verbräuche[[#This Row],[2045]]*Emissionsfaktoren[[#This Row],[2045]]/1000, 0)</f>
        <v>0</v>
      </c>
      <c r="Y87" s="14">
        <f>IF(ISNUMBER(Klisz_Verbräuche[[#This Row],[2050]]), Klisz_Verbräuche[[#This Row],[2050]]*Emissionsfaktoren[[#This Row],[2050]]/1000, 0)</f>
        <v>0</v>
      </c>
    </row>
    <row r="88" spans="2:25" ht="16.5">
      <c r="B88" s="14">
        <v>71</v>
      </c>
      <c r="C88" s="14" t="str">
        <f>Refsz_Verbräuche[[#This Row],[Handlungsfeld]]</f>
        <v>Mobilität 2</v>
      </c>
      <c r="D88" s="19" t="str">
        <f>Refsz_Verbräuche[[#This Row],[Datenpunkt]]</f>
        <v>Pendeln - PKW (CNG)</v>
      </c>
      <c r="E88" t="s">
        <v>195</v>
      </c>
      <c r="F88" s="14">
        <f>IF(ISNUMBER(Klisz_Verbräuche[[#This Row],[2015]]), Klisz_Verbräuche[[#This Row],[2015]]*Emissionsfaktoren[[#This Row],[2015]]/1000, 0)</f>
        <v>0</v>
      </c>
      <c r="G88" s="14">
        <f>IF(ISNUMBER(Klisz_Verbräuche[[#This Row],[2016]]), Klisz_Verbräuche[[#This Row],[2016]]*Emissionsfaktoren[[#This Row],[2016]]/1000, 0)</f>
        <v>0</v>
      </c>
      <c r="H88" s="14">
        <f>IF(ISNUMBER(Klisz_Verbräuche[[#This Row],[2017]]), Klisz_Verbräuche[[#This Row],[2017]]*Emissionsfaktoren[[#This Row],[2017]]/1000, 0)</f>
        <v>0</v>
      </c>
      <c r="I88" s="14">
        <f>IF(ISNUMBER(Klisz_Verbräuche[[#This Row],[2018]]), Klisz_Verbräuche[[#This Row],[2018]]*Emissionsfaktoren[[#This Row],[2018]]/1000, 0)</f>
        <v>0</v>
      </c>
      <c r="J88" s="14">
        <f>IF(ISNUMBER(Klisz_Verbräuche[[#This Row],[2019]]), Klisz_Verbräuche[[#This Row],[2019]]*Emissionsfaktoren[[#This Row],[2019]]/1000, 0)</f>
        <v>0</v>
      </c>
      <c r="K88" s="14">
        <f>IF(ISNUMBER(Klisz_Verbräuche[[#This Row],[2020]]), Klisz_Verbräuche[[#This Row],[2020]]*Emissionsfaktoren[[#This Row],[2020]]/1000, 0)</f>
        <v>0</v>
      </c>
      <c r="L88" s="14">
        <f>IF(ISNUMBER(Klisz_Verbräuche[[#This Row],[2021]]), Klisz_Verbräuche[[#This Row],[2021]]*Emissionsfaktoren[[#This Row],[2021]]/1000, 0)</f>
        <v>0</v>
      </c>
      <c r="M88" s="14">
        <f>IF(ISNUMBER(Klisz_Verbräuche[[#This Row],[2022]]), Klisz_Verbräuche[[#This Row],[2022]]*Emissionsfaktoren[[#This Row],[2022]]/1000, 0)</f>
        <v>0</v>
      </c>
      <c r="N88" s="14">
        <f>IF(ISNUMBER(Klisz_Verbräuche[[#This Row],[2023]]), Klisz_Verbräuche[[#This Row],[2023]]*Emissionsfaktoren[[#This Row],[2023]]/1000, 0)</f>
        <v>0</v>
      </c>
      <c r="O88" s="14">
        <f>IF(ISNUMBER(Klisz_Verbräuche[[#This Row],[2024]]), Klisz_Verbräuche[[#This Row],[2024]]*Emissionsfaktoren[[#This Row],[2024]]/1000, 0)</f>
        <v>0</v>
      </c>
      <c r="P88" s="14">
        <f>IF(ISNUMBER(Klisz_Verbräuche[[#This Row],[2025]]), Klisz_Verbräuche[[#This Row],[2025]]*Emissionsfaktoren[[#This Row],[2025]]/1000, 0)</f>
        <v>0</v>
      </c>
      <c r="Q88" s="14">
        <f>IF(ISNUMBER(Klisz_Verbräuche[[#This Row],[2026]]), Klisz_Verbräuche[[#This Row],[2026]]*Emissionsfaktoren[[#This Row],[2026]]/1000, 0)</f>
        <v>0</v>
      </c>
      <c r="R88" s="14">
        <f>IF(ISNUMBER(Klisz_Verbräuche[[#This Row],[2027]]), Klisz_Verbräuche[[#This Row],[2027]]*Emissionsfaktoren[[#This Row],[2027]]/1000, 0)</f>
        <v>0</v>
      </c>
      <c r="S88" s="14">
        <f>IF(ISNUMBER(Klisz_Verbräuche[[#This Row],[2028]]), Klisz_Verbräuche[[#This Row],[2028]]*Emissionsfaktoren[[#This Row],[2028]]/1000, 0)</f>
        <v>0</v>
      </c>
      <c r="T88" s="14">
        <f>IF(ISNUMBER(Klisz_Verbräuche[[#This Row],[2029]]), Klisz_Verbräuche[[#This Row],[2029]]*Emissionsfaktoren[[#This Row],[2029]]/1000, 0)</f>
        <v>0</v>
      </c>
      <c r="U88" s="14">
        <f>IF(ISNUMBER(Klisz_Verbräuche[[#This Row],[2030]]), Klisz_Verbräuche[[#This Row],[2030]]*Emissionsfaktoren[[#This Row],[2030]]/1000, 0)</f>
        <v>0</v>
      </c>
      <c r="V88" s="14">
        <f>IF(ISNUMBER(Klisz_Verbräuche[[#This Row],[2035]]), Klisz_Verbräuche[[#This Row],[2035]]*Emissionsfaktoren[[#This Row],[2035]]/1000, 0)</f>
        <v>0</v>
      </c>
      <c r="W88" s="14">
        <f>IF(ISNUMBER(Klisz_Verbräuche[[#This Row],[2040]]), Klisz_Verbräuche[[#This Row],[2040]]*Emissionsfaktoren[[#This Row],[2040]]/1000, 0)</f>
        <v>0</v>
      </c>
      <c r="X88" s="14">
        <f>IF(ISNUMBER(Klisz_Verbräuche[[#This Row],[2045]]), Klisz_Verbräuche[[#This Row],[2045]]*Emissionsfaktoren[[#This Row],[2045]]/1000, 0)</f>
        <v>0</v>
      </c>
      <c r="Y88" s="14">
        <f>IF(ISNUMBER(Klisz_Verbräuche[[#This Row],[2050]]), Klisz_Verbräuche[[#This Row],[2050]]*Emissionsfaktoren[[#This Row],[2050]]/1000, 0)</f>
        <v>0</v>
      </c>
    </row>
    <row r="89" spans="2:25" ht="16.5">
      <c r="B89" s="14">
        <v>72</v>
      </c>
      <c r="C89" s="14" t="str">
        <f>Refsz_Verbräuche[[#This Row],[Handlungsfeld]]</f>
        <v>Mobilität 2</v>
      </c>
      <c r="D89" s="19" t="str">
        <f>Refsz_Verbräuche[[#This Row],[Datenpunkt]]</f>
        <v>Pendeln - PKW (Plug-In-Hybrid/PHEV)</v>
      </c>
      <c r="E89" t="s">
        <v>195</v>
      </c>
      <c r="F89" s="14">
        <f>IF(ISNUMBER(Klisz_Verbräuche[[#This Row],[2015]]), Klisz_Verbräuche[[#This Row],[2015]]*Emissionsfaktoren[[#This Row],[2015]]/1000, 0)</f>
        <v>0</v>
      </c>
      <c r="G89" s="14">
        <f>IF(ISNUMBER(Klisz_Verbräuche[[#This Row],[2016]]), Klisz_Verbräuche[[#This Row],[2016]]*Emissionsfaktoren[[#This Row],[2016]]/1000, 0)</f>
        <v>0</v>
      </c>
      <c r="H89" s="14">
        <f>IF(ISNUMBER(Klisz_Verbräuche[[#This Row],[2017]]), Klisz_Verbräuche[[#This Row],[2017]]*Emissionsfaktoren[[#This Row],[2017]]/1000, 0)</f>
        <v>0</v>
      </c>
      <c r="I89" s="14">
        <f>IF(ISNUMBER(Klisz_Verbräuche[[#This Row],[2018]]), Klisz_Verbräuche[[#This Row],[2018]]*Emissionsfaktoren[[#This Row],[2018]]/1000, 0)</f>
        <v>0</v>
      </c>
      <c r="J89" s="14">
        <f>IF(ISNUMBER(Klisz_Verbräuche[[#This Row],[2019]]), Klisz_Verbräuche[[#This Row],[2019]]*Emissionsfaktoren[[#This Row],[2019]]/1000, 0)</f>
        <v>0</v>
      </c>
      <c r="K89" s="14">
        <f>IF(ISNUMBER(Klisz_Verbräuche[[#This Row],[2020]]), Klisz_Verbräuche[[#This Row],[2020]]*Emissionsfaktoren[[#This Row],[2020]]/1000, 0)</f>
        <v>0</v>
      </c>
      <c r="L89" s="14">
        <f>IF(ISNUMBER(Klisz_Verbräuche[[#This Row],[2021]]), Klisz_Verbräuche[[#This Row],[2021]]*Emissionsfaktoren[[#This Row],[2021]]/1000, 0)</f>
        <v>0</v>
      </c>
      <c r="M89" s="14">
        <f>IF(ISNUMBER(Klisz_Verbräuche[[#This Row],[2022]]), Klisz_Verbräuche[[#This Row],[2022]]*Emissionsfaktoren[[#This Row],[2022]]/1000, 0)</f>
        <v>0</v>
      </c>
      <c r="N89" s="14">
        <f>IF(ISNUMBER(Klisz_Verbräuche[[#This Row],[2023]]), Klisz_Verbräuche[[#This Row],[2023]]*Emissionsfaktoren[[#This Row],[2023]]/1000, 0)</f>
        <v>0</v>
      </c>
      <c r="O89" s="14">
        <f>IF(ISNUMBER(Klisz_Verbräuche[[#This Row],[2024]]), Klisz_Verbräuche[[#This Row],[2024]]*Emissionsfaktoren[[#This Row],[2024]]/1000, 0)</f>
        <v>0</v>
      </c>
      <c r="P89" s="14">
        <f>IF(ISNUMBER(Klisz_Verbräuche[[#This Row],[2025]]), Klisz_Verbräuche[[#This Row],[2025]]*Emissionsfaktoren[[#This Row],[2025]]/1000, 0)</f>
        <v>0</v>
      </c>
      <c r="Q89" s="14">
        <f>IF(ISNUMBER(Klisz_Verbräuche[[#This Row],[2026]]), Klisz_Verbräuche[[#This Row],[2026]]*Emissionsfaktoren[[#This Row],[2026]]/1000, 0)</f>
        <v>0</v>
      </c>
      <c r="R89" s="14">
        <f>IF(ISNUMBER(Klisz_Verbräuche[[#This Row],[2027]]), Klisz_Verbräuche[[#This Row],[2027]]*Emissionsfaktoren[[#This Row],[2027]]/1000, 0)</f>
        <v>0</v>
      </c>
      <c r="S89" s="14">
        <f>IF(ISNUMBER(Klisz_Verbräuche[[#This Row],[2028]]), Klisz_Verbräuche[[#This Row],[2028]]*Emissionsfaktoren[[#This Row],[2028]]/1000, 0)</f>
        <v>0</v>
      </c>
      <c r="T89" s="14">
        <f>IF(ISNUMBER(Klisz_Verbräuche[[#This Row],[2029]]), Klisz_Verbräuche[[#This Row],[2029]]*Emissionsfaktoren[[#This Row],[2029]]/1000, 0)</f>
        <v>0</v>
      </c>
      <c r="U89" s="14">
        <f>IF(ISNUMBER(Klisz_Verbräuche[[#This Row],[2030]]), Klisz_Verbräuche[[#This Row],[2030]]*Emissionsfaktoren[[#This Row],[2030]]/1000, 0)</f>
        <v>0</v>
      </c>
      <c r="V89" s="14">
        <f>IF(ISNUMBER(Klisz_Verbräuche[[#This Row],[2035]]), Klisz_Verbräuche[[#This Row],[2035]]*Emissionsfaktoren[[#This Row],[2035]]/1000, 0)</f>
        <v>0</v>
      </c>
      <c r="W89" s="14">
        <f>IF(ISNUMBER(Klisz_Verbräuche[[#This Row],[2040]]), Klisz_Verbräuche[[#This Row],[2040]]*Emissionsfaktoren[[#This Row],[2040]]/1000, 0)</f>
        <v>0</v>
      </c>
      <c r="X89" s="14">
        <f>IF(ISNUMBER(Klisz_Verbräuche[[#This Row],[2045]]), Klisz_Verbräuche[[#This Row],[2045]]*Emissionsfaktoren[[#This Row],[2045]]/1000, 0)</f>
        <v>0</v>
      </c>
      <c r="Y89" s="14">
        <f>IF(ISNUMBER(Klisz_Verbräuche[[#This Row],[2050]]), Klisz_Verbräuche[[#This Row],[2050]]*Emissionsfaktoren[[#This Row],[2050]]/1000, 0)</f>
        <v>0</v>
      </c>
    </row>
    <row r="90" spans="2:25" ht="16.5">
      <c r="B90" s="14">
        <v>73</v>
      </c>
      <c r="C90" s="14" t="str">
        <f>Refsz_Verbräuche[[#This Row],[Handlungsfeld]]</f>
        <v>Mobilität 2</v>
      </c>
      <c r="D90" s="19" t="str">
        <f>Refsz_Verbräuche[[#This Row],[Datenpunkt]]</f>
        <v>Pendeln - Motorisierte Zweiräder</v>
      </c>
      <c r="E90" t="s">
        <v>195</v>
      </c>
      <c r="F90" s="14">
        <f>IF(ISNUMBER(Klisz_Verbräuche[[#This Row],[2015]]), Klisz_Verbräuche[[#This Row],[2015]]*Emissionsfaktoren[[#This Row],[2015]]/1000, 0)</f>
        <v>0</v>
      </c>
      <c r="G90" s="14">
        <f>IF(ISNUMBER(Klisz_Verbräuche[[#This Row],[2016]]), Klisz_Verbräuche[[#This Row],[2016]]*Emissionsfaktoren[[#This Row],[2016]]/1000, 0)</f>
        <v>0</v>
      </c>
      <c r="H90" s="14">
        <f>IF(ISNUMBER(Klisz_Verbräuche[[#This Row],[2017]]), Klisz_Verbräuche[[#This Row],[2017]]*Emissionsfaktoren[[#This Row],[2017]]/1000, 0)</f>
        <v>0</v>
      </c>
      <c r="I90" s="14">
        <f>IF(ISNUMBER(Klisz_Verbräuche[[#This Row],[2018]]), Klisz_Verbräuche[[#This Row],[2018]]*Emissionsfaktoren[[#This Row],[2018]]/1000, 0)</f>
        <v>0</v>
      </c>
      <c r="J90" s="14">
        <f>IF(ISNUMBER(Klisz_Verbräuche[[#This Row],[2019]]), Klisz_Verbräuche[[#This Row],[2019]]*Emissionsfaktoren[[#This Row],[2019]]/1000, 0)</f>
        <v>0</v>
      </c>
      <c r="K90" s="14">
        <f>IF(ISNUMBER(Klisz_Verbräuche[[#This Row],[2020]]), Klisz_Verbräuche[[#This Row],[2020]]*Emissionsfaktoren[[#This Row],[2020]]/1000, 0)</f>
        <v>0</v>
      </c>
      <c r="L90" s="14">
        <f>IF(ISNUMBER(Klisz_Verbräuche[[#This Row],[2021]]), Klisz_Verbräuche[[#This Row],[2021]]*Emissionsfaktoren[[#This Row],[2021]]/1000, 0)</f>
        <v>0</v>
      </c>
      <c r="M90" s="14">
        <f>IF(ISNUMBER(Klisz_Verbräuche[[#This Row],[2022]]), Klisz_Verbräuche[[#This Row],[2022]]*Emissionsfaktoren[[#This Row],[2022]]/1000, 0)</f>
        <v>0</v>
      </c>
      <c r="N90" s="14">
        <f>IF(ISNUMBER(Klisz_Verbräuche[[#This Row],[2023]]), Klisz_Verbräuche[[#This Row],[2023]]*Emissionsfaktoren[[#This Row],[2023]]/1000, 0)</f>
        <v>0</v>
      </c>
      <c r="O90" s="14">
        <f>IF(ISNUMBER(Klisz_Verbräuche[[#This Row],[2024]]), Klisz_Verbräuche[[#This Row],[2024]]*Emissionsfaktoren[[#This Row],[2024]]/1000, 0)</f>
        <v>0</v>
      </c>
      <c r="P90" s="14">
        <f>IF(ISNUMBER(Klisz_Verbräuche[[#This Row],[2025]]), Klisz_Verbräuche[[#This Row],[2025]]*Emissionsfaktoren[[#This Row],[2025]]/1000, 0)</f>
        <v>0</v>
      </c>
      <c r="Q90" s="14">
        <f>IF(ISNUMBER(Klisz_Verbräuche[[#This Row],[2026]]), Klisz_Verbräuche[[#This Row],[2026]]*Emissionsfaktoren[[#This Row],[2026]]/1000, 0)</f>
        <v>0</v>
      </c>
      <c r="R90" s="14">
        <f>IF(ISNUMBER(Klisz_Verbräuche[[#This Row],[2027]]), Klisz_Verbräuche[[#This Row],[2027]]*Emissionsfaktoren[[#This Row],[2027]]/1000, 0)</f>
        <v>0</v>
      </c>
      <c r="S90" s="14">
        <f>IF(ISNUMBER(Klisz_Verbräuche[[#This Row],[2028]]), Klisz_Verbräuche[[#This Row],[2028]]*Emissionsfaktoren[[#This Row],[2028]]/1000, 0)</f>
        <v>0</v>
      </c>
      <c r="T90" s="14">
        <f>IF(ISNUMBER(Klisz_Verbräuche[[#This Row],[2029]]), Klisz_Verbräuche[[#This Row],[2029]]*Emissionsfaktoren[[#This Row],[2029]]/1000, 0)</f>
        <v>0</v>
      </c>
      <c r="U90" s="14">
        <f>IF(ISNUMBER(Klisz_Verbräuche[[#This Row],[2030]]), Klisz_Verbräuche[[#This Row],[2030]]*Emissionsfaktoren[[#This Row],[2030]]/1000, 0)</f>
        <v>0</v>
      </c>
      <c r="V90" s="14">
        <f>IF(ISNUMBER(Klisz_Verbräuche[[#This Row],[2035]]), Klisz_Verbräuche[[#This Row],[2035]]*Emissionsfaktoren[[#This Row],[2035]]/1000, 0)</f>
        <v>0</v>
      </c>
      <c r="W90" s="14">
        <f>IF(ISNUMBER(Klisz_Verbräuche[[#This Row],[2040]]), Klisz_Verbräuche[[#This Row],[2040]]*Emissionsfaktoren[[#This Row],[2040]]/1000, 0)</f>
        <v>0</v>
      </c>
      <c r="X90" s="14">
        <f>IF(ISNUMBER(Klisz_Verbräuche[[#This Row],[2045]]), Klisz_Verbräuche[[#This Row],[2045]]*Emissionsfaktoren[[#This Row],[2045]]/1000, 0)</f>
        <v>0</v>
      </c>
      <c r="Y90" s="14">
        <f>IF(ISNUMBER(Klisz_Verbräuche[[#This Row],[2050]]), Klisz_Verbräuche[[#This Row],[2050]]*Emissionsfaktoren[[#This Row],[2050]]/1000, 0)</f>
        <v>0</v>
      </c>
    </row>
    <row r="91" spans="2:25" ht="16.5">
      <c r="B91" s="14">
        <v>74</v>
      </c>
      <c r="C91" s="14" t="str">
        <f>Refsz_Verbräuche[[#This Row],[Handlungsfeld]]</f>
        <v>Mobilität 2</v>
      </c>
      <c r="D91" s="19" t="str">
        <f>Refsz_Verbräuche[[#This Row],[Datenpunkt]]</f>
        <v>Pendeln - Fahrrad</v>
      </c>
      <c r="E91" t="s">
        <v>195</v>
      </c>
      <c r="F91" s="14">
        <f>IF(ISNUMBER(Klisz_Verbräuche[[#This Row],[2015]]), Klisz_Verbräuche[[#This Row],[2015]]*Emissionsfaktoren[[#This Row],[2015]]/1000, 0)</f>
        <v>0</v>
      </c>
      <c r="G91" s="14">
        <f>IF(ISNUMBER(Klisz_Verbräuche[[#This Row],[2016]]), Klisz_Verbräuche[[#This Row],[2016]]*Emissionsfaktoren[[#This Row],[2016]]/1000, 0)</f>
        <v>0</v>
      </c>
      <c r="H91" s="14">
        <f>IF(ISNUMBER(Klisz_Verbräuche[[#This Row],[2017]]), Klisz_Verbräuche[[#This Row],[2017]]*Emissionsfaktoren[[#This Row],[2017]]/1000, 0)</f>
        <v>0</v>
      </c>
      <c r="I91" s="14">
        <f>IF(ISNUMBER(Klisz_Verbräuche[[#This Row],[2018]]), Klisz_Verbräuche[[#This Row],[2018]]*Emissionsfaktoren[[#This Row],[2018]]/1000, 0)</f>
        <v>0</v>
      </c>
      <c r="J91" s="14">
        <f>IF(ISNUMBER(Klisz_Verbräuche[[#This Row],[2019]]), Klisz_Verbräuche[[#This Row],[2019]]*Emissionsfaktoren[[#This Row],[2019]]/1000, 0)</f>
        <v>0</v>
      </c>
      <c r="K91" s="14">
        <f>IF(ISNUMBER(Klisz_Verbräuche[[#This Row],[2020]]), Klisz_Verbräuche[[#This Row],[2020]]*Emissionsfaktoren[[#This Row],[2020]]/1000, 0)</f>
        <v>0</v>
      </c>
      <c r="L91" s="14">
        <f>IF(ISNUMBER(Klisz_Verbräuche[[#This Row],[2021]]), Klisz_Verbräuche[[#This Row],[2021]]*Emissionsfaktoren[[#This Row],[2021]]/1000, 0)</f>
        <v>0</v>
      </c>
      <c r="M91" s="14">
        <f>IF(ISNUMBER(Klisz_Verbräuche[[#This Row],[2022]]), Klisz_Verbräuche[[#This Row],[2022]]*Emissionsfaktoren[[#This Row],[2022]]/1000, 0)</f>
        <v>0</v>
      </c>
      <c r="N91" s="14">
        <f>IF(ISNUMBER(Klisz_Verbräuche[[#This Row],[2023]]), Klisz_Verbräuche[[#This Row],[2023]]*Emissionsfaktoren[[#This Row],[2023]]/1000, 0)</f>
        <v>0</v>
      </c>
      <c r="O91" s="14">
        <f>IF(ISNUMBER(Klisz_Verbräuche[[#This Row],[2024]]), Klisz_Verbräuche[[#This Row],[2024]]*Emissionsfaktoren[[#This Row],[2024]]/1000, 0)</f>
        <v>0</v>
      </c>
      <c r="P91" s="14">
        <f>IF(ISNUMBER(Klisz_Verbräuche[[#This Row],[2025]]), Klisz_Verbräuche[[#This Row],[2025]]*Emissionsfaktoren[[#This Row],[2025]]/1000, 0)</f>
        <v>0</v>
      </c>
      <c r="Q91" s="14">
        <f>IF(ISNUMBER(Klisz_Verbräuche[[#This Row],[2026]]), Klisz_Verbräuche[[#This Row],[2026]]*Emissionsfaktoren[[#This Row],[2026]]/1000, 0)</f>
        <v>0</v>
      </c>
      <c r="R91" s="14">
        <f>IF(ISNUMBER(Klisz_Verbräuche[[#This Row],[2027]]), Klisz_Verbräuche[[#This Row],[2027]]*Emissionsfaktoren[[#This Row],[2027]]/1000, 0)</f>
        <v>0</v>
      </c>
      <c r="S91" s="14">
        <f>IF(ISNUMBER(Klisz_Verbräuche[[#This Row],[2028]]), Klisz_Verbräuche[[#This Row],[2028]]*Emissionsfaktoren[[#This Row],[2028]]/1000, 0)</f>
        <v>0</v>
      </c>
      <c r="T91" s="14">
        <f>IF(ISNUMBER(Klisz_Verbräuche[[#This Row],[2029]]), Klisz_Verbräuche[[#This Row],[2029]]*Emissionsfaktoren[[#This Row],[2029]]/1000, 0)</f>
        <v>0</v>
      </c>
      <c r="U91" s="14">
        <f>IF(ISNUMBER(Klisz_Verbräuche[[#This Row],[2030]]), Klisz_Verbräuche[[#This Row],[2030]]*Emissionsfaktoren[[#This Row],[2030]]/1000, 0)</f>
        <v>0</v>
      </c>
      <c r="V91" s="14">
        <f>IF(ISNUMBER(Klisz_Verbräuche[[#This Row],[2035]]), Klisz_Verbräuche[[#This Row],[2035]]*Emissionsfaktoren[[#This Row],[2035]]/1000, 0)</f>
        <v>0</v>
      </c>
      <c r="W91" s="14">
        <f>IF(ISNUMBER(Klisz_Verbräuche[[#This Row],[2040]]), Klisz_Verbräuche[[#This Row],[2040]]*Emissionsfaktoren[[#This Row],[2040]]/1000, 0)</f>
        <v>0</v>
      </c>
      <c r="X91" s="14">
        <f>IF(ISNUMBER(Klisz_Verbräuche[[#This Row],[2045]]), Klisz_Verbräuche[[#This Row],[2045]]*Emissionsfaktoren[[#This Row],[2045]]/1000, 0)</f>
        <v>0</v>
      </c>
      <c r="Y91" s="14">
        <f>IF(ISNUMBER(Klisz_Verbräuche[[#This Row],[2050]]), Klisz_Verbräuche[[#This Row],[2050]]*Emissionsfaktoren[[#This Row],[2050]]/1000, 0)</f>
        <v>0</v>
      </c>
    </row>
    <row r="92" spans="2:25" ht="16.5">
      <c r="B92" s="14">
        <v>75</v>
      </c>
      <c r="C92" s="14" t="str">
        <f>Refsz_Verbräuche[[#This Row],[Handlungsfeld]]</f>
        <v>Mobilität 2</v>
      </c>
      <c r="D92" s="19" t="str">
        <f>Refsz_Verbräuche[[#This Row],[Datenpunkt]]</f>
        <v>Pendeln - E-Bike</v>
      </c>
      <c r="E92" t="s">
        <v>195</v>
      </c>
      <c r="F92" s="14">
        <f>IF(ISNUMBER(Klisz_Verbräuche[[#This Row],[2015]]), Klisz_Verbräuche[[#This Row],[2015]]*Emissionsfaktoren[[#This Row],[2015]]/1000, 0)</f>
        <v>0</v>
      </c>
      <c r="G92" s="14">
        <f>IF(ISNUMBER(Klisz_Verbräuche[[#This Row],[2016]]), Klisz_Verbräuche[[#This Row],[2016]]*Emissionsfaktoren[[#This Row],[2016]]/1000, 0)</f>
        <v>0</v>
      </c>
      <c r="H92" s="14">
        <f>IF(ISNUMBER(Klisz_Verbräuche[[#This Row],[2017]]), Klisz_Verbräuche[[#This Row],[2017]]*Emissionsfaktoren[[#This Row],[2017]]/1000, 0)</f>
        <v>0</v>
      </c>
      <c r="I92" s="14">
        <f>IF(ISNUMBER(Klisz_Verbräuche[[#This Row],[2018]]), Klisz_Verbräuche[[#This Row],[2018]]*Emissionsfaktoren[[#This Row],[2018]]/1000, 0)</f>
        <v>0</v>
      </c>
      <c r="J92" s="14">
        <f>IF(ISNUMBER(Klisz_Verbräuche[[#This Row],[2019]]), Klisz_Verbräuche[[#This Row],[2019]]*Emissionsfaktoren[[#This Row],[2019]]/1000, 0)</f>
        <v>0</v>
      </c>
      <c r="K92" s="14">
        <f>IF(ISNUMBER(Klisz_Verbräuche[[#This Row],[2020]]), Klisz_Verbräuche[[#This Row],[2020]]*Emissionsfaktoren[[#This Row],[2020]]/1000, 0)</f>
        <v>0</v>
      </c>
      <c r="L92" s="14">
        <f>IF(ISNUMBER(Klisz_Verbräuche[[#This Row],[2021]]), Klisz_Verbräuche[[#This Row],[2021]]*Emissionsfaktoren[[#This Row],[2021]]/1000, 0)</f>
        <v>0</v>
      </c>
      <c r="M92" s="14">
        <f>IF(ISNUMBER(Klisz_Verbräuche[[#This Row],[2022]]), Klisz_Verbräuche[[#This Row],[2022]]*Emissionsfaktoren[[#This Row],[2022]]/1000, 0)</f>
        <v>0</v>
      </c>
      <c r="N92" s="14">
        <f>IF(ISNUMBER(Klisz_Verbräuche[[#This Row],[2023]]), Klisz_Verbräuche[[#This Row],[2023]]*Emissionsfaktoren[[#This Row],[2023]]/1000, 0)</f>
        <v>0</v>
      </c>
      <c r="O92" s="14">
        <f>IF(ISNUMBER(Klisz_Verbräuche[[#This Row],[2024]]), Klisz_Verbräuche[[#This Row],[2024]]*Emissionsfaktoren[[#This Row],[2024]]/1000, 0)</f>
        <v>0</v>
      </c>
      <c r="P92" s="14">
        <f>IF(ISNUMBER(Klisz_Verbräuche[[#This Row],[2025]]), Klisz_Verbräuche[[#This Row],[2025]]*Emissionsfaktoren[[#This Row],[2025]]/1000, 0)</f>
        <v>0</v>
      </c>
      <c r="Q92" s="14">
        <f>IF(ISNUMBER(Klisz_Verbräuche[[#This Row],[2026]]), Klisz_Verbräuche[[#This Row],[2026]]*Emissionsfaktoren[[#This Row],[2026]]/1000, 0)</f>
        <v>0</v>
      </c>
      <c r="R92" s="14">
        <f>IF(ISNUMBER(Klisz_Verbräuche[[#This Row],[2027]]), Klisz_Verbräuche[[#This Row],[2027]]*Emissionsfaktoren[[#This Row],[2027]]/1000, 0)</f>
        <v>0</v>
      </c>
      <c r="S92" s="14">
        <f>IF(ISNUMBER(Klisz_Verbräuche[[#This Row],[2028]]), Klisz_Verbräuche[[#This Row],[2028]]*Emissionsfaktoren[[#This Row],[2028]]/1000, 0)</f>
        <v>0</v>
      </c>
      <c r="T92" s="14">
        <f>IF(ISNUMBER(Klisz_Verbräuche[[#This Row],[2029]]), Klisz_Verbräuche[[#This Row],[2029]]*Emissionsfaktoren[[#This Row],[2029]]/1000, 0)</f>
        <v>0</v>
      </c>
      <c r="U92" s="14">
        <f>IF(ISNUMBER(Klisz_Verbräuche[[#This Row],[2030]]), Klisz_Verbräuche[[#This Row],[2030]]*Emissionsfaktoren[[#This Row],[2030]]/1000, 0)</f>
        <v>0</v>
      </c>
      <c r="V92" s="14">
        <f>IF(ISNUMBER(Klisz_Verbräuche[[#This Row],[2035]]), Klisz_Verbräuche[[#This Row],[2035]]*Emissionsfaktoren[[#This Row],[2035]]/1000, 0)</f>
        <v>0</v>
      </c>
      <c r="W92" s="14">
        <f>IF(ISNUMBER(Klisz_Verbräuche[[#This Row],[2040]]), Klisz_Verbräuche[[#This Row],[2040]]*Emissionsfaktoren[[#This Row],[2040]]/1000, 0)</f>
        <v>0</v>
      </c>
      <c r="X92" s="14">
        <f>IF(ISNUMBER(Klisz_Verbräuche[[#This Row],[2045]]), Klisz_Verbräuche[[#This Row],[2045]]*Emissionsfaktoren[[#This Row],[2045]]/1000, 0)</f>
        <v>0</v>
      </c>
      <c r="Y92" s="14">
        <f>IF(ISNUMBER(Klisz_Verbräuche[[#This Row],[2050]]), Klisz_Verbräuche[[#This Row],[2050]]*Emissionsfaktoren[[#This Row],[2050]]/1000, 0)</f>
        <v>0</v>
      </c>
    </row>
    <row r="93" spans="2:25" ht="16.5">
      <c r="B93" s="14">
        <v>76</v>
      </c>
      <c r="C93" s="14" t="str">
        <f>Refsz_Verbräuche[[#This Row],[Handlungsfeld]]</f>
        <v>Mobilität 2</v>
      </c>
      <c r="D93" s="19" t="str">
        <f>Refsz_Verbräuche[[#This Row],[Datenpunkt]]</f>
        <v>Pendeln - zu Fuß</v>
      </c>
      <c r="E93" t="s">
        <v>195</v>
      </c>
      <c r="F93" s="14">
        <f>IF(ISNUMBER(Klisz_Verbräuche[[#This Row],[2015]]), Klisz_Verbräuche[[#This Row],[2015]]*Emissionsfaktoren[[#This Row],[2015]]/1000, 0)</f>
        <v>0</v>
      </c>
      <c r="G93" s="14">
        <f>IF(ISNUMBER(Klisz_Verbräuche[[#This Row],[2016]]), Klisz_Verbräuche[[#This Row],[2016]]*Emissionsfaktoren[[#This Row],[2016]]/1000, 0)</f>
        <v>0</v>
      </c>
      <c r="H93" s="14">
        <f>IF(ISNUMBER(Klisz_Verbräuche[[#This Row],[2017]]), Klisz_Verbräuche[[#This Row],[2017]]*Emissionsfaktoren[[#This Row],[2017]]/1000, 0)</f>
        <v>0</v>
      </c>
      <c r="I93" s="14">
        <f>IF(ISNUMBER(Klisz_Verbräuche[[#This Row],[2018]]), Klisz_Verbräuche[[#This Row],[2018]]*Emissionsfaktoren[[#This Row],[2018]]/1000, 0)</f>
        <v>0</v>
      </c>
      <c r="J93" s="14">
        <f>IF(ISNUMBER(Klisz_Verbräuche[[#This Row],[2019]]), Klisz_Verbräuche[[#This Row],[2019]]*Emissionsfaktoren[[#This Row],[2019]]/1000, 0)</f>
        <v>0</v>
      </c>
      <c r="K93" s="14">
        <f>IF(ISNUMBER(Klisz_Verbräuche[[#This Row],[2020]]), Klisz_Verbräuche[[#This Row],[2020]]*Emissionsfaktoren[[#This Row],[2020]]/1000, 0)</f>
        <v>0</v>
      </c>
      <c r="L93" s="14">
        <f>IF(ISNUMBER(Klisz_Verbräuche[[#This Row],[2021]]), Klisz_Verbräuche[[#This Row],[2021]]*Emissionsfaktoren[[#This Row],[2021]]/1000, 0)</f>
        <v>0</v>
      </c>
      <c r="M93" s="14">
        <f>IF(ISNUMBER(Klisz_Verbräuche[[#This Row],[2022]]), Klisz_Verbräuche[[#This Row],[2022]]*Emissionsfaktoren[[#This Row],[2022]]/1000, 0)</f>
        <v>0</v>
      </c>
      <c r="N93" s="14">
        <f>IF(ISNUMBER(Klisz_Verbräuche[[#This Row],[2023]]), Klisz_Verbräuche[[#This Row],[2023]]*Emissionsfaktoren[[#This Row],[2023]]/1000, 0)</f>
        <v>0</v>
      </c>
      <c r="O93" s="14">
        <f>IF(ISNUMBER(Klisz_Verbräuche[[#This Row],[2024]]), Klisz_Verbräuche[[#This Row],[2024]]*Emissionsfaktoren[[#This Row],[2024]]/1000, 0)</f>
        <v>0</v>
      </c>
      <c r="P93" s="14">
        <f>IF(ISNUMBER(Klisz_Verbräuche[[#This Row],[2025]]), Klisz_Verbräuche[[#This Row],[2025]]*Emissionsfaktoren[[#This Row],[2025]]/1000, 0)</f>
        <v>0</v>
      </c>
      <c r="Q93" s="14">
        <f>IF(ISNUMBER(Klisz_Verbräuche[[#This Row],[2026]]), Klisz_Verbräuche[[#This Row],[2026]]*Emissionsfaktoren[[#This Row],[2026]]/1000, 0)</f>
        <v>0</v>
      </c>
      <c r="R93" s="14">
        <f>IF(ISNUMBER(Klisz_Verbräuche[[#This Row],[2027]]), Klisz_Verbräuche[[#This Row],[2027]]*Emissionsfaktoren[[#This Row],[2027]]/1000, 0)</f>
        <v>0</v>
      </c>
      <c r="S93" s="14">
        <f>IF(ISNUMBER(Klisz_Verbräuche[[#This Row],[2028]]), Klisz_Verbräuche[[#This Row],[2028]]*Emissionsfaktoren[[#This Row],[2028]]/1000, 0)</f>
        <v>0</v>
      </c>
      <c r="T93" s="14">
        <f>IF(ISNUMBER(Klisz_Verbräuche[[#This Row],[2029]]), Klisz_Verbräuche[[#This Row],[2029]]*Emissionsfaktoren[[#This Row],[2029]]/1000, 0)</f>
        <v>0</v>
      </c>
      <c r="U93" s="14">
        <f>IF(ISNUMBER(Klisz_Verbräuche[[#This Row],[2030]]), Klisz_Verbräuche[[#This Row],[2030]]*Emissionsfaktoren[[#This Row],[2030]]/1000, 0)</f>
        <v>0</v>
      </c>
      <c r="V93" s="14">
        <f>IF(ISNUMBER(Klisz_Verbräuche[[#This Row],[2035]]), Klisz_Verbräuche[[#This Row],[2035]]*Emissionsfaktoren[[#This Row],[2035]]/1000, 0)</f>
        <v>0</v>
      </c>
      <c r="W93" s="14">
        <f>IF(ISNUMBER(Klisz_Verbräuche[[#This Row],[2040]]), Klisz_Verbräuche[[#This Row],[2040]]*Emissionsfaktoren[[#This Row],[2040]]/1000, 0)</f>
        <v>0</v>
      </c>
      <c r="X93" s="14">
        <f>IF(ISNUMBER(Klisz_Verbräuche[[#This Row],[2045]]), Klisz_Verbräuche[[#This Row],[2045]]*Emissionsfaktoren[[#This Row],[2045]]/1000, 0)</f>
        <v>0</v>
      </c>
      <c r="Y93" s="14">
        <f>IF(ISNUMBER(Klisz_Verbräuche[[#This Row],[2050]]), Klisz_Verbräuche[[#This Row],[2050]]*Emissionsfaktoren[[#This Row],[2050]]/1000, 0)</f>
        <v>0</v>
      </c>
    </row>
    <row r="94" spans="2:25" ht="16.5">
      <c r="B94" s="14">
        <v>77</v>
      </c>
      <c r="C94" s="14">
        <f>Refsz_Verbräuche[[#This Row],[Handlungsfeld]]</f>
        <v>0</v>
      </c>
      <c r="D94" s="19">
        <f>Refsz_Verbräuche[[#This Row],[Datenpunkt]]</f>
        <v>0</v>
      </c>
      <c r="E94" t="s">
        <v>195</v>
      </c>
      <c r="F94" s="14">
        <f>IF(ISNUMBER(Klisz_Verbräuche[[#This Row],[2015]]), Klisz_Verbräuche[[#This Row],[2015]]*Emissionsfaktoren[[#This Row],[2015]]/1000, 0)</f>
        <v>0</v>
      </c>
      <c r="G94" s="14">
        <f>IF(ISNUMBER(Klisz_Verbräuche[[#This Row],[2016]]), Klisz_Verbräuche[[#This Row],[2016]]*Emissionsfaktoren[[#This Row],[2016]]/1000, 0)</f>
        <v>0</v>
      </c>
      <c r="H94" s="14">
        <f>IF(ISNUMBER(Klisz_Verbräuche[[#This Row],[2017]]), Klisz_Verbräuche[[#This Row],[2017]]*Emissionsfaktoren[[#This Row],[2017]]/1000, 0)</f>
        <v>0</v>
      </c>
      <c r="I94" s="14">
        <f>IF(ISNUMBER(Klisz_Verbräuche[[#This Row],[2018]]), Klisz_Verbräuche[[#This Row],[2018]]*Emissionsfaktoren[[#This Row],[2018]]/1000, 0)</f>
        <v>0</v>
      </c>
      <c r="J94" s="14">
        <f>IF(ISNUMBER(Klisz_Verbräuche[[#This Row],[2019]]), Klisz_Verbräuche[[#This Row],[2019]]*Emissionsfaktoren[[#This Row],[2019]]/1000, 0)</f>
        <v>0</v>
      </c>
      <c r="K94" s="14">
        <f>IF(ISNUMBER(Klisz_Verbräuche[[#This Row],[2020]]), Klisz_Verbräuche[[#This Row],[2020]]*Emissionsfaktoren[[#This Row],[2020]]/1000, 0)</f>
        <v>0</v>
      </c>
      <c r="L94" s="14">
        <f>IF(ISNUMBER(Klisz_Verbräuche[[#This Row],[2021]]), Klisz_Verbräuche[[#This Row],[2021]]*Emissionsfaktoren[[#This Row],[2021]]/1000, 0)</f>
        <v>0</v>
      </c>
      <c r="M94" s="14">
        <f>IF(ISNUMBER(Klisz_Verbräuche[[#This Row],[2022]]), Klisz_Verbräuche[[#This Row],[2022]]*Emissionsfaktoren[[#This Row],[2022]]/1000, 0)</f>
        <v>0</v>
      </c>
      <c r="N94" s="14">
        <f>IF(ISNUMBER(Klisz_Verbräuche[[#This Row],[2023]]), Klisz_Verbräuche[[#This Row],[2023]]*Emissionsfaktoren[[#This Row],[2023]]/1000, 0)</f>
        <v>0</v>
      </c>
      <c r="O94" s="14">
        <f>IF(ISNUMBER(Klisz_Verbräuche[[#This Row],[2024]]), Klisz_Verbräuche[[#This Row],[2024]]*Emissionsfaktoren[[#This Row],[2024]]/1000, 0)</f>
        <v>0</v>
      </c>
      <c r="P94" s="14">
        <f>IF(ISNUMBER(Klisz_Verbräuche[[#This Row],[2025]]), Klisz_Verbräuche[[#This Row],[2025]]*Emissionsfaktoren[[#This Row],[2025]]/1000, 0)</f>
        <v>0</v>
      </c>
      <c r="Q94" s="14">
        <f>IF(ISNUMBER(Klisz_Verbräuche[[#This Row],[2026]]), Klisz_Verbräuche[[#This Row],[2026]]*Emissionsfaktoren[[#This Row],[2026]]/1000, 0)</f>
        <v>0</v>
      </c>
      <c r="R94" s="14">
        <f>IF(ISNUMBER(Klisz_Verbräuche[[#This Row],[2027]]), Klisz_Verbräuche[[#This Row],[2027]]*Emissionsfaktoren[[#This Row],[2027]]/1000, 0)</f>
        <v>0</v>
      </c>
      <c r="S94" s="14">
        <f>IF(ISNUMBER(Klisz_Verbräuche[[#This Row],[2028]]), Klisz_Verbräuche[[#This Row],[2028]]*Emissionsfaktoren[[#This Row],[2028]]/1000, 0)</f>
        <v>0</v>
      </c>
      <c r="T94" s="14">
        <f>IF(ISNUMBER(Klisz_Verbräuche[[#This Row],[2029]]), Klisz_Verbräuche[[#This Row],[2029]]*Emissionsfaktoren[[#This Row],[2029]]/1000, 0)</f>
        <v>0</v>
      </c>
      <c r="U94" s="14">
        <f>IF(ISNUMBER(Klisz_Verbräuche[[#This Row],[2030]]), Klisz_Verbräuche[[#This Row],[2030]]*Emissionsfaktoren[[#This Row],[2030]]/1000, 0)</f>
        <v>0</v>
      </c>
      <c r="V94" s="14">
        <f>IF(ISNUMBER(Klisz_Verbräuche[[#This Row],[2035]]), Klisz_Verbräuche[[#This Row],[2035]]*Emissionsfaktoren[[#This Row],[2035]]/1000, 0)</f>
        <v>0</v>
      </c>
      <c r="W94" s="14">
        <f>IF(ISNUMBER(Klisz_Verbräuche[[#This Row],[2040]]), Klisz_Verbräuche[[#This Row],[2040]]*Emissionsfaktoren[[#This Row],[2040]]/1000, 0)</f>
        <v>0</v>
      </c>
      <c r="X94" s="14">
        <f>IF(ISNUMBER(Klisz_Verbräuche[[#This Row],[2045]]), Klisz_Verbräuche[[#This Row],[2045]]*Emissionsfaktoren[[#This Row],[2045]]/1000, 0)</f>
        <v>0</v>
      </c>
      <c r="Y94" s="14">
        <f>IF(ISNUMBER(Klisz_Verbräuche[[#This Row],[2050]]), Klisz_Verbräuche[[#This Row],[2050]]*Emissionsfaktoren[[#This Row],[2050]]/1000, 0)</f>
        <v>0</v>
      </c>
    </row>
    <row r="95" spans="2:25" ht="16.5">
      <c r="B95" s="14">
        <v>78</v>
      </c>
      <c r="C95" s="14" t="str">
        <f>Refsz_Verbräuche[[#This Row],[Handlungsfeld]]</f>
        <v>Mobilität 2</v>
      </c>
      <c r="D95" s="19" t="str">
        <f>Refsz_Verbräuche[[#This Row],[Datenpunkt]]</f>
        <v>Studierendenreisen (Incoming) - Flugreisen</v>
      </c>
      <c r="E95" t="s">
        <v>195</v>
      </c>
      <c r="F95" s="14">
        <f>IF(ISNUMBER(Klisz_Verbräuche[[#This Row],[2015]]), Klisz_Verbräuche[[#This Row],[2015]]*Emissionsfaktoren[[#This Row],[2015]]/1000, 0)</f>
        <v>0</v>
      </c>
      <c r="G95" s="14">
        <f>IF(ISNUMBER(Klisz_Verbräuche[[#This Row],[2016]]), Klisz_Verbräuche[[#This Row],[2016]]*Emissionsfaktoren[[#This Row],[2016]]/1000, 0)</f>
        <v>0</v>
      </c>
      <c r="H95" s="14">
        <f>IF(ISNUMBER(Klisz_Verbräuche[[#This Row],[2017]]), Klisz_Verbräuche[[#This Row],[2017]]*Emissionsfaktoren[[#This Row],[2017]]/1000, 0)</f>
        <v>0</v>
      </c>
      <c r="I95" s="14">
        <f>IF(ISNUMBER(Klisz_Verbräuche[[#This Row],[2018]]), Klisz_Verbräuche[[#This Row],[2018]]*Emissionsfaktoren[[#This Row],[2018]]/1000, 0)</f>
        <v>0</v>
      </c>
      <c r="J95" s="14">
        <f>IF(ISNUMBER(Klisz_Verbräuche[[#This Row],[2019]]), Klisz_Verbräuche[[#This Row],[2019]]*Emissionsfaktoren[[#This Row],[2019]]/1000, 0)</f>
        <v>0</v>
      </c>
      <c r="K95" s="14">
        <f>IF(ISNUMBER(Klisz_Verbräuche[[#This Row],[2020]]), Klisz_Verbräuche[[#This Row],[2020]]*Emissionsfaktoren[[#This Row],[2020]]/1000, 0)</f>
        <v>0</v>
      </c>
      <c r="L95" s="14">
        <f>IF(ISNUMBER(Klisz_Verbräuche[[#This Row],[2021]]), Klisz_Verbräuche[[#This Row],[2021]]*Emissionsfaktoren[[#This Row],[2021]]/1000, 0)</f>
        <v>0</v>
      </c>
      <c r="M95" s="14">
        <f>IF(ISNUMBER(Klisz_Verbräuche[[#This Row],[2022]]), Klisz_Verbräuche[[#This Row],[2022]]*Emissionsfaktoren[[#This Row],[2022]]/1000, 0)</f>
        <v>0</v>
      </c>
      <c r="N95" s="14">
        <f>IF(ISNUMBER(Klisz_Verbräuche[[#This Row],[2023]]), Klisz_Verbräuche[[#This Row],[2023]]*Emissionsfaktoren[[#This Row],[2023]]/1000, 0)</f>
        <v>0</v>
      </c>
      <c r="O95" s="14">
        <f>IF(ISNUMBER(Klisz_Verbräuche[[#This Row],[2024]]), Klisz_Verbräuche[[#This Row],[2024]]*Emissionsfaktoren[[#This Row],[2024]]/1000, 0)</f>
        <v>0</v>
      </c>
      <c r="P95" s="14">
        <f>IF(ISNUMBER(Klisz_Verbräuche[[#This Row],[2025]]), Klisz_Verbräuche[[#This Row],[2025]]*Emissionsfaktoren[[#This Row],[2025]]/1000, 0)</f>
        <v>0</v>
      </c>
      <c r="Q95" s="14">
        <f>IF(ISNUMBER(Klisz_Verbräuche[[#This Row],[2026]]), Klisz_Verbräuche[[#This Row],[2026]]*Emissionsfaktoren[[#This Row],[2026]]/1000, 0)</f>
        <v>0</v>
      </c>
      <c r="R95" s="14">
        <f>IF(ISNUMBER(Klisz_Verbräuche[[#This Row],[2027]]), Klisz_Verbräuche[[#This Row],[2027]]*Emissionsfaktoren[[#This Row],[2027]]/1000, 0)</f>
        <v>0</v>
      </c>
      <c r="S95" s="14">
        <f>IF(ISNUMBER(Klisz_Verbräuche[[#This Row],[2028]]), Klisz_Verbräuche[[#This Row],[2028]]*Emissionsfaktoren[[#This Row],[2028]]/1000, 0)</f>
        <v>0</v>
      </c>
      <c r="T95" s="14">
        <f>IF(ISNUMBER(Klisz_Verbräuche[[#This Row],[2029]]), Klisz_Verbräuche[[#This Row],[2029]]*Emissionsfaktoren[[#This Row],[2029]]/1000, 0)</f>
        <v>0</v>
      </c>
      <c r="U95" s="14">
        <f>IF(ISNUMBER(Klisz_Verbräuche[[#This Row],[2030]]), Klisz_Verbräuche[[#This Row],[2030]]*Emissionsfaktoren[[#This Row],[2030]]/1000, 0)</f>
        <v>0</v>
      </c>
      <c r="V95" s="14">
        <f>IF(ISNUMBER(Klisz_Verbräuche[[#This Row],[2035]]), Klisz_Verbräuche[[#This Row],[2035]]*Emissionsfaktoren[[#This Row],[2035]]/1000, 0)</f>
        <v>0</v>
      </c>
      <c r="W95" s="14">
        <f>IF(ISNUMBER(Klisz_Verbräuche[[#This Row],[2040]]), Klisz_Verbräuche[[#This Row],[2040]]*Emissionsfaktoren[[#This Row],[2040]]/1000, 0)</f>
        <v>0</v>
      </c>
      <c r="X95" s="14">
        <f>IF(ISNUMBER(Klisz_Verbräuche[[#This Row],[2045]]), Klisz_Verbräuche[[#This Row],[2045]]*Emissionsfaktoren[[#This Row],[2045]]/1000, 0)</f>
        <v>0</v>
      </c>
      <c r="Y95" s="14">
        <f>IF(ISNUMBER(Klisz_Verbräuche[[#This Row],[2050]]), Klisz_Verbräuche[[#This Row],[2050]]*Emissionsfaktoren[[#This Row],[2050]]/1000, 0)</f>
        <v>0</v>
      </c>
    </row>
    <row r="96" spans="2:25" ht="16.5">
      <c r="B96" s="14">
        <v>79</v>
      </c>
      <c r="C96" s="14" t="str">
        <f>Refsz_Verbräuche[[#This Row],[Handlungsfeld]]</f>
        <v>Mobilität 2</v>
      </c>
      <c r="D96" s="19" t="str">
        <f>Refsz_Verbräuche[[#This Row],[Datenpunkt]]</f>
        <v>Studierendenreisen (Incoming) - Eisenbahn (Nahverkehr)</v>
      </c>
      <c r="E96" t="s">
        <v>195</v>
      </c>
      <c r="F96" s="14">
        <f>IF(ISNUMBER(Klisz_Verbräuche[[#This Row],[2015]]), Klisz_Verbräuche[[#This Row],[2015]]*Emissionsfaktoren[[#This Row],[2015]]/1000, 0)</f>
        <v>0</v>
      </c>
      <c r="G96" s="14">
        <f>IF(ISNUMBER(Klisz_Verbräuche[[#This Row],[2016]]), Klisz_Verbräuche[[#This Row],[2016]]*Emissionsfaktoren[[#This Row],[2016]]/1000, 0)</f>
        <v>0</v>
      </c>
      <c r="H96" s="14">
        <f>IF(ISNUMBER(Klisz_Verbräuche[[#This Row],[2017]]), Klisz_Verbräuche[[#This Row],[2017]]*Emissionsfaktoren[[#This Row],[2017]]/1000, 0)</f>
        <v>0</v>
      </c>
      <c r="I96" s="14">
        <f>IF(ISNUMBER(Klisz_Verbräuche[[#This Row],[2018]]), Klisz_Verbräuche[[#This Row],[2018]]*Emissionsfaktoren[[#This Row],[2018]]/1000, 0)</f>
        <v>0</v>
      </c>
      <c r="J96" s="14">
        <f>IF(ISNUMBER(Klisz_Verbräuche[[#This Row],[2019]]), Klisz_Verbräuche[[#This Row],[2019]]*Emissionsfaktoren[[#This Row],[2019]]/1000, 0)</f>
        <v>0</v>
      </c>
      <c r="K96" s="14">
        <f>IF(ISNUMBER(Klisz_Verbräuche[[#This Row],[2020]]), Klisz_Verbräuche[[#This Row],[2020]]*Emissionsfaktoren[[#This Row],[2020]]/1000, 0)</f>
        <v>0</v>
      </c>
      <c r="L96" s="14">
        <f>IF(ISNUMBER(Klisz_Verbräuche[[#This Row],[2021]]), Klisz_Verbräuche[[#This Row],[2021]]*Emissionsfaktoren[[#This Row],[2021]]/1000, 0)</f>
        <v>0</v>
      </c>
      <c r="M96" s="14">
        <f>IF(ISNUMBER(Klisz_Verbräuche[[#This Row],[2022]]), Klisz_Verbräuche[[#This Row],[2022]]*Emissionsfaktoren[[#This Row],[2022]]/1000, 0)</f>
        <v>0</v>
      </c>
      <c r="N96" s="14">
        <f>IF(ISNUMBER(Klisz_Verbräuche[[#This Row],[2023]]), Klisz_Verbräuche[[#This Row],[2023]]*Emissionsfaktoren[[#This Row],[2023]]/1000, 0)</f>
        <v>0</v>
      </c>
      <c r="O96" s="14">
        <f>IF(ISNUMBER(Klisz_Verbräuche[[#This Row],[2024]]), Klisz_Verbräuche[[#This Row],[2024]]*Emissionsfaktoren[[#This Row],[2024]]/1000, 0)</f>
        <v>0</v>
      </c>
      <c r="P96" s="14">
        <f>IF(ISNUMBER(Klisz_Verbräuche[[#This Row],[2025]]), Klisz_Verbräuche[[#This Row],[2025]]*Emissionsfaktoren[[#This Row],[2025]]/1000, 0)</f>
        <v>0</v>
      </c>
      <c r="Q96" s="14">
        <f>IF(ISNUMBER(Klisz_Verbräuche[[#This Row],[2026]]), Klisz_Verbräuche[[#This Row],[2026]]*Emissionsfaktoren[[#This Row],[2026]]/1000, 0)</f>
        <v>0</v>
      </c>
      <c r="R96" s="14">
        <f>IF(ISNUMBER(Klisz_Verbräuche[[#This Row],[2027]]), Klisz_Verbräuche[[#This Row],[2027]]*Emissionsfaktoren[[#This Row],[2027]]/1000, 0)</f>
        <v>0</v>
      </c>
      <c r="S96" s="14">
        <f>IF(ISNUMBER(Klisz_Verbräuche[[#This Row],[2028]]), Klisz_Verbräuche[[#This Row],[2028]]*Emissionsfaktoren[[#This Row],[2028]]/1000, 0)</f>
        <v>0</v>
      </c>
      <c r="T96" s="14">
        <f>IF(ISNUMBER(Klisz_Verbräuche[[#This Row],[2029]]), Klisz_Verbräuche[[#This Row],[2029]]*Emissionsfaktoren[[#This Row],[2029]]/1000, 0)</f>
        <v>0</v>
      </c>
      <c r="U96" s="14">
        <f>IF(ISNUMBER(Klisz_Verbräuche[[#This Row],[2030]]), Klisz_Verbräuche[[#This Row],[2030]]*Emissionsfaktoren[[#This Row],[2030]]/1000, 0)</f>
        <v>0</v>
      </c>
      <c r="V96" s="14">
        <f>IF(ISNUMBER(Klisz_Verbräuche[[#This Row],[2035]]), Klisz_Verbräuche[[#This Row],[2035]]*Emissionsfaktoren[[#This Row],[2035]]/1000, 0)</f>
        <v>0</v>
      </c>
      <c r="W96" s="14">
        <f>IF(ISNUMBER(Klisz_Verbräuche[[#This Row],[2040]]), Klisz_Verbräuche[[#This Row],[2040]]*Emissionsfaktoren[[#This Row],[2040]]/1000, 0)</f>
        <v>0</v>
      </c>
      <c r="X96" s="14">
        <f>IF(ISNUMBER(Klisz_Verbräuche[[#This Row],[2045]]), Klisz_Verbräuche[[#This Row],[2045]]*Emissionsfaktoren[[#This Row],[2045]]/1000, 0)</f>
        <v>0</v>
      </c>
      <c r="Y96" s="14">
        <f>IF(ISNUMBER(Klisz_Verbräuche[[#This Row],[2050]]), Klisz_Verbräuche[[#This Row],[2050]]*Emissionsfaktoren[[#This Row],[2050]]/1000, 0)</f>
        <v>0</v>
      </c>
    </row>
    <row r="97" spans="2:25" ht="16.5">
      <c r="B97" s="14">
        <v>80</v>
      </c>
      <c r="C97" s="14" t="str">
        <f>Refsz_Verbräuche[[#This Row],[Handlungsfeld]]</f>
        <v>Mobilität 2</v>
      </c>
      <c r="D97" s="19" t="str">
        <f>Refsz_Verbräuche[[#This Row],[Datenpunkt]]</f>
        <v>Studierendenreisen (Incoming) - Privater PKW (alle Antriebsarten)</v>
      </c>
      <c r="E97" t="s">
        <v>195</v>
      </c>
      <c r="F97" s="14">
        <f>IF(ISNUMBER(Klisz_Verbräuche[[#This Row],[2015]]), Klisz_Verbräuche[[#This Row],[2015]]*Emissionsfaktoren[[#This Row],[2015]]/1000, 0)</f>
        <v>0</v>
      </c>
      <c r="G97" s="14">
        <f>IF(ISNUMBER(Klisz_Verbräuche[[#This Row],[2016]]), Klisz_Verbräuche[[#This Row],[2016]]*Emissionsfaktoren[[#This Row],[2016]]/1000, 0)</f>
        <v>0</v>
      </c>
      <c r="H97" s="14">
        <f>IF(ISNUMBER(Klisz_Verbräuche[[#This Row],[2017]]), Klisz_Verbräuche[[#This Row],[2017]]*Emissionsfaktoren[[#This Row],[2017]]/1000, 0)</f>
        <v>0</v>
      </c>
      <c r="I97" s="14">
        <f>IF(ISNUMBER(Klisz_Verbräuche[[#This Row],[2018]]), Klisz_Verbräuche[[#This Row],[2018]]*Emissionsfaktoren[[#This Row],[2018]]/1000, 0)</f>
        <v>0</v>
      </c>
      <c r="J97" s="14">
        <f>IF(ISNUMBER(Klisz_Verbräuche[[#This Row],[2019]]), Klisz_Verbräuche[[#This Row],[2019]]*Emissionsfaktoren[[#This Row],[2019]]/1000, 0)</f>
        <v>0</v>
      </c>
      <c r="K97" s="14">
        <f>IF(ISNUMBER(Klisz_Verbräuche[[#This Row],[2020]]), Klisz_Verbräuche[[#This Row],[2020]]*Emissionsfaktoren[[#This Row],[2020]]/1000, 0)</f>
        <v>0</v>
      </c>
      <c r="L97" s="14">
        <f>IF(ISNUMBER(Klisz_Verbräuche[[#This Row],[2021]]), Klisz_Verbräuche[[#This Row],[2021]]*Emissionsfaktoren[[#This Row],[2021]]/1000, 0)</f>
        <v>0</v>
      </c>
      <c r="M97" s="14">
        <f>IF(ISNUMBER(Klisz_Verbräuche[[#This Row],[2022]]), Klisz_Verbräuche[[#This Row],[2022]]*Emissionsfaktoren[[#This Row],[2022]]/1000, 0)</f>
        <v>0</v>
      </c>
      <c r="N97" s="14">
        <f>IF(ISNUMBER(Klisz_Verbräuche[[#This Row],[2023]]), Klisz_Verbräuche[[#This Row],[2023]]*Emissionsfaktoren[[#This Row],[2023]]/1000, 0)</f>
        <v>0</v>
      </c>
      <c r="O97" s="14">
        <f>IF(ISNUMBER(Klisz_Verbräuche[[#This Row],[2024]]), Klisz_Verbräuche[[#This Row],[2024]]*Emissionsfaktoren[[#This Row],[2024]]/1000, 0)</f>
        <v>0</v>
      </c>
      <c r="P97" s="14">
        <f>IF(ISNUMBER(Klisz_Verbräuche[[#This Row],[2025]]), Klisz_Verbräuche[[#This Row],[2025]]*Emissionsfaktoren[[#This Row],[2025]]/1000, 0)</f>
        <v>0</v>
      </c>
      <c r="Q97" s="14">
        <f>IF(ISNUMBER(Klisz_Verbräuche[[#This Row],[2026]]), Klisz_Verbräuche[[#This Row],[2026]]*Emissionsfaktoren[[#This Row],[2026]]/1000, 0)</f>
        <v>0</v>
      </c>
      <c r="R97" s="14">
        <f>IF(ISNUMBER(Klisz_Verbräuche[[#This Row],[2027]]), Klisz_Verbräuche[[#This Row],[2027]]*Emissionsfaktoren[[#This Row],[2027]]/1000, 0)</f>
        <v>0</v>
      </c>
      <c r="S97" s="14">
        <f>IF(ISNUMBER(Klisz_Verbräuche[[#This Row],[2028]]), Klisz_Verbräuche[[#This Row],[2028]]*Emissionsfaktoren[[#This Row],[2028]]/1000, 0)</f>
        <v>0</v>
      </c>
      <c r="T97" s="14">
        <f>IF(ISNUMBER(Klisz_Verbräuche[[#This Row],[2029]]), Klisz_Verbräuche[[#This Row],[2029]]*Emissionsfaktoren[[#This Row],[2029]]/1000, 0)</f>
        <v>0</v>
      </c>
      <c r="U97" s="14">
        <f>IF(ISNUMBER(Klisz_Verbräuche[[#This Row],[2030]]), Klisz_Verbräuche[[#This Row],[2030]]*Emissionsfaktoren[[#This Row],[2030]]/1000, 0)</f>
        <v>0</v>
      </c>
      <c r="V97" s="14">
        <f>IF(ISNUMBER(Klisz_Verbräuche[[#This Row],[2035]]), Klisz_Verbräuche[[#This Row],[2035]]*Emissionsfaktoren[[#This Row],[2035]]/1000, 0)</f>
        <v>0</v>
      </c>
      <c r="W97" s="14">
        <f>IF(ISNUMBER(Klisz_Verbräuche[[#This Row],[2040]]), Klisz_Verbräuche[[#This Row],[2040]]*Emissionsfaktoren[[#This Row],[2040]]/1000, 0)</f>
        <v>0</v>
      </c>
      <c r="X97" s="14">
        <f>IF(ISNUMBER(Klisz_Verbräuche[[#This Row],[2045]]), Klisz_Verbräuche[[#This Row],[2045]]*Emissionsfaktoren[[#This Row],[2045]]/1000, 0)</f>
        <v>0</v>
      </c>
      <c r="Y97" s="14">
        <f>IF(ISNUMBER(Klisz_Verbräuche[[#This Row],[2050]]), Klisz_Verbräuche[[#This Row],[2050]]*Emissionsfaktoren[[#This Row],[2050]]/1000, 0)</f>
        <v>0</v>
      </c>
    </row>
    <row r="98" spans="2:25" ht="16.5">
      <c r="B98" s="14">
        <v>81</v>
      </c>
      <c r="C98" s="14">
        <f>Refsz_Verbräuche[[#This Row],[Handlungsfeld]]</f>
        <v>0</v>
      </c>
      <c r="D98" s="19">
        <f>Refsz_Verbräuche[[#This Row],[Datenpunkt]]</f>
        <v>0</v>
      </c>
      <c r="E98" t="s">
        <v>195</v>
      </c>
      <c r="F98" s="14">
        <f>IF(ISNUMBER(Klisz_Verbräuche[[#This Row],[2015]]), Klisz_Verbräuche[[#This Row],[2015]]*Emissionsfaktoren[[#This Row],[2015]]/1000, 0)</f>
        <v>0</v>
      </c>
      <c r="G98" s="14">
        <f>IF(ISNUMBER(Klisz_Verbräuche[[#This Row],[2016]]), Klisz_Verbräuche[[#This Row],[2016]]*Emissionsfaktoren[[#This Row],[2016]]/1000, 0)</f>
        <v>0</v>
      </c>
      <c r="H98" s="14">
        <f>IF(ISNUMBER(Klisz_Verbräuche[[#This Row],[2017]]), Klisz_Verbräuche[[#This Row],[2017]]*Emissionsfaktoren[[#This Row],[2017]]/1000, 0)</f>
        <v>0</v>
      </c>
      <c r="I98" s="14">
        <f>IF(ISNUMBER(Klisz_Verbräuche[[#This Row],[2018]]), Klisz_Verbräuche[[#This Row],[2018]]*Emissionsfaktoren[[#This Row],[2018]]/1000, 0)</f>
        <v>0</v>
      </c>
      <c r="J98" s="14">
        <f>IF(ISNUMBER(Klisz_Verbräuche[[#This Row],[2019]]), Klisz_Verbräuche[[#This Row],[2019]]*Emissionsfaktoren[[#This Row],[2019]]/1000, 0)</f>
        <v>0</v>
      </c>
      <c r="K98" s="14">
        <f>IF(ISNUMBER(Klisz_Verbräuche[[#This Row],[2020]]), Klisz_Verbräuche[[#This Row],[2020]]*Emissionsfaktoren[[#This Row],[2020]]/1000, 0)</f>
        <v>0</v>
      </c>
      <c r="L98" s="14">
        <f>IF(ISNUMBER(Klisz_Verbräuche[[#This Row],[2021]]), Klisz_Verbräuche[[#This Row],[2021]]*Emissionsfaktoren[[#This Row],[2021]]/1000, 0)</f>
        <v>0</v>
      </c>
      <c r="M98" s="14">
        <f>IF(ISNUMBER(Klisz_Verbräuche[[#This Row],[2022]]), Klisz_Verbräuche[[#This Row],[2022]]*Emissionsfaktoren[[#This Row],[2022]]/1000, 0)</f>
        <v>0</v>
      </c>
      <c r="N98" s="14">
        <f>IF(ISNUMBER(Klisz_Verbräuche[[#This Row],[2023]]), Klisz_Verbräuche[[#This Row],[2023]]*Emissionsfaktoren[[#This Row],[2023]]/1000, 0)</f>
        <v>0</v>
      </c>
      <c r="O98" s="14">
        <f>IF(ISNUMBER(Klisz_Verbräuche[[#This Row],[2024]]), Klisz_Verbräuche[[#This Row],[2024]]*Emissionsfaktoren[[#This Row],[2024]]/1000, 0)</f>
        <v>0</v>
      </c>
      <c r="P98" s="14">
        <f>IF(ISNUMBER(Klisz_Verbräuche[[#This Row],[2025]]), Klisz_Verbräuche[[#This Row],[2025]]*Emissionsfaktoren[[#This Row],[2025]]/1000, 0)</f>
        <v>0</v>
      </c>
      <c r="Q98" s="14">
        <f>IF(ISNUMBER(Klisz_Verbräuche[[#This Row],[2026]]), Klisz_Verbräuche[[#This Row],[2026]]*Emissionsfaktoren[[#This Row],[2026]]/1000, 0)</f>
        <v>0</v>
      </c>
      <c r="R98" s="14">
        <f>IF(ISNUMBER(Klisz_Verbräuche[[#This Row],[2027]]), Klisz_Verbräuche[[#This Row],[2027]]*Emissionsfaktoren[[#This Row],[2027]]/1000, 0)</f>
        <v>0</v>
      </c>
      <c r="S98" s="14">
        <f>IF(ISNUMBER(Klisz_Verbräuche[[#This Row],[2028]]), Klisz_Verbräuche[[#This Row],[2028]]*Emissionsfaktoren[[#This Row],[2028]]/1000, 0)</f>
        <v>0</v>
      </c>
      <c r="T98" s="14">
        <f>IF(ISNUMBER(Klisz_Verbräuche[[#This Row],[2029]]), Klisz_Verbräuche[[#This Row],[2029]]*Emissionsfaktoren[[#This Row],[2029]]/1000, 0)</f>
        <v>0</v>
      </c>
      <c r="U98" s="14">
        <f>IF(ISNUMBER(Klisz_Verbräuche[[#This Row],[2030]]), Klisz_Verbräuche[[#This Row],[2030]]*Emissionsfaktoren[[#This Row],[2030]]/1000, 0)</f>
        <v>0</v>
      </c>
      <c r="V98" s="14">
        <f>IF(ISNUMBER(Klisz_Verbräuche[[#This Row],[2035]]), Klisz_Verbräuche[[#This Row],[2035]]*Emissionsfaktoren[[#This Row],[2035]]/1000, 0)</f>
        <v>0</v>
      </c>
      <c r="W98" s="14">
        <f>IF(ISNUMBER(Klisz_Verbräuche[[#This Row],[2040]]), Klisz_Verbräuche[[#This Row],[2040]]*Emissionsfaktoren[[#This Row],[2040]]/1000, 0)</f>
        <v>0</v>
      </c>
      <c r="X98" s="14">
        <f>IF(ISNUMBER(Klisz_Verbräuche[[#This Row],[2045]]), Klisz_Verbräuche[[#This Row],[2045]]*Emissionsfaktoren[[#This Row],[2045]]/1000, 0)</f>
        <v>0</v>
      </c>
      <c r="Y98" s="14">
        <f>IF(ISNUMBER(Klisz_Verbräuche[[#This Row],[2050]]), Klisz_Verbräuche[[#This Row],[2050]]*Emissionsfaktoren[[#This Row],[2050]]/1000, 0)</f>
        <v>0</v>
      </c>
    </row>
    <row r="99" spans="2:25" ht="16.5">
      <c r="B99" s="14">
        <v>82</v>
      </c>
      <c r="C99" s="14" t="str">
        <f>Refsz_Verbräuche[[#This Row],[Handlungsfeld]]</f>
        <v>Mobilität 2</v>
      </c>
      <c r="D99" s="19" t="str">
        <f>Refsz_Verbräuche[[#This Row],[Datenpunkt]]</f>
        <v>An- und Abreise von Gästen - Flugreisen</v>
      </c>
      <c r="E99" t="s">
        <v>195</v>
      </c>
      <c r="F99" s="14">
        <f>IF(ISNUMBER(Klisz_Verbräuche[[#This Row],[2015]]), Klisz_Verbräuche[[#This Row],[2015]]*Emissionsfaktoren[[#This Row],[2015]]/1000, 0)</f>
        <v>0</v>
      </c>
      <c r="G99" s="14">
        <f>IF(ISNUMBER(Klisz_Verbräuche[[#This Row],[2016]]), Klisz_Verbräuche[[#This Row],[2016]]*Emissionsfaktoren[[#This Row],[2016]]/1000, 0)</f>
        <v>0</v>
      </c>
      <c r="H99" s="14">
        <f>IF(ISNUMBER(Klisz_Verbräuche[[#This Row],[2017]]), Klisz_Verbräuche[[#This Row],[2017]]*Emissionsfaktoren[[#This Row],[2017]]/1000, 0)</f>
        <v>0</v>
      </c>
      <c r="I99" s="14">
        <f>IF(ISNUMBER(Klisz_Verbräuche[[#This Row],[2018]]), Klisz_Verbräuche[[#This Row],[2018]]*Emissionsfaktoren[[#This Row],[2018]]/1000, 0)</f>
        <v>0</v>
      </c>
      <c r="J99" s="14">
        <f>IF(ISNUMBER(Klisz_Verbräuche[[#This Row],[2019]]), Klisz_Verbräuche[[#This Row],[2019]]*Emissionsfaktoren[[#This Row],[2019]]/1000, 0)</f>
        <v>0</v>
      </c>
      <c r="K99" s="14">
        <f>IF(ISNUMBER(Klisz_Verbräuche[[#This Row],[2020]]), Klisz_Verbräuche[[#This Row],[2020]]*Emissionsfaktoren[[#This Row],[2020]]/1000, 0)</f>
        <v>0</v>
      </c>
      <c r="L99" s="14">
        <f>IF(ISNUMBER(Klisz_Verbräuche[[#This Row],[2021]]), Klisz_Verbräuche[[#This Row],[2021]]*Emissionsfaktoren[[#This Row],[2021]]/1000, 0)</f>
        <v>0</v>
      </c>
      <c r="M99" s="14">
        <f>IF(ISNUMBER(Klisz_Verbräuche[[#This Row],[2022]]), Klisz_Verbräuche[[#This Row],[2022]]*Emissionsfaktoren[[#This Row],[2022]]/1000, 0)</f>
        <v>0</v>
      </c>
      <c r="N99" s="14">
        <f>IF(ISNUMBER(Klisz_Verbräuche[[#This Row],[2023]]), Klisz_Verbräuche[[#This Row],[2023]]*Emissionsfaktoren[[#This Row],[2023]]/1000, 0)</f>
        <v>0</v>
      </c>
      <c r="O99" s="14">
        <f>IF(ISNUMBER(Klisz_Verbräuche[[#This Row],[2024]]), Klisz_Verbräuche[[#This Row],[2024]]*Emissionsfaktoren[[#This Row],[2024]]/1000, 0)</f>
        <v>0</v>
      </c>
      <c r="P99" s="14">
        <f>IF(ISNUMBER(Klisz_Verbräuche[[#This Row],[2025]]), Klisz_Verbräuche[[#This Row],[2025]]*Emissionsfaktoren[[#This Row],[2025]]/1000, 0)</f>
        <v>0</v>
      </c>
      <c r="Q99" s="14">
        <f>IF(ISNUMBER(Klisz_Verbräuche[[#This Row],[2026]]), Klisz_Verbräuche[[#This Row],[2026]]*Emissionsfaktoren[[#This Row],[2026]]/1000, 0)</f>
        <v>0</v>
      </c>
      <c r="R99" s="14">
        <f>IF(ISNUMBER(Klisz_Verbräuche[[#This Row],[2027]]), Klisz_Verbräuche[[#This Row],[2027]]*Emissionsfaktoren[[#This Row],[2027]]/1000, 0)</f>
        <v>0</v>
      </c>
      <c r="S99" s="14">
        <f>IF(ISNUMBER(Klisz_Verbräuche[[#This Row],[2028]]), Klisz_Verbräuche[[#This Row],[2028]]*Emissionsfaktoren[[#This Row],[2028]]/1000, 0)</f>
        <v>0</v>
      </c>
      <c r="T99" s="14">
        <f>IF(ISNUMBER(Klisz_Verbräuche[[#This Row],[2029]]), Klisz_Verbräuche[[#This Row],[2029]]*Emissionsfaktoren[[#This Row],[2029]]/1000, 0)</f>
        <v>0</v>
      </c>
      <c r="U99" s="14">
        <f>IF(ISNUMBER(Klisz_Verbräuche[[#This Row],[2030]]), Klisz_Verbräuche[[#This Row],[2030]]*Emissionsfaktoren[[#This Row],[2030]]/1000, 0)</f>
        <v>0</v>
      </c>
      <c r="V99" s="14">
        <f>IF(ISNUMBER(Klisz_Verbräuche[[#This Row],[2035]]), Klisz_Verbräuche[[#This Row],[2035]]*Emissionsfaktoren[[#This Row],[2035]]/1000, 0)</f>
        <v>0</v>
      </c>
      <c r="W99" s="14">
        <f>IF(ISNUMBER(Klisz_Verbräuche[[#This Row],[2040]]), Klisz_Verbräuche[[#This Row],[2040]]*Emissionsfaktoren[[#This Row],[2040]]/1000, 0)</f>
        <v>0</v>
      </c>
      <c r="X99" s="14">
        <f>IF(ISNUMBER(Klisz_Verbräuche[[#This Row],[2045]]), Klisz_Verbräuche[[#This Row],[2045]]*Emissionsfaktoren[[#This Row],[2045]]/1000, 0)</f>
        <v>0</v>
      </c>
      <c r="Y99" s="14">
        <f>IF(ISNUMBER(Klisz_Verbräuche[[#This Row],[2050]]), Klisz_Verbräuche[[#This Row],[2050]]*Emissionsfaktoren[[#This Row],[2050]]/1000, 0)</f>
        <v>0</v>
      </c>
    </row>
    <row r="100" spans="2:25" ht="16.5">
      <c r="B100" s="14">
        <v>83</v>
      </c>
      <c r="C100" s="14" t="str">
        <f>Refsz_Verbräuche[[#This Row],[Handlungsfeld]]</f>
        <v>Mobilität 2</v>
      </c>
      <c r="D100" s="19" t="str">
        <f>Refsz_Verbräuche[[#This Row],[Datenpunkt]]</f>
        <v>An- und Abreise von Gästen - Eisenbahn (Nahverkehr)</v>
      </c>
      <c r="E100" t="s">
        <v>195</v>
      </c>
      <c r="F100" s="14">
        <f>IF(ISNUMBER(Klisz_Verbräuche[[#This Row],[2015]]), Klisz_Verbräuche[[#This Row],[2015]]*Emissionsfaktoren[[#This Row],[2015]]/1000, 0)</f>
        <v>0</v>
      </c>
      <c r="G100" s="14">
        <f>IF(ISNUMBER(Klisz_Verbräuche[[#This Row],[2016]]), Klisz_Verbräuche[[#This Row],[2016]]*Emissionsfaktoren[[#This Row],[2016]]/1000, 0)</f>
        <v>0</v>
      </c>
      <c r="H100" s="14">
        <f>IF(ISNUMBER(Klisz_Verbräuche[[#This Row],[2017]]), Klisz_Verbräuche[[#This Row],[2017]]*Emissionsfaktoren[[#This Row],[2017]]/1000, 0)</f>
        <v>0</v>
      </c>
      <c r="I100" s="14">
        <f>IF(ISNUMBER(Klisz_Verbräuche[[#This Row],[2018]]), Klisz_Verbräuche[[#This Row],[2018]]*Emissionsfaktoren[[#This Row],[2018]]/1000, 0)</f>
        <v>0</v>
      </c>
      <c r="J100" s="14">
        <f>IF(ISNUMBER(Klisz_Verbräuche[[#This Row],[2019]]), Klisz_Verbräuche[[#This Row],[2019]]*Emissionsfaktoren[[#This Row],[2019]]/1000, 0)</f>
        <v>0</v>
      </c>
      <c r="K100" s="14">
        <f>IF(ISNUMBER(Klisz_Verbräuche[[#This Row],[2020]]), Klisz_Verbräuche[[#This Row],[2020]]*Emissionsfaktoren[[#This Row],[2020]]/1000, 0)</f>
        <v>0</v>
      </c>
      <c r="L100" s="14">
        <f>IF(ISNUMBER(Klisz_Verbräuche[[#This Row],[2021]]), Klisz_Verbräuche[[#This Row],[2021]]*Emissionsfaktoren[[#This Row],[2021]]/1000, 0)</f>
        <v>0</v>
      </c>
      <c r="M100" s="14">
        <f>IF(ISNUMBER(Klisz_Verbräuche[[#This Row],[2022]]), Klisz_Verbräuche[[#This Row],[2022]]*Emissionsfaktoren[[#This Row],[2022]]/1000, 0)</f>
        <v>0</v>
      </c>
      <c r="N100" s="14">
        <f>IF(ISNUMBER(Klisz_Verbräuche[[#This Row],[2023]]), Klisz_Verbräuche[[#This Row],[2023]]*Emissionsfaktoren[[#This Row],[2023]]/1000, 0)</f>
        <v>0</v>
      </c>
      <c r="O100" s="14">
        <f>IF(ISNUMBER(Klisz_Verbräuche[[#This Row],[2024]]), Klisz_Verbräuche[[#This Row],[2024]]*Emissionsfaktoren[[#This Row],[2024]]/1000, 0)</f>
        <v>0</v>
      </c>
      <c r="P100" s="14">
        <f>IF(ISNUMBER(Klisz_Verbräuche[[#This Row],[2025]]), Klisz_Verbräuche[[#This Row],[2025]]*Emissionsfaktoren[[#This Row],[2025]]/1000, 0)</f>
        <v>0</v>
      </c>
      <c r="Q100" s="14">
        <f>IF(ISNUMBER(Klisz_Verbräuche[[#This Row],[2026]]), Klisz_Verbräuche[[#This Row],[2026]]*Emissionsfaktoren[[#This Row],[2026]]/1000, 0)</f>
        <v>0</v>
      </c>
      <c r="R100" s="14">
        <f>IF(ISNUMBER(Klisz_Verbräuche[[#This Row],[2027]]), Klisz_Verbräuche[[#This Row],[2027]]*Emissionsfaktoren[[#This Row],[2027]]/1000, 0)</f>
        <v>0</v>
      </c>
      <c r="S100" s="14">
        <f>IF(ISNUMBER(Klisz_Verbräuche[[#This Row],[2028]]), Klisz_Verbräuche[[#This Row],[2028]]*Emissionsfaktoren[[#This Row],[2028]]/1000, 0)</f>
        <v>0</v>
      </c>
      <c r="T100" s="14">
        <f>IF(ISNUMBER(Klisz_Verbräuche[[#This Row],[2029]]), Klisz_Verbräuche[[#This Row],[2029]]*Emissionsfaktoren[[#This Row],[2029]]/1000, 0)</f>
        <v>0</v>
      </c>
      <c r="U100" s="14">
        <f>IF(ISNUMBER(Klisz_Verbräuche[[#This Row],[2030]]), Klisz_Verbräuche[[#This Row],[2030]]*Emissionsfaktoren[[#This Row],[2030]]/1000, 0)</f>
        <v>0</v>
      </c>
      <c r="V100" s="14">
        <f>IF(ISNUMBER(Klisz_Verbräuche[[#This Row],[2035]]), Klisz_Verbräuche[[#This Row],[2035]]*Emissionsfaktoren[[#This Row],[2035]]/1000, 0)</f>
        <v>0</v>
      </c>
      <c r="W100" s="14">
        <f>IF(ISNUMBER(Klisz_Verbräuche[[#This Row],[2040]]), Klisz_Verbräuche[[#This Row],[2040]]*Emissionsfaktoren[[#This Row],[2040]]/1000, 0)</f>
        <v>0</v>
      </c>
      <c r="X100" s="14">
        <f>IF(ISNUMBER(Klisz_Verbräuche[[#This Row],[2045]]), Klisz_Verbräuche[[#This Row],[2045]]*Emissionsfaktoren[[#This Row],[2045]]/1000, 0)</f>
        <v>0</v>
      </c>
      <c r="Y100" s="14">
        <f>IF(ISNUMBER(Klisz_Verbräuche[[#This Row],[2050]]), Klisz_Verbräuche[[#This Row],[2050]]*Emissionsfaktoren[[#This Row],[2050]]/1000, 0)</f>
        <v>0</v>
      </c>
    </row>
    <row r="101" spans="2:25" ht="16.5">
      <c r="B101" s="14">
        <v>84</v>
      </c>
      <c r="C101" s="14" t="str">
        <f>Refsz_Verbräuche[[#This Row],[Handlungsfeld]]</f>
        <v>Mobilität 2</v>
      </c>
      <c r="D101" s="19" t="str">
        <f>Refsz_Verbräuche[[#This Row],[Datenpunkt]]</f>
        <v>An- und Abreise von Gästen - Privater PKW (alle Antriebsarten)</v>
      </c>
      <c r="E101" t="s">
        <v>195</v>
      </c>
      <c r="F101" s="14">
        <f>IF(ISNUMBER(Klisz_Verbräuche[[#This Row],[2015]]), Klisz_Verbräuche[[#This Row],[2015]]*Emissionsfaktoren[[#This Row],[2015]]/1000, 0)</f>
        <v>0</v>
      </c>
      <c r="G101" s="14">
        <f>IF(ISNUMBER(Klisz_Verbräuche[[#This Row],[2016]]), Klisz_Verbräuche[[#This Row],[2016]]*Emissionsfaktoren[[#This Row],[2016]]/1000, 0)</f>
        <v>0</v>
      </c>
      <c r="H101" s="14">
        <f>IF(ISNUMBER(Klisz_Verbräuche[[#This Row],[2017]]), Klisz_Verbräuche[[#This Row],[2017]]*Emissionsfaktoren[[#This Row],[2017]]/1000, 0)</f>
        <v>0</v>
      </c>
      <c r="I101" s="14">
        <f>IF(ISNUMBER(Klisz_Verbräuche[[#This Row],[2018]]), Klisz_Verbräuche[[#This Row],[2018]]*Emissionsfaktoren[[#This Row],[2018]]/1000, 0)</f>
        <v>0</v>
      </c>
      <c r="J101" s="14">
        <f>IF(ISNUMBER(Klisz_Verbräuche[[#This Row],[2019]]), Klisz_Verbräuche[[#This Row],[2019]]*Emissionsfaktoren[[#This Row],[2019]]/1000, 0)</f>
        <v>0</v>
      </c>
      <c r="K101" s="14">
        <f>IF(ISNUMBER(Klisz_Verbräuche[[#This Row],[2020]]), Klisz_Verbräuche[[#This Row],[2020]]*Emissionsfaktoren[[#This Row],[2020]]/1000, 0)</f>
        <v>0</v>
      </c>
      <c r="L101" s="14">
        <f>IF(ISNUMBER(Klisz_Verbräuche[[#This Row],[2021]]), Klisz_Verbräuche[[#This Row],[2021]]*Emissionsfaktoren[[#This Row],[2021]]/1000, 0)</f>
        <v>0</v>
      </c>
      <c r="M101" s="14">
        <f>IF(ISNUMBER(Klisz_Verbräuche[[#This Row],[2022]]), Klisz_Verbräuche[[#This Row],[2022]]*Emissionsfaktoren[[#This Row],[2022]]/1000, 0)</f>
        <v>0</v>
      </c>
      <c r="N101" s="14">
        <f>IF(ISNUMBER(Klisz_Verbräuche[[#This Row],[2023]]), Klisz_Verbräuche[[#This Row],[2023]]*Emissionsfaktoren[[#This Row],[2023]]/1000, 0)</f>
        <v>0</v>
      </c>
      <c r="O101" s="14">
        <f>IF(ISNUMBER(Klisz_Verbräuche[[#This Row],[2024]]), Klisz_Verbräuche[[#This Row],[2024]]*Emissionsfaktoren[[#This Row],[2024]]/1000, 0)</f>
        <v>0</v>
      </c>
      <c r="P101" s="14">
        <f>IF(ISNUMBER(Klisz_Verbräuche[[#This Row],[2025]]), Klisz_Verbräuche[[#This Row],[2025]]*Emissionsfaktoren[[#This Row],[2025]]/1000, 0)</f>
        <v>0</v>
      </c>
      <c r="Q101" s="14">
        <f>IF(ISNUMBER(Klisz_Verbräuche[[#This Row],[2026]]), Klisz_Verbräuche[[#This Row],[2026]]*Emissionsfaktoren[[#This Row],[2026]]/1000, 0)</f>
        <v>0</v>
      </c>
      <c r="R101" s="14">
        <f>IF(ISNUMBER(Klisz_Verbräuche[[#This Row],[2027]]), Klisz_Verbräuche[[#This Row],[2027]]*Emissionsfaktoren[[#This Row],[2027]]/1000, 0)</f>
        <v>0</v>
      </c>
      <c r="S101" s="14">
        <f>IF(ISNUMBER(Klisz_Verbräuche[[#This Row],[2028]]), Klisz_Verbräuche[[#This Row],[2028]]*Emissionsfaktoren[[#This Row],[2028]]/1000, 0)</f>
        <v>0</v>
      </c>
      <c r="T101" s="14">
        <f>IF(ISNUMBER(Klisz_Verbräuche[[#This Row],[2029]]), Klisz_Verbräuche[[#This Row],[2029]]*Emissionsfaktoren[[#This Row],[2029]]/1000, 0)</f>
        <v>0</v>
      </c>
      <c r="U101" s="14">
        <f>IF(ISNUMBER(Klisz_Verbräuche[[#This Row],[2030]]), Klisz_Verbräuche[[#This Row],[2030]]*Emissionsfaktoren[[#This Row],[2030]]/1000, 0)</f>
        <v>0</v>
      </c>
      <c r="V101" s="14">
        <f>IF(ISNUMBER(Klisz_Verbräuche[[#This Row],[2035]]), Klisz_Verbräuche[[#This Row],[2035]]*Emissionsfaktoren[[#This Row],[2035]]/1000, 0)</f>
        <v>0</v>
      </c>
      <c r="W101" s="14">
        <f>IF(ISNUMBER(Klisz_Verbräuche[[#This Row],[2040]]), Klisz_Verbräuche[[#This Row],[2040]]*Emissionsfaktoren[[#This Row],[2040]]/1000, 0)</f>
        <v>0</v>
      </c>
      <c r="X101" s="14">
        <f>IF(ISNUMBER(Klisz_Verbräuche[[#This Row],[2045]]), Klisz_Verbräuche[[#This Row],[2045]]*Emissionsfaktoren[[#This Row],[2045]]/1000, 0)</f>
        <v>0</v>
      </c>
      <c r="Y101" s="14">
        <f>IF(ISNUMBER(Klisz_Verbräuche[[#This Row],[2050]]), Klisz_Verbräuche[[#This Row],[2050]]*Emissionsfaktoren[[#This Row],[2050]]/1000, 0)</f>
        <v>0</v>
      </c>
    </row>
    <row r="102" spans="2:25" ht="16.5">
      <c r="B102" s="14">
        <v>85</v>
      </c>
      <c r="C102" s="14">
        <f>Refsz_Verbräuche[[#This Row],[Handlungsfeld]]</f>
        <v>0</v>
      </c>
      <c r="D102" s="19">
        <f>Refsz_Verbräuche[[#This Row],[Datenpunkt]]</f>
        <v>0</v>
      </c>
      <c r="E102" t="s">
        <v>195</v>
      </c>
      <c r="F102" s="14">
        <f>IF(ISNUMBER(Klisz_Verbräuche[[#This Row],[2015]]), Klisz_Verbräuche[[#This Row],[2015]]*Emissionsfaktoren[[#This Row],[2015]]/1000, 0)</f>
        <v>0</v>
      </c>
      <c r="G102" s="14">
        <f>IF(ISNUMBER(Klisz_Verbräuche[[#This Row],[2016]]), Klisz_Verbräuche[[#This Row],[2016]]*Emissionsfaktoren[[#This Row],[2016]]/1000, 0)</f>
        <v>0</v>
      </c>
      <c r="H102" s="14">
        <f>IF(ISNUMBER(Klisz_Verbräuche[[#This Row],[2017]]), Klisz_Verbräuche[[#This Row],[2017]]*Emissionsfaktoren[[#This Row],[2017]]/1000, 0)</f>
        <v>0</v>
      </c>
      <c r="I102" s="14">
        <f>IF(ISNUMBER(Klisz_Verbräuche[[#This Row],[2018]]), Klisz_Verbräuche[[#This Row],[2018]]*Emissionsfaktoren[[#This Row],[2018]]/1000, 0)</f>
        <v>0</v>
      </c>
      <c r="J102" s="14">
        <f>IF(ISNUMBER(Klisz_Verbräuche[[#This Row],[2019]]), Klisz_Verbräuche[[#This Row],[2019]]*Emissionsfaktoren[[#This Row],[2019]]/1000, 0)</f>
        <v>0</v>
      </c>
      <c r="K102" s="14">
        <f>IF(ISNUMBER(Klisz_Verbräuche[[#This Row],[2020]]), Klisz_Verbräuche[[#This Row],[2020]]*Emissionsfaktoren[[#This Row],[2020]]/1000, 0)</f>
        <v>0</v>
      </c>
      <c r="L102" s="14">
        <f>IF(ISNUMBER(Klisz_Verbräuche[[#This Row],[2021]]), Klisz_Verbräuche[[#This Row],[2021]]*Emissionsfaktoren[[#This Row],[2021]]/1000, 0)</f>
        <v>0</v>
      </c>
      <c r="M102" s="14">
        <f>IF(ISNUMBER(Klisz_Verbräuche[[#This Row],[2022]]), Klisz_Verbräuche[[#This Row],[2022]]*Emissionsfaktoren[[#This Row],[2022]]/1000, 0)</f>
        <v>0</v>
      </c>
      <c r="N102" s="14">
        <f>IF(ISNUMBER(Klisz_Verbräuche[[#This Row],[2023]]), Klisz_Verbräuche[[#This Row],[2023]]*Emissionsfaktoren[[#This Row],[2023]]/1000, 0)</f>
        <v>0</v>
      </c>
      <c r="O102" s="14">
        <f>IF(ISNUMBER(Klisz_Verbräuche[[#This Row],[2024]]), Klisz_Verbräuche[[#This Row],[2024]]*Emissionsfaktoren[[#This Row],[2024]]/1000, 0)</f>
        <v>0</v>
      </c>
      <c r="P102" s="14">
        <f>IF(ISNUMBER(Klisz_Verbräuche[[#This Row],[2025]]), Klisz_Verbräuche[[#This Row],[2025]]*Emissionsfaktoren[[#This Row],[2025]]/1000, 0)</f>
        <v>0</v>
      </c>
      <c r="Q102" s="14">
        <f>IF(ISNUMBER(Klisz_Verbräuche[[#This Row],[2026]]), Klisz_Verbräuche[[#This Row],[2026]]*Emissionsfaktoren[[#This Row],[2026]]/1000, 0)</f>
        <v>0</v>
      </c>
      <c r="R102" s="14">
        <f>IF(ISNUMBER(Klisz_Verbräuche[[#This Row],[2027]]), Klisz_Verbräuche[[#This Row],[2027]]*Emissionsfaktoren[[#This Row],[2027]]/1000, 0)</f>
        <v>0</v>
      </c>
      <c r="S102" s="14">
        <f>IF(ISNUMBER(Klisz_Verbräuche[[#This Row],[2028]]), Klisz_Verbräuche[[#This Row],[2028]]*Emissionsfaktoren[[#This Row],[2028]]/1000, 0)</f>
        <v>0</v>
      </c>
      <c r="T102" s="14">
        <f>IF(ISNUMBER(Klisz_Verbräuche[[#This Row],[2029]]), Klisz_Verbräuche[[#This Row],[2029]]*Emissionsfaktoren[[#This Row],[2029]]/1000, 0)</f>
        <v>0</v>
      </c>
      <c r="U102" s="14">
        <f>IF(ISNUMBER(Klisz_Verbräuche[[#This Row],[2030]]), Klisz_Verbräuche[[#This Row],[2030]]*Emissionsfaktoren[[#This Row],[2030]]/1000, 0)</f>
        <v>0</v>
      </c>
      <c r="V102" s="14">
        <f>IF(ISNUMBER(Klisz_Verbräuche[[#This Row],[2035]]), Klisz_Verbräuche[[#This Row],[2035]]*Emissionsfaktoren[[#This Row],[2035]]/1000, 0)</f>
        <v>0</v>
      </c>
      <c r="W102" s="14">
        <f>IF(ISNUMBER(Klisz_Verbräuche[[#This Row],[2040]]), Klisz_Verbräuche[[#This Row],[2040]]*Emissionsfaktoren[[#This Row],[2040]]/1000, 0)</f>
        <v>0</v>
      </c>
      <c r="X102" s="14">
        <f>IF(ISNUMBER(Klisz_Verbräuche[[#This Row],[2045]]), Klisz_Verbräuche[[#This Row],[2045]]*Emissionsfaktoren[[#This Row],[2045]]/1000, 0)</f>
        <v>0</v>
      </c>
      <c r="Y102" s="14">
        <f>IF(ISNUMBER(Klisz_Verbräuche[[#This Row],[2050]]), Klisz_Verbräuche[[#This Row],[2050]]*Emissionsfaktoren[[#This Row],[2050]]/1000, 0)</f>
        <v>0</v>
      </c>
    </row>
    <row r="103" spans="2:25" ht="16.5">
      <c r="B103" s="14">
        <v>86</v>
      </c>
      <c r="C103" s="14" t="str">
        <f>Refsz_Verbräuche[[#This Row],[Handlungsfeld]]</f>
        <v>Wasser</v>
      </c>
      <c r="D103" s="19" t="str">
        <f>Refsz_Verbräuche[[#This Row],[Datenpunkt]]</f>
        <v>Abwasser</v>
      </c>
      <c r="E103" t="s">
        <v>195</v>
      </c>
      <c r="F103" s="14">
        <f>IF(ISNUMBER(Klisz_Verbräuche[[#This Row],[2015]]), Klisz_Verbräuche[[#This Row],[2015]]*Emissionsfaktoren[[#This Row],[2015]]/1000, 0)</f>
        <v>0</v>
      </c>
      <c r="G103" s="14">
        <f>IF(ISNUMBER(Klisz_Verbräuche[[#This Row],[2016]]), Klisz_Verbräuche[[#This Row],[2016]]*Emissionsfaktoren[[#This Row],[2016]]/1000, 0)</f>
        <v>0</v>
      </c>
      <c r="H103" s="14">
        <f>IF(ISNUMBER(Klisz_Verbräuche[[#This Row],[2017]]), Klisz_Verbräuche[[#This Row],[2017]]*Emissionsfaktoren[[#This Row],[2017]]/1000, 0)</f>
        <v>0</v>
      </c>
      <c r="I103" s="14">
        <f>IF(ISNUMBER(Klisz_Verbräuche[[#This Row],[2018]]), Klisz_Verbräuche[[#This Row],[2018]]*Emissionsfaktoren[[#This Row],[2018]]/1000, 0)</f>
        <v>0</v>
      </c>
      <c r="J103" s="14">
        <f>IF(ISNUMBER(Klisz_Verbräuche[[#This Row],[2019]]), Klisz_Verbräuche[[#This Row],[2019]]*Emissionsfaktoren[[#This Row],[2019]]/1000, 0)</f>
        <v>0</v>
      </c>
      <c r="K103" s="14">
        <f>IF(ISNUMBER(Klisz_Verbräuche[[#This Row],[2020]]), Klisz_Verbräuche[[#This Row],[2020]]*Emissionsfaktoren[[#This Row],[2020]]/1000, 0)</f>
        <v>0</v>
      </c>
      <c r="L103" s="14">
        <f>IF(ISNUMBER(Klisz_Verbräuche[[#This Row],[2021]]), Klisz_Verbräuche[[#This Row],[2021]]*Emissionsfaktoren[[#This Row],[2021]]/1000, 0)</f>
        <v>0</v>
      </c>
      <c r="M103" s="14">
        <f>IF(ISNUMBER(Klisz_Verbräuche[[#This Row],[2022]]), Klisz_Verbräuche[[#This Row],[2022]]*Emissionsfaktoren[[#This Row],[2022]]/1000, 0)</f>
        <v>0</v>
      </c>
      <c r="N103" s="14">
        <f>IF(ISNUMBER(Klisz_Verbräuche[[#This Row],[2023]]), Klisz_Verbräuche[[#This Row],[2023]]*Emissionsfaktoren[[#This Row],[2023]]/1000, 0)</f>
        <v>0</v>
      </c>
      <c r="O103" s="14">
        <f>IF(ISNUMBER(Klisz_Verbräuche[[#This Row],[2024]]), Klisz_Verbräuche[[#This Row],[2024]]*Emissionsfaktoren[[#This Row],[2024]]/1000, 0)</f>
        <v>0</v>
      </c>
      <c r="P103" s="14">
        <f>IF(ISNUMBER(Klisz_Verbräuche[[#This Row],[2025]]), Klisz_Verbräuche[[#This Row],[2025]]*Emissionsfaktoren[[#This Row],[2025]]/1000, 0)</f>
        <v>0</v>
      </c>
      <c r="Q103" s="14">
        <f>IF(ISNUMBER(Klisz_Verbräuche[[#This Row],[2026]]), Klisz_Verbräuche[[#This Row],[2026]]*Emissionsfaktoren[[#This Row],[2026]]/1000, 0)</f>
        <v>0</v>
      </c>
      <c r="R103" s="14">
        <f>IF(ISNUMBER(Klisz_Verbräuche[[#This Row],[2027]]), Klisz_Verbräuche[[#This Row],[2027]]*Emissionsfaktoren[[#This Row],[2027]]/1000, 0)</f>
        <v>0</v>
      </c>
      <c r="S103" s="14">
        <f>IF(ISNUMBER(Klisz_Verbräuche[[#This Row],[2028]]), Klisz_Verbräuche[[#This Row],[2028]]*Emissionsfaktoren[[#This Row],[2028]]/1000, 0)</f>
        <v>0</v>
      </c>
      <c r="T103" s="14">
        <f>IF(ISNUMBER(Klisz_Verbräuche[[#This Row],[2029]]), Klisz_Verbräuche[[#This Row],[2029]]*Emissionsfaktoren[[#This Row],[2029]]/1000, 0)</f>
        <v>0</v>
      </c>
      <c r="U103" s="14">
        <f>IF(ISNUMBER(Klisz_Verbräuche[[#This Row],[2030]]), Klisz_Verbräuche[[#This Row],[2030]]*Emissionsfaktoren[[#This Row],[2030]]/1000, 0)</f>
        <v>0</v>
      </c>
      <c r="V103" s="14">
        <f>IF(ISNUMBER(Klisz_Verbräuche[[#This Row],[2035]]), Klisz_Verbräuche[[#This Row],[2035]]*Emissionsfaktoren[[#This Row],[2035]]/1000, 0)</f>
        <v>0</v>
      </c>
      <c r="W103" s="14">
        <f>IF(ISNUMBER(Klisz_Verbräuche[[#This Row],[2040]]), Klisz_Verbräuche[[#This Row],[2040]]*Emissionsfaktoren[[#This Row],[2040]]/1000, 0)</f>
        <v>0</v>
      </c>
      <c r="X103" s="14">
        <f>IF(ISNUMBER(Klisz_Verbräuche[[#This Row],[2045]]), Klisz_Verbräuche[[#This Row],[2045]]*Emissionsfaktoren[[#This Row],[2045]]/1000, 0)</f>
        <v>0</v>
      </c>
      <c r="Y103" s="14">
        <f>IF(ISNUMBER(Klisz_Verbräuche[[#This Row],[2050]]), Klisz_Verbräuche[[#This Row],[2050]]*Emissionsfaktoren[[#This Row],[2050]]/1000, 0)</f>
        <v>0</v>
      </c>
    </row>
    <row r="104" spans="2:25" ht="16.5">
      <c r="B104" s="14">
        <v>87</v>
      </c>
      <c r="C104" s="14" t="str">
        <f>Refsz_Verbräuche[[#This Row],[Handlungsfeld]]</f>
        <v>Wasser</v>
      </c>
      <c r="D104" s="19" t="str">
        <f>Refsz_Verbräuche[[#This Row],[Datenpunkt]]</f>
        <v>Trinkwasser</v>
      </c>
      <c r="E104" t="s">
        <v>195</v>
      </c>
      <c r="F104" s="14">
        <f>IF(ISNUMBER(Klisz_Verbräuche[[#This Row],[2015]]), Klisz_Verbräuche[[#This Row],[2015]]*Emissionsfaktoren[[#This Row],[2015]]/1000, 0)</f>
        <v>0</v>
      </c>
      <c r="G104" s="14">
        <f>IF(ISNUMBER(Klisz_Verbräuche[[#This Row],[2016]]), Klisz_Verbräuche[[#This Row],[2016]]*Emissionsfaktoren[[#This Row],[2016]]/1000, 0)</f>
        <v>0</v>
      </c>
      <c r="H104" s="14">
        <f>IF(ISNUMBER(Klisz_Verbräuche[[#This Row],[2017]]), Klisz_Verbräuche[[#This Row],[2017]]*Emissionsfaktoren[[#This Row],[2017]]/1000, 0)</f>
        <v>0</v>
      </c>
      <c r="I104" s="14">
        <f>IF(ISNUMBER(Klisz_Verbräuche[[#This Row],[2018]]), Klisz_Verbräuche[[#This Row],[2018]]*Emissionsfaktoren[[#This Row],[2018]]/1000, 0)</f>
        <v>0</v>
      </c>
      <c r="J104" s="14">
        <f>IF(ISNUMBER(Klisz_Verbräuche[[#This Row],[2019]]), Klisz_Verbräuche[[#This Row],[2019]]*Emissionsfaktoren[[#This Row],[2019]]/1000, 0)</f>
        <v>0</v>
      </c>
      <c r="K104" s="14">
        <f>IF(ISNUMBER(Klisz_Verbräuche[[#This Row],[2020]]), Klisz_Verbräuche[[#This Row],[2020]]*Emissionsfaktoren[[#This Row],[2020]]/1000, 0)</f>
        <v>0</v>
      </c>
      <c r="L104" s="14">
        <f>IF(ISNUMBER(Klisz_Verbräuche[[#This Row],[2021]]), Klisz_Verbräuche[[#This Row],[2021]]*Emissionsfaktoren[[#This Row],[2021]]/1000, 0)</f>
        <v>0</v>
      </c>
      <c r="M104" s="14">
        <f>IF(ISNUMBER(Klisz_Verbräuche[[#This Row],[2022]]), Klisz_Verbräuche[[#This Row],[2022]]*Emissionsfaktoren[[#This Row],[2022]]/1000, 0)</f>
        <v>0</v>
      </c>
      <c r="N104" s="14">
        <f>IF(ISNUMBER(Klisz_Verbräuche[[#This Row],[2023]]), Klisz_Verbräuche[[#This Row],[2023]]*Emissionsfaktoren[[#This Row],[2023]]/1000, 0)</f>
        <v>0</v>
      </c>
      <c r="O104" s="14">
        <f>IF(ISNUMBER(Klisz_Verbräuche[[#This Row],[2024]]), Klisz_Verbräuche[[#This Row],[2024]]*Emissionsfaktoren[[#This Row],[2024]]/1000, 0)</f>
        <v>0</v>
      </c>
      <c r="P104" s="14">
        <f>IF(ISNUMBER(Klisz_Verbräuche[[#This Row],[2025]]), Klisz_Verbräuche[[#This Row],[2025]]*Emissionsfaktoren[[#This Row],[2025]]/1000, 0)</f>
        <v>0</v>
      </c>
      <c r="Q104" s="14">
        <f>IF(ISNUMBER(Klisz_Verbräuche[[#This Row],[2026]]), Klisz_Verbräuche[[#This Row],[2026]]*Emissionsfaktoren[[#This Row],[2026]]/1000, 0)</f>
        <v>0</v>
      </c>
      <c r="R104" s="14">
        <f>IF(ISNUMBER(Klisz_Verbräuche[[#This Row],[2027]]), Klisz_Verbräuche[[#This Row],[2027]]*Emissionsfaktoren[[#This Row],[2027]]/1000, 0)</f>
        <v>0</v>
      </c>
      <c r="S104" s="14">
        <f>IF(ISNUMBER(Klisz_Verbräuche[[#This Row],[2028]]), Klisz_Verbräuche[[#This Row],[2028]]*Emissionsfaktoren[[#This Row],[2028]]/1000, 0)</f>
        <v>0</v>
      </c>
      <c r="T104" s="14">
        <f>IF(ISNUMBER(Klisz_Verbräuche[[#This Row],[2029]]), Klisz_Verbräuche[[#This Row],[2029]]*Emissionsfaktoren[[#This Row],[2029]]/1000, 0)</f>
        <v>0</v>
      </c>
      <c r="U104" s="14">
        <f>IF(ISNUMBER(Klisz_Verbräuche[[#This Row],[2030]]), Klisz_Verbräuche[[#This Row],[2030]]*Emissionsfaktoren[[#This Row],[2030]]/1000, 0)</f>
        <v>0</v>
      </c>
      <c r="V104" s="14">
        <f>IF(ISNUMBER(Klisz_Verbräuche[[#This Row],[2035]]), Klisz_Verbräuche[[#This Row],[2035]]*Emissionsfaktoren[[#This Row],[2035]]/1000, 0)</f>
        <v>0</v>
      </c>
      <c r="W104" s="14">
        <f>IF(ISNUMBER(Klisz_Verbräuche[[#This Row],[2040]]), Klisz_Verbräuche[[#This Row],[2040]]*Emissionsfaktoren[[#This Row],[2040]]/1000, 0)</f>
        <v>0</v>
      </c>
      <c r="X104" s="14">
        <f>IF(ISNUMBER(Klisz_Verbräuche[[#This Row],[2045]]), Klisz_Verbräuche[[#This Row],[2045]]*Emissionsfaktoren[[#This Row],[2045]]/1000, 0)</f>
        <v>0</v>
      </c>
      <c r="Y104" s="14">
        <f>IF(ISNUMBER(Klisz_Verbräuche[[#This Row],[2050]]), Klisz_Verbräuche[[#This Row],[2050]]*Emissionsfaktoren[[#This Row],[2050]]/1000, 0)</f>
        <v>0</v>
      </c>
    </row>
    <row r="105" spans="2:25" ht="16.5">
      <c r="B105" s="14">
        <v>88</v>
      </c>
      <c r="C105" s="14">
        <f>Refsz_Verbräuche[[#This Row],[Handlungsfeld]]</f>
        <v>0</v>
      </c>
      <c r="D105" s="19">
        <f>Refsz_Verbräuche[[#This Row],[Datenpunkt]]</f>
        <v>0</v>
      </c>
      <c r="E105" t="s">
        <v>195</v>
      </c>
      <c r="F105" s="14">
        <f>IF(ISNUMBER(Klisz_Verbräuche[[#This Row],[2015]]), Klisz_Verbräuche[[#This Row],[2015]]*Emissionsfaktoren[[#This Row],[2015]]/1000, 0)</f>
        <v>0</v>
      </c>
      <c r="G105" s="14">
        <f>IF(ISNUMBER(Klisz_Verbräuche[[#This Row],[2016]]), Klisz_Verbräuche[[#This Row],[2016]]*Emissionsfaktoren[[#This Row],[2016]]/1000, 0)</f>
        <v>0</v>
      </c>
      <c r="H105" s="14">
        <f>IF(ISNUMBER(Klisz_Verbräuche[[#This Row],[2017]]), Klisz_Verbräuche[[#This Row],[2017]]*Emissionsfaktoren[[#This Row],[2017]]/1000, 0)</f>
        <v>0</v>
      </c>
      <c r="I105" s="14">
        <f>IF(ISNUMBER(Klisz_Verbräuche[[#This Row],[2018]]), Klisz_Verbräuche[[#This Row],[2018]]*Emissionsfaktoren[[#This Row],[2018]]/1000, 0)</f>
        <v>0</v>
      </c>
      <c r="J105" s="14">
        <f>IF(ISNUMBER(Klisz_Verbräuche[[#This Row],[2019]]), Klisz_Verbräuche[[#This Row],[2019]]*Emissionsfaktoren[[#This Row],[2019]]/1000, 0)</f>
        <v>0</v>
      </c>
      <c r="K105" s="14">
        <f>IF(ISNUMBER(Klisz_Verbräuche[[#This Row],[2020]]), Klisz_Verbräuche[[#This Row],[2020]]*Emissionsfaktoren[[#This Row],[2020]]/1000, 0)</f>
        <v>0</v>
      </c>
      <c r="L105" s="14">
        <f>IF(ISNUMBER(Klisz_Verbräuche[[#This Row],[2021]]), Klisz_Verbräuche[[#This Row],[2021]]*Emissionsfaktoren[[#This Row],[2021]]/1000, 0)</f>
        <v>0</v>
      </c>
      <c r="M105" s="14">
        <f>IF(ISNUMBER(Klisz_Verbräuche[[#This Row],[2022]]), Klisz_Verbräuche[[#This Row],[2022]]*Emissionsfaktoren[[#This Row],[2022]]/1000, 0)</f>
        <v>0</v>
      </c>
      <c r="N105" s="14">
        <f>IF(ISNUMBER(Klisz_Verbräuche[[#This Row],[2023]]), Klisz_Verbräuche[[#This Row],[2023]]*Emissionsfaktoren[[#This Row],[2023]]/1000, 0)</f>
        <v>0</v>
      </c>
      <c r="O105" s="14">
        <f>IF(ISNUMBER(Klisz_Verbräuche[[#This Row],[2024]]), Klisz_Verbräuche[[#This Row],[2024]]*Emissionsfaktoren[[#This Row],[2024]]/1000, 0)</f>
        <v>0</v>
      </c>
      <c r="P105" s="14">
        <f>IF(ISNUMBER(Klisz_Verbräuche[[#This Row],[2025]]), Klisz_Verbräuche[[#This Row],[2025]]*Emissionsfaktoren[[#This Row],[2025]]/1000, 0)</f>
        <v>0</v>
      </c>
      <c r="Q105" s="14">
        <f>IF(ISNUMBER(Klisz_Verbräuche[[#This Row],[2026]]), Klisz_Verbräuche[[#This Row],[2026]]*Emissionsfaktoren[[#This Row],[2026]]/1000, 0)</f>
        <v>0</v>
      </c>
      <c r="R105" s="14">
        <f>IF(ISNUMBER(Klisz_Verbräuche[[#This Row],[2027]]), Klisz_Verbräuche[[#This Row],[2027]]*Emissionsfaktoren[[#This Row],[2027]]/1000, 0)</f>
        <v>0</v>
      </c>
      <c r="S105" s="14">
        <f>IF(ISNUMBER(Klisz_Verbräuche[[#This Row],[2028]]), Klisz_Verbräuche[[#This Row],[2028]]*Emissionsfaktoren[[#This Row],[2028]]/1000, 0)</f>
        <v>0</v>
      </c>
      <c r="T105" s="14">
        <f>IF(ISNUMBER(Klisz_Verbräuche[[#This Row],[2029]]), Klisz_Verbräuche[[#This Row],[2029]]*Emissionsfaktoren[[#This Row],[2029]]/1000, 0)</f>
        <v>0</v>
      </c>
      <c r="U105" s="14">
        <f>IF(ISNUMBER(Klisz_Verbräuche[[#This Row],[2030]]), Klisz_Verbräuche[[#This Row],[2030]]*Emissionsfaktoren[[#This Row],[2030]]/1000, 0)</f>
        <v>0</v>
      </c>
      <c r="V105" s="14">
        <f>IF(ISNUMBER(Klisz_Verbräuche[[#This Row],[2035]]), Klisz_Verbräuche[[#This Row],[2035]]*Emissionsfaktoren[[#This Row],[2035]]/1000, 0)</f>
        <v>0</v>
      </c>
      <c r="W105" s="14">
        <f>IF(ISNUMBER(Klisz_Verbräuche[[#This Row],[2040]]), Klisz_Verbräuche[[#This Row],[2040]]*Emissionsfaktoren[[#This Row],[2040]]/1000, 0)</f>
        <v>0</v>
      </c>
      <c r="X105" s="14">
        <f>IF(ISNUMBER(Klisz_Verbräuche[[#This Row],[2045]]), Klisz_Verbräuche[[#This Row],[2045]]*Emissionsfaktoren[[#This Row],[2045]]/1000, 0)</f>
        <v>0</v>
      </c>
      <c r="Y105" s="14">
        <f>IF(ISNUMBER(Klisz_Verbräuche[[#This Row],[2050]]), Klisz_Verbräuche[[#This Row],[2050]]*Emissionsfaktoren[[#This Row],[2050]]/1000, 0)</f>
        <v>0</v>
      </c>
    </row>
    <row r="106" spans="2:25" ht="16.5">
      <c r="B106" s="14">
        <v>89</v>
      </c>
      <c r="C106" s="14" t="str">
        <f>Refsz_Verbräuche[[#This Row],[Handlungsfeld]]</f>
        <v>Waren und Dienstleistungen</v>
      </c>
      <c r="D106" s="19" t="str">
        <f>Refsz_Verbräuche[[#This Row],[Datenpunkt]]</f>
        <v>Recyclingpapier</v>
      </c>
      <c r="E106" t="s">
        <v>195</v>
      </c>
      <c r="F106" s="14">
        <f>IF(ISNUMBER(Klisz_Verbräuche[[#This Row],[2015]]), Klisz_Verbräuche[[#This Row],[2015]]*Emissionsfaktoren[[#This Row],[2015]]/1000, 0)</f>
        <v>0</v>
      </c>
      <c r="G106" s="14">
        <f>IF(ISNUMBER(Klisz_Verbräuche[[#This Row],[2016]]), Klisz_Verbräuche[[#This Row],[2016]]*Emissionsfaktoren[[#This Row],[2016]]/1000, 0)</f>
        <v>0</v>
      </c>
      <c r="H106" s="14">
        <f>IF(ISNUMBER(Klisz_Verbräuche[[#This Row],[2017]]), Klisz_Verbräuche[[#This Row],[2017]]*Emissionsfaktoren[[#This Row],[2017]]/1000, 0)</f>
        <v>0</v>
      </c>
      <c r="I106" s="14">
        <f>IF(ISNUMBER(Klisz_Verbräuche[[#This Row],[2018]]), Klisz_Verbräuche[[#This Row],[2018]]*Emissionsfaktoren[[#This Row],[2018]]/1000, 0)</f>
        <v>0</v>
      </c>
      <c r="J106" s="14">
        <f>IF(ISNUMBER(Klisz_Verbräuche[[#This Row],[2019]]), Klisz_Verbräuche[[#This Row],[2019]]*Emissionsfaktoren[[#This Row],[2019]]/1000, 0)</f>
        <v>0</v>
      </c>
      <c r="K106" s="14">
        <f>IF(ISNUMBER(Klisz_Verbräuche[[#This Row],[2020]]), Klisz_Verbräuche[[#This Row],[2020]]*Emissionsfaktoren[[#This Row],[2020]]/1000, 0)</f>
        <v>0</v>
      </c>
      <c r="L106" s="14">
        <f>IF(ISNUMBER(Klisz_Verbräuche[[#This Row],[2021]]), Klisz_Verbräuche[[#This Row],[2021]]*Emissionsfaktoren[[#This Row],[2021]]/1000, 0)</f>
        <v>0</v>
      </c>
      <c r="M106" s="14">
        <f>IF(ISNUMBER(Klisz_Verbräuche[[#This Row],[2022]]), Klisz_Verbräuche[[#This Row],[2022]]*Emissionsfaktoren[[#This Row],[2022]]/1000, 0)</f>
        <v>0</v>
      </c>
      <c r="N106" s="14">
        <f>IF(ISNUMBER(Klisz_Verbräuche[[#This Row],[2023]]), Klisz_Verbräuche[[#This Row],[2023]]*Emissionsfaktoren[[#This Row],[2023]]/1000, 0)</f>
        <v>0</v>
      </c>
      <c r="O106" s="14">
        <f>IF(ISNUMBER(Klisz_Verbräuche[[#This Row],[2024]]), Klisz_Verbräuche[[#This Row],[2024]]*Emissionsfaktoren[[#This Row],[2024]]/1000, 0)</f>
        <v>0</v>
      </c>
      <c r="P106" s="14">
        <f>IF(ISNUMBER(Klisz_Verbräuche[[#This Row],[2025]]), Klisz_Verbräuche[[#This Row],[2025]]*Emissionsfaktoren[[#This Row],[2025]]/1000, 0)</f>
        <v>0</v>
      </c>
      <c r="Q106" s="14">
        <f>IF(ISNUMBER(Klisz_Verbräuche[[#This Row],[2026]]), Klisz_Verbräuche[[#This Row],[2026]]*Emissionsfaktoren[[#This Row],[2026]]/1000, 0)</f>
        <v>0</v>
      </c>
      <c r="R106" s="14">
        <f>IF(ISNUMBER(Klisz_Verbräuche[[#This Row],[2027]]), Klisz_Verbräuche[[#This Row],[2027]]*Emissionsfaktoren[[#This Row],[2027]]/1000, 0)</f>
        <v>0</v>
      </c>
      <c r="S106" s="14">
        <f>IF(ISNUMBER(Klisz_Verbräuche[[#This Row],[2028]]), Klisz_Verbräuche[[#This Row],[2028]]*Emissionsfaktoren[[#This Row],[2028]]/1000, 0)</f>
        <v>0</v>
      </c>
      <c r="T106" s="14">
        <f>IF(ISNUMBER(Klisz_Verbräuche[[#This Row],[2029]]), Klisz_Verbräuche[[#This Row],[2029]]*Emissionsfaktoren[[#This Row],[2029]]/1000, 0)</f>
        <v>0</v>
      </c>
      <c r="U106" s="14">
        <f>IF(ISNUMBER(Klisz_Verbräuche[[#This Row],[2030]]), Klisz_Verbräuche[[#This Row],[2030]]*Emissionsfaktoren[[#This Row],[2030]]/1000, 0)</f>
        <v>0</v>
      </c>
      <c r="V106" s="14">
        <f>IF(ISNUMBER(Klisz_Verbräuche[[#This Row],[2035]]), Klisz_Verbräuche[[#This Row],[2035]]*Emissionsfaktoren[[#This Row],[2035]]/1000, 0)</f>
        <v>0</v>
      </c>
      <c r="W106" s="14">
        <f>IF(ISNUMBER(Klisz_Verbräuche[[#This Row],[2040]]), Klisz_Verbräuche[[#This Row],[2040]]*Emissionsfaktoren[[#This Row],[2040]]/1000, 0)</f>
        <v>0</v>
      </c>
      <c r="X106" s="14">
        <f>IF(ISNUMBER(Klisz_Verbräuche[[#This Row],[2045]]), Klisz_Verbräuche[[#This Row],[2045]]*Emissionsfaktoren[[#This Row],[2045]]/1000, 0)</f>
        <v>0</v>
      </c>
      <c r="Y106" s="14">
        <f>IF(ISNUMBER(Klisz_Verbräuche[[#This Row],[2050]]), Klisz_Verbräuche[[#This Row],[2050]]*Emissionsfaktoren[[#This Row],[2050]]/1000, 0)</f>
        <v>0</v>
      </c>
    </row>
    <row r="107" spans="2:25" ht="16.5">
      <c r="B107" s="14">
        <v>90</v>
      </c>
      <c r="C107" s="14" t="str">
        <f>Refsz_Verbräuche[[#This Row],[Handlungsfeld]]</f>
        <v>Waren und Dienstleistungen</v>
      </c>
      <c r="D107" s="19" t="str">
        <f>Refsz_Verbräuche[[#This Row],[Datenpunkt]]</f>
        <v>Frischfaserpapier</v>
      </c>
      <c r="E107" t="s">
        <v>195</v>
      </c>
      <c r="F107" s="14">
        <f>IF(ISNUMBER(Klisz_Verbräuche[[#This Row],[2015]]), Klisz_Verbräuche[[#This Row],[2015]]*Emissionsfaktoren[[#This Row],[2015]]/1000, 0)</f>
        <v>0</v>
      </c>
      <c r="G107" s="14">
        <f>IF(ISNUMBER(Klisz_Verbräuche[[#This Row],[2016]]), Klisz_Verbräuche[[#This Row],[2016]]*Emissionsfaktoren[[#This Row],[2016]]/1000, 0)</f>
        <v>0</v>
      </c>
      <c r="H107" s="14">
        <f>IF(ISNUMBER(Klisz_Verbräuche[[#This Row],[2017]]), Klisz_Verbräuche[[#This Row],[2017]]*Emissionsfaktoren[[#This Row],[2017]]/1000, 0)</f>
        <v>0</v>
      </c>
      <c r="I107" s="14">
        <f>IF(ISNUMBER(Klisz_Verbräuche[[#This Row],[2018]]), Klisz_Verbräuche[[#This Row],[2018]]*Emissionsfaktoren[[#This Row],[2018]]/1000, 0)</f>
        <v>0</v>
      </c>
      <c r="J107" s="14">
        <f>IF(ISNUMBER(Klisz_Verbräuche[[#This Row],[2019]]), Klisz_Verbräuche[[#This Row],[2019]]*Emissionsfaktoren[[#This Row],[2019]]/1000, 0)</f>
        <v>0</v>
      </c>
      <c r="K107" s="14">
        <f>IF(ISNUMBER(Klisz_Verbräuche[[#This Row],[2020]]), Klisz_Verbräuche[[#This Row],[2020]]*Emissionsfaktoren[[#This Row],[2020]]/1000, 0)</f>
        <v>0</v>
      </c>
      <c r="L107" s="14">
        <f>IF(ISNUMBER(Klisz_Verbräuche[[#This Row],[2021]]), Klisz_Verbräuche[[#This Row],[2021]]*Emissionsfaktoren[[#This Row],[2021]]/1000, 0)</f>
        <v>0</v>
      </c>
      <c r="M107" s="14">
        <f>IF(ISNUMBER(Klisz_Verbräuche[[#This Row],[2022]]), Klisz_Verbräuche[[#This Row],[2022]]*Emissionsfaktoren[[#This Row],[2022]]/1000, 0)</f>
        <v>0</v>
      </c>
      <c r="N107" s="14">
        <f>IF(ISNUMBER(Klisz_Verbräuche[[#This Row],[2023]]), Klisz_Verbräuche[[#This Row],[2023]]*Emissionsfaktoren[[#This Row],[2023]]/1000, 0)</f>
        <v>0</v>
      </c>
      <c r="O107" s="14">
        <f>IF(ISNUMBER(Klisz_Verbräuche[[#This Row],[2024]]), Klisz_Verbräuche[[#This Row],[2024]]*Emissionsfaktoren[[#This Row],[2024]]/1000, 0)</f>
        <v>0</v>
      </c>
      <c r="P107" s="14">
        <f>IF(ISNUMBER(Klisz_Verbräuche[[#This Row],[2025]]), Klisz_Verbräuche[[#This Row],[2025]]*Emissionsfaktoren[[#This Row],[2025]]/1000, 0)</f>
        <v>0</v>
      </c>
      <c r="Q107" s="14">
        <f>IF(ISNUMBER(Klisz_Verbräuche[[#This Row],[2026]]), Klisz_Verbräuche[[#This Row],[2026]]*Emissionsfaktoren[[#This Row],[2026]]/1000, 0)</f>
        <v>0</v>
      </c>
      <c r="R107" s="14">
        <f>IF(ISNUMBER(Klisz_Verbräuche[[#This Row],[2027]]), Klisz_Verbräuche[[#This Row],[2027]]*Emissionsfaktoren[[#This Row],[2027]]/1000, 0)</f>
        <v>0</v>
      </c>
      <c r="S107" s="14">
        <f>IF(ISNUMBER(Klisz_Verbräuche[[#This Row],[2028]]), Klisz_Verbräuche[[#This Row],[2028]]*Emissionsfaktoren[[#This Row],[2028]]/1000, 0)</f>
        <v>0</v>
      </c>
      <c r="T107" s="14">
        <f>IF(ISNUMBER(Klisz_Verbräuche[[#This Row],[2029]]), Klisz_Verbräuche[[#This Row],[2029]]*Emissionsfaktoren[[#This Row],[2029]]/1000, 0)</f>
        <v>0</v>
      </c>
      <c r="U107" s="14">
        <f>IF(ISNUMBER(Klisz_Verbräuche[[#This Row],[2030]]), Klisz_Verbräuche[[#This Row],[2030]]*Emissionsfaktoren[[#This Row],[2030]]/1000, 0)</f>
        <v>0</v>
      </c>
      <c r="V107" s="14">
        <f>IF(ISNUMBER(Klisz_Verbräuche[[#This Row],[2035]]), Klisz_Verbräuche[[#This Row],[2035]]*Emissionsfaktoren[[#This Row],[2035]]/1000, 0)</f>
        <v>0</v>
      </c>
      <c r="W107" s="14">
        <f>IF(ISNUMBER(Klisz_Verbräuche[[#This Row],[2040]]), Klisz_Verbräuche[[#This Row],[2040]]*Emissionsfaktoren[[#This Row],[2040]]/1000, 0)</f>
        <v>0</v>
      </c>
      <c r="X107" s="14">
        <f>IF(ISNUMBER(Klisz_Verbräuche[[#This Row],[2045]]), Klisz_Verbräuche[[#This Row],[2045]]*Emissionsfaktoren[[#This Row],[2045]]/1000, 0)</f>
        <v>0</v>
      </c>
      <c r="Y107" s="14">
        <f>IF(ISNUMBER(Klisz_Verbräuche[[#This Row],[2050]]), Klisz_Verbräuche[[#This Row],[2050]]*Emissionsfaktoren[[#This Row],[2050]]/1000, 0)</f>
        <v>0</v>
      </c>
    </row>
    <row r="108" spans="2:25" ht="16.5">
      <c r="B108" s="14">
        <v>91</v>
      </c>
      <c r="C108" s="14" t="str">
        <f>Refsz_Verbräuche[[#This Row],[Handlungsfeld]]</f>
        <v>Waren und Dienstleistungen</v>
      </c>
      <c r="D108" s="19" t="str">
        <f>Refsz_Verbräuche[[#This Row],[Datenpunkt]]</f>
        <v>Toilettenpapier (Recycling)</v>
      </c>
      <c r="E108" t="s">
        <v>195</v>
      </c>
      <c r="F108" s="14">
        <f>IF(ISNUMBER(Klisz_Verbräuche[[#This Row],[2015]]), Klisz_Verbräuche[[#This Row],[2015]]*Emissionsfaktoren[[#This Row],[2015]]/1000, 0)</f>
        <v>0</v>
      </c>
      <c r="G108" s="14">
        <f>IF(ISNUMBER(Klisz_Verbräuche[[#This Row],[2016]]), Klisz_Verbräuche[[#This Row],[2016]]*Emissionsfaktoren[[#This Row],[2016]]/1000, 0)</f>
        <v>0</v>
      </c>
      <c r="H108" s="14">
        <f>IF(ISNUMBER(Klisz_Verbräuche[[#This Row],[2017]]), Klisz_Verbräuche[[#This Row],[2017]]*Emissionsfaktoren[[#This Row],[2017]]/1000, 0)</f>
        <v>0</v>
      </c>
      <c r="I108" s="14">
        <f>IF(ISNUMBER(Klisz_Verbräuche[[#This Row],[2018]]), Klisz_Verbräuche[[#This Row],[2018]]*Emissionsfaktoren[[#This Row],[2018]]/1000, 0)</f>
        <v>0</v>
      </c>
      <c r="J108" s="14">
        <f>IF(ISNUMBER(Klisz_Verbräuche[[#This Row],[2019]]), Klisz_Verbräuche[[#This Row],[2019]]*Emissionsfaktoren[[#This Row],[2019]]/1000, 0)</f>
        <v>0</v>
      </c>
      <c r="K108" s="14">
        <f>IF(ISNUMBER(Klisz_Verbräuche[[#This Row],[2020]]), Klisz_Verbräuche[[#This Row],[2020]]*Emissionsfaktoren[[#This Row],[2020]]/1000, 0)</f>
        <v>0</v>
      </c>
      <c r="L108" s="14">
        <f>IF(ISNUMBER(Klisz_Verbräuche[[#This Row],[2021]]), Klisz_Verbräuche[[#This Row],[2021]]*Emissionsfaktoren[[#This Row],[2021]]/1000, 0)</f>
        <v>0</v>
      </c>
      <c r="M108" s="14">
        <f>IF(ISNUMBER(Klisz_Verbräuche[[#This Row],[2022]]), Klisz_Verbräuche[[#This Row],[2022]]*Emissionsfaktoren[[#This Row],[2022]]/1000, 0)</f>
        <v>0</v>
      </c>
      <c r="N108" s="14">
        <f>IF(ISNUMBER(Klisz_Verbräuche[[#This Row],[2023]]), Klisz_Verbräuche[[#This Row],[2023]]*Emissionsfaktoren[[#This Row],[2023]]/1000, 0)</f>
        <v>0</v>
      </c>
      <c r="O108" s="14">
        <f>IF(ISNUMBER(Klisz_Verbräuche[[#This Row],[2024]]), Klisz_Verbräuche[[#This Row],[2024]]*Emissionsfaktoren[[#This Row],[2024]]/1000, 0)</f>
        <v>0</v>
      </c>
      <c r="P108" s="14">
        <f>IF(ISNUMBER(Klisz_Verbräuche[[#This Row],[2025]]), Klisz_Verbräuche[[#This Row],[2025]]*Emissionsfaktoren[[#This Row],[2025]]/1000, 0)</f>
        <v>0</v>
      </c>
      <c r="Q108" s="14">
        <f>IF(ISNUMBER(Klisz_Verbräuche[[#This Row],[2026]]), Klisz_Verbräuche[[#This Row],[2026]]*Emissionsfaktoren[[#This Row],[2026]]/1000, 0)</f>
        <v>0</v>
      </c>
      <c r="R108" s="14">
        <f>IF(ISNUMBER(Klisz_Verbräuche[[#This Row],[2027]]), Klisz_Verbräuche[[#This Row],[2027]]*Emissionsfaktoren[[#This Row],[2027]]/1000, 0)</f>
        <v>0</v>
      </c>
      <c r="S108" s="14">
        <f>IF(ISNUMBER(Klisz_Verbräuche[[#This Row],[2028]]), Klisz_Verbräuche[[#This Row],[2028]]*Emissionsfaktoren[[#This Row],[2028]]/1000, 0)</f>
        <v>0</v>
      </c>
      <c r="T108" s="14">
        <f>IF(ISNUMBER(Klisz_Verbräuche[[#This Row],[2029]]), Klisz_Verbräuche[[#This Row],[2029]]*Emissionsfaktoren[[#This Row],[2029]]/1000, 0)</f>
        <v>0</v>
      </c>
      <c r="U108" s="14">
        <f>IF(ISNUMBER(Klisz_Verbräuche[[#This Row],[2030]]), Klisz_Verbräuche[[#This Row],[2030]]*Emissionsfaktoren[[#This Row],[2030]]/1000, 0)</f>
        <v>0</v>
      </c>
      <c r="V108" s="14">
        <f>IF(ISNUMBER(Klisz_Verbräuche[[#This Row],[2035]]), Klisz_Verbräuche[[#This Row],[2035]]*Emissionsfaktoren[[#This Row],[2035]]/1000, 0)</f>
        <v>0</v>
      </c>
      <c r="W108" s="14">
        <f>IF(ISNUMBER(Klisz_Verbräuche[[#This Row],[2040]]), Klisz_Verbräuche[[#This Row],[2040]]*Emissionsfaktoren[[#This Row],[2040]]/1000, 0)</f>
        <v>0</v>
      </c>
      <c r="X108" s="14">
        <f>IF(ISNUMBER(Klisz_Verbräuche[[#This Row],[2045]]), Klisz_Verbräuche[[#This Row],[2045]]*Emissionsfaktoren[[#This Row],[2045]]/1000, 0)</f>
        <v>0</v>
      </c>
      <c r="Y108" s="14">
        <f>IF(ISNUMBER(Klisz_Verbräuche[[#This Row],[2050]]), Klisz_Verbräuche[[#This Row],[2050]]*Emissionsfaktoren[[#This Row],[2050]]/1000, 0)</f>
        <v>0</v>
      </c>
    </row>
    <row r="109" spans="2:25" ht="16.5">
      <c r="B109" s="14">
        <v>92</v>
      </c>
      <c r="C109" s="14" t="str">
        <f>Refsz_Verbräuche[[#This Row],[Handlungsfeld]]</f>
        <v>Waren und Dienstleistungen</v>
      </c>
      <c r="D109" s="19" t="str">
        <f>Refsz_Verbräuche[[#This Row],[Datenpunkt]]</f>
        <v>Papierhandtücher (Recycling)</v>
      </c>
      <c r="E109" t="s">
        <v>195</v>
      </c>
      <c r="F109" s="14">
        <f>IF(ISNUMBER(Klisz_Verbräuche[[#This Row],[2015]]), Klisz_Verbräuche[[#This Row],[2015]]*Emissionsfaktoren[[#This Row],[2015]]/1000, 0)</f>
        <v>0</v>
      </c>
      <c r="G109" s="14">
        <f>IF(ISNUMBER(Klisz_Verbräuche[[#This Row],[2016]]), Klisz_Verbräuche[[#This Row],[2016]]*Emissionsfaktoren[[#This Row],[2016]]/1000, 0)</f>
        <v>0</v>
      </c>
      <c r="H109" s="14">
        <f>IF(ISNUMBER(Klisz_Verbräuche[[#This Row],[2017]]), Klisz_Verbräuche[[#This Row],[2017]]*Emissionsfaktoren[[#This Row],[2017]]/1000, 0)</f>
        <v>0</v>
      </c>
      <c r="I109" s="14">
        <f>IF(ISNUMBER(Klisz_Verbräuche[[#This Row],[2018]]), Klisz_Verbräuche[[#This Row],[2018]]*Emissionsfaktoren[[#This Row],[2018]]/1000, 0)</f>
        <v>0</v>
      </c>
      <c r="J109" s="14">
        <f>IF(ISNUMBER(Klisz_Verbräuche[[#This Row],[2019]]), Klisz_Verbräuche[[#This Row],[2019]]*Emissionsfaktoren[[#This Row],[2019]]/1000, 0)</f>
        <v>0</v>
      </c>
      <c r="K109" s="14">
        <f>IF(ISNUMBER(Klisz_Verbräuche[[#This Row],[2020]]), Klisz_Verbräuche[[#This Row],[2020]]*Emissionsfaktoren[[#This Row],[2020]]/1000, 0)</f>
        <v>0</v>
      </c>
      <c r="L109" s="14">
        <f>IF(ISNUMBER(Klisz_Verbräuche[[#This Row],[2021]]), Klisz_Verbräuche[[#This Row],[2021]]*Emissionsfaktoren[[#This Row],[2021]]/1000, 0)</f>
        <v>0</v>
      </c>
      <c r="M109" s="14">
        <f>IF(ISNUMBER(Klisz_Verbräuche[[#This Row],[2022]]), Klisz_Verbräuche[[#This Row],[2022]]*Emissionsfaktoren[[#This Row],[2022]]/1000, 0)</f>
        <v>0</v>
      </c>
      <c r="N109" s="14">
        <f>IF(ISNUMBER(Klisz_Verbräuche[[#This Row],[2023]]), Klisz_Verbräuche[[#This Row],[2023]]*Emissionsfaktoren[[#This Row],[2023]]/1000, 0)</f>
        <v>0</v>
      </c>
      <c r="O109" s="14">
        <f>IF(ISNUMBER(Klisz_Verbräuche[[#This Row],[2024]]), Klisz_Verbräuche[[#This Row],[2024]]*Emissionsfaktoren[[#This Row],[2024]]/1000, 0)</f>
        <v>0</v>
      </c>
      <c r="P109" s="14">
        <f>IF(ISNUMBER(Klisz_Verbräuche[[#This Row],[2025]]), Klisz_Verbräuche[[#This Row],[2025]]*Emissionsfaktoren[[#This Row],[2025]]/1000, 0)</f>
        <v>0</v>
      </c>
      <c r="Q109" s="14">
        <f>IF(ISNUMBER(Klisz_Verbräuche[[#This Row],[2026]]), Klisz_Verbräuche[[#This Row],[2026]]*Emissionsfaktoren[[#This Row],[2026]]/1000, 0)</f>
        <v>0</v>
      </c>
      <c r="R109" s="14">
        <f>IF(ISNUMBER(Klisz_Verbräuche[[#This Row],[2027]]), Klisz_Verbräuche[[#This Row],[2027]]*Emissionsfaktoren[[#This Row],[2027]]/1000, 0)</f>
        <v>0</v>
      </c>
      <c r="S109" s="14">
        <f>IF(ISNUMBER(Klisz_Verbräuche[[#This Row],[2028]]), Klisz_Verbräuche[[#This Row],[2028]]*Emissionsfaktoren[[#This Row],[2028]]/1000, 0)</f>
        <v>0</v>
      </c>
      <c r="T109" s="14">
        <f>IF(ISNUMBER(Klisz_Verbräuche[[#This Row],[2029]]), Klisz_Verbräuche[[#This Row],[2029]]*Emissionsfaktoren[[#This Row],[2029]]/1000, 0)</f>
        <v>0</v>
      </c>
      <c r="U109" s="14">
        <f>IF(ISNUMBER(Klisz_Verbräuche[[#This Row],[2030]]), Klisz_Verbräuche[[#This Row],[2030]]*Emissionsfaktoren[[#This Row],[2030]]/1000, 0)</f>
        <v>0</v>
      </c>
      <c r="V109" s="14">
        <f>IF(ISNUMBER(Klisz_Verbräuche[[#This Row],[2035]]), Klisz_Verbräuche[[#This Row],[2035]]*Emissionsfaktoren[[#This Row],[2035]]/1000, 0)</f>
        <v>0</v>
      </c>
      <c r="W109" s="14">
        <f>IF(ISNUMBER(Klisz_Verbräuche[[#This Row],[2040]]), Klisz_Verbräuche[[#This Row],[2040]]*Emissionsfaktoren[[#This Row],[2040]]/1000, 0)</f>
        <v>0</v>
      </c>
      <c r="X109" s="14">
        <f>IF(ISNUMBER(Klisz_Verbräuche[[#This Row],[2045]]), Klisz_Verbräuche[[#This Row],[2045]]*Emissionsfaktoren[[#This Row],[2045]]/1000, 0)</f>
        <v>0</v>
      </c>
      <c r="Y109" s="14">
        <f>IF(ISNUMBER(Klisz_Verbräuche[[#This Row],[2050]]), Klisz_Verbräuche[[#This Row],[2050]]*Emissionsfaktoren[[#This Row],[2050]]/1000, 0)</f>
        <v>0</v>
      </c>
    </row>
    <row r="110" spans="2:25" ht="16.5">
      <c r="B110" s="14">
        <v>93</v>
      </c>
      <c r="C110" s="14">
        <f>Refsz_Verbräuche[[#This Row],[Handlungsfeld]]</f>
        <v>0</v>
      </c>
      <c r="D110" s="19">
        <f>Refsz_Verbräuche[[#This Row],[Datenpunkt]]</f>
        <v>0</v>
      </c>
      <c r="E110" t="s">
        <v>195</v>
      </c>
      <c r="F110" s="14">
        <f>IF(ISNUMBER(Klisz_Verbräuche[[#This Row],[2015]]), Klisz_Verbräuche[[#This Row],[2015]]*Emissionsfaktoren[[#This Row],[2015]]/1000, 0)</f>
        <v>0</v>
      </c>
      <c r="G110" s="14">
        <f>IF(ISNUMBER(Klisz_Verbräuche[[#This Row],[2016]]), Klisz_Verbräuche[[#This Row],[2016]]*Emissionsfaktoren[[#This Row],[2016]]/1000, 0)</f>
        <v>0</v>
      </c>
      <c r="H110" s="14">
        <f>IF(ISNUMBER(Klisz_Verbräuche[[#This Row],[2017]]), Klisz_Verbräuche[[#This Row],[2017]]*Emissionsfaktoren[[#This Row],[2017]]/1000, 0)</f>
        <v>0</v>
      </c>
      <c r="I110" s="14">
        <f>IF(ISNUMBER(Klisz_Verbräuche[[#This Row],[2018]]), Klisz_Verbräuche[[#This Row],[2018]]*Emissionsfaktoren[[#This Row],[2018]]/1000, 0)</f>
        <v>0</v>
      </c>
      <c r="J110" s="14">
        <f>IF(ISNUMBER(Klisz_Verbräuche[[#This Row],[2019]]), Klisz_Verbräuche[[#This Row],[2019]]*Emissionsfaktoren[[#This Row],[2019]]/1000, 0)</f>
        <v>0</v>
      </c>
      <c r="K110" s="14">
        <f>IF(ISNUMBER(Klisz_Verbräuche[[#This Row],[2020]]), Klisz_Verbräuche[[#This Row],[2020]]*Emissionsfaktoren[[#This Row],[2020]]/1000, 0)</f>
        <v>0</v>
      </c>
      <c r="L110" s="14">
        <f>IF(ISNUMBER(Klisz_Verbräuche[[#This Row],[2021]]), Klisz_Verbräuche[[#This Row],[2021]]*Emissionsfaktoren[[#This Row],[2021]]/1000, 0)</f>
        <v>0</v>
      </c>
      <c r="M110" s="14">
        <f>IF(ISNUMBER(Klisz_Verbräuche[[#This Row],[2022]]), Klisz_Verbräuche[[#This Row],[2022]]*Emissionsfaktoren[[#This Row],[2022]]/1000, 0)</f>
        <v>0</v>
      </c>
      <c r="N110" s="14">
        <f>IF(ISNUMBER(Klisz_Verbräuche[[#This Row],[2023]]), Klisz_Verbräuche[[#This Row],[2023]]*Emissionsfaktoren[[#This Row],[2023]]/1000, 0)</f>
        <v>0</v>
      </c>
      <c r="O110" s="14">
        <f>IF(ISNUMBER(Klisz_Verbräuche[[#This Row],[2024]]), Klisz_Verbräuche[[#This Row],[2024]]*Emissionsfaktoren[[#This Row],[2024]]/1000, 0)</f>
        <v>0</v>
      </c>
      <c r="P110" s="14">
        <f>IF(ISNUMBER(Klisz_Verbräuche[[#This Row],[2025]]), Klisz_Verbräuche[[#This Row],[2025]]*Emissionsfaktoren[[#This Row],[2025]]/1000, 0)</f>
        <v>0</v>
      </c>
      <c r="Q110" s="14">
        <f>IF(ISNUMBER(Klisz_Verbräuche[[#This Row],[2026]]), Klisz_Verbräuche[[#This Row],[2026]]*Emissionsfaktoren[[#This Row],[2026]]/1000, 0)</f>
        <v>0</v>
      </c>
      <c r="R110" s="14">
        <f>IF(ISNUMBER(Klisz_Verbräuche[[#This Row],[2027]]), Klisz_Verbräuche[[#This Row],[2027]]*Emissionsfaktoren[[#This Row],[2027]]/1000, 0)</f>
        <v>0</v>
      </c>
      <c r="S110" s="14">
        <f>IF(ISNUMBER(Klisz_Verbräuche[[#This Row],[2028]]), Klisz_Verbräuche[[#This Row],[2028]]*Emissionsfaktoren[[#This Row],[2028]]/1000, 0)</f>
        <v>0</v>
      </c>
      <c r="T110" s="14">
        <f>IF(ISNUMBER(Klisz_Verbräuche[[#This Row],[2029]]), Klisz_Verbräuche[[#This Row],[2029]]*Emissionsfaktoren[[#This Row],[2029]]/1000, 0)</f>
        <v>0</v>
      </c>
      <c r="U110" s="14">
        <f>IF(ISNUMBER(Klisz_Verbräuche[[#This Row],[2030]]), Klisz_Verbräuche[[#This Row],[2030]]*Emissionsfaktoren[[#This Row],[2030]]/1000, 0)</f>
        <v>0</v>
      </c>
      <c r="V110" s="14">
        <f>IF(ISNUMBER(Klisz_Verbräuche[[#This Row],[2035]]), Klisz_Verbräuche[[#This Row],[2035]]*Emissionsfaktoren[[#This Row],[2035]]/1000, 0)</f>
        <v>0</v>
      </c>
      <c r="W110" s="14">
        <f>IF(ISNUMBER(Klisz_Verbräuche[[#This Row],[2040]]), Klisz_Verbräuche[[#This Row],[2040]]*Emissionsfaktoren[[#This Row],[2040]]/1000, 0)</f>
        <v>0</v>
      </c>
      <c r="X110" s="14">
        <f>IF(ISNUMBER(Klisz_Verbräuche[[#This Row],[2045]]), Klisz_Verbräuche[[#This Row],[2045]]*Emissionsfaktoren[[#This Row],[2045]]/1000, 0)</f>
        <v>0</v>
      </c>
      <c r="Y110" s="14">
        <f>IF(ISNUMBER(Klisz_Verbräuche[[#This Row],[2050]]), Klisz_Verbräuche[[#This Row],[2050]]*Emissionsfaktoren[[#This Row],[2050]]/1000, 0)</f>
        <v>0</v>
      </c>
    </row>
    <row r="111" spans="2:25" ht="16.5">
      <c r="B111" s="14">
        <v>94</v>
      </c>
      <c r="C111" s="14" t="str">
        <f>Refsz_Verbräuche[[#This Row],[Handlungsfeld]]</f>
        <v>Waren und Dienstleistungen</v>
      </c>
      <c r="D111" s="19" t="str">
        <f>Refsz_Verbräuche[[#This Row],[Datenpunkt]]</f>
        <v>Outgesourcte Leistungen des Rechenzentrums</v>
      </c>
      <c r="E111" t="s">
        <v>195</v>
      </c>
      <c r="F111" s="14">
        <f>IF(ISNUMBER(Klisz_Verbräuche[[#This Row],[2015]]), Klisz_Verbräuche[[#This Row],[2015]]*Emissionsfaktoren[[#This Row],[2015]]/1000, 0)</f>
        <v>0</v>
      </c>
      <c r="G111" s="14">
        <f>IF(ISNUMBER(Klisz_Verbräuche[[#This Row],[2016]]), Klisz_Verbräuche[[#This Row],[2016]]*Emissionsfaktoren[[#This Row],[2016]]/1000, 0)</f>
        <v>0</v>
      </c>
      <c r="H111" s="14">
        <f>IF(ISNUMBER(Klisz_Verbräuche[[#This Row],[2017]]), Klisz_Verbräuche[[#This Row],[2017]]*Emissionsfaktoren[[#This Row],[2017]]/1000, 0)</f>
        <v>0</v>
      </c>
      <c r="I111" s="14">
        <f>IF(ISNUMBER(Klisz_Verbräuche[[#This Row],[2018]]), Klisz_Verbräuche[[#This Row],[2018]]*Emissionsfaktoren[[#This Row],[2018]]/1000, 0)</f>
        <v>0</v>
      </c>
      <c r="J111" s="14">
        <f>IF(ISNUMBER(Klisz_Verbräuche[[#This Row],[2019]]), Klisz_Verbräuche[[#This Row],[2019]]*Emissionsfaktoren[[#This Row],[2019]]/1000, 0)</f>
        <v>0</v>
      </c>
      <c r="K111" s="14">
        <f>IF(ISNUMBER(Klisz_Verbräuche[[#This Row],[2020]]), Klisz_Verbräuche[[#This Row],[2020]]*Emissionsfaktoren[[#This Row],[2020]]/1000, 0)</f>
        <v>0</v>
      </c>
      <c r="L111" s="14">
        <f>IF(ISNUMBER(Klisz_Verbräuche[[#This Row],[2021]]), Klisz_Verbräuche[[#This Row],[2021]]*Emissionsfaktoren[[#This Row],[2021]]/1000, 0)</f>
        <v>0</v>
      </c>
      <c r="M111" s="14">
        <f>IF(ISNUMBER(Klisz_Verbräuche[[#This Row],[2022]]), Klisz_Verbräuche[[#This Row],[2022]]*Emissionsfaktoren[[#This Row],[2022]]/1000, 0)</f>
        <v>0</v>
      </c>
      <c r="N111" s="14">
        <f>IF(ISNUMBER(Klisz_Verbräuche[[#This Row],[2023]]), Klisz_Verbräuche[[#This Row],[2023]]*Emissionsfaktoren[[#This Row],[2023]]/1000, 0)</f>
        <v>0</v>
      </c>
      <c r="O111" s="14">
        <f>IF(ISNUMBER(Klisz_Verbräuche[[#This Row],[2024]]), Klisz_Verbräuche[[#This Row],[2024]]*Emissionsfaktoren[[#This Row],[2024]]/1000, 0)</f>
        <v>0</v>
      </c>
      <c r="P111" s="14">
        <f>IF(ISNUMBER(Klisz_Verbräuche[[#This Row],[2025]]), Klisz_Verbräuche[[#This Row],[2025]]*Emissionsfaktoren[[#This Row],[2025]]/1000, 0)</f>
        <v>0</v>
      </c>
      <c r="Q111" s="14">
        <f>IF(ISNUMBER(Klisz_Verbräuche[[#This Row],[2026]]), Klisz_Verbräuche[[#This Row],[2026]]*Emissionsfaktoren[[#This Row],[2026]]/1000, 0)</f>
        <v>0</v>
      </c>
      <c r="R111" s="14">
        <f>IF(ISNUMBER(Klisz_Verbräuche[[#This Row],[2027]]), Klisz_Verbräuche[[#This Row],[2027]]*Emissionsfaktoren[[#This Row],[2027]]/1000, 0)</f>
        <v>0</v>
      </c>
      <c r="S111" s="14">
        <f>IF(ISNUMBER(Klisz_Verbräuche[[#This Row],[2028]]), Klisz_Verbräuche[[#This Row],[2028]]*Emissionsfaktoren[[#This Row],[2028]]/1000, 0)</f>
        <v>0</v>
      </c>
      <c r="T111" s="14">
        <f>IF(ISNUMBER(Klisz_Verbräuche[[#This Row],[2029]]), Klisz_Verbräuche[[#This Row],[2029]]*Emissionsfaktoren[[#This Row],[2029]]/1000, 0)</f>
        <v>0</v>
      </c>
      <c r="U111" s="14">
        <f>IF(ISNUMBER(Klisz_Verbräuche[[#This Row],[2030]]), Klisz_Verbräuche[[#This Row],[2030]]*Emissionsfaktoren[[#This Row],[2030]]/1000, 0)</f>
        <v>0</v>
      </c>
      <c r="V111" s="14">
        <f>IF(ISNUMBER(Klisz_Verbräuche[[#This Row],[2035]]), Klisz_Verbräuche[[#This Row],[2035]]*Emissionsfaktoren[[#This Row],[2035]]/1000, 0)</f>
        <v>0</v>
      </c>
      <c r="W111" s="14">
        <f>IF(ISNUMBER(Klisz_Verbräuche[[#This Row],[2040]]), Klisz_Verbräuche[[#This Row],[2040]]*Emissionsfaktoren[[#This Row],[2040]]/1000, 0)</f>
        <v>0</v>
      </c>
      <c r="X111" s="14">
        <f>IF(ISNUMBER(Klisz_Verbräuche[[#This Row],[2045]]), Klisz_Verbräuche[[#This Row],[2045]]*Emissionsfaktoren[[#This Row],[2045]]/1000, 0)</f>
        <v>0</v>
      </c>
      <c r="Y111" s="14">
        <f>IF(ISNUMBER(Klisz_Verbräuche[[#This Row],[2050]]), Klisz_Verbräuche[[#This Row],[2050]]*Emissionsfaktoren[[#This Row],[2050]]/1000, 0)</f>
        <v>0</v>
      </c>
    </row>
    <row r="112" spans="2:25" ht="16.5">
      <c r="B112" s="14">
        <v>95</v>
      </c>
      <c r="C112" s="14" t="str">
        <f>Refsz_Verbräuche[[#This Row],[Handlungsfeld]]</f>
        <v>Waren und Dienstleistungen</v>
      </c>
      <c r="D112" s="19" t="str">
        <f>Refsz_Verbräuche[[#This Row],[Datenpunkt]]</f>
        <v>Beamer</v>
      </c>
      <c r="E112" t="s">
        <v>195</v>
      </c>
      <c r="F112" s="14">
        <f>IF(ISNUMBER(Klisz_Verbräuche[[#This Row],[2015]]), Klisz_Verbräuche[[#This Row],[2015]]*Emissionsfaktoren[[#This Row],[2015]]/1000, 0)</f>
        <v>0</v>
      </c>
      <c r="G112" s="14">
        <f>IF(ISNUMBER(Klisz_Verbräuche[[#This Row],[2016]]), Klisz_Verbräuche[[#This Row],[2016]]*Emissionsfaktoren[[#This Row],[2016]]/1000, 0)</f>
        <v>0</v>
      </c>
      <c r="H112" s="14">
        <f>IF(ISNUMBER(Klisz_Verbräuche[[#This Row],[2017]]), Klisz_Verbräuche[[#This Row],[2017]]*Emissionsfaktoren[[#This Row],[2017]]/1000, 0)</f>
        <v>0</v>
      </c>
      <c r="I112" s="14">
        <f>IF(ISNUMBER(Klisz_Verbräuche[[#This Row],[2018]]), Klisz_Verbräuche[[#This Row],[2018]]*Emissionsfaktoren[[#This Row],[2018]]/1000, 0)</f>
        <v>0</v>
      </c>
      <c r="J112" s="14">
        <f>IF(ISNUMBER(Klisz_Verbräuche[[#This Row],[2019]]), Klisz_Verbräuche[[#This Row],[2019]]*Emissionsfaktoren[[#This Row],[2019]]/1000, 0)</f>
        <v>0</v>
      </c>
      <c r="K112" s="14">
        <f>IF(ISNUMBER(Klisz_Verbräuche[[#This Row],[2020]]), Klisz_Verbräuche[[#This Row],[2020]]*Emissionsfaktoren[[#This Row],[2020]]/1000, 0)</f>
        <v>0</v>
      </c>
      <c r="L112" s="14">
        <f>IF(ISNUMBER(Klisz_Verbräuche[[#This Row],[2021]]), Klisz_Verbräuche[[#This Row],[2021]]*Emissionsfaktoren[[#This Row],[2021]]/1000, 0)</f>
        <v>0</v>
      </c>
      <c r="M112" s="14">
        <f>IF(ISNUMBER(Klisz_Verbräuche[[#This Row],[2022]]), Klisz_Verbräuche[[#This Row],[2022]]*Emissionsfaktoren[[#This Row],[2022]]/1000, 0)</f>
        <v>0</v>
      </c>
      <c r="N112" s="14">
        <f>IF(ISNUMBER(Klisz_Verbräuche[[#This Row],[2023]]), Klisz_Verbräuche[[#This Row],[2023]]*Emissionsfaktoren[[#This Row],[2023]]/1000, 0)</f>
        <v>0</v>
      </c>
      <c r="O112" s="14">
        <f>IF(ISNUMBER(Klisz_Verbräuche[[#This Row],[2024]]), Klisz_Verbräuche[[#This Row],[2024]]*Emissionsfaktoren[[#This Row],[2024]]/1000, 0)</f>
        <v>0</v>
      </c>
      <c r="P112" s="14">
        <f>IF(ISNUMBER(Klisz_Verbräuche[[#This Row],[2025]]), Klisz_Verbräuche[[#This Row],[2025]]*Emissionsfaktoren[[#This Row],[2025]]/1000, 0)</f>
        <v>0</v>
      </c>
      <c r="Q112" s="14">
        <f>IF(ISNUMBER(Klisz_Verbräuche[[#This Row],[2026]]), Klisz_Verbräuche[[#This Row],[2026]]*Emissionsfaktoren[[#This Row],[2026]]/1000, 0)</f>
        <v>0</v>
      </c>
      <c r="R112" s="14">
        <f>IF(ISNUMBER(Klisz_Verbräuche[[#This Row],[2027]]), Klisz_Verbräuche[[#This Row],[2027]]*Emissionsfaktoren[[#This Row],[2027]]/1000, 0)</f>
        <v>0</v>
      </c>
      <c r="S112" s="14">
        <f>IF(ISNUMBER(Klisz_Verbräuche[[#This Row],[2028]]), Klisz_Verbräuche[[#This Row],[2028]]*Emissionsfaktoren[[#This Row],[2028]]/1000, 0)</f>
        <v>0</v>
      </c>
      <c r="T112" s="14">
        <f>IF(ISNUMBER(Klisz_Verbräuche[[#This Row],[2029]]), Klisz_Verbräuche[[#This Row],[2029]]*Emissionsfaktoren[[#This Row],[2029]]/1000, 0)</f>
        <v>0</v>
      </c>
      <c r="U112" s="14">
        <f>IF(ISNUMBER(Klisz_Verbräuche[[#This Row],[2030]]), Klisz_Verbräuche[[#This Row],[2030]]*Emissionsfaktoren[[#This Row],[2030]]/1000, 0)</f>
        <v>0</v>
      </c>
      <c r="V112" s="14">
        <f>IF(ISNUMBER(Klisz_Verbräuche[[#This Row],[2035]]), Klisz_Verbräuche[[#This Row],[2035]]*Emissionsfaktoren[[#This Row],[2035]]/1000, 0)</f>
        <v>0</v>
      </c>
      <c r="W112" s="14">
        <f>IF(ISNUMBER(Klisz_Verbräuche[[#This Row],[2040]]), Klisz_Verbräuche[[#This Row],[2040]]*Emissionsfaktoren[[#This Row],[2040]]/1000, 0)</f>
        <v>0</v>
      </c>
      <c r="X112" s="14">
        <f>IF(ISNUMBER(Klisz_Verbräuche[[#This Row],[2045]]), Klisz_Verbräuche[[#This Row],[2045]]*Emissionsfaktoren[[#This Row],[2045]]/1000, 0)</f>
        <v>0</v>
      </c>
      <c r="Y112" s="14">
        <f>IF(ISNUMBER(Klisz_Verbräuche[[#This Row],[2050]]), Klisz_Verbräuche[[#This Row],[2050]]*Emissionsfaktoren[[#This Row],[2050]]/1000, 0)</f>
        <v>0</v>
      </c>
    </row>
    <row r="113" spans="2:25" ht="16.5">
      <c r="B113" s="14">
        <v>96</v>
      </c>
      <c r="C113" s="14" t="str">
        <f>Refsz_Verbräuche[[#This Row],[Handlungsfeld]]</f>
        <v>Waren und Dienstleistungen</v>
      </c>
      <c r="D113" s="19" t="str">
        <f>Refsz_Verbräuche[[#This Row],[Datenpunkt]]</f>
        <v>Notebook/Laptop</v>
      </c>
      <c r="E113" t="s">
        <v>195</v>
      </c>
      <c r="F113" s="14">
        <f>IF(ISNUMBER(Klisz_Verbräuche[[#This Row],[2015]]), Klisz_Verbräuche[[#This Row],[2015]]*Emissionsfaktoren[[#This Row],[2015]]/1000, 0)</f>
        <v>0</v>
      </c>
      <c r="G113" s="14">
        <f>IF(ISNUMBER(Klisz_Verbräuche[[#This Row],[2016]]), Klisz_Verbräuche[[#This Row],[2016]]*Emissionsfaktoren[[#This Row],[2016]]/1000, 0)</f>
        <v>0</v>
      </c>
      <c r="H113" s="14">
        <f>IF(ISNUMBER(Klisz_Verbräuche[[#This Row],[2017]]), Klisz_Verbräuche[[#This Row],[2017]]*Emissionsfaktoren[[#This Row],[2017]]/1000, 0)</f>
        <v>0</v>
      </c>
      <c r="I113" s="14">
        <f>IF(ISNUMBER(Klisz_Verbräuche[[#This Row],[2018]]), Klisz_Verbräuche[[#This Row],[2018]]*Emissionsfaktoren[[#This Row],[2018]]/1000, 0)</f>
        <v>0</v>
      </c>
      <c r="J113" s="14">
        <f>IF(ISNUMBER(Klisz_Verbräuche[[#This Row],[2019]]), Klisz_Verbräuche[[#This Row],[2019]]*Emissionsfaktoren[[#This Row],[2019]]/1000, 0)</f>
        <v>0</v>
      </c>
      <c r="K113" s="14">
        <f>IF(ISNUMBER(Klisz_Verbräuche[[#This Row],[2020]]), Klisz_Verbräuche[[#This Row],[2020]]*Emissionsfaktoren[[#This Row],[2020]]/1000, 0)</f>
        <v>0</v>
      </c>
      <c r="L113" s="14">
        <f>IF(ISNUMBER(Klisz_Verbräuche[[#This Row],[2021]]), Klisz_Verbräuche[[#This Row],[2021]]*Emissionsfaktoren[[#This Row],[2021]]/1000, 0)</f>
        <v>0</v>
      </c>
      <c r="M113" s="14">
        <f>IF(ISNUMBER(Klisz_Verbräuche[[#This Row],[2022]]), Klisz_Verbräuche[[#This Row],[2022]]*Emissionsfaktoren[[#This Row],[2022]]/1000, 0)</f>
        <v>0</v>
      </c>
      <c r="N113" s="14">
        <f>IF(ISNUMBER(Klisz_Verbräuche[[#This Row],[2023]]), Klisz_Verbräuche[[#This Row],[2023]]*Emissionsfaktoren[[#This Row],[2023]]/1000, 0)</f>
        <v>0</v>
      </c>
      <c r="O113" s="14">
        <f>IF(ISNUMBER(Klisz_Verbräuche[[#This Row],[2024]]), Klisz_Verbräuche[[#This Row],[2024]]*Emissionsfaktoren[[#This Row],[2024]]/1000, 0)</f>
        <v>0</v>
      </c>
      <c r="P113" s="14">
        <f>IF(ISNUMBER(Klisz_Verbräuche[[#This Row],[2025]]), Klisz_Verbräuche[[#This Row],[2025]]*Emissionsfaktoren[[#This Row],[2025]]/1000, 0)</f>
        <v>0</v>
      </c>
      <c r="Q113" s="14">
        <f>IF(ISNUMBER(Klisz_Verbräuche[[#This Row],[2026]]), Klisz_Verbräuche[[#This Row],[2026]]*Emissionsfaktoren[[#This Row],[2026]]/1000, 0)</f>
        <v>0</v>
      </c>
      <c r="R113" s="14">
        <f>IF(ISNUMBER(Klisz_Verbräuche[[#This Row],[2027]]), Klisz_Verbräuche[[#This Row],[2027]]*Emissionsfaktoren[[#This Row],[2027]]/1000, 0)</f>
        <v>0</v>
      </c>
      <c r="S113" s="14">
        <f>IF(ISNUMBER(Klisz_Verbräuche[[#This Row],[2028]]), Klisz_Verbräuche[[#This Row],[2028]]*Emissionsfaktoren[[#This Row],[2028]]/1000, 0)</f>
        <v>0</v>
      </c>
      <c r="T113" s="14">
        <f>IF(ISNUMBER(Klisz_Verbräuche[[#This Row],[2029]]), Klisz_Verbräuche[[#This Row],[2029]]*Emissionsfaktoren[[#This Row],[2029]]/1000, 0)</f>
        <v>0</v>
      </c>
      <c r="U113" s="14">
        <f>IF(ISNUMBER(Klisz_Verbräuche[[#This Row],[2030]]), Klisz_Verbräuche[[#This Row],[2030]]*Emissionsfaktoren[[#This Row],[2030]]/1000, 0)</f>
        <v>0</v>
      </c>
      <c r="V113" s="14">
        <f>IF(ISNUMBER(Klisz_Verbräuche[[#This Row],[2035]]), Klisz_Verbräuche[[#This Row],[2035]]*Emissionsfaktoren[[#This Row],[2035]]/1000, 0)</f>
        <v>0</v>
      </c>
      <c r="W113" s="14">
        <f>IF(ISNUMBER(Klisz_Verbräuche[[#This Row],[2040]]), Klisz_Verbräuche[[#This Row],[2040]]*Emissionsfaktoren[[#This Row],[2040]]/1000, 0)</f>
        <v>0</v>
      </c>
      <c r="X113" s="14">
        <f>IF(ISNUMBER(Klisz_Verbräuche[[#This Row],[2045]]), Klisz_Verbräuche[[#This Row],[2045]]*Emissionsfaktoren[[#This Row],[2045]]/1000, 0)</f>
        <v>0</v>
      </c>
      <c r="Y113" s="14">
        <f>IF(ISNUMBER(Klisz_Verbräuche[[#This Row],[2050]]), Klisz_Verbräuche[[#This Row],[2050]]*Emissionsfaktoren[[#This Row],[2050]]/1000, 0)</f>
        <v>0</v>
      </c>
    </row>
    <row r="114" spans="2:25" ht="16.5">
      <c r="B114" s="14">
        <v>97</v>
      </c>
      <c r="C114" s="14" t="str">
        <f>Refsz_Verbräuche[[#This Row],[Handlungsfeld]]</f>
        <v>Waren und Dienstleistungen</v>
      </c>
      <c r="D114" s="19" t="str">
        <f>Refsz_Verbräuche[[#This Row],[Datenpunkt]]</f>
        <v>Desktop-PC mit Monitor</v>
      </c>
      <c r="E114" t="s">
        <v>195</v>
      </c>
      <c r="F114" s="14">
        <f>IF(ISNUMBER(Klisz_Verbräuche[[#This Row],[2015]]), Klisz_Verbräuche[[#This Row],[2015]]*Emissionsfaktoren[[#This Row],[2015]]/1000, 0)</f>
        <v>0</v>
      </c>
      <c r="G114" s="14">
        <f>IF(ISNUMBER(Klisz_Verbräuche[[#This Row],[2016]]), Klisz_Verbräuche[[#This Row],[2016]]*Emissionsfaktoren[[#This Row],[2016]]/1000, 0)</f>
        <v>0</v>
      </c>
      <c r="H114" s="14">
        <f>IF(ISNUMBER(Klisz_Verbräuche[[#This Row],[2017]]), Klisz_Verbräuche[[#This Row],[2017]]*Emissionsfaktoren[[#This Row],[2017]]/1000, 0)</f>
        <v>0</v>
      </c>
      <c r="I114" s="14">
        <f>IF(ISNUMBER(Klisz_Verbräuche[[#This Row],[2018]]), Klisz_Verbräuche[[#This Row],[2018]]*Emissionsfaktoren[[#This Row],[2018]]/1000, 0)</f>
        <v>0</v>
      </c>
      <c r="J114" s="14">
        <f>IF(ISNUMBER(Klisz_Verbräuche[[#This Row],[2019]]), Klisz_Verbräuche[[#This Row],[2019]]*Emissionsfaktoren[[#This Row],[2019]]/1000, 0)</f>
        <v>0</v>
      </c>
      <c r="K114" s="14">
        <f>IF(ISNUMBER(Klisz_Verbräuche[[#This Row],[2020]]), Klisz_Verbräuche[[#This Row],[2020]]*Emissionsfaktoren[[#This Row],[2020]]/1000, 0)</f>
        <v>0</v>
      </c>
      <c r="L114" s="14">
        <f>IF(ISNUMBER(Klisz_Verbräuche[[#This Row],[2021]]), Klisz_Verbräuche[[#This Row],[2021]]*Emissionsfaktoren[[#This Row],[2021]]/1000, 0)</f>
        <v>0</v>
      </c>
      <c r="M114" s="14">
        <f>IF(ISNUMBER(Klisz_Verbräuche[[#This Row],[2022]]), Klisz_Verbräuche[[#This Row],[2022]]*Emissionsfaktoren[[#This Row],[2022]]/1000, 0)</f>
        <v>0</v>
      </c>
      <c r="N114" s="14">
        <f>IF(ISNUMBER(Klisz_Verbräuche[[#This Row],[2023]]), Klisz_Verbräuche[[#This Row],[2023]]*Emissionsfaktoren[[#This Row],[2023]]/1000, 0)</f>
        <v>0</v>
      </c>
      <c r="O114" s="14">
        <f>IF(ISNUMBER(Klisz_Verbräuche[[#This Row],[2024]]), Klisz_Verbräuche[[#This Row],[2024]]*Emissionsfaktoren[[#This Row],[2024]]/1000, 0)</f>
        <v>0</v>
      </c>
      <c r="P114" s="14">
        <f>IF(ISNUMBER(Klisz_Verbräuche[[#This Row],[2025]]), Klisz_Verbräuche[[#This Row],[2025]]*Emissionsfaktoren[[#This Row],[2025]]/1000, 0)</f>
        <v>0</v>
      </c>
      <c r="Q114" s="14">
        <f>IF(ISNUMBER(Klisz_Verbräuche[[#This Row],[2026]]), Klisz_Verbräuche[[#This Row],[2026]]*Emissionsfaktoren[[#This Row],[2026]]/1000, 0)</f>
        <v>0</v>
      </c>
      <c r="R114" s="14">
        <f>IF(ISNUMBER(Klisz_Verbräuche[[#This Row],[2027]]), Klisz_Verbräuche[[#This Row],[2027]]*Emissionsfaktoren[[#This Row],[2027]]/1000, 0)</f>
        <v>0</v>
      </c>
      <c r="S114" s="14">
        <f>IF(ISNUMBER(Klisz_Verbräuche[[#This Row],[2028]]), Klisz_Verbräuche[[#This Row],[2028]]*Emissionsfaktoren[[#This Row],[2028]]/1000, 0)</f>
        <v>0</v>
      </c>
      <c r="T114" s="14">
        <f>IF(ISNUMBER(Klisz_Verbräuche[[#This Row],[2029]]), Klisz_Verbräuche[[#This Row],[2029]]*Emissionsfaktoren[[#This Row],[2029]]/1000, 0)</f>
        <v>0</v>
      </c>
      <c r="U114" s="14">
        <f>IF(ISNUMBER(Klisz_Verbräuche[[#This Row],[2030]]), Klisz_Verbräuche[[#This Row],[2030]]*Emissionsfaktoren[[#This Row],[2030]]/1000, 0)</f>
        <v>0</v>
      </c>
      <c r="V114" s="14">
        <f>IF(ISNUMBER(Klisz_Verbräuche[[#This Row],[2035]]), Klisz_Verbräuche[[#This Row],[2035]]*Emissionsfaktoren[[#This Row],[2035]]/1000, 0)</f>
        <v>0</v>
      </c>
      <c r="W114" s="14">
        <f>IF(ISNUMBER(Klisz_Verbräuche[[#This Row],[2040]]), Klisz_Verbräuche[[#This Row],[2040]]*Emissionsfaktoren[[#This Row],[2040]]/1000, 0)</f>
        <v>0</v>
      </c>
      <c r="X114" s="14">
        <f>IF(ISNUMBER(Klisz_Verbräuche[[#This Row],[2045]]), Klisz_Verbräuche[[#This Row],[2045]]*Emissionsfaktoren[[#This Row],[2045]]/1000, 0)</f>
        <v>0</v>
      </c>
      <c r="Y114" s="14">
        <f>IF(ISNUMBER(Klisz_Verbräuche[[#This Row],[2050]]), Klisz_Verbräuche[[#This Row],[2050]]*Emissionsfaktoren[[#This Row],[2050]]/1000, 0)</f>
        <v>0</v>
      </c>
    </row>
    <row r="115" spans="2:25" ht="16.5">
      <c r="B115" s="14">
        <v>98</v>
      </c>
      <c r="C115" s="14" t="str">
        <f>Refsz_Verbräuche[[#This Row],[Handlungsfeld]]</f>
        <v>Waren und Dienstleistungen</v>
      </c>
      <c r="D115" s="19" t="str">
        <f>Refsz_Verbräuche[[#This Row],[Datenpunkt]]</f>
        <v>Docking-Station</v>
      </c>
      <c r="E115" t="s">
        <v>195</v>
      </c>
      <c r="F115" s="14">
        <f>IF(ISNUMBER(Klisz_Verbräuche[[#This Row],[2015]]), Klisz_Verbräuche[[#This Row],[2015]]*Emissionsfaktoren[[#This Row],[2015]]/1000, 0)</f>
        <v>0</v>
      </c>
      <c r="G115" s="14">
        <f>IF(ISNUMBER(Klisz_Verbräuche[[#This Row],[2016]]), Klisz_Verbräuche[[#This Row],[2016]]*Emissionsfaktoren[[#This Row],[2016]]/1000, 0)</f>
        <v>0</v>
      </c>
      <c r="H115" s="14">
        <f>IF(ISNUMBER(Klisz_Verbräuche[[#This Row],[2017]]), Klisz_Verbräuche[[#This Row],[2017]]*Emissionsfaktoren[[#This Row],[2017]]/1000, 0)</f>
        <v>0</v>
      </c>
      <c r="I115" s="14">
        <f>IF(ISNUMBER(Klisz_Verbräuche[[#This Row],[2018]]), Klisz_Verbräuche[[#This Row],[2018]]*Emissionsfaktoren[[#This Row],[2018]]/1000, 0)</f>
        <v>0</v>
      </c>
      <c r="J115" s="14">
        <f>IF(ISNUMBER(Klisz_Verbräuche[[#This Row],[2019]]), Klisz_Verbräuche[[#This Row],[2019]]*Emissionsfaktoren[[#This Row],[2019]]/1000, 0)</f>
        <v>0</v>
      </c>
      <c r="K115" s="14">
        <f>IF(ISNUMBER(Klisz_Verbräuche[[#This Row],[2020]]), Klisz_Verbräuche[[#This Row],[2020]]*Emissionsfaktoren[[#This Row],[2020]]/1000, 0)</f>
        <v>0</v>
      </c>
      <c r="L115" s="14">
        <f>IF(ISNUMBER(Klisz_Verbräuche[[#This Row],[2021]]), Klisz_Verbräuche[[#This Row],[2021]]*Emissionsfaktoren[[#This Row],[2021]]/1000, 0)</f>
        <v>0</v>
      </c>
      <c r="M115" s="14">
        <f>IF(ISNUMBER(Klisz_Verbräuche[[#This Row],[2022]]), Klisz_Verbräuche[[#This Row],[2022]]*Emissionsfaktoren[[#This Row],[2022]]/1000, 0)</f>
        <v>0</v>
      </c>
      <c r="N115" s="14">
        <f>IF(ISNUMBER(Klisz_Verbräuche[[#This Row],[2023]]), Klisz_Verbräuche[[#This Row],[2023]]*Emissionsfaktoren[[#This Row],[2023]]/1000, 0)</f>
        <v>0</v>
      </c>
      <c r="O115" s="14">
        <f>IF(ISNUMBER(Klisz_Verbräuche[[#This Row],[2024]]), Klisz_Verbräuche[[#This Row],[2024]]*Emissionsfaktoren[[#This Row],[2024]]/1000, 0)</f>
        <v>0</v>
      </c>
      <c r="P115" s="14">
        <f>IF(ISNUMBER(Klisz_Verbräuche[[#This Row],[2025]]), Klisz_Verbräuche[[#This Row],[2025]]*Emissionsfaktoren[[#This Row],[2025]]/1000, 0)</f>
        <v>0</v>
      </c>
      <c r="Q115" s="14">
        <f>IF(ISNUMBER(Klisz_Verbräuche[[#This Row],[2026]]), Klisz_Verbräuche[[#This Row],[2026]]*Emissionsfaktoren[[#This Row],[2026]]/1000, 0)</f>
        <v>0</v>
      </c>
      <c r="R115" s="14">
        <f>IF(ISNUMBER(Klisz_Verbräuche[[#This Row],[2027]]), Klisz_Verbräuche[[#This Row],[2027]]*Emissionsfaktoren[[#This Row],[2027]]/1000, 0)</f>
        <v>0</v>
      </c>
      <c r="S115" s="14">
        <f>IF(ISNUMBER(Klisz_Verbräuche[[#This Row],[2028]]), Klisz_Verbräuche[[#This Row],[2028]]*Emissionsfaktoren[[#This Row],[2028]]/1000, 0)</f>
        <v>0</v>
      </c>
      <c r="T115" s="14">
        <f>IF(ISNUMBER(Klisz_Verbräuche[[#This Row],[2029]]), Klisz_Verbräuche[[#This Row],[2029]]*Emissionsfaktoren[[#This Row],[2029]]/1000, 0)</f>
        <v>0</v>
      </c>
      <c r="U115" s="14">
        <f>IF(ISNUMBER(Klisz_Verbräuche[[#This Row],[2030]]), Klisz_Verbräuche[[#This Row],[2030]]*Emissionsfaktoren[[#This Row],[2030]]/1000, 0)</f>
        <v>0</v>
      </c>
      <c r="V115" s="14">
        <f>IF(ISNUMBER(Klisz_Verbräuche[[#This Row],[2035]]), Klisz_Verbräuche[[#This Row],[2035]]*Emissionsfaktoren[[#This Row],[2035]]/1000, 0)</f>
        <v>0</v>
      </c>
      <c r="W115" s="14">
        <f>IF(ISNUMBER(Klisz_Verbräuche[[#This Row],[2040]]), Klisz_Verbräuche[[#This Row],[2040]]*Emissionsfaktoren[[#This Row],[2040]]/1000, 0)</f>
        <v>0</v>
      </c>
      <c r="X115" s="14">
        <f>IF(ISNUMBER(Klisz_Verbräuche[[#This Row],[2045]]), Klisz_Verbräuche[[#This Row],[2045]]*Emissionsfaktoren[[#This Row],[2045]]/1000, 0)</f>
        <v>0</v>
      </c>
      <c r="Y115" s="14">
        <f>IF(ISNUMBER(Klisz_Verbräuche[[#This Row],[2050]]), Klisz_Verbräuche[[#This Row],[2050]]*Emissionsfaktoren[[#This Row],[2050]]/1000, 0)</f>
        <v>0</v>
      </c>
    </row>
    <row r="116" spans="2:25" ht="16.5">
      <c r="B116" s="14">
        <v>99</v>
      </c>
      <c r="C116" s="14" t="str">
        <f>Refsz_Verbräuche[[#This Row],[Handlungsfeld]]</f>
        <v>Waren und Dienstleistungen</v>
      </c>
      <c r="D116" s="19" t="str">
        <f>Refsz_Verbräuche[[#This Row],[Datenpunkt]]</f>
        <v>Laserdrucker</v>
      </c>
      <c r="E116" t="s">
        <v>195</v>
      </c>
      <c r="F116" s="14">
        <f>IF(ISNUMBER(Klisz_Verbräuche[[#This Row],[2015]]), Klisz_Verbräuche[[#This Row],[2015]]*Emissionsfaktoren[[#This Row],[2015]]/1000, 0)</f>
        <v>0</v>
      </c>
      <c r="G116" s="14">
        <f>IF(ISNUMBER(Klisz_Verbräuche[[#This Row],[2016]]), Klisz_Verbräuche[[#This Row],[2016]]*Emissionsfaktoren[[#This Row],[2016]]/1000, 0)</f>
        <v>0</v>
      </c>
      <c r="H116" s="14">
        <f>IF(ISNUMBER(Klisz_Verbräuche[[#This Row],[2017]]), Klisz_Verbräuche[[#This Row],[2017]]*Emissionsfaktoren[[#This Row],[2017]]/1000, 0)</f>
        <v>0</v>
      </c>
      <c r="I116" s="14">
        <f>IF(ISNUMBER(Klisz_Verbräuche[[#This Row],[2018]]), Klisz_Verbräuche[[#This Row],[2018]]*Emissionsfaktoren[[#This Row],[2018]]/1000, 0)</f>
        <v>0</v>
      </c>
      <c r="J116" s="14">
        <f>IF(ISNUMBER(Klisz_Verbräuche[[#This Row],[2019]]), Klisz_Verbräuche[[#This Row],[2019]]*Emissionsfaktoren[[#This Row],[2019]]/1000, 0)</f>
        <v>0</v>
      </c>
      <c r="K116" s="14">
        <f>IF(ISNUMBER(Klisz_Verbräuche[[#This Row],[2020]]), Klisz_Verbräuche[[#This Row],[2020]]*Emissionsfaktoren[[#This Row],[2020]]/1000, 0)</f>
        <v>0</v>
      </c>
      <c r="L116" s="14">
        <f>IF(ISNUMBER(Klisz_Verbräuche[[#This Row],[2021]]), Klisz_Verbräuche[[#This Row],[2021]]*Emissionsfaktoren[[#This Row],[2021]]/1000, 0)</f>
        <v>0</v>
      </c>
      <c r="M116" s="14">
        <f>IF(ISNUMBER(Klisz_Verbräuche[[#This Row],[2022]]), Klisz_Verbräuche[[#This Row],[2022]]*Emissionsfaktoren[[#This Row],[2022]]/1000, 0)</f>
        <v>0</v>
      </c>
      <c r="N116" s="14">
        <f>IF(ISNUMBER(Klisz_Verbräuche[[#This Row],[2023]]), Klisz_Verbräuche[[#This Row],[2023]]*Emissionsfaktoren[[#This Row],[2023]]/1000, 0)</f>
        <v>0</v>
      </c>
      <c r="O116" s="14">
        <f>IF(ISNUMBER(Klisz_Verbräuche[[#This Row],[2024]]), Klisz_Verbräuche[[#This Row],[2024]]*Emissionsfaktoren[[#This Row],[2024]]/1000, 0)</f>
        <v>0</v>
      </c>
      <c r="P116" s="14">
        <f>IF(ISNUMBER(Klisz_Verbräuche[[#This Row],[2025]]), Klisz_Verbräuche[[#This Row],[2025]]*Emissionsfaktoren[[#This Row],[2025]]/1000, 0)</f>
        <v>0</v>
      </c>
      <c r="Q116" s="14">
        <f>IF(ISNUMBER(Klisz_Verbräuche[[#This Row],[2026]]), Klisz_Verbräuche[[#This Row],[2026]]*Emissionsfaktoren[[#This Row],[2026]]/1000, 0)</f>
        <v>0</v>
      </c>
      <c r="R116" s="14">
        <f>IF(ISNUMBER(Klisz_Verbräuche[[#This Row],[2027]]), Klisz_Verbräuche[[#This Row],[2027]]*Emissionsfaktoren[[#This Row],[2027]]/1000, 0)</f>
        <v>0</v>
      </c>
      <c r="S116" s="14">
        <f>IF(ISNUMBER(Klisz_Verbräuche[[#This Row],[2028]]), Klisz_Verbräuche[[#This Row],[2028]]*Emissionsfaktoren[[#This Row],[2028]]/1000, 0)</f>
        <v>0</v>
      </c>
      <c r="T116" s="14">
        <f>IF(ISNUMBER(Klisz_Verbräuche[[#This Row],[2029]]), Klisz_Verbräuche[[#This Row],[2029]]*Emissionsfaktoren[[#This Row],[2029]]/1000, 0)</f>
        <v>0</v>
      </c>
      <c r="U116" s="14">
        <f>IF(ISNUMBER(Klisz_Verbräuche[[#This Row],[2030]]), Klisz_Verbräuche[[#This Row],[2030]]*Emissionsfaktoren[[#This Row],[2030]]/1000, 0)</f>
        <v>0</v>
      </c>
      <c r="V116" s="14">
        <f>IF(ISNUMBER(Klisz_Verbräuche[[#This Row],[2035]]), Klisz_Verbräuche[[#This Row],[2035]]*Emissionsfaktoren[[#This Row],[2035]]/1000, 0)</f>
        <v>0</v>
      </c>
      <c r="W116" s="14">
        <f>IF(ISNUMBER(Klisz_Verbräuche[[#This Row],[2040]]), Klisz_Verbräuche[[#This Row],[2040]]*Emissionsfaktoren[[#This Row],[2040]]/1000, 0)</f>
        <v>0</v>
      </c>
      <c r="X116" s="14">
        <f>IF(ISNUMBER(Klisz_Verbräuche[[#This Row],[2045]]), Klisz_Verbräuche[[#This Row],[2045]]*Emissionsfaktoren[[#This Row],[2045]]/1000, 0)</f>
        <v>0</v>
      </c>
      <c r="Y116" s="14">
        <f>IF(ISNUMBER(Klisz_Verbräuche[[#This Row],[2050]]), Klisz_Verbräuche[[#This Row],[2050]]*Emissionsfaktoren[[#This Row],[2050]]/1000, 0)</f>
        <v>0</v>
      </c>
    </row>
    <row r="117" spans="2:25" ht="16.5">
      <c r="B117" s="14">
        <v>100</v>
      </c>
      <c r="C117" s="14" t="str">
        <f>Refsz_Verbräuche[[#This Row],[Handlungsfeld]]</f>
        <v>Waren und Dienstleistungen</v>
      </c>
      <c r="D117" s="19" t="str">
        <f>Refsz_Verbräuche[[#This Row],[Datenpunkt]]</f>
        <v>Multifunktionsdrucker klein (31 x 44 x 42 cm)</v>
      </c>
      <c r="E117" t="s">
        <v>195</v>
      </c>
      <c r="F117" s="14">
        <f>IF(ISNUMBER(Klisz_Verbräuche[[#This Row],[2015]]), Klisz_Verbräuche[[#This Row],[2015]]*Emissionsfaktoren[[#This Row],[2015]]/1000, 0)</f>
        <v>0</v>
      </c>
      <c r="G117" s="14">
        <f>IF(ISNUMBER(Klisz_Verbräuche[[#This Row],[2016]]), Klisz_Verbräuche[[#This Row],[2016]]*Emissionsfaktoren[[#This Row],[2016]]/1000, 0)</f>
        <v>0</v>
      </c>
      <c r="H117" s="14">
        <f>IF(ISNUMBER(Klisz_Verbräuche[[#This Row],[2017]]), Klisz_Verbräuche[[#This Row],[2017]]*Emissionsfaktoren[[#This Row],[2017]]/1000, 0)</f>
        <v>0</v>
      </c>
      <c r="I117" s="14">
        <f>IF(ISNUMBER(Klisz_Verbräuche[[#This Row],[2018]]), Klisz_Verbräuche[[#This Row],[2018]]*Emissionsfaktoren[[#This Row],[2018]]/1000, 0)</f>
        <v>0</v>
      </c>
      <c r="J117" s="14">
        <f>IF(ISNUMBER(Klisz_Verbräuche[[#This Row],[2019]]), Klisz_Verbräuche[[#This Row],[2019]]*Emissionsfaktoren[[#This Row],[2019]]/1000, 0)</f>
        <v>0</v>
      </c>
      <c r="K117" s="14">
        <f>IF(ISNUMBER(Klisz_Verbräuche[[#This Row],[2020]]), Klisz_Verbräuche[[#This Row],[2020]]*Emissionsfaktoren[[#This Row],[2020]]/1000, 0)</f>
        <v>0</v>
      </c>
      <c r="L117" s="14">
        <f>IF(ISNUMBER(Klisz_Verbräuche[[#This Row],[2021]]), Klisz_Verbräuche[[#This Row],[2021]]*Emissionsfaktoren[[#This Row],[2021]]/1000, 0)</f>
        <v>0</v>
      </c>
      <c r="M117" s="14">
        <f>IF(ISNUMBER(Klisz_Verbräuche[[#This Row],[2022]]), Klisz_Verbräuche[[#This Row],[2022]]*Emissionsfaktoren[[#This Row],[2022]]/1000, 0)</f>
        <v>0</v>
      </c>
      <c r="N117" s="14">
        <f>IF(ISNUMBER(Klisz_Verbräuche[[#This Row],[2023]]), Klisz_Verbräuche[[#This Row],[2023]]*Emissionsfaktoren[[#This Row],[2023]]/1000, 0)</f>
        <v>0</v>
      </c>
      <c r="O117" s="14">
        <f>IF(ISNUMBER(Klisz_Verbräuche[[#This Row],[2024]]), Klisz_Verbräuche[[#This Row],[2024]]*Emissionsfaktoren[[#This Row],[2024]]/1000, 0)</f>
        <v>0</v>
      </c>
      <c r="P117" s="14">
        <f>IF(ISNUMBER(Klisz_Verbräuche[[#This Row],[2025]]), Klisz_Verbräuche[[#This Row],[2025]]*Emissionsfaktoren[[#This Row],[2025]]/1000, 0)</f>
        <v>0</v>
      </c>
      <c r="Q117" s="14">
        <f>IF(ISNUMBER(Klisz_Verbräuche[[#This Row],[2026]]), Klisz_Verbräuche[[#This Row],[2026]]*Emissionsfaktoren[[#This Row],[2026]]/1000, 0)</f>
        <v>0</v>
      </c>
      <c r="R117" s="14">
        <f>IF(ISNUMBER(Klisz_Verbräuche[[#This Row],[2027]]), Klisz_Verbräuche[[#This Row],[2027]]*Emissionsfaktoren[[#This Row],[2027]]/1000, 0)</f>
        <v>0</v>
      </c>
      <c r="S117" s="14">
        <f>IF(ISNUMBER(Klisz_Verbräuche[[#This Row],[2028]]), Klisz_Verbräuche[[#This Row],[2028]]*Emissionsfaktoren[[#This Row],[2028]]/1000, 0)</f>
        <v>0</v>
      </c>
      <c r="T117" s="14">
        <f>IF(ISNUMBER(Klisz_Verbräuche[[#This Row],[2029]]), Klisz_Verbräuche[[#This Row],[2029]]*Emissionsfaktoren[[#This Row],[2029]]/1000, 0)</f>
        <v>0</v>
      </c>
      <c r="U117" s="14">
        <f>IF(ISNUMBER(Klisz_Verbräuche[[#This Row],[2030]]), Klisz_Verbräuche[[#This Row],[2030]]*Emissionsfaktoren[[#This Row],[2030]]/1000, 0)</f>
        <v>0</v>
      </c>
      <c r="V117" s="14">
        <f>IF(ISNUMBER(Klisz_Verbräuche[[#This Row],[2035]]), Klisz_Verbräuche[[#This Row],[2035]]*Emissionsfaktoren[[#This Row],[2035]]/1000, 0)</f>
        <v>0</v>
      </c>
      <c r="W117" s="14">
        <f>IF(ISNUMBER(Klisz_Verbräuche[[#This Row],[2040]]), Klisz_Verbräuche[[#This Row],[2040]]*Emissionsfaktoren[[#This Row],[2040]]/1000, 0)</f>
        <v>0</v>
      </c>
      <c r="X117" s="14">
        <f>IF(ISNUMBER(Klisz_Verbräuche[[#This Row],[2045]]), Klisz_Verbräuche[[#This Row],[2045]]*Emissionsfaktoren[[#This Row],[2045]]/1000, 0)</f>
        <v>0</v>
      </c>
      <c r="Y117" s="14">
        <f>IF(ISNUMBER(Klisz_Verbräuche[[#This Row],[2050]]), Klisz_Verbräuche[[#This Row],[2050]]*Emissionsfaktoren[[#This Row],[2050]]/1000, 0)</f>
        <v>0</v>
      </c>
    </row>
    <row r="118" spans="2:25" ht="16.5">
      <c r="B118" s="14">
        <v>101</v>
      </c>
      <c r="C118" s="14" t="str">
        <f>Refsz_Verbräuche[[#This Row],[Handlungsfeld]]</f>
        <v>Waren und Dienstleistungen</v>
      </c>
      <c r="D118" s="19" t="str">
        <f>Refsz_Verbräuche[[#This Row],[Datenpunkt]]</f>
        <v>Multifunktionsdrucker mittel (54 x 56 x 52 cm)</v>
      </c>
      <c r="E118" t="s">
        <v>195</v>
      </c>
      <c r="F118" s="14">
        <f>IF(ISNUMBER(Klisz_Verbräuche[[#This Row],[2015]]), Klisz_Verbräuche[[#This Row],[2015]]*Emissionsfaktoren[[#This Row],[2015]]/1000, 0)</f>
        <v>0</v>
      </c>
      <c r="G118" s="14">
        <f>IF(ISNUMBER(Klisz_Verbräuche[[#This Row],[2016]]), Klisz_Verbräuche[[#This Row],[2016]]*Emissionsfaktoren[[#This Row],[2016]]/1000, 0)</f>
        <v>0</v>
      </c>
      <c r="H118" s="14">
        <f>IF(ISNUMBER(Klisz_Verbräuche[[#This Row],[2017]]), Klisz_Verbräuche[[#This Row],[2017]]*Emissionsfaktoren[[#This Row],[2017]]/1000, 0)</f>
        <v>0</v>
      </c>
      <c r="I118" s="14">
        <f>IF(ISNUMBER(Klisz_Verbräuche[[#This Row],[2018]]), Klisz_Verbräuche[[#This Row],[2018]]*Emissionsfaktoren[[#This Row],[2018]]/1000, 0)</f>
        <v>0</v>
      </c>
      <c r="J118" s="14">
        <f>IF(ISNUMBER(Klisz_Verbräuche[[#This Row],[2019]]), Klisz_Verbräuche[[#This Row],[2019]]*Emissionsfaktoren[[#This Row],[2019]]/1000, 0)</f>
        <v>0</v>
      </c>
      <c r="K118" s="14">
        <f>IF(ISNUMBER(Klisz_Verbräuche[[#This Row],[2020]]), Klisz_Verbräuche[[#This Row],[2020]]*Emissionsfaktoren[[#This Row],[2020]]/1000, 0)</f>
        <v>0</v>
      </c>
      <c r="L118" s="14">
        <f>IF(ISNUMBER(Klisz_Verbräuche[[#This Row],[2021]]), Klisz_Verbräuche[[#This Row],[2021]]*Emissionsfaktoren[[#This Row],[2021]]/1000, 0)</f>
        <v>0</v>
      </c>
      <c r="M118" s="14">
        <f>IF(ISNUMBER(Klisz_Verbräuche[[#This Row],[2022]]), Klisz_Verbräuche[[#This Row],[2022]]*Emissionsfaktoren[[#This Row],[2022]]/1000, 0)</f>
        <v>0</v>
      </c>
      <c r="N118" s="14">
        <f>IF(ISNUMBER(Klisz_Verbräuche[[#This Row],[2023]]), Klisz_Verbräuche[[#This Row],[2023]]*Emissionsfaktoren[[#This Row],[2023]]/1000, 0)</f>
        <v>0</v>
      </c>
      <c r="O118" s="14">
        <f>IF(ISNUMBER(Klisz_Verbräuche[[#This Row],[2024]]), Klisz_Verbräuche[[#This Row],[2024]]*Emissionsfaktoren[[#This Row],[2024]]/1000, 0)</f>
        <v>0</v>
      </c>
      <c r="P118" s="14">
        <f>IF(ISNUMBER(Klisz_Verbräuche[[#This Row],[2025]]), Klisz_Verbräuche[[#This Row],[2025]]*Emissionsfaktoren[[#This Row],[2025]]/1000, 0)</f>
        <v>0</v>
      </c>
      <c r="Q118" s="14">
        <f>IF(ISNUMBER(Klisz_Verbräuche[[#This Row],[2026]]), Klisz_Verbräuche[[#This Row],[2026]]*Emissionsfaktoren[[#This Row],[2026]]/1000, 0)</f>
        <v>0</v>
      </c>
      <c r="R118" s="14">
        <f>IF(ISNUMBER(Klisz_Verbräuche[[#This Row],[2027]]), Klisz_Verbräuche[[#This Row],[2027]]*Emissionsfaktoren[[#This Row],[2027]]/1000, 0)</f>
        <v>0</v>
      </c>
      <c r="S118" s="14">
        <f>IF(ISNUMBER(Klisz_Verbräuche[[#This Row],[2028]]), Klisz_Verbräuche[[#This Row],[2028]]*Emissionsfaktoren[[#This Row],[2028]]/1000, 0)</f>
        <v>0</v>
      </c>
      <c r="T118" s="14">
        <f>IF(ISNUMBER(Klisz_Verbräuche[[#This Row],[2029]]), Klisz_Verbräuche[[#This Row],[2029]]*Emissionsfaktoren[[#This Row],[2029]]/1000, 0)</f>
        <v>0</v>
      </c>
      <c r="U118" s="14">
        <f>IF(ISNUMBER(Klisz_Verbräuche[[#This Row],[2030]]), Klisz_Verbräuche[[#This Row],[2030]]*Emissionsfaktoren[[#This Row],[2030]]/1000, 0)</f>
        <v>0</v>
      </c>
      <c r="V118" s="14">
        <f>IF(ISNUMBER(Klisz_Verbräuche[[#This Row],[2035]]), Klisz_Verbräuche[[#This Row],[2035]]*Emissionsfaktoren[[#This Row],[2035]]/1000, 0)</f>
        <v>0</v>
      </c>
      <c r="W118" s="14">
        <f>IF(ISNUMBER(Klisz_Verbräuche[[#This Row],[2040]]), Klisz_Verbräuche[[#This Row],[2040]]*Emissionsfaktoren[[#This Row],[2040]]/1000, 0)</f>
        <v>0</v>
      </c>
      <c r="X118" s="14">
        <f>IF(ISNUMBER(Klisz_Verbräuche[[#This Row],[2045]]), Klisz_Verbräuche[[#This Row],[2045]]*Emissionsfaktoren[[#This Row],[2045]]/1000, 0)</f>
        <v>0</v>
      </c>
      <c r="Y118" s="14">
        <f>IF(ISNUMBER(Klisz_Verbräuche[[#This Row],[2050]]), Klisz_Verbräuche[[#This Row],[2050]]*Emissionsfaktoren[[#This Row],[2050]]/1000, 0)</f>
        <v>0</v>
      </c>
    </row>
    <row r="119" spans="2:25" ht="16.5">
      <c r="B119" s="14">
        <v>102</v>
      </c>
      <c r="C119" s="14" t="str">
        <f>Refsz_Verbräuche[[#This Row],[Handlungsfeld]]</f>
        <v>Waren und Dienstleistungen</v>
      </c>
      <c r="D119" s="19" t="str">
        <f>Refsz_Verbräuche[[#This Row],[Datenpunkt]]</f>
        <v>Multifunktionsdrucker groß (114 x 65 x 59 cm)</v>
      </c>
      <c r="E119" t="s">
        <v>195</v>
      </c>
      <c r="F119" s="14">
        <f>IF(ISNUMBER(Klisz_Verbräuche[[#This Row],[2015]]), Klisz_Verbräuche[[#This Row],[2015]]*Emissionsfaktoren[[#This Row],[2015]]/1000, 0)</f>
        <v>0</v>
      </c>
      <c r="G119" s="14">
        <f>IF(ISNUMBER(Klisz_Verbräuche[[#This Row],[2016]]), Klisz_Verbräuche[[#This Row],[2016]]*Emissionsfaktoren[[#This Row],[2016]]/1000, 0)</f>
        <v>0</v>
      </c>
      <c r="H119" s="14">
        <f>IF(ISNUMBER(Klisz_Verbräuche[[#This Row],[2017]]), Klisz_Verbräuche[[#This Row],[2017]]*Emissionsfaktoren[[#This Row],[2017]]/1000, 0)</f>
        <v>0</v>
      </c>
      <c r="I119" s="14">
        <f>IF(ISNUMBER(Klisz_Verbräuche[[#This Row],[2018]]), Klisz_Verbräuche[[#This Row],[2018]]*Emissionsfaktoren[[#This Row],[2018]]/1000, 0)</f>
        <v>0</v>
      </c>
      <c r="J119" s="14">
        <f>IF(ISNUMBER(Klisz_Verbräuche[[#This Row],[2019]]), Klisz_Verbräuche[[#This Row],[2019]]*Emissionsfaktoren[[#This Row],[2019]]/1000, 0)</f>
        <v>0</v>
      </c>
      <c r="K119" s="14">
        <f>IF(ISNUMBER(Klisz_Verbräuche[[#This Row],[2020]]), Klisz_Verbräuche[[#This Row],[2020]]*Emissionsfaktoren[[#This Row],[2020]]/1000, 0)</f>
        <v>0</v>
      </c>
      <c r="L119" s="14">
        <f>IF(ISNUMBER(Klisz_Verbräuche[[#This Row],[2021]]), Klisz_Verbräuche[[#This Row],[2021]]*Emissionsfaktoren[[#This Row],[2021]]/1000, 0)</f>
        <v>0</v>
      </c>
      <c r="M119" s="14">
        <f>IF(ISNUMBER(Klisz_Verbräuche[[#This Row],[2022]]), Klisz_Verbräuche[[#This Row],[2022]]*Emissionsfaktoren[[#This Row],[2022]]/1000, 0)</f>
        <v>0</v>
      </c>
      <c r="N119" s="14">
        <f>IF(ISNUMBER(Klisz_Verbräuche[[#This Row],[2023]]), Klisz_Verbräuche[[#This Row],[2023]]*Emissionsfaktoren[[#This Row],[2023]]/1000, 0)</f>
        <v>0</v>
      </c>
      <c r="O119" s="14">
        <f>IF(ISNUMBER(Klisz_Verbräuche[[#This Row],[2024]]), Klisz_Verbräuche[[#This Row],[2024]]*Emissionsfaktoren[[#This Row],[2024]]/1000, 0)</f>
        <v>0</v>
      </c>
      <c r="P119" s="14">
        <f>IF(ISNUMBER(Klisz_Verbräuche[[#This Row],[2025]]), Klisz_Verbräuche[[#This Row],[2025]]*Emissionsfaktoren[[#This Row],[2025]]/1000, 0)</f>
        <v>0</v>
      </c>
      <c r="Q119" s="14">
        <f>IF(ISNUMBER(Klisz_Verbräuche[[#This Row],[2026]]), Klisz_Verbräuche[[#This Row],[2026]]*Emissionsfaktoren[[#This Row],[2026]]/1000, 0)</f>
        <v>0</v>
      </c>
      <c r="R119" s="14">
        <f>IF(ISNUMBER(Klisz_Verbräuche[[#This Row],[2027]]), Klisz_Verbräuche[[#This Row],[2027]]*Emissionsfaktoren[[#This Row],[2027]]/1000, 0)</f>
        <v>0</v>
      </c>
      <c r="S119" s="14">
        <f>IF(ISNUMBER(Klisz_Verbräuche[[#This Row],[2028]]), Klisz_Verbräuche[[#This Row],[2028]]*Emissionsfaktoren[[#This Row],[2028]]/1000, 0)</f>
        <v>0</v>
      </c>
      <c r="T119" s="14">
        <f>IF(ISNUMBER(Klisz_Verbräuche[[#This Row],[2029]]), Klisz_Verbräuche[[#This Row],[2029]]*Emissionsfaktoren[[#This Row],[2029]]/1000, 0)</f>
        <v>0</v>
      </c>
      <c r="U119" s="14">
        <f>IF(ISNUMBER(Klisz_Verbräuche[[#This Row],[2030]]), Klisz_Verbräuche[[#This Row],[2030]]*Emissionsfaktoren[[#This Row],[2030]]/1000, 0)</f>
        <v>0</v>
      </c>
      <c r="V119" s="14">
        <f>IF(ISNUMBER(Klisz_Verbräuche[[#This Row],[2035]]), Klisz_Verbräuche[[#This Row],[2035]]*Emissionsfaktoren[[#This Row],[2035]]/1000, 0)</f>
        <v>0</v>
      </c>
      <c r="W119" s="14">
        <f>IF(ISNUMBER(Klisz_Verbräuche[[#This Row],[2040]]), Klisz_Verbräuche[[#This Row],[2040]]*Emissionsfaktoren[[#This Row],[2040]]/1000, 0)</f>
        <v>0</v>
      </c>
      <c r="X119" s="14">
        <f>IF(ISNUMBER(Klisz_Verbräuche[[#This Row],[2045]]), Klisz_Verbräuche[[#This Row],[2045]]*Emissionsfaktoren[[#This Row],[2045]]/1000, 0)</f>
        <v>0</v>
      </c>
      <c r="Y119" s="14">
        <f>IF(ISNUMBER(Klisz_Verbräuche[[#This Row],[2050]]), Klisz_Verbräuche[[#This Row],[2050]]*Emissionsfaktoren[[#This Row],[2050]]/1000, 0)</f>
        <v>0</v>
      </c>
    </row>
    <row r="120" spans="2:25" ht="16.5">
      <c r="B120" s="14">
        <v>103</v>
      </c>
      <c r="C120" s="14" t="str">
        <f>Refsz_Verbräuche[[#This Row],[Handlungsfeld]]</f>
        <v>Waren und Dienstleistungen</v>
      </c>
      <c r="D120" s="19" t="str">
        <f>Refsz_Verbräuche[[#This Row],[Datenpunkt]]</f>
        <v>Toner</v>
      </c>
      <c r="E120" t="s">
        <v>195</v>
      </c>
      <c r="F120" s="14">
        <f>IF(ISNUMBER(Klisz_Verbräuche[[#This Row],[2015]]), Klisz_Verbräuche[[#This Row],[2015]]*Emissionsfaktoren[[#This Row],[2015]]/1000, 0)</f>
        <v>0</v>
      </c>
      <c r="G120" s="14">
        <f>IF(ISNUMBER(Klisz_Verbräuche[[#This Row],[2016]]), Klisz_Verbräuche[[#This Row],[2016]]*Emissionsfaktoren[[#This Row],[2016]]/1000, 0)</f>
        <v>0</v>
      </c>
      <c r="H120" s="14">
        <f>IF(ISNUMBER(Klisz_Verbräuche[[#This Row],[2017]]), Klisz_Verbräuche[[#This Row],[2017]]*Emissionsfaktoren[[#This Row],[2017]]/1000, 0)</f>
        <v>0</v>
      </c>
      <c r="I120" s="14">
        <f>IF(ISNUMBER(Klisz_Verbräuche[[#This Row],[2018]]), Klisz_Verbräuche[[#This Row],[2018]]*Emissionsfaktoren[[#This Row],[2018]]/1000, 0)</f>
        <v>0</v>
      </c>
      <c r="J120" s="14">
        <f>IF(ISNUMBER(Klisz_Verbräuche[[#This Row],[2019]]), Klisz_Verbräuche[[#This Row],[2019]]*Emissionsfaktoren[[#This Row],[2019]]/1000, 0)</f>
        <v>0</v>
      </c>
      <c r="K120" s="14">
        <f>IF(ISNUMBER(Klisz_Verbräuche[[#This Row],[2020]]), Klisz_Verbräuche[[#This Row],[2020]]*Emissionsfaktoren[[#This Row],[2020]]/1000, 0)</f>
        <v>0</v>
      </c>
      <c r="L120" s="14">
        <f>IF(ISNUMBER(Klisz_Verbräuche[[#This Row],[2021]]), Klisz_Verbräuche[[#This Row],[2021]]*Emissionsfaktoren[[#This Row],[2021]]/1000, 0)</f>
        <v>0</v>
      </c>
      <c r="M120" s="14">
        <f>IF(ISNUMBER(Klisz_Verbräuche[[#This Row],[2022]]), Klisz_Verbräuche[[#This Row],[2022]]*Emissionsfaktoren[[#This Row],[2022]]/1000, 0)</f>
        <v>0</v>
      </c>
      <c r="N120" s="14">
        <f>IF(ISNUMBER(Klisz_Verbräuche[[#This Row],[2023]]), Klisz_Verbräuche[[#This Row],[2023]]*Emissionsfaktoren[[#This Row],[2023]]/1000, 0)</f>
        <v>0</v>
      </c>
      <c r="O120" s="14">
        <f>IF(ISNUMBER(Klisz_Verbräuche[[#This Row],[2024]]), Klisz_Verbräuche[[#This Row],[2024]]*Emissionsfaktoren[[#This Row],[2024]]/1000, 0)</f>
        <v>0</v>
      </c>
      <c r="P120" s="14">
        <f>IF(ISNUMBER(Klisz_Verbräuche[[#This Row],[2025]]), Klisz_Verbräuche[[#This Row],[2025]]*Emissionsfaktoren[[#This Row],[2025]]/1000, 0)</f>
        <v>0</v>
      </c>
      <c r="Q120" s="14">
        <f>IF(ISNUMBER(Klisz_Verbräuche[[#This Row],[2026]]), Klisz_Verbräuche[[#This Row],[2026]]*Emissionsfaktoren[[#This Row],[2026]]/1000, 0)</f>
        <v>0</v>
      </c>
      <c r="R120" s="14">
        <f>IF(ISNUMBER(Klisz_Verbräuche[[#This Row],[2027]]), Klisz_Verbräuche[[#This Row],[2027]]*Emissionsfaktoren[[#This Row],[2027]]/1000, 0)</f>
        <v>0</v>
      </c>
      <c r="S120" s="14">
        <f>IF(ISNUMBER(Klisz_Verbräuche[[#This Row],[2028]]), Klisz_Verbräuche[[#This Row],[2028]]*Emissionsfaktoren[[#This Row],[2028]]/1000, 0)</f>
        <v>0</v>
      </c>
      <c r="T120" s="14">
        <f>IF(ISNUMBER(Klisz_Verbräuche[[#This Row],[2029]]), Klisz_Verbräuche[[#This Row],[2029]]*Emissionsfaktoren[[#This Row],[2029]]/1000, 0)</f>
        <v>0</v>
      </c>
      <c r="U120" s="14">
        <f>IF(ISNUMBER(Klisz_Verbräuche[[#This Row],[2030]]), Klisz_Verbräuche[[#This Row],[2030]]*Emissionsfaktoren[[#This Row],[2030]]/1000, 0)</f>
        <v>0</v>
      </c>
      <c r="V120" s="14">
        <f>IF(ISNUMBER(Klisz_Verbräuche[[#This Row],[2035]]), Klisz_Verbräuche[[#This Row],[2035]]*Emissionsfaktoren[[#This Row],[2035]]/1000, 0)</f>
        <v>0</v>
      </c>
      <c r="W120" s="14">
        <f>IF(ISNUMBER(Klisz_Verbräuche[[#This Row],[2040]]), Klisz_Verbräuche[[#This Row],[2040]]*Emissionsfaktoren[[#This Row],[2040]]/1000, 0)</f>
        <v>0</v>
      </c>
      <c r="X120" s="14">
        <f>IF(ISNUMBER(Klisz_Verbräuche[[#This Row],[2045]]), Klisz_Verbräuche[[#This Row],[2045]]*Emissionsfaktoren[[#This Row],[2045]]/1000, 0)</f>
        <v>0</v>
      </c>
      <c r="Y120" s="14">
        <f>IF(ISNUMBER(Klisz_Verbräuche[[#This Row],[2050]]), Klisz_Verbräuche[[#This Row],[2050]]*Emissionsfaktoren[[#This Row],[2050]]/1000, 0)</f>
        <v>0</v>
      </c>
    </row>
    <row r="121" spans="2:25" ht="16.5">
      <c r="B121" s="14">
        <v>104</v>
      </c>
      <c r="C121" s="14">
        <f>Refsz_Verbräuche[[#This Row],[Handlungsfeld]]</f>
        <v>0</v>
      </c>
      <c r="D121" s="19">
        <f>Refsz_Verbräuche[[#This Row],[Datenpunkt]]</f>
        <v>0</v>
      </c>
      <c r="E121" t="s">
        <v>195</v>
      </c>
      <c r="F121" s="14">
        <f>IF(ISNUMBER(Klisz_Verbräuche[[#This Row],[2015]]), Klisz_Verbräuche[[#This Row],[2015]]*Emissionsfaktoren[[#This Row],[2015]]/1000, 0)</f>
        <v>0</v>
      </c>
      <c r="G121" s="14">
        <f>IF(ISNUMBER(Klisz_Verbräuche[[#This Row],[2016]]), Klisz_Verbräuche[[#This Row],[2016]]*Emissionsfaktoren[[#This Row],[2016]]/1000, 0)</f>
        <v>0</v>
      </c>
      <c r="H121" s="14">
        <f>IF(ISNUMBER(Klisz_Verbräuche[[#This Row],[2017]]), Klisz_Verbräuche[[#This Row],[2017]]*Emissionsfaktoren[[#This Row],[2017]]/1000, 0)</f>
        <v>0</v>
      </c>
      <c r="I121" s="14">
        <f>IF(ISNUMBER(Klisz_Verbräuche[[#This Row],[2018]]), Klisz_Verbräuche[[#This Row],[2018]]*Emissionsfaktoren[[#This Row],[2018]]/1000, 0)</f>
        <v>0</v>
      </c>
      <c r="J121" s="14">
        <f>IF(ISNUMBER(Klisz_Verbräuche[[#This Row],[2019]]), Klisz_Verbräuche[[#This Row],[2019]]*Emissionsfaktoren[[#This Row],[2019]]/1000, 0)</f>
        <v>0</v>
      </c>
      <c r="K121" s="14">
        <f>IF(ISNUMBER(Klisz_Verbräuche[[#This Row],[2020]]), Klisz_Verbräuche[[#This Row],[2020]]*Emissionsfaktoren[[#This Row],[2020]]/1000, 0)</f>
        <v>0</v>
      </c>
      <c r="L121" s="14">
        <f>IF(ISNUMBER(Klisz_Verbräuche[[#This Row],[2021]]), Klisz_Verbräuche[[#This Row],[2021]]*Emissionsfaktoren[[#This Row],[2021]]/1000, 0)</f>
        <v>0</v>
      </c>
      <c r="M121" s="14">
        <f>IF(ISNUMBER(Klisz_Verbräuche[[#This Row],[2022]]), Klisz_Verbräuche[[#This Row],[2022]]*Emissionsfaktoren[[#This Row],[2022]]/1000, 0)</f>
        <v>0</v>
      </c>
      <c r="N121" s="14">
        <f>IF(ISNUMBER(Klisz_Verbräuche[[#This Row],[2023]]), Klisz_Verbräuche[[#This Row],[2023]]*Emissionsfaktoren[[#This Row],[2023]]/1000, 0)</f>
        <v>0</v>
      </c>
      <c r="O121" s="14">
        <f>IF(ISNUMBER(Klisz_Verbräuche[[#This Row],[2024]]), Klisz_Verbräuche[[#This Row],[2024]]*Emissionsfaktoren[[#This Row],[2024]]/1000, 0)</f>
        <v>0</v>
      </c>
      <c r="P121" s="14">
        <f>IF(ISNUMBER(Klisz_Verbräuche[[#This Row],[2025]]), Klisz_Verbräuche[[#This Row],[2025]]*Emissionsfaktoren[[#This Row],[2025]]/1000, 0)</f>
        <v>0</v>
      </c>
      <c r="Q121" s="14">
        <f>IF(ISNUMBER(Klisz_Verbräuche[[#This Row],[2026]]), Klisz_Verbräuche[[#This Row],[2026]]*Emissionsfaktoren[[#This Row],[2026]]/1000, 0)</f>
        <v>0</v>
      </c>
      <c r="R121" s="14">
        <f>IF(ISNUMBER(Klisz_Verbräuche[[#This Row],[2027]]), Klisz_Verbräuche[[#This Row],[2027]]*Emissionsfaktoren[[#This Row],[2027]]/1000, 0)</f>
        <v>0</v>
      </c>
      <c r="S121" s="14">
        <f>IF(ISNUMBER(Klisz_Verbräuche[[#This Row],[2028]]), Klisz_Verbräuche[[#This Row],[2028]]*Emissionsfaktoren[[#This Row],[2028]]/1000, 0)</f>
        <v>0</v>
      </c>
      <c r="T121" s="14">
        <f>IF(ISNUMBER(Klisz_Verbräuche[[#This Row],[2029]]), Klisz_Verbräuche[[#This Row],[2029]]*Emissionsfaktoren[[#This Row],[2029]]/1000, 0)</f>
        <v>0</v>
      </c>
      <c r="U121" s="14">
        <f>IF(ISNUMBER(Klisz_Verbräuche[[#This Row],[2030]]), Klisz_Verbräuche[[#This Row],[2030]]*Emissionsfaktoren[[#This Row],[2030]]/1000, 0)</f>
        <v>0</v>
      </c>
      <c r="V121" s="14">
        <f>IF(ISNUMBER(Klisz_Verbräuche[[#This Row],[2035]]), Klisz_Verbräuche[[#This Row],[2035]]*Emissionsfaktoren[[#This Row],[2035]]/1000, 0)</f>
        <v>0</v>
      </c>
      <c r="W121" s="14">
        <f>IF(ISNUMBER(Klisz_Verbräuche[[#This Row],[2040]]), Klisz_Verbräuche[[#This Row],[2040]]*Emissionsfaktoren[[#This Row],[2040]]/1000, 0)</f>
        <v>0</v>
      </c>
      <c r="X121" s="14">
        <f>IF(ISNUMBER(Klisz_Verbräuche[[#This Row],[2045]]), Klisz_Verbräuche[[#This Row],[2045]]*Emissionsfaktoren[[#This Row],[2045]]/1000, 0)</f>
        <v>0</v>
      </c>
      <c r="Y121" s="14">
        <f>IF(ISNUMBER(Klisz_Verbräuche[[#This Row],[2050]]), Klisz_Verbräuche[[#This Row],[2050]]*Emissionsfaktoren[[#This Row],[2050]]/1000, 0)</f>
        <v>0</v>
      </c>
    </row>
    <row r="122" spans="2:25" ht="16.5">
      <c r="B122" s="14">
        <v>105</v>
      </c>
      <c r="C122" s="14" t="str">
        <f>Refsz_Verbräuche[[#This Row],[Handlungsfeld]]</f>
        <v>Abfall</v>
      </c>
      <c r="D122" s="19" t="str">
        <f>Refsz_Verbräuche[[#This Row],[Datenpunkt]]</f>
        <v>Bioabfall, Grünschnitt (Kompostierung)</v>
      </c>
      <c r="E122" t="s">
        <v>195</v>
      </c>
      <c r="F122" s="14">
        <f>IF(ISNUMBER(Klisz_Verbräuche[[#This Row],[2015]]), Klisz_Verbräuche[[#This Row],[2015]]*Emissionsfaktoren[[#This Row],[2015]]/1000, 0)</f>
        <v>0</v>
      </c>
      <c r="G122" s="14">
        <f>IF(ISNUMBER(Klisz_Verbräuche[[#This Row],[2016]]), Klisz_Verbräuche[[#This Row],[2016]]*Emissionsfaktoren[[#This Row],[2016]]/1000, 0)</f>
        <v>0</v>
      </c>
      <c r="H122" s="14">
        <f>IF(ISNUMBER(Klisz_Verbräuche[[#This Row],[2017]]), Klisz_Verbräuche[[#This Row],[2017]]*Emissionsfaktoren[[#This Row],[2017]]/1000, 0)</f>
        <v>0</v>
      </c>
      <c r="I122" s="14">
        <f>IF(ISNUMBER(Klisz_Verbräuche[[#This Row],[2018]]), Klisz_Verbräuche[[#This Row],[2018]]*Emissionsfaktoren[[#This Row],[2018]]/1000, 0)</f>
        <v>0</v>
      </c>
      <c r="J122" s="14">
        <f>IF(ISNUMBER(Klisz_Verbräuche[[#This Row],[2019]]), Klisz_Verbräuche[[#This Row],[2019]]*Emissionsfaktoren[[#This Row],[2019]]/1000, 0)</f>
        <v>0</v>
      </c>
      <c r="K122" s="14">
        <f>IF(ISNUMBER(Klisz_Verbräuche[[#This Row],[2020]]), Klisz_Verbräuche[[#This Row],[2020]]*Emissionsfaktoren[[#This Row],[2020]]/1000, 0)</f>
        <v>0</v>
      </c>
      <c r="L122" s="14">
        <f>IF(ISNUMBER(Klisz_Verbräuche[[#This Row],[2021]]), Klisz_Verbräuche[[#This Row],[2021]]*Emissionsfaktoren[[#This Row],[2021]]/1000, 0)</f>
        <v>0</v>
      </c>
      <c r="M122" s="14">
        <f>IF(ISNUMBER(Klisz_Verbräuche[[#This Row],[2022]]), Klisz_Verbräuche[[#This Row],[2022]]*Emissionsfaktoren[[#This Row],[2022]]/1000, 0)</f>
        <v>0</v>
      </c>
      <c r="N122" s="14">
        <f>IF(ISNUMBER(Klisz_Verbräuche[[#This Row],[2023]]), Klisz_Verbräuche[[#This Row],[2023]]*Emissionsfaktoren[[#This Row],[2023]]/1000, 0)</f>
        <v>0</v>
      </c>
      <c r="O122" s="14">
        <f>IF(ISNUMBER(Klisz_Verbräuche[[#This Row],[2024]]), Klisz_Verbräuche[[#This Row],[2024]]*Emissionsfaktoren[[#This Row],[2024]]/1000, 0)</f>
        <v>0</v>
      </c>
      <c r="P122" s="14">
        <f>IF(ISNUMBER(Klisz_Verbräuche[[#This Row],[2025]]), Klisz_Verbräuche[[#This Row],[2025]]*Emissionsfaktoren[[#This Row],[2025]]/1000, 0)</f>
        <v>0</v>
      </c>
      <c r="Q122" s="14">
        <f>IF(ISNUMBER(Klisz_Verbräuche[[#This Row],[2026]]), Klisz_Verbräuche[[#This Row],[2026]]*Emissionsfaktoren[[#This Row],[2026]]/1000, 0)</f>
        <v>0</v>
      </c>
      <c r="R122" s="14">
        <f>IF(ISNUMBER(Klisz_Verbräuche[[#This Row],[2027]]), Klisz_Verbräuche[[#This Row],[2027]]*Emissionsfaktoren[[#This Row],[2027]]/1000, 0)</f>
        <v>0</v>
      </c>
      <c r="S122" s="14">
        <f>IF(ISNUMBER(Klisz_Verbräuche[[#This Row],[2028]]), Klisz_Verbräuche[[#This Row],[2028]]*Emissionsfaktoren[[#This Row],[2028]]/1000, 0)</f>
        <v>0</v>
      </c>
      <c r="T122" s="14">
        <f>IF(ISNUMBER(Klisz_Verbräuche[[#This Row],[2029]]), Klisz_Verbräuche[[#This Row],[2029]]*Emissionsfaktoren[[#This Row],[2029]]/1000, 0)</f>
        <v>0</v>
      </c>
      <c r="U122" s="14">
        <f>IF(ISNUMBER(Klisz_Verbräuche[[#This Row],[2030]]), Klisz_Verbräuche[[#This Row],[2030]]*Emissionsfaktoren[[#This Row],[2030]]/1000, 0)</f>
        <v>0</v>
      </c>
      <c r="V122" s="14">
        <f>IF(ISNUMBER(Klisz_Verbräuche[[#This Row],[2035]]), Klisz_Verbräuche[[#This Row],[2035]]*Emissionsfaktoren[[#This Row],[2035]]/1000, 0)</f>
        <v>0</v>
      </c>
      <c r="W122" s="14">
        <f>IF(ISNUMBER(Klisz_Verbräuche[[#This Row],[2040]]), Klisz_Verbräuche[[#This Row],[2040]]*Emissionsfaktoren[[#This Row],[2040]]/1000, 0)</f>
        <v>0</v>
      </c>
      <c r="X122" s="14">
        <f>IF(ISNUMBER(Klisz_Verbräuche[[#This Row],[2045]]), Klisz_Verbräuche[[#This Row],[2045]]*Emissionsfaktoren[[#This Row],[2045]]/1000, 0)</f>
        <v>0</v>
      </c>
      <c r="Y122" s="14">
        <f>IF(ISNUMBER(Klisz_Verbräuche[[#This Row],[2050]]), Klisz_Verbräuche[[#This Row],[2050]]*Emissionsfaktoren[[#This Row],[2050]]/1000, 0)</f>
        <v>0</v>
      </c>
    </row>
    <row r="123" spans="2:25" ht="16.5">
      <c r="B123" s="14">
        <v>106</v>
      </c>
      <c r="C123" s="14" t="str">
        <f>Refsz_Verbräuche[[#This Row],[Handlungsfeld]]</f>
        <v>Abfall</v>
      </c>
      <c r="D123" s="19" t="str">
        <f>Refsz_Verbräuche[[#This Row],[Datenpunkt]]</f>
        <v>Bioabfall (Verbrennung)</v>
      </c>
      <c r="E123" t="s">
        <v>195</v>
      </c>
      <c r="F123" s="14">
        <f>IF(ISNUMBER(Klisz_Verbräuche[[#This Row],[2015]]), Klisz_Verbräuche[[#This Row],[2015]]*Emissionsfaktoren[[#This Row],[2015]]/1000, 0)</f>
        <v>0</v>
      </c>
      <c r="G123" s="14">
        <f>IF(ISNUMBER(Klisz_Verbräuche[[#This Row],[2016]]), Klisz_Verbräuche[[#This Row],[2016]]*Emissionsfaktoren[[#This Row],[2016]]/1000, 0)</f>
        <v>0</v>
      </c>
      <c r="H123" s="14">
        <f>IF(ISNUMBER(Klisz_Verbräuche[[#This Row],[2017]]), Klisz_Verbräuche[[#This Row],[2017]]*Emissionsfaktoren[[#This Row],[2017]]/1000, 0)</f>
        <v>0</v>
      </c>
      <c r="I123" s="14">
        <f>IF(ISNUMBER(Klisz_Verbräuche[[#This Row],[2018]]), Klisz_Verbräuche[[#This Row],[2018]]*Emissionsfaktoren[[#This Row],[2018]]/1000, 0)</f>
        <v>0</v>
      </c>
      <c r="J123" s="14">
        <f>IF(ISNUMBER(Klisz_Verbräuche[[#This Row],[2019]]), Klisz_Verbräuche[[#This Row],[2019]]*Emissionsfaktoren[[#This Row],[2019]]/1000, 0)</f>
        <v>0</v>
      </c>
      <c r="K123" s="14">
        <f>IF(ISNUMBER(Klisz_Verbräuche[[#This Row],[2020]]), Klisz_Verbräuche[[#This Row],[2020]]*Emissionsfaktoren[[#This Row],[2020]]/1000, 0)</f>
        <v>0</v>
      </c>
      <c r="L123" s="14">
        <f>IF(ISNUMBER(Klisz_Verbräuche[[#This Row],[2021]]), Klisz_Verbräuche[[#This Row],[2021]]*Emissionsfaktoren[[#This Row],[2021]]/1000, 0)</f>
        <v>0</v>
      </c>
      <c r="M123" s="14">
        <f>IF(ISNUMBER(Klisz_Verbräuche[[#This Row],[2022]]), Klisz_Verbräuche[[#This Row],[2022]]*Emissionsfaktoren[[#This Row],[2022]]/1000, 0)</f>
        <v>0</v>
      </c>
      <c r="N123" s="14">
        <f>IF(ISNUMBER(Klisz_Verbräuche[[#This Row],[2023]]), Klisz_Verbräuche[[#This Row],[2023]]*Emissionsfaktoren[[#This Row],[2023]]/1000, 0)</f>
        <v>0</v>
      </c>
      <c r="O123" s="14">
        <f>IF(ISNUMBER(Klisz_Verbräuche[[#This Row],[2024]]), Klisz_Verbräuche[[#This Row],[2024]]*Emissionsfaktoren[[#This Row],[2024]]/1000, 0)</f>
        <v>0</v>
      </c>
      <c r="P123" s="14">
        <f>IF(ISNUMBER(Klisz_Verbräuche[[#This Row],[2025]]), Klisz_Verbräuche[[#This Row],[2025]]*Emissionsfaktoren[[#This Row],[2025]]/1000, 0)</f>
        <v>0</v>
      </c>
      <c r="Q123" s="14">
        <f>IF(ISNUMBER(Klisz_Verbräuche[[#This Row],[2026]]), Klisz_Verbräuche[[#This Row],[2026]]*Emissionsfaktoren[[#This Row],[2026]]/1000, 0)</f>
        <v>0</v>
      </c>
      <c r="R123" s="14">
        <f>IF(ISNUMBER(Klisz_Verbräuche[[#This Row],[2027]]), Klisz_Verbräuche[[#This Row],[2027]]*Emissionsfaktoren[[#This Row],[2027]]/1000, 0)</f>
        <v>0</v>
      </c>
      <c r="S123" s="14">
        <f>IF(ISNUMBER(Klisz_Verbräuche[[#This Row],[2028]]), Klisz_Verbräuche[[#This Row],[2028]]*Emissionsfaktoren[[#This Row],[2028]]/1000, 0)</f>
        <v>0</v>
      </c>
      <c r="T123" s="14">
        <f>IF(ISNUMBER(Klisz_Verbräuche[[#This Row],[2029]]), Klisz_Verbräuche[[#This Row],[2029]]*Emissionsfaktoren[[#This Row],[2029]]/1000, 0)</f>
        <v>0</v>
      </c>
      <c r="U123" s="14">
        <f>IF(ISNUMBER(Klisz_Verbräuche[[#This Row],[2030]]), Klisz_Verbräuche[[#This Row],[2030]]*Emissionsfaktoren[[#This Row],[2030]]/1000, 0)</f>
        <v>0</v>
      </c>
      <c r="V123" s="14">
        <f>IF(ISNUMBER(Klisz_Verbräuche[[#This Row],[2035]]), Klisz_Verbräuche[[#This Row],[2035]]*Emissionsfaktoren[[#This Row],[2035]]/1000, 0)</f>
        <v>0</v>
      </c>
      <c r="W123" s="14">
        <f>IF(ISNUMBER(Klisz_Verbräuche[[#This Row],[2040]]), Klisz_Verbräuche[[#This Row],[2040]]*Emissionsfaktoren[[#This Row],[2040]]/1000, 0)</f>
        <v>0</v>
      </c>
      <c r="X123" s="14">
        <f>IF(ISNUMBER(Klisz_Verbräuche[[#This Row],[2045]]), Klisz_Verbräuche[[#This Row],[2045]]*Emissionsfaktoren[[#This Row],[2045]]/1000, 0)</f>
        <v>0</v>
      </c>
      <c r="Y123" s="14">
        <f>IF(ISNUMBER(Klisz_Verbräuche[[#This Row],[2050]]), Klisz_Verbräuche[[#This Row],[2050]]*Emissionsfaktoren[[#This Row],[2050]]/1000, 0)</f>
        <v>0</v>
      </c>
    </row>
    <row r="124" spans="2:25" ht="16.5">
      <c r="B124" s="14">
        <v>107</v>
      </c>
      <c r="C124" s="14" t="str">
        <f>Refsz_Verbräuche[[#This Row],[Handlungsfeld]]</f>
        <v>Abfall</v>
      </c>
      <c r="D124" s="19" t="str">
        <f>Refsz_Verbräuche[[#This Row],[Datenpunkt]]</f>
        <v>Papierabfall</v>
      </c>
      <c r="E124" t="s">
        <v>195</v>
      </c>
      <c r="F124" s="14">
        <f>IF(ISNUMBER(Klisz_Verbräuche[[#This Row],[2015]]), Klisz_Verbräuche[[#This Row],[2015]]*Emissionsfaktoren[[#This Row],[2015]]/1000, 0)</f>
        <v>0</v>
      </c>
      <c r="G124" s="14">
        <f>IF(ISNUMBER(Klisz_Verbräuche[[#This Row],[2016]]), Klisz_Verbräuche[[#This Row],[2016]]*Emissionsfaktoren[[#This Row],[2016]]/1000, 0)</f>
        <v>0</v>
      </c>
      <c r="H124" s="14">
        <f>IF(ISNUMBER(Klisz_Verbräuche[[#This Row],[2017]]), Klisz_Verbräuche[[#This Row],[2017]]*Emissionsfaktoren[[#This Row],[2017]]/1000, 0)</f>
        <v>0</v>
      </c>
      <c r="I124" s="14">
        <f>IF(ISNUMBER(Klisz_Verbräuche[[#This Row],[2018]]), Klisz_Verbräuche[[#This Row],[2018]]*Emissionsfaktoren[[#This Row],[2018]]/1000, 0)</f>
        <v>0</v>
      </c>
      <c r="J124" s="14">
        <f>IF(ISNUMBER(Klisz_Verbräuche[[#This Row],[2019]]), Klisz_Verbräuche[[#This Row],[2019]]*Emissionsfaktoren[[#This Row],[2019]]/1000, 0)</f>
        <v>0</v>
      </c>
      <c r="K124" s="14">
        <f>IF(ISNUMBER(Klisz_Verbräuche[[#This Row],[2020]]), Klisz_Verbräuche[[#This Row],[2020]]*Emissionsfaktoren[[#This Row],[2020]]/1000, 0)</f>
        <v>0</v>
      </c>
      <c r="L124" s="14">
        <f>IF(ISNUMBER(Klisz_Verbräuche[[#This Row],[2021]]), Klisz_Verbräuche[[#This Row],[2021]]*Emissionsfaktoren[[#This Row],[2021]]/1000, 0)</f>
        <v>0</v>
      </c>
      <c r="M124" s="14">
        <f>IF(ISNUMBER(Klisz_Verbräuche[[#This Row],[2022]]), Klisz_Verbräuche[[#This Row],[2022]]*Emissionsfaktoren[[#This Row],[2022]]/1000, 0)</f>
        <v>0</v>
      </c>
      <c r="N124" s="14">
        <f>IF(ISNUMBER(Klisz_Verbräuche[[#This Row],[2023]]), Klisz_Verbräuche[[#This Row],[2023]]*Emissionsfaktoren[[#This Row],[2023]]/1000, 0)</f>
        <v>0</v>
      </c>
      <c r="O124" s="14">
        <f>IF(ISNUMBER(Klisz_Verbräuche[[#This Row],[2024]]), Klisz_Verbräuche[[#This Row],[2024]]*Emissionsfaktoren[[#This Row],[2024]]/1000, 0)</f>
        <v>0</v>
      </c>
      <c r="P124" s="14">
        <f>IF(ISNUMBER(Klisz_Verbräuche[[#This Row],[2025]]), Klisz_Verbräuche[[#This Row],[2025]]*Emissionsfaktoren[[#This Row],[2025]]/1000, 0)</f>
        <v>0</v>
      </c>
      <c r="Q124" s="14">
        <f>IF(ISNUMBER(Klisz_Verbräuche[[#This Row],[2026]]), Klisz_Verbräuche[[#This Row],[2026]]*Emissionsfaktoren[[#This Row],[2026]]/1000, 0)</f>
        <v>0</v>
      </c>
      <c r="R124" s="14">
        <f>IF(ISNUMBER(Klisz_Verbräuche[[#This Row],[2027]]), Klisz_Verbräuche[[#This Row],[2027]]*Emissionsfaktoren[[#This Row],[2027]]/1000, 0)</f>
        <v>0</v>
      </c>
      <c r="S124" s="14">
        <f>IF(ISNUMBER(Klisz_Verbräuche[[#This Row],[2028]]), Klisz_Verbräuche[[#This Row],[2028]]*Emissionsfaktoren[[#This Row],[2028]]/1000, 0)</f>
        <v>0</v>
      </c>
      <c r="T124" s="14">
        <f>IF(ISNUMBER(Klisz_Verbräuche[[#This Row],[2029]]), Klisz_Verbräuche[[#This Row],[2029]]*Emissionsfaktoren[[#This Row],[2029]]/1000, 0)</f>
        <v>0</v>
      </c>
      <c r="U124" s="14">
        <f>IF(ISNUMBER(Klisz_Verbräuche[[#This Row],[2030]]), Klisz_Verbräuche[[#This Row],[2030]]*Emissionsfaktoren[[#This Row],[2030]]/1000, 0)</f>
        <v>0</v>
      </c>
      <c r="V124" s="14">
        <f>IF(ISNUMBER(Klisz_Verbräuche[[#This Row],[2035]]), Klisz_Verbräuche[[#This Row],[2035]]*Emissionsfaktoren[[#This Row],[2035]]/1000, 0)</f>
        <v>0</v>
      </c>
      <c r="W124" s="14">
        <f>IF(ISNUMBER(Klisz_Verbräuche[[#This Row],[2040]]), Klisz_Verbräuche[[#This Row],[2040]]*Emissionsfaktoren[[#This Row],[2040]]/1000, 0)</f>
        <v>0</v>
      </c>
      <c r="X124" s="14">
        <f>IF(ISNUMBER(Klisz_Verbräuche[[#This Row],[2045]]), Klisz_Verbräuche[[#This Row],[2045]]*Emissionsfaktoren[[#This Row],[2045]]/1000, 0)</f>
        <v>0</v>
      </c>
      <c r="Y124" s="14">
        <f>IF(ISNUMBER(Klisz_Verbräuche[[#This Row],[2050]]), Klisz_Verbräuche[[#This Row],[2050]]*Emissionsfaktoren[[#This Row],[2050]]/1000, 0)</f>
        <v>0</v>
      </c>
    </row>
    <row r="125" spans="2:25" ht="16.5">
      <c r="B125" s="14">
        <v>108</v>
      </c>
      <c r="C125" s="14" t="str">
        <f>Refsz_Verbräuche[[#This Row],[Handlungsfeld]]</f>
        <v>Abfall</v>
      </c>
      <c r="D125" s="19" t="str">
        <f>Refsz_Verbräuche[[#This Row],[Datenpunkt]]</f>
        <v>Plastik- und Verpackungsabfall</v>
      </c>
      <c r="E125" t="s">
        <v>195</v>
      </c>
      <c r="F125" s="14">
        <f>IF(ISNUMBER(Klisz_Verbräuche[[#This Row],[2015]]), Klisz_Verbräuche[[#This Row],[2015]]*Emissionsfaktoren[[#This Row],[2015]]/1000, 0)</f>
        <v>0</v>
      </c>
      <c r="G125" s="14">
        <f>IF(ISNUMBER(Klisz_Verbräuche[[#This Row],[2016]]), Klisz_Verbräuche[[#This Row],[2016]]*Emissionsfaktoren[[#This Row],[2016]]/1000, 0)</f>
        <v>0</v>
      </c>
      <c r="H125" s="14">
        <f>IF(ISNUMBER(Klisz_Verbräuche[[#This Row],[2017]]), Klisz_Verbräuche[[#This Row],[2017]]*Emissionsfaktoren[[#This Row],[2017]]/1000, 0)</f>
        <v>0</v>
      </c>
      <c r="I125" s="14">
        <f>IF(ISNUMBER(Klisz_Verbräuche[[#This Row],[2018]]), Klisz_Verbräuche[[#This Row],[2018]]*Emissionsfaktoren[[#This Row],[2018]]/1000, 0)</f>
        <v>0</v>
      </c>
      <c r="J125" s="14">
        <f>IF(ISNUMBER(Klisz_Verbräuche[[#This Row],[2019]]), Klisz_Verbräuche[[#This Row],[2019]]*Emissionsfaktoren[[#This Row],[2019]]/1000, 0)</f>
        <v>0</v>
      </c>
      <c r="K125" s="14">
        <f>IF(ISNUMBER(Klisz_Verbräuche[[#This Row],[2020]]), Klisz_Verbräuche[[#This Row],[2020]]*Emissionsfaktoren[[#This Row],[2020]]/1000, 0)</f>
        <v>0</v>
      </c>
      <c r="L125" s="14">
        <f>IF(ISNUMBER(Klisz_Verbräuche[[#This Row],[2021]]), Klisz_Verbräuche[[#This Row],[2021]]*Emissionsfaktoren[[#This Row],[2021]]/1000, 0)</f>
        <v>0</v>
      </c>
      <c r="M125" s="14">
        <f>IF(ISNUMBER(Klisz_Verbräuche[[#This Row],[2022]]), Klisz_Verbräuche[[#This Row],[2022]]*Emissionsfaktoren[[#This Row],[2022]]/1000, 0)</f>
        <v>0</v>
      </c>
      <c r="N125" s="14">
        <f>IF(ISNUMBER(Klisz_Verbräuche[[#This Row],[2023]]), Klisz_Verbräuche[[#This Row],[2023]]*Emissionsfaktoren[[#This Row],[2023]]/1000, 0)</f>
        <v>0</v>
      </c>
      <c r="O125" s="14">
        <f>IF(ISNUMBER(Klisz_Verbräuche[[#This Row],[2024]]), Klisz_Verbräuche[[#This Row],[2024]]*Emissionsfaktoren[[#This Row],[2024]]/1000, 0)</f>
        <v>0</v>
      </c>
      <c r="P125" s="14">
        <f>IF(ISNUMBER(Klisz_Verbräuche[[#This Row],[2025]]), Klisz_Verbräuche[[#This Row],[2025]]*Emissionsfaktoren[[#This Row],[2025]]/1000, 0)</f>
        <v>0</v>
      </c>
      <c r="Q125" s="14">
        <f>IF(ISNUMBER(Klisz_Verbräuche[[#This Row],[2026]]), Klisz_Verbräuche[[#This Row],[2026]]*Emissionsfaktoren[[#This Row],[2026]]/1000, 0)</f>
        <v>0</v>
      </c>
      <c r="R125" s="14">
        <f>IF(ISNUMBER(Klisz_Verbräuche[[#This Row],[2027]]), Klisz_Verbräuche[[#This Row],[2027]]*Emissionsfaktoren[[#This Row],[2027]]/1000, 0)</f>
        <v>0</v>
      </c>
      <c r="S125" s="14">
        <f>IF(ISNUMBER(Klisz_Verbräuche[[#This Row],[2028]]), Klisz_Verbräuche[[#This Row],[2028]]*Emissionsfaktoren[[#This Row],[2028]]/1000, 0)</f>
        <v>0</v>
      </c>
      <c r="T125" s="14">
        <f>IF(ISNUMBER(Klisz_Verbräuche[[#This Row],[2029]]), Klisz_Verbräuche[[#This Row],[2029]]*Emissionsfaktoren[[#This Row],[2029]]/1000, 0)</f>
        <v>0</v>
      </c>
      <c r="U125" s="14">
        <f>IF(ISNUMBER(Klisz_Verbräuche[[#This Row],[2030]]), Klisz_Verbräuche[[#This Row],[2030]]*Emissionsfaktoren[[#This Row],[2030]]/1000, 0)</f>
        <v>0</v>
      </c>
      <c r="V125" s="14">
        <f>IF(ISNUMBER(Klisz_Verbräuche[[#This Row],[2035]]), Klisz_Verbräuche[[#This Row],[2035]]*Emissionsfaktoren[[#This Row],[2035]]/1000, 0)</f>
        <v>0</v>
      </c>
      <c r="W125" s="14">
        <f>IF(ISNUMBER(Klisz_Verbräuche[[#This Row],[2040]]), Klisz_Verbräuche[[#This Row],[2040]]*Emissionsfaktoren[[#This Row],[2040]]/1000, 0)</f>
        <v>0</v>
      </c>
      <c r="X125" s="14">
        <f>IF(ISNUMBER(Klisz_Verbräuche[[#This Row],[2045]]), Klisz_Verbräuche[[#This Row],[2045]]*Emissionsfaktoren[[#This Row],[2045]]/1000, 0)</f>
        <v>0</v>
      </c>
      <c r="Y125" s="14">
        <f>IF(ISNUMBER(Klisz_Verbräuche[[#This Row],[2050]]), Klisz_Verbräuche[[#This Row],[2050]]*Emissionsfaktoren[[#This Row],[2050]]/1000, 0)</f>
        <v>0</v>
      </c>
    </row>
    <row r="126" spans="2:25" ht="16.5">
      <c r="B126" s="14">
        <v>109</v>
      </c>
      <c r="C126" s="14" t="str">
        <f>Refsz_Verbräuche[[#This Row],[Handlungsfeld]]</f>
        <v>Abfall</v>
      </c>
      <c r="D126" s="19" t="str">
        <f>Refsz_Verbräuche[[#This Row],[Datenpunkt]]</f>
        <v>Restmüll</v>
      </c>
      <c r="E126" t="s">
        <v>195</v>
      </c>
      <c r="F126" s="14">
        <f>IF(ISNUMBER(Klisz_Verbräuche[[#This Row],[2015]]), Klisz_Verbräuche[[#This Row],[2015]]*Emissionsfaktoren[[#This Row],[2015]]/1000, 0)</f>
        <v>0</v>
      </c>
      <c r="G126" s="14">
        <f>IF(ISNUMBER(Klisz_Verbräuche[[#This Row],[2016]]), Klisz_Verbräuche[[#This Row],[2016]]*Emissionsfaktoren[[#This Row],[2016]]/1000, 0)</f>
        <v>0</v>
      </c>
      <c r="H126" s="14">
        <f>IF(ISNUMBER(Klisz_Verbräuche[[#This Row],[2017]]), Klisz_Verbräuche[[#This Row],[2017]]*Emissionsfaktoren[[#This Row],[2017]]/1000, 0)</f>
        <v>0</v>
      </c>
      <c r="I126" s="14">
        <f>IF(ISNUMBER(Klisz_Verbräuche[[#This Row],[2018]]), Klisz_Verbräuche[[#This Row],[2018]]*Emissionsfaktoren[[#This Row],[2018]]/1000, 0)</f>
        <v>0</v>
      </c>
      <c r="J126" s="14">
        <f>IF(ISNUMBER(Klisz_Verbräuche[[#This Row],[2019]]), Klisz_Verbräuche[[#This Row],[2019]]*Emissionsfaktoren[[#This Row],[2019]]/1000, 0)</f>
        <v>0</v>
      </c>
      <c r="K126" s="14">
        <f>IF(ISNUMBER(Klisz_Verbräuche[[#This Row],[2020]]), Klisz_Verbräuche[[#This Row],[2020]]*Emissionsfaktoren[[#This Row],[2020]]/1000, 0)</f>
        <v>0</v>
      </c>
      <c r="L126" s="14">
        <f>IF(ISNUMBER(Klisz_Verbräuche[[#This Row],[2021]]), Klisz_Verbräuche[[#This Row],[2021]]*Emissionsfaktoren[[#This Row],[2021]]/1000, 0)</f>
        <v>0</v>
      </c>
      <c r="M126" s="14">
        <f>IF(ISNUMBER(Klisz_Verbräuche[[#This Row],[2022]]), Klisz_Verbräuche[[#This Row],[2022]]*Emissionsfaktoren[[#This Row],[2022]]/1000, 0)</f>
        <v>0</v>
      </c>
      <c r="N126" s="14">
        <f>IF(ISNUMBER(Klisz_Verbräuche[[#This Row],[2023]]), Klisz_Verbräuche[[#This Row],[2023]]*Emissionsfaktoren[[#This Row],[2023]]/1000, 0)</f>
        <v>0</v>
      </c>
      <c r="O126" s="14">
        <f>IF(ISNUMBER(Klisz_Verbräuche[[#This Row],[2024]]), Klisz_Verbräuche[[#This Row],[2024]]*Emissionsfaktoren[[#This Row],[2024]]/1000, 0)</f>
        <v>0</v>
      </c>
      <c r="P126" s="14">
        <f>IF(ISNUMBER(Klisz_Verbräuche[[#This Row],[2025]]), Klisz_Verbräuche[[#This Row],[2025]]*Emissionsfaktoren[[#This Row],[2025]]/1000, 0)</f>
        <v>0</v>
      </c>
      <c r="Q126" s="14">
        <f>IF(ISNUMBER(Klisz_Verbräuche[[#This Row],[2026]]), Klisz_Verbräuche[[#This Row],[2026]]*Emissionsfaktoren[[#This Row],[2026]]/1000, 0)</f>
        <v>0</v>
      </c>
      <c r="R126" s="14">
        <f>IF(ISNUMBER(Klisz_Verbräuche[[#This Row],[2027]]), Klisz_Verbräuche[[#This Row],[2027]]*Emissionsfaktoren[[#This Row],[2027]]/1000, 0)</f>
        <v>0</v>
      </c>
      <c r="S126" s="14">
        <f>IF(ISNUMBER(Klisz_Verbräuche[[#This Row],[2028]]), Klisz_Verbräuche[[#This Row],[2028]]*Emissionsfaktoren[[#This Row],[2028]]/1000, 0)</f>
        <v>0</v>
      </c>
      <c r="T126" s="14">
        <f>IF(ISNUMBER(Klisz_Verbräuche[[#This Row],[2029]]), Klisz_Verbräuche[[#This Row],[2029]]*Emissionsfaktoren[[#This Row],[2029]]/1000, 0)</f>
        <v>0</v>
      </c>
      <c r="U126" s="14">
        <f>IF(ISNUMBER(Klisz_Verbräuche[[#This Row],[2030]]), Klisz_Verbräuche[[#This Row],[2030]]*Emissionsfaktoren[[#This Row],[2030]]/1000, 0)</f>
        <v>0</v>
      </c>
      <c r="V126" s="14">
        <f>IF(ISNUMBER(Klisz_Verbräuche[[#This Row],[2035]]), Klisz_Verbräuche[[#This Row],[2035]]*Emissionsfaktoren[[#This Row],[2035]]/1000, 0)</f>
        <v>0</v>
      </c>
      <c r="W126" s="14">
        <f>IF(ISNUMBER(Klisz_Verbräuche[[#This Row],[2040]]), Klisz_Verbräuche[[#This Row],[2040]]*Emissionsfaktoren[[#This Row],[2040]]/1000, 0)</f>
        <v>0</v>
      </c>
      <c r="X126" s="14">
        <f>IF(ISNUMBER(Klisz_Verbräuche[[#This Row],[2045]]), Klisz_Verbräuche[[#This Row],[2045]]*Emissionsfaktoren[[#This Row],[2045]]/1000, 0)</f>
        <v>0</v>
      </c>
      <c r="Y126" s="14">
        <f>IF(ISNUMBER(Klisz_Verbräuche[[#This Row],[2050]]), Klisz_Verbräuche[[#This Row],[2050]]*Emissionsfaktoren[[#This Row],[2050]]/1000, 0)</f>
        <v>0</v>
      </c>
    </row>
    <row r="127" spans="2:25" ht="16.5">
      <c r="B127" s="14">
        <v>110</v>
      </c>
      <c r="C127" s="14" t="str">
        <f>Refsz_Verbräuche[[#This Row],[Handlungsfeld]]</f>
        <v>Abfall</v>
      </c>
      <c r="D127" s="19" t="str">
        <f>Refsz_Verbräuche[[#This Row],[Datenpunkt]]</f>
        <v>Sperrmüll</v>
      </c>
      <c r="E127" t="s">
        <v>195</v>
      </c>
      <c r="F127" s="14">
        <f>IF(ISNUMBER(Klisz_Verbräuche[[#This Row],[2015]]), Klisz_Verbräuche[[#This Row],[2015]]*Emissionsfaktoren[[#This Row],[2015]]/1000, 0)</f>
        <v>0</v>
      </c>
      <c r="G127" s="14">
        <f>IF(ISNUMBER(Klisz_Verbräuche[[#This Row],[2016]]), Klisz_Verbräuche[[#This Row],[2016]]*Emissionsfaktoren[[#This Row],[2016]]/1000, 0)</f>
        <v>0</v>
      </c>
      <c r="H127" s="14">
        <f>IF(ISNUMBER(Klisz_Verbräuche[[#This Row],[2017]]), Klisz_Verbräuche[[#This Row],[2017]]*Emissionsfaktoren[[#This Row],[2017]]/1000, 0)</f>
        <v>0</v>
      </c>
      <c r="I127" s="14">
        <f>IF(ISNUMBER(Klisz_Verbräuche[[#This Row],[2018]]), Klisz_Verbräuche[[#This Row],[2018]]*Emissionsfaktoren[[#This Row],[2018]]/1000, 0)</f>
        <v>0</v>
      </c>
      <c r="J127" s="14">
        <f>IF(ISNUMBER(Klisz_Verbräuche[[#This Row],[2019]]), Klisz_Verbräuche[[#This Row],[2019]]*Emissionsfaktoren[[#This Row],[2019]]/1000, 0)</f>
        <v>0</v>
      </c>
      <c r="K127" s="14">
        <f>IF(ISNUMBER(Klisz_Verbräuche[[#This Row],[2020]]), Klisz_Verbräuche[[#This Row],[2020]]*Emissionsfaktoren[[#This Row],[2020]]/1000, 0)</f>
        <v>0</v>
      </c>
      <c r="L127" s="14">
        <f>IF(ISNUMBER(Klisz_Verbräuche[[#This Row],[2021]]), Klisz_Verbräuche[[#This Row],[2021]]*Emissionsfaktoren[[#This Row],[2021]]/1000, 0)</f>
        <v>0</v>
      </c>
      <c r="M127" s="14">
        <f>IF(ISNUMBER(Klisz_Verbräuche[[#This Row],[2022]]), Klisz_Verbräuche[[#This Row],[2022]]*Emissionsfaktoren[[#This Row],[2022]]/1000, 0)</f>
        <v>0</v>
      </c>
      <c r="N127" s="14">
        <f>IF(ISNUMBER(Klisz_Verbräuche[[#This Row],[2023]]), Klisz_Verbräuche[[#This Row],[2023]]*Emissionsfaktoren[[#This Row],[2023]]/1000, 0)</f>
        <v>0</v>
      </c>
      <c r="O127" s="14">
        <f>IF(ISNUMBER(Klisz_Verbräuche[[#This Row],[2024]]), Klisz_Verbräuche[[#This Row],[2024]]*Emissionsfaktoren[[#This Row],[2024]]/1000, 0)</f>
        <v>0</v>
      </c>
      <c r="P127" s="14">
        <f>IF(ISNUMBER(Klisz_Verbräuche[[#This Row],[2025]]), Klisz_Verbräuche[[#This Row],[2025]]*Emissionsfaktoren[[#This Row],[2025]]/1000, 0)</f>
        <v>0</v>
      </c>
      <c r="Q127" s="14">
        <f>IF(ISNUMBER(Klisz_Verbräuche[[#This Row],[2026]]), Klisz_Verbräuche[[#This Row],[2026]]*Emissionsfaktoren[[#This Row],[2026]]/1000, 0)</f>
        <v>0</v>
      </c>
      <c r="R127" s="14">
        <f>IF(ISNUMBER(Klisz_Verbräuche[[#This Row],[2027]]), Klisz_Verbräuche[[#This Row],[2027]]*Emissionsfaktoren[[#This Row],[2027]]/1000, 0)</f>
        <v>0</v>
      </c>
      <c r="S127" s="14">
        <f>IF(ISNUMBER(Klisz_Verbräuche[[#This Row],[2028]]), Klisz_Verbräuche[[#This Row],[2028]]*Emissionsfaktoren[[#This Row],[2028]]/1000, 0)</f>
        <v>0</v>
      </c>
      <c r="T127" s="14">
        <f>IF(ISNUMBER(Klisz_Verbräuche[[#This Row],[2029]]), Klisz_Verbräuche[[#This Row],[2029]]*Emissionsfaktoren[[#This Row],[2029]]/1000, 0)</f>
        <v>0</v>
      </c>
      <c r="U127" s="14">
        <f>IF(ISNUMBER(Klisz_Verbräuche[[#This Row],[2030]]), Klisz_Verbräuche[[#This Row],[2030]]*Emissionsfaktoren[[#This Row],[2030]]/1000, 0)</f>
        <v>0</v>
      </c>
      <c r="V127" s="14">
        <f>IF(ISNUMBER(Klisz_Verbräuche[[#This Row],[2035]]), Klisz_Verbräuche[[#This Row],[2035]]*Emissionsfaktoren[[#This Row],[2035]]/1000, 0)</f>
        <v>0</v>
      </c>
      <c r="W127" s="14">
        <f>IF(ISNUMBER(Klisz_Verbräuche[[#This Row],[2040]]), Klisz_Verbräuche[[#This Row],[2040]]*Emissionsfaktoren[[#This Row],[2040]]/1000, 0)</f>
        <v>0</v>
      </c>
      <c r="X127" s="14">
        <f>IF(ISNUMBER(Klisz_Verbräuche[[#This Row],[2045]]), Klisz_Verbräuche[[#This Row],[2045]]*Emissionsfaktoren[[#This Row],[2045]]/1000, 0)</f>
        <v>0</v>
      </c>
      <c r="Y127" s="14">
        <f>IF(ISNUMBER(Klisz_Verbräuche[[#This Row],[2050]]), Klisz_Verbräuche[[#This Row],[2050]]*Emissionsfaktoren[[#This Row],[2050]]/1000, 0)</f>
        <v>0</v>
      </c>
    </row>
    <row r="128" spans="2:25" ht="16.5">
      <c r="B128" s="14">
        <v>111</v>
      </c>
      <c r="C128" s="14" t="str">
        <f>Refsz_Verbräuche[[#This Row],[Handlungsfeld]]</f>
        <v>Abfall</v>
      </c>
      <c r="D128" s="19" t="str">
        <f>Refsz_Verbräuche[[#This Row],[Datenpunkt]]</f>
        <v>Altholz</v>
      </c>
      <c r="E128" t="s">
        <v>195</v>
      </c>
      <c r="F128" s="14">
        <f>IF(ISNUMBER(Klisz_Verbräuche[[#This Row],[2015]]), Klisz_Verbräuche[[#This Row],[2015]]*Emissionsfaktoren[[#This Row],[2015]]/1000, 0)</f>
        <v>0</v>
      </c>
      <c r="G128" s="14">
        <f>IF(ISNUMBER(Klisz_Verbräuche[[#This Row],[2016]]), Klisz_Verbräuche[[#This Row],[2016]]*Emissionsfaktoren[[#This Row],[2016]]/1000, 0)</f>
        <v>0</v>
      </c>
      <c r="H128" s="14">
        <f>IF(ISNUMBER(Klisz_Verbräuche[[#This Row],[2017]]), Klisz_Verbräuche[[#This Row],[2017]]*Emissionsfaktoren[[#This Row],[2017]]/1000, 0)</f>
        <v>0</v>
      </c>
      <c r="I128" s="14">
        <f>IF(ISNUMBER(Klisz_Verbräuche[[#This Row],[2018]]), Klisz_Verbräuche[[#This Row],[2018]]*Emissionsfaktoren[[#This Row],[2018]]/1000, 0)</f>
        <v>0</v>
      </c>
      <c r="J128" s="14">
        <f>IF(ISNUMBER(Klisz_Verbräuche[[#This Row],[2019]]), Klisz_Verbräuche[[#This Row],[2019]]*Emissionsfaktoren[[#This Row],[2019]]/1000, 0)</f>
        <v>0</v>
      </c>
      <c r="K128" s="14">
        <f>IF(ISNUMBER(Klisz_Verbräuche[[#This Row],[2020]]), Klisz_Verbräuche[[#This Row],[2020]]*Emissionsfaktoren[[#This Row],[2020]]/1000, 0)</f>
        <v>0</v>
      </c>
      <c r="L128" s="14">
        <f>IF(ISNUMBER(Klisz_Verbräuche[[#This Row],[2021]]), Klisz_Verbräuche[[#This Row],[2021]]*Emissionsfaktoren[[#This Row],[2021]]/1000, 0)</f>
        <v>0</v>
      </c>
      <c r="M128" s="14">
        <f>IF(ISNUMBER(Klisz_Verbräuche[[#This Row],[2022]]), Klisz_Verbräuche[[#This Row],[2022]]*Emissionsfaktoren[[#This Row],[2022]]/1000, 0)</f>
        <v>0</v>
      </c>
      <c r="N128" s="14">
        <f>IF(ISNUMBER(Klisz_Verbräuche[[#This Row],[2023]]), Klisz_Verbräuche[[#This Row],[2023]]*Emissionsfaktoren[[#This Row],[2023]]/1000, 0)</f>
        <v>0</v>
      </c>
      <c r="O128" s="14">
        <f>IF(ISNUMBER(Klisz_Verbräuche[[#This Row],[2024]]), Klisz_Verbräuche[[#This Row],[2024]]*Emissionsfaktoren[[#This Row],[2024]]/1000, 0)</f>
        <v>0</v>
      </c>
      <c r="P128" s="14">
        <f>IF(ISNUMBER(Klisz_Verbräuche[[#This Row],[2025]]), Klisz_Verbräuche[[#This Row],[2025]]*Emissionsfaktoren[[#This Row],[2025]]/1000, 0)</f>
        <v>0</v>
      </c>
      <c r="Q128" s="14">
        <f>IF(ISNUMBER(Klisz_Verbräuche[[#This Row],[2026]]), Klisz_Verbräuche[[#This Row],[2026]]*Emissionsfaktoren[[#This Row],[2026]]/1000, 0)</f>
        <v>0</v>
      </c>
      <c r="R128" s="14">
        <f>IF(ISNUMBER(Klisz_Verbräuche[[#This Row],[2027]]), Klisz_Verbräuche[[#This Row],[2027]]*Emissionsfaktoren[[#This Row],[2027]]/1000, 0)</f>
        <v>0</v>
      </c>
      <c r="S128" s="14">
        <f>IF(ISNUMBER(Klisz_Verbräuche[[#This Row],[2028]]), Klisz_Verbräuche[[#This Row],[2028]]*Emissionsfaktoren[[#This Row],[2028]]/1000, 0)</f>
        <v>0</v>
      </c>
      <c r="T128" s="14">
        <f>IF(ISNUMBER(Klisz_Verbräuche[[#This Row],[2029]]), Klisz_Verbräuche[[#This Row],[2029]]*Emissionsfaktoren[[#This Row],[2029]]/1000, 0)</f>
        <v>0</v>
      </c>
      <c r="U128" s="14">
        <f>IF(ISNUMBER(Klisz_Verbräuche[[#This Row],[2030]]), Klisz_Verbräuche[[#This Row],[2030]]*Emissionsfaktoren[[#This Row],[2030]]/1000, 0)</f>
        <v>0</v>
      </c>
      <c r="V128" s="14">
        <f>IF(ISNUMBER(Klisz_Verbräuche[[#This Row],[2035]]), Klisz_Verbräuche[[#This Row],[2035]]*Emissionsfaktoren[[#This Row],[2035]]/1000, 0)</f>
        <v>0</v>
      </c>
      <c r="W128" s="14">
        <f>IF(ISNUMBER(Klisz_Verbräuche[[#This Row],[2040]]), Klisz_Verbräuche[[#This Row],[2040]]*Emissionsfaktoren[[#This Row],[2040]]/1000, 0)</f>
        <v>0</v>
      </c>
      <c r="X128" s="14">
        <f>IF(ISNUMBER(Klisz_Verbräuche[[#This Row],[2045]]), Klisz_Verbräuche[[#This Row],[2045]]*Emissionsfaktoren[[#This Row],[2045]]/1000, 0)</f>
        <v>0</v>
      </c>
      <c r="Y128" s="14">
        <f>IF(ISNUMBER(Klisz_Verbräuche[[#This Row],[2050]]), Klisz_Verbräuche[[#This Row],[2050]]*Emissionsfaktoren[[#This Row],[2050]]/1000, 0)</f>
        <v>0</v>
      </c>
    </row>
    <row r="129" spans="2:25" ht="16.5">
      <c r="B129" s="14">
        <v>112</v>
      </c>
      <c r="C129" s="14" t="str">
        <f>Refsz_Verbräuche[[#This Row],[Handlungsfeld]]</f>
        <v>Abfall</v>
      </c>
      <c r="D129" s="19" t="str">
        <f>Refsz_Verbräuche[[#This Row],[Datenpunkt]]</f>
        <v>Altglas</v>
      </c>
      <c r="E129" t="s">
        <v>195</v>
      </c>
      <c r="F129" s="14">
        <f>IF(ISNUMBER(Klisz_Verbräuche[[#This Row],[2015]]), Klisz_Verbräuche[[#This Row],[2015]]*Emissionsfaktoren[[#This Row],[2015]]/1000, 0)</f>
        <v>0</v>
      </c>
      <c r="G129" s="14">
        <f>IF(ISNUMBER(Klisz_Verbräuche[[#This Row],[2016]]), Klisz_Verbräuche[[#This Row],[2016]]*Emissionsfaktoren[[#This Row],[2016]]/1000, 0)</f>
        <v>0</v>
      </c>
      <c r="H129" s="14">
        <f>IF(ISNUMBER(Klisz_Verbräuche[[#This Row],[2017]]), Klisz_Verbräuche[[#This Row],[2017]]*Emissionsfaktoren[[#This Row],[2017]]/1000, 0)</f>
        <v>0</v>
      </c>
      <c r="I129" s="14">
        <f>IF(ISNUMBER(Klisz_Verbräuche[[#This Row],[2018]]), Klisz_Verbräuche[[#This Row],[2018]]*Emissionsfaktoren[[#This Row],[2018]]/1000, 0)</f>
        <v>0</v>
      </c>
      <c r="J129" s="14">
        <f>IF(ISNUMBER(Klisz_Verbräuche[[#This Row],[2019]]), Klisz_Verbräuche[[#This Row],[2019]]*Emissionsfaktoren[[#This Row],[2019]]/1000, 0)</f>
        <v>0</v>
      </c>
      <c r="K129" s="14">
        <f>IF(ISNUMBER(Klisz_Verbräuche[[#This Row],[2020]]), Klisz_Verbräuche[[#This Row],[2020]]*Emissionsfaktoren[[#This Row],[2020]]/1000, 0)</f>
        <v>0</v>
      </c>
      <c r="L129" s="14">
        <f>IF(ISNUMBER(Klisz_Verbräuche[[#This Row],[2021]]), Klisz_Verbräuche[[#This Row],[2021]]*Emissionsfaktoren[[#This Row],[2021]]/1000, 0)</f>
        <v>0</v>
      </c>
      <c r="M129" s="14">
        <f>IF(ISNUMBER(Klisz_Verbräuche[[#This Row],[2022]]), Klisz_Verbräuche[[#This Row],[2022]]*Emissionsfaktoren[[#This Row],[2022]]/1000, 0)</f>
        <v>0</v>
      </c>
      <c r="N129" s="14">
        <f>IF(ISNUMBER(Klisz_Verbräuche[[#This Row],[2023]]), Klisz_Verbräuche[[#This Row],[2023]]*Emissionsfaktoren[[#This Row],[2023]]/1000, 0)</f>
        <v>0</v>
      </c>
      <c r="O129" s="14">
        <f>IF(ISNUMBER(Klisz_Verbräuche[[#This Row],[2024]]), Klisz_Verbräuche[[#This Row],[2024]]*Emissionsfaktoren[[#This Row],[2024]]/1000, 0)</f>
        <v>0</v>
      </c>
      <c r="P129" s="14">
        <f>IF(ISNUMBER(Klisz_Verbräuche[[#This Row],[2025]]), Klisz_Verbräuche[[#This Row],[2025]]*Emissionsfaktoren[[#This Row],[2025]]/1000, 0)</f>
        <v>0</v>
      </c>
      <c r="Q129" s="14">
        <f>IF(ISNUMBER(Klisz_Verbräuche[[#This Row],[2026]]), Klisz_Verbräuche[[#This Row],[2026]]*Emissionsfaktoren[[#This Row],[2026]]/1000, 0)</f>
        <v>0</v>
      </c>
      <c r="R129" s="14">
        <f>IF(ISNUMBER(Klisz_Verbräuche[[#This Row],[2027]]), Klisz_Verbräuche[[#This Row],[2027]]*Emissionsfaktoren[[#This Row],[2027]]/1000, 0)</f>
        <v>0</v>
      </c>
      <c r="S129" s="14">
        <f>IF(ISNUMBER(Klisz_Verbräuche[[#This Row],[2028]]), Klisz_Verbräuche[[#This Row],[2028]]*Emissionsfaktoren[[#This Row],[2028]]/1000, 0)</f>
        <v>0</v>
      </c>
      <c r="T129" s="14">
        <f>IF(ISNUMBER(Klisz_Verbräuche[[#This Row],[2029]]), Klisz_Verbräuche[[#This Row],[2029]]*Emissionsfaktoren[[#This Row],[2029]]/1000, 0)</f>
        <v>0</v>
      </c>
      <c r="U129" s="14">
        <f>IF(ISNUMBER(Klisz_Verbräuche[[#This Row],[2030]]), Klisz_Verbräuche[[#This Row],[2030]]*Emissionsfaktoren[[#This Row],[2030]]/1000, 0)</f>
        <v>0</v>
      </c>
      <c r="V129" s="14">
        <f>IF(ISNUMBER(Klisz_Verbräuche[[#This Row],[2035]]), Klisz_Verbräuche[[#This Row],[2035]]*Emissionsfaktoren[[#This Row],[2035]]/1000, 0)</f>
        <v>0</v>
      </c>
      <c r="W129" s="14">
        <f>IF(ISNUMBER(Klisz_Verbräuche[[#This Row],[2040]]), Klisz_Verbräuche[[#This Row],[2040]]*Emissionsfaktoren[[#This Row],[2040]]/1000, 0)</f>
        <v>0</v>
      </c>
      <c r="X129" s="14">
        <f>IF(ISNUMBER(Klisz_Verbräuche[[#This Row],[2045]]), Klisz_Verbräuche[[#This Row],[2045]]*Emissionsfaktoren[[#This Row],[2045]]/1000, 0)</f>
        <v>0</v>
      </c>
      <c r="Y129" s="14">
        <f>IF(ISNUMBER(Klisz_Verbräuche[[#This Row],[2050]]), Klisz_Verbräuche[[#This Row],[2050]]*Emissionsfaktoren[[#This Row],[2050]]/1000, 0)</f>
        <v>0</v>
      </c>
    </row>
    <row r="130" spans="2:25" ht="16.5">
      <c r="B130" s="14">
        <v>113</v>
      </c>
      <c r="C130" s="14" t="str">
        <f>Refsz_Verbräuche[[#This Row],[Handlungsfeld]]</f>
        <v>Abfall</v>
      </c>
      <c r="D130" s="19" t="str">
        <f>Refsz_Verbräuche[[#This Row],[Datenpunkt]]</f>
        <v>E-Großgeräte (Abfall)</v>
      </c>
      <c r="E130" t="s">
        <v>195</v>
      </c>
      <c r="F130" s="14">
        <f>IF(ISNUMBER(Klisz_Verbräuche[[#This Row],[2015]]), Klisz_Verbräuche[[#This Row],[2015]]*Emissionsfaktoren[[#This Row],[2015]]/1000, 0)</f>
        <v>0</v>
      </c>
      <c r="G130" s="14">
        <f>IF(ISNUMBER(Klisz_Verbräuche[[#This Row],[2016]]), Klisz_Verbräuche[[#This Row],[2016]]*Emissionsfaktoren[[#This Row],[2016]]/1000, 0)</f>
        <v>0</v>
      </c>
      <c r="H130" s="14">
        <f>IF(ISNUMBER(Klisz_Verbräuche[[#This Row],[2017]]), Klisz_Verbräuche[[#This Row],[2017]]*Emissionsfaktoren[[#This Row],[2017]]/1000, 0)</f>
        <v>0</v>
      </c>
      <c r="I130" s="14">
        <f>IF(ISNUMBER(Klisz_Verbräuche[[#This Row],[2018]]), Klisz_Verbräuche[[#This Row],[2018]]*Emissionsfaktoren[[#This Row],[2018]]/1000, 0)</f>
        <v>0</v>
      </c>
      <c r="J130" s="14">
        <f>IF(ISNUMBER(Klisz_Verbräuche[[#This Row],[2019]]), Klisz_Verbräuche[[#This Row],[2019]]*Emissionsfaktoren[[#This Row],[2019]]/1000, 0)</f>
        <v>0</v>
      </c>
      <c r="K130" s="14">
        <f>IF(ISNUMBER(Klisz_Verbräuche[[#This Row],[2020]]), Klisz_Verbräuche[[#This Row],[2020]]*Emissionsfaktoren[[#This Row],[2020]]/1000, 0)</f>
        <v>0</v>
      </c>
      <c r="L130" s="14">
        <f>IF(ISNUMBER(Klisz_Verbräuche[[#This Row],[2021]]), Klisz_Verbräuche[[#This Row],[2021]]*Emissionsfaktoren[[#This Row],[2021]]/1000, 0)</f>
        <v>0</v>
      </c>
      <c r="M130" s="14">
        <f>IF(ISNUMBER(Klisz_Verbräuche[[#This Row],[2022]]), Klisz_Verbräuche[[#This Row],[2022]]*Emissionsfaktoren[[#This Row],[2022]]/1000, 0)</f>
        <v>0</v>
      </c>
      <c r="N130" s="14">
        <f>IF(ISNUMBER(Klisz_Verbräuche[[#This Row],[2023]]), Klisz_Verbräuche[[#This Row],[2023]]*Emissionsfaktoren[[#This Row],[2023]]/1000, 0)</f>
        <v>0</v>
      </c>
      <c r="O130" s="14">
        <f>IF(ISNUMBER(Klisz_Verbräuche[[#This Row],[2024]]), Klisz_Verbräuche[[#This Row],[2024]]*Emissionsfaktoren[[#This Row],[2024]]/1000, 0)</f>
        <v>0</v>
      </c>
      <c r="P130" s="14">
        <f>IF(ISNUMBER(Klisz_Verbräuche[[#This Row],[2025]]), Klisz_Verbräuche[[#This Row],[2025]]*Emissionsfaktoren[[#This Row],[2025]]/1000, 0)</f>
        <v>0</v>
      </c>
      <c r="Q130" s="14">
        <f>IF(ISNUMBER(Klisz_Verbräuche[[#This Row],[2026]]), Klisz_Verbräuche[[#This Row],[2026]]*Emissionsfaktoren[[#This Row],[2026]]/1000, 0)</f>
        <v>0</v>
      </c>
      <c r="R130" s="14">
        <f>IF(ISNUMBER(Klisz_Verbräuche[[#This Row],[2027]]), Klisz_Verbräuche[[#This Row],[2027]]*Emissionsfaktoren[[#This Row],[2027]]/1000, 0)</f>
        <v>0</v>
      </c>
      <c r="S130" s="14">
        <f>IF(ISNUMBER(Klisz_Verbräuche[[#This Row],[2028]]), Klisz_Verbräuche[[#This Row],[2028]]*Emissionsfaktoren[[#This Row],[2028]]/1000, 0)</f>
        <v>0</v>
      </c>
      <c r="T130" s="14">
        <f>IF(ISNUMBER(Klisz_Verbräuche[[#This Row],[2029]]), Klisz_Verbräuche[[#This Row],[2029]]*Emissionsfaktoren[[#This Row],[2029]]/1000, 0)</f>
        <v>0</v>
      </c>
      <c r="U130" s="14">
        <f>IF(ISNUMBER(Klisz_Verbräuche[[#This Row],[2030]]), Klisz_Verbräuche[[#This Row],[2030]]*Emissionsfaktoren[[#This Row],[2030]]/1000, 0)</f>
        <v>0</v>
      </c>
      <c r="V130" s="14">
        <f>IF(ISNUMBER(Klisz_Verbräuche[[#This Row],[2035]]), Klisz_Verbräuche[[#This Row],[2035]]*Emissionsfaktoren[[#This Row],[2035]]/1000, 0)</f>
        <v>0</v>
      </c>
      <c r="W130" s="14">
        <f>IF(ISNUMBER(Klisz_Verbräuche[[#This Row],[2040]]), Klisz_Verbräuche[[#This Row],[2040]]*Emissionsfaktoren[[#This Row],[2040]]/1000, 0)</f>
        <v>0</v>
      </c>
      <c r="X130" s="14">
        <f>IF(ISNUMBER(Klisz_Verbräuche[[#This Row],[2045]]), Klisz_Verbräuche[[#This Row],[2045]]*Emissionsfaktoren[[#This Row],[2045]]/1000, 0)</f>
        <v>0</v>
      </c>
      <c r="Y130" s="14">
        <f>IF(ISNUMBER(Klisz_Verbräuche[[#This Row],[2050]]), Klisz_Verbräuche[[#This Row],[2050]]*Emissionsfaktoren[[#This Row],[2050]]/1000, 0)</f>
        <v>0</v>
      </c>
    </row>
    <row r="131" spans="2:25" ht="16.5">
      <c r="B131" s="14">
        <v>114</v>
      </c>
      <c r="C131" s="14" t="str">
        <f>Refsz_Verbräuche[[#This Row],[Handlungsfeld]]</f>
        <v>Abfall</v>
      </c>
      <c r="D131" s="19" t="str">
        <f>Refsz_Verbräuche[[#This Row],[Datenpunkt]]</f>
        <v>Metalle (Abfall)</v>
      </c>
      <c r="E131" t="s">
        <v>195</v>
      </c>
      <c r="F131" s="14">
        <f>IF(ISNUMBER(Klisz_Verbräuche[[#This Row],[2015]]), Klisz_Verbräuche[[#This Row],[2015]]*Emissionsfaktoren[[#This Row],[2015]]/1000, 0)</f>
        <v>0</v>
      </c>
      <c r="G131" s="14">
        <f>IF(ISNUMBER(Klisz_Verbräuche[[#This Row],[2016]]), Klisz_Verbräuche[[#This Row],[2016]]*Emissionsfaktoren[[#This Row],[2016]]/1000, 0)</f>
        <v>0</v>
      </c>
      <c r="H131" s="14">
        <f>IF(ISNUMBER(Klisz_Verbräuche[[#This Row],[2017]]), Klisz_Verbräuche[[#This Row],[2017]]*Emissionsfaktoren[[#This Row],[2017]]/1000, 0)</f>
        <v>0</v>
      </c>
      <c r="I131" s="14">
        <f>IF(ISNUMBER(Klisz_Verbräuche[[#This Row],[2018]]), Klisz_Verbräuche[[#This Row],[2018]]*Emissionsfaktoren[[#This Row],[2018]]/1000, 0)</f>
        <v>0</v>
      </c>
      <c r="J131" s="14">
        <f>IF(ISNUMBER(Klisz_Verbräuche[[#This Row],[2019]]), Klisz_Verbräuche[[#This Row],[2019]]*Emissionsfaktoren[[#This Row],[2019]]/1000, 0)</f>
        <v>0</v>
      </c>
      <c r="K131" s="14">
        <f>IF(ISNUMBER(Klisz_Verbräuche[[#This Row],[2020]]), Klisz_Verbräuche[[#This Row],[2020]]*Emissionsfaktoren[[#This Row],[2020]]/1000, 0)</f>
        <v>0</v>
      </c>
      <c r="L131" s="14">
        <f>IF(ISNUMBER(Klisz_Verbräuche[[#This Row],[2021]]), Klisz_Verbräuche[[#This Row],[2021]]*Emissionsfaktoren[[#This Row],[2021]]/1000, 0)</f>
        <v>0</v>
      </c>
      <c r="M131" s="14">
        <f>IF(ISNUMBER(Klisz_Verbräuche[[#This Row],[2022]]), Klisz_Verbräuche[[#This Row],[2022]]*Emissionsfaktoren[[#This Row],[2022]]/1000, 0)</f>
        <v>0</v>
      </c>
      <c r="N131" s="14">
        <f>IF(ISNUMBER(Klisz_Verbräuche[[#This Row],[2023]]), Klisz_Verbräuche[[#This Row],[2023]]*Emissionsfaktoren[[#This Row],[2023]]/1000, 0)</f>
        <v>0</v>
      </c>
      <c r="O131" s="14">
        <f>IF(ISNUMBER(Klisz_Verbräuche[[#This Row],[2024]]), Klisz_Verbräuche[[#This Row],[2024]]*Emissionsfaktoren[[#This Row],[2024]]/1000, 0)</f>
        <v>0</v>
      </c>
      <c r="P131" s="14">
        <f>IF(ISNUMBER(Klisz_Verbräuche[[#This Row],[2025]]), Klisz_Verbräuche[[#This Row],[2025]]*Emissionsfaktoren[[#This Row],[2025]]/1000, 0)</f>
        <v>0</v>
      </c>
      <c r="Q131" s="14">
        <f>IF(ISNUMBER(Klisz_Verbräuche[[#This Row],[2026]]), Klisz_Verbräuche[[#This Row],[2026]]*Emissionsfaktoren[[#This Row],[2026]]/1000, 0)</f>
        <v>0</v>
      </c>
      <c r="R131" s="14">
        <f>IF(ISNUMBER(Klisz_Verbräuche[[#This Row],[2027]]), Klisz_Verbräuche[[#This Row],[2027]]*Emissionsfaktoren[[#This Row],[2027]]/1000, 0)</f>
        <v>0</v>
      </c>
      <c r="S131" s="14">
        <f>IF(ISNUMBER(Klisz_Verbräuche[[#This Row],[2028]]), Klisz_Verbräuche[[#This Row],[2028]]*Emissionsfaktoren[[#This Row],[2028]]/1000, 0)</f>
        <v>0</v>
      </c>
      <c r="T131" s="14">
        <f>IF(ISNUMBER(Klisz_Verbräuche[[#This Row],[2029]]), Klisz_Verbräuche[[#This Row],[2029]]*Emissionsfaktoren[[#This Row],[2029]]/1000, 0)</f>
        <v>0</v>
      </c>
      <c r="U131" s="14">
        <f>IF(ISNUMBER(Klisz_Verbräuche[[#This Row],[2030]]), Klisz_Verbräuche[[#This Row],[2030]]*Emissionsfaktoren[[#This Row],[2030]]/1000, 0)</f>
        <v>0</v>
      </c>
      <c r="V131" s="14">
        <f>IF(ISNUMBER(Klisz_Verbräuche[[#This Row],[2035]]), Klisz_Verbräuche[[#This Row],[2035]]*Emissionsfaktoren[[#This Row],[2035]]/1000, 0)</f>
        <v>0</v>
      </c>
      <c r="W131" s="14">
        <f>IF(ISNUMBER(Klisz_Verbräuche[[#This Row],[2040]]), Klisz_Verbräuche[[#This Row],[2040]]*Emissionsfaktoren[[#This Row],[2040]]/1000, 0)</f>
        <v>0</v>
      </c>
      <c r="X131" s="14">
        <f>IF(ISNUMBER(Klisz_Verbräuche[[#This Row],[2045]]), Klisz_Verbräuche[[#This Row],[2045]]*Emissionsfaktoren[[#This Row],[2045]]/1000, 0)</f>
        <v>0</v>
      </c>
      <c r="Y131" s="14">
        <f>IF(ISNUMBER(Klisz_Verbräuche[[#This Row],[2050]]), Klisz_Verbräuche[[#This Row],[2050]]*Emissionsfaktoren[[#This Row],[2050]]/1000, 0)</f>
        <v>0</v>
      </c>
    </row>
    <row r="132" spans="2:25" ht="16.5">
      <c r="B132" s="14">
        <v>115</v>
      </c>
      <c r="C132" s="14" t="str">
        <f>Refsz_Verbräuche[[#This Row],[Handlungsfeld]]</f>
        <v>Abfall</v>
      </c>
      <c r="D132" s="19" t="str">
        <f>Refsz_Verbräuche[[#This Row],[Datenpunkt]]</f>
        <v>Bauschutt</v>
      </c>
      <c r="E132" t="s">
        <v>195</v>
      </c>
      <c r="F132" s="14">
        <f>IF(ISNUMBER(Klisz_Verbräuche[[#This Row],[2015]]), Klisz_Verbräuche[[#This Row],[2015]]*Emissionsfaktoren[[#This Row],[2015]]/1000, 0)</f>
        <v>0</v>
      </c>
      <c r="G132" s="14">
        <f>IF(ISNUMBER(Klisz_Verbräuche[[#This Row],[2016]]), Klisz_Verbräuche[[#This Row],[2016]]*Emissionsfaktoren[[#This Row],[2016]]/1000, 0)</f>
        <v>0</v>
      </c>
      <c r="H132" s="14">
        <f>IF(ISNUMBER(Klisz_Verbräuche[[#This Row],[2017]]), Klisz_Verbräuche[[#This Row],[2017]]*Emissionsfaktoren[[#This Row],[2017]]/1000, 0)</f>
        <v>0</v>
      </c>
      <c r="I132" s="14">
        <f>IF(ISNUMBER(Klisz_Verbräuche[[#This Row],[2018]]), Klisz_Verbräuche[[#This Row],[2018]]*Emissionsfaktoren[[#This Row],[2018]]/1000, 0)</f>
        <v>0</v>
      </c>
      <c r="J132" s="14">
        <f>IF(ISNUMBER(Klisz_Verbräuche[[#This Row],[2019]]), Klisz_Verbräuche[[#This Row],[2019]]*Emissionsfaktoren[[#This Row],[2019]]/1000, 0)</f>
        <v>0</v>
      </c>
      <c r="K132" s="14">
        <f>IF(ISNUMBER(Klisz_Verbräuche[[#This Row],[2020]]), Klisz_Verbräuche[[#This Row],[2020]]*Emissionsfaktoren[[#This Row],[2020]]/1000, 0)</f>
        <v>0</v>
      </c>
      <c r="L132" s="14">
        <f>IF(ISNUMBER(Klisz_Verbräuche[[#This Row],[2021]]), Klisz_Verbräuche[[#This Row],[2021]]*Emissionsfaktoren[[#This Row],[2021]]/1000, 0)</f>
        <v>0</v>
      </c>
      <c r="M132" s="14">
        <f>IF(ISNUMBER(Klisz_Verbräuche[[#This Row],[2022]]), Klisz_Verbräuche[[#This Row],[2022]]*Emissionsfaktoren[[#This Row],[2022]]/1000, 0)</f>
        <v>0</v>
      </c>
      <c r="N132" s="14">
        <f>IF(ISNUMBER(Klisz_Verbräuche[[#This Row],[2023]]), Klisz_Verbräuche[[#This Row],[2023]]*Emissionsfaktoren[[#This Row],[2023]]/1000, 0)</f>
        <v>0</v>
      </c>
      <c r="O132" s="14">
        <f>IF(ISNUMBER(Klisz_Verbräuche[[#This Row],[2024]]), Klisz_Verbräuche[[#This Row],[2024]]*Emissionsfaktoren[[#This Row],[2024]]/1000, 0)</f>
        <v>0</v>
      </c>
      <c r="P132" s="14">
        <f>IF(ISNUMBER(Klisz_Verbräuche[[#This Row],[2025]]), Klisz_Verbräuche[[#This Row],[2025]]*Emissionsfaktoren[[#This Row],[2025]]/1000, 0)</f>
        <v>0</v>
      </c>
      <c r="Q132" s="14">
        <f>IF(ISNUMBER(Klisz_Verbräuche[[#This Row],[2026]]), Klisz_Verbräuche[[#This Row],[2026]]*Emissionsfaktoren[[#This Row],[2026]]/1000, 0)</f>
        <v>0</v>
      </c>
      <c r="R132" s="14">
        <f>IF(ISNUMBER(Klisz_Verbräuche[[#This Row],[2027]]), Klisz_Verbräuche[[#This Row],[2027]]*Emissionsfaktoren[[#This Row],[2027]]/1000, 0)</f>
        <v>0</v>
      </c>
      <c r="S132" s="14">
        <f>IF(ISNUMBER(Klisz_Verbräuche[[#This Row],[2028]]), Klisz_Verbräuche[[#This Row],[2028]]*Emissionsfaktoren[[#This Row],[2028]]/1000, 0)</f>
        <v>0</v>
      </c>
      <c r="T132" s="14">
        <f>IF(ISNUMBER(Klisz_Verbräuche[[#This Row],[2029]]), Klisz_Verbräuche[[#This Row],[2029]]*Emissionsfaktoren[[#This Row],[2029]]/1000, 0)</f>
        <v>0</v>
      </c>
      <c r="U132" s="14">
        <f>IF(ISNUMBER(Klisz_Verbräuche[[#This Row],[2030]]), Klisz_Verbräuche[[#This Row],[2030]]*Emissionsfaktoren[[#This Row],[2030]]/1000, 0)</f>
        <v>0</v>
      </c>
      <c r="V132" s="14">
        <f>IF(ISNUMBER(Klisz_Verbräuche[[#This Row],[2035]]), Klisz_Verbräuche[[#This Row],[2035]]*Emissionsfaktoren[[#This Row],[2035]]/1000, 0)</f>
        <v>0</v>
      </c>
      <c r="W132" s="14">
        <f>IF(ISNUMBER(Klisz_Verbräuche[[#This Row],[2040]]), Klisz_Verbräuche[[#This Row],[2040]]*Emissionsfaktoren[[#This Row],[2040]]/1000, 0)</f>
        <v>0</v>
      </c>
      <c r="X132" s="14">
        <f>IF(ISNUMBER(Klisz_Verbräuche[[#This Row],[2045]]), Klisz_Verbräuche[[#This Row],[2045]]*Emissionsfaktoren[[#This Row],[2045]]/1000, 0)</f>
        <v>0</v>
      </c>
      <c r="Y132" s="14">
        <f>IF(ISNUMBER(Klisz_Verbräuche[[#This Row],[2050]]), Klisz_Verbräuche[[#This Row],[2050]]*Emissionsfaktoren[[#This Row],[2050]]/1000, 0)</f>
        <v>0</v>
      </c>
    </row>
    <row r="133" spans="2:25" ht="16.5">
      <c r="B133" s="14">
        <v>116</v>
      </c>
      <c r="C133" s="14">
        <f>Refsz_Verbräuche[[#This Row],[Handlungsfeld]]</f>
        <v>0</v>
      </c>
      <c r="D133" s="19">
        <f>Refsz_Verbräuche[[#This Row],[Datenpunkt]]</f>
        <v>0</v>
      </c>
      <c r="E133" t="s">
        <v>195</v>
      </c>
      <c r="F133" s="14">
        <f>IF(ISNUMBER(Klisz_Verbräuche[[#This Row],[2015]]), Klisz_Verbräuche[[#This Row],[2015]]*Emissionsfaktoren[[#This Row],[2015]]/1000, 0)</f>
        <v>0</v>
      </c>
      <c r="G133" s="14">
        <f>IF(ISNUMBER(Klisz_Verbräuche[[#This Row],[2016]]), Klisz_Verbräuche[[#This Row],[2016]]*Emissionsfaktoren[[#This Row],[2016]]/1000, 0)</f>
        <v>0</v>
      </c>
      <c r="H133" s="14">
        <f>IF(ISNUMBER(Klisz_Verbräuche[[#This Row],[2017]]), Klisz_Verbräuche[[#This Row],[2017]]*Emissionsfaktoren[[#This Row],[2017]]/1000, 0)</f>
        <v>0</v>
      </c>
      <c r="I133" s="14">
        <f>IF(ISNUMBER(Klisz_Verbräuche[[#This Row],[2018]]), Klisz_Verbräuche[[#This Row],[2018]]*Emissionsfaktoren[[#This Row],[2018]]/1000, 0)</f>
        <v>0</v>
      </c>
      <c r="J133" s="14">
        <f>IF(ISNUMBER(Klisz_Verbräuche[[#This Row],[2019]]), Klisz_Verbräuche[[#This Row],[2019]]*Emissionsfaktoren[[#This Row],[2019]]/1000, 0)</f>
        <v>0</v>
      </c>
      <c r="K133" s="14">
        <f>IF(ISNUMBER(Klisz_Verbräuche[[#This Row],[2020]]), Klisz_Verbräuche[[#This Row],[2020]]*Emissionsfaktoren[[#This Row],[2020]]/1000, 0)</f>
        <v>0</v>
      </c>
      <c r="L133" s="14">
        <f>IF(ISNUMBER(Klisz_Verbräuche[[#This Row],[2021]]), Klisz_Verbräuche[[#This Row],[2021]]*Emissionsfaktoren[[#This Row],[2021]]/1000, 0)</f>
        <v>0</v>
      </c>
      <c r="M133" s="14">
        <f>IF(ISNUMBER(Klisz_Verbräuche[[#This Row],[2022]]), Klisz_Verbräuche[[#This Row],[2022]]*Emissionsfaktoren[[#This Row],[2022]]/1000, 0)</f>
        <v>0</v>
      </c>
      <c r="N133" s="14">
        <f>IF(ISNUMBER(Klisz_Verbräuche[[#This Row],[2023]]), Klisz_Verbräuche[[#This Row],[2023]]*Emissionsfaktoren[[#This Row],[2023]]/1000, 0)</f>
        <v>0</v>
      </c>
      <c r="O133" s="14">
        <f>IF(ISNUMBER(Klisz_Verbräuche[[#This Row],[2024]]), Klisz_Verbräuche[[#This Row],[2024]]*Emissionsfaktoren[[#This Row],[2024]]/1000, 0)</f>
        <v>0</v>
      </c>
      <c r="P133" s="14">
        <f>IF(ISNUMBER(Klisz_Verbräuche[[#This Row],[2025]]), Klisz_Verbräuche[[#This Row],[2025]]*Emissionsfaktoren[[#This Row],[2025]]/1000, 0)</f>
        <v>0</v>
      </c>
      <c r="Q133" s="14">
        <f>IF(ISNUMBER(Klisz_Verbräuche[[#This Row],[2026]]), Klisz_Verbräuche[[#This Row],[2026]]*Emissionsfaktoren[[#This Row],[2026]]/1000, 0)</f>
        <v>0</v>
      </c>
      <c r="R133" s="14">
        <f>IF(ISNUMBER(Klisz_Verbräuche[[#This Row],[2027]]), Klisz_Verbräuche[[#This Row],[2027]]*Emissionsfaktoren[[#This Row],[2027]]/1000, 0)</f>
        <v>0</v>
      </c>
      <c r="S133" s="14">
        <f>IF(ISNUMBER(Klisz_Verbräuche[[#This Row],[2028]]), Klisz_Verbräuche[[#This Row],[2028]]*Emissionsfaktoren[[#This Row],[2028]]/1000, 0)</f>
        <v>0</v>
      </c>
      <c r="T133" s="14">
        <f>IF(ISNUMBER(Klisz_Verbräuche[[#This Row],[2029]]), Klisz_Verbräuche[[#This Row],[2029]]*Emissionsfaktoren[[#This Row],[2029]]/1000, 0)</f>
        <v>0</v>
      </c>
      <c r="U133" s="14">
        <f>IF(ISNUMBER(Klisz_Verbräuche[[#This Row],[2030]]), Klisz_Verbräuche[[#This Row],[2030]]*Emissionsfaktoren[[#This Row],[2030]]/1000, 0)</f>
        <v>0</v>
      </c>
      <c r="V133" s="14">
        <f>IF(ISNUMBER(Klisz_Verbräuche[[#This Row],[2035]]), Klisz_Verbräuche[[#This Row],[2035]]*Emissionsfaktoren[[#This Row],[2035]]/1000, 0)</f>
        <v>0</v>
      </c>
      <c r="W133" s="14">
        <f>IF(ISNUMBER(Klisz_Verbräuche[[#This Row],[2040]]), Klisz_Verbräuche[[#This Row],[2040]]*Emissionsfaktoren[[#This Row],[2040]]/1000, 0)</f>
        <v>0</v>
      </c>
      <c r="X133" s="14">
        <f>IF(ISNUMBER(Klisz_Verbräuche[[#This Row],[2045]]), Klisz_Verbräuche[[#This Row],[2045]]*Emissionsfaktoren[[#This Row],[2045]]/1000, 0)</f>
        <v>0</v>
      </c>
      <c r="Y133" s="14">
        <f>IF(ISNUMBER(Klisz_Verbräuche[[#This Row],[2050]]), Klisz_Verbräuche[[#This Row],[2050]]*Emissionsfaktoren[[#This Row],[2050]]/1000, 0)</f>
        <v>0</v>
      </c>
    </row>
    <row r="134" spans="2:25" ht="16.5">
      <c r="B134" s="14">
        <v>117</v>
      </c>
      <c r="C134" s="14" t="str">
        <f>Refsz_Verbräuche[[#This Row],[Handlungsfeld]]</f>
        <v>Baugüter</v>
      </c>
      <c r="D134" s="19" t="str">
        <f>Refsz_Verbräuche[[#This Row],[Datenpunkt]]</f>
        <v>Branntkalk</v>
      </c>
      <c r="E134" t="s">
        <v>195</v>
      </c>
      <c r="F134" s="14">
        <f>IF(ISNUMBER(Klisz_Verbräuche[[#This Row],[2015]]), Klisz_Verbräuche[[#This Row],[2015]]*Emissionsfaktoren[[#This Row],[2015]]/1000, 0)</f>
        <v>0</v>
      </c>
      <c r="G134" s="14">
        <f>IF(ISNUMBER(Klisz_Verbräuche[[#This Row],[2016]]), Klisz_Verbräuche[[#This Row],[2016]]*Emissionsfaktoren[[#This Row],[2016]]/1000, 0)</f>
        <v>0</v>
      </c>
      <c r="H134" s="14">
        <f>IF(ISNUMBER(Klisz_Verbräuche[[#This Row],[2017]]), Klisz_Verbräuche[[#This Row],[2017]]*Emissionsfaktoren[[#This Row],[2017]]/1000, 0)</f>
        <v>0</v>
      </c>
      <c r="I134" s="14">
        <f>IF(ISNUMBER(Klisz_Verbräuche[[#This Row],[2018]]), Klisz_Verbräuche[[#This Row],[2018]]*Emissionsfaktoren[[#This Row],[2018]]/1000, 0)</f>
        <v>0</v>
      </c>
      <c r="J134" s="14">
        <f>IF(ISNUMBER(Klisz_Verbräuche[[#This Row],[2019]]), Klisz_Verbräuche[[#This Row],[2019]]*Emissionsfaktoren[[#This Row],[2019]]/1000, 0)</f>
        <v>0</v>
      </c>
      <c r="K134" s="14">
        <f>IF(ISNUMBER(Klisz_Verbräuche[[#This Row],[2020]]), Klisz_Verbräuche[[#This Row],[2020]]*Emissionsfaktoren[[#This Row],[2020]]/1000, 0)</f>
        <v>0</v>
      </c>
      <c r="L134" s="14">
        <f>IF(ISNUMBER(Klisz_Verbräuche[[#This Row],[2021]]), Klisz_Verbräuche[[#This Row],[2021]]*Emissionsfaktoren[[#This Row],[2021]]/1000, 0)</f>
        <v>0</v>
      </c>
      <c r="M134" s="14">
        <f>IF(ISNUMBER(Klisz_Verbräuche[[#This Row],[2022]]), Klisz_Verbräuche[[#This Row],[2022]]*Emissionsfaktoren[[#This Row],[2022]]/1000, 0)</f>
        <v>0</v>
      </c>
      <c r="N134" s="14">
        <f>IF(ISNUMBER(Klisz_Verbräuche[[#This Row],[2023]]), Klisz_Verbräuche[[#This Row],[2023]]*Emissionsfaktoren[[#This Row],[2023]]/1000, 0)</f>
        <v>0</v>
      </c>
      <c r="O134" s="14">
        <f>IF(ISNUMBER(Klisz_Verbräuche[[#This Row],[2024]]), Klisz_Verbräuche[[#This Row],[2024]]*Emissionsfaktoren[[#This Row],[2024]]/1000, 0)</f>
        <v>0</v>
      </c>
      <c r="P134" s="14">
        <f>IF(ISNUMBER(Klisz_Verbräuche[[#This Row],[2025]]), Klisz_Verbräuche[[#This Row],[2025]]*Emissionsfaktoren[[#This Row],[2025]]/1000, 0)</f>
        <v>0</v>
      </c>
      <c r="Q134" s="14">
        <f>IF(ISNUMBER(Klisz_Verbräuche[[#This Row],[2026]]), Klisz_Verbräuche[[#This Row],[2026]]*Emissionsfaktoren[[#This Row],[2026]]/1000, 0)</f>
        <v>0</v>
      </c>
      <c r="R134" s="14">
        <f>IF(ISNUMBER(Klisz_Verbräuche[[#This Row],[2027]]), Klisz_Verbräuche[[#This Row],[2027]]*Emissionsfaktoren[[#This Row],[2027]]/1000, 0)</f>
        <v>0</v>
      </c>
      <c r="S134" s="14">
        <f>IF(ISNUMBER(Klisz_Verbräuche[[#This Row],[2028]]), Klisz_Verbräuche[[#This Row],[2028]]*Emissionsfaktoren[[#This Row],[2028]]/1000, 0)</f>
        <v>0</v>
      </c>
      <c r="T134" s="14">
        <f>IF(ISNUMBER(Klisz_Verbräuche[[#This Row],[2029]]), Klisz_Verbräuche[[#This Row],[2029]]*Emissionsfaktoren[[#This Row],[2029]]/1000, 0)</f>
        <v>0</v>
      </c>
      <c r="U134" s="14">
        <f>IF(ISNUMBER(Klisz_Verbräuche[[#This Row],[2030]]), Klisz_Verbräuche[[#This Row],[2030]]*Emissionsfaktoren[[#This Row],[2030]]/1000, 0)</f>
        <v>0</v>
      </c>
      <c r="V134" s="14">
        <f>IF(ISNUMBER(Klisz_Verbräuche[[#This Row],[2035]]), Klisz_Verbräuche[[#This Row],[2035]]*Emissionsfaktoren[[#This Row],[2035]]/1000, 0)</f>
        <v>0</v>
      </c>
      <c r="W134" s="14">
        <f>IF(ISNUMBER(Klisz_Verbräuche[[#This Row],[2040]]), Klisz_Verbräuche[[#This Row],[2040]]*Emissionsfaktoren[[#This Row],[2040]]/1000, 0)</f>
        <v>0</v>
      </c>
      <c r="X134" s="14">
        <f>IF(ISNUMBER(Klisz_Verbräuche[[#This Row],[2045]]), Klisz_Verbräuche[[#This Row],[2045]]*Emissionsfaktoren[[#This Row],[2045]]/1000, 0)</f>
        <v>0</v>
      </c>
      <c r="Y134" s="14">
        <f>IF(ISNUMBER(Klisz_Verbräuche[[#This Row],[2050]]), Klisz_Verbräuche[[#This Row],[2050]]*Emissionsfaktoren[[#This Row],[2050]]/1000, 0)</f>
        <v>0</v>
      </c>
    </row>
    <row r="135" spans="2:25" ht="16.5">
      <c r="B135" s="14">
        <v>118</v>
      </c>
      <c r="C135" s="14" t="str">
        <f>Refsz_Verbräuche[[#This Row],[Handlungsfeld]]</f>
        <v>Baugüter</v>
      </c>
      <c r="D135" s="19" t="str">
        <f>Refsz_Verbräuche[[#This Row],[Datenpunkt]]</f>
        <v>Gips</v>
      </c>
      <c r="E135" t="s">
        <v>195</v>
      </c>
      <c r="F135" s="14">
        <f>IF(ISNUMBER(Klisz_Verbräuche[[#This Row],[2015]]), Klisz_Verbräuche[[#This Row],[2015]]*Emissionsfaktoren[[#This Row],[2015]]/1000, 0)</f>
        <v>0</v>
      </c>
      <c r="G135" s="14">
        <f>IF(ISNUMBER(Klisz_Verbräuche[[#This Row],[2016]]), Klisz_Verbräuche[[#This Row],[2016]]*Emissionsfaktoren[[#This Row],[2016]]/1000, 0)</f>
        <v>0</v>
      </c>
      <c r="H135" s="14">
        <f>IF(ISNUMBER(Klisz_Verbräuche[[#This Row],[2017]]), Klisz_Verbräuche[[#This Row],[2017]]*Emissionsfaktoren[[#This Row],[2017]]/1000, 0)</f>
        <v>0</v>
      </c>
      <c r="I135" s="14">
        <f>IF(ISNUMBER(Klisz_Verbräuche[[#This Row],[2018]]), Klisz_Verbräuche[[#This Row],[2018]]*Emissionsfaktoren[[#This Row],[2018]]/1000, 0)</f>
        <v>0</v>
      </c>
      <c r="J135" s="14">
        <f>IF(ISNUMBER(Klisz_Verbräuche[[#This Row],[2019]]), Klisz_Verbräuche[[#This Row],[2019]]*Emissionsfaktoren[[#This Row],[2019]]/1000, 0)</f>
        <v>0</v>
      </c>
      <c r="K135" s="14">
        <f>IF(ISNUMBER(Klisz_Verbräuche[[#This Row],[2020]]), Klisz_Verbräuche[[#This Row],[2020]]*Emissionsfaktoren[[#This Row],[2020]]/1000, 0)</f>
        <v>0</v>
      </c>
      <c r="L135" s="14">
        <f>IF(ISNUMBER(Klisz_Verbräuche[[#This Row],[2021]]), Klisz_Verbräuche[[#This Row],[2021]]*Emissionsfaktoren[[#This Row],[2021]]/1000, 0)</f>
        <v>0</v>
      </c>
      <c r="M135" s="14">
        <f>IF(ISNUMBER(Klisz_Verbräuche[[#This Row],[2022]]), Klisz_Verbräuche[[#This Row],[2022]]*Emissionsfaktoren[[#This Row],[2022]]/1000, 0)</f>
        <v>0</v>
      </c>
      <c r="N135" s="14">
        <f>IF(ISNUMBER(Klisz_Verbräuche[[#This Row],[2023]]), Klisz_Verbräuche[[#This Row],[2023]]*Emissionsfaktoren[[#This Row],[2023]]/1000, 0)</f>
        <v>0</v>
      </c>
      <c r="O135" s="14">
        <f>IF(ISNUMBER(Klisz_Verbräuche[[#This Row],[2024]]), Klisz_Verbräuche[[#This Row],[2024]]*Emissionsfaktoren[[#This Row],[2024]]/1000, 0)</f>
        <v>0</v>
      </c>
      <c r="P135" s="14">
        <f>IF(ISNUMBER(Klisz_Verbräuche[[#This Row],[2025]]), Klisz_Verbräuche[[#This Row],[2025]]*Emissionsfaktoren[[#This Row],[2025]]/1000, 0)</f>
        <v>0</v>
      </c>
      <c r="Q135" s="14">
        <f>IF(ISNUMBER(Klisz_Verbräuche[[#This Row],[2026]]), Klisz_Verbräuche[[#This Row],[2026]]*Emissionsfaktoren[[#This Row],[2026]]/1000, 0)</f>
        <v>0</v>
      </c>
      <c r="R135" s="14">
        <f>IF(ISNUMBER(Klisz_Verbräuche[[#This Row],[2027]]), Klisz_Verbräuche[[#This Row],[2027]]*Emissionsfaktoren[[#This Row],[2027]]/1000, 0)</f>
        <v>0</v>
      </c>
      <c r="S135" s="14">
        <f>IF(ISNUMBER(Klisz_Verbräuche[[#This Row],[2028]]), Klisz_Verbräuche[[#This Row],[2028]]*Emissionsfaktoren[[#This Row],[2028]]/1000, 0)</f>
        <v>0</v>
      </c>
      <c r="T135" s="14">
        <f>IF(ISNUMBER(Klisz_Verbräuche[[#This Row],[2029]]), Klisz_Verbräuche[[#This Row],[2029]]*Emissionsfaktoren[[#This Row],[2029]]/1000, 0)</f>
        <v>0</v>
      </c>
      <c r="U135" s="14">
        <f>IF(ISNUMBER(Klisz_Verbräuche[[#This Row],[2030]]), Klisz_Verbräuche[[#This Row],[2030]]*Emissionsfaktoren[[#This Row],[2030]]/1000, 0)</f>
        <v>0</v>
      </c>
      <c r="V135" s="14">
        <f>IF(ISNUMBER(Klisz_Verbräuche[[#This Row],[2035]]), Klisz_Verbräuche[[#This Row],[2035]]*Emissionsfaktoren[[#This Row],[2035]]/1000, 0)</f>
        <v>0</v>
      </c>
      <c r="W135" s="14">
        <f>IF(ISNUMBER(Klisz_Verbräuche[[#This Row],[2040]]), Klisz_Verbräuche[[#This Row],[2040]]*Emissionsfaktoren[[#This Row],[2040]]/1000, 0)</f>
        <v>0</v>
      </c>
      <c r="X135" s="14">
        <f>IF(ISNUMBER(Klisz_Verbräuche[[#This Row],[2045]]), Klisz_Verbräuche[[#This Row],[2045]]*Emissionsfaktoren[[#This Row],[2045]]/1000, 0)</f>
        <v>0</v>
      </c>
      <c r="Y135" s="14">
        <f>IF(ISNUMBER(Klisz_Verbräuche[[#This Row],[2050]]), Klisz_Verbräuche[[#This Row],[2050]]*Emissionsfaktoren[[#This Row],[2050]]/1000, 0)</f>
        <v>0</v>
      </c>
    </row>
    <row r="136" spans="2:25" ht="16.5">
      <c r="B136" s="14">
        <v>119</v>
      </c>
      <c r="C136" s="14" t="str">
        <f>Refsz_Verbräuche[[#This Row],[Handlungsfeld]]</f>
        <v>Baugüter</v>
      </c>
      <c r="D136" s="19" t="str">
        <f>Refsz_Verbräuche[[#This Row],[Datenpunkt]]</f>
        <v>Gipsplatte</v>
      </c>
      <c r="E136" t="s">
        <v>195</v>
      </c>
      <c r="F136" s="14">
        <f>IF(ISNUMBER(Klisz_Verbräuche[[#This Row],[2015]]), Klisz_Verbräuche[[#This Row],[2015]]*Emissionsfaktoren[[#This Row],[2015]]/1000, 0)</f>
        <v>0</v>
      </c>
      <c r="G136" s="14">
        <f>IF(ISNUMBER(Klisz_Verbräuche[[#This Row],[2016]]), Klisz_Verbräuche[[#This Row],[2016]]*Emissionsfaktoren[[#This Row],[2016]]/1000, 0)</f>
        <v>0</v>
      </c>
      <c r="H136" s="14">
        <f>IF(ISNUMBER(Klisz_Verbräuche[[#This Row],[2017]]), Klisz_Verbräuche[[#This Row],[2017]]*Emissionsfaktoren[[#This Row],[2017]]/1000, 0)</f>
        <v>0</v>
      </c>
      <c r="I136" s="14">
        <f>IF(ISNUMBER(Klisz_Verbräuche[[#This Row],[2018]]), Klisz_Verbräuche[[#This Row],[2018]]*Emissionsfaktoren[[#This Row],[2018]]/1000, 0)</f>
        <v>0</v>
      </c>
      <c r="J136" s="14">
        <f>IF(ISNUMBER(Klisz_Verbräuche[[#This Row],[2019]]), Klisz_Verbräuche[[#This Row],[2019]]*Emissionsfaktoren[[#This Row],[2019]]/1000, 0)</f>
        <v>0</v>
      </c>
      <c r="K136" s="14">
        <f>IF(ISNUMBER(Klisz_Verbräuche[[#This Row],[2020]]), Klisz_Verbräuche[[#This Row],[2020]]*Emissionsfaktoren[[#This Row],[2020]]/1000, 0)</f>
        <v>0</v>
      </c>
      <c r="L136" s="14">
        <f>IF(ISNUMBER(Klisz_Verbräuche[[#This Row],[2021]]), Klisz_Verbräuche[[#This Row],[2021]]*Emissionsfaktoren[[#This Row],[2021]]/1000, 0)</f>
        <v>0</v>
      </c>
      <c r="M136" s="14">
        <f>IF(ISNUMBER(Klisz_Verbräuche[[#This Row],[2022]]), Klisz_Verbräuche[[#This Row],[2022]]*Emissionsfaktoren[[#This Row],[2022]]/1000, 0)</f>
        <v>0</v>
      </c>
      <c r="N136" s="14">
        <f>IF(ISNUMBER(Klisz_Verbräuche[[#This Row],[2023]]), Klisz_Verbräuche[[#This Row],[2023]]*Emissionsfaktoren[[#This Row],[2023]]/1000, 0)</f>
        <v>0</v>
      </c>
      <c r="O136" s="14">
        <f>IF(ISNUMBER(Klisz_Verbräuche[[#This Row],[2024]]), Klisz_Verbräuche[[#This Row],[2024]]*Emissionsfaktoren[[#This Row],[2024]]/1000, 0)</f>
        <v>0</v>
      </c>
      <c r="P136" s="14">
        <f>IF(ISNUMBER(Klisz_Verbräuche[[#This Row],[2025]]), Klisz_Verbräuche[[#This Row],[2025]]*Emissionsfaktoren[[#This Row],[2025]]/1000, 0)</f>
        <v>0</v>
      </c>
      <c r="Q136" s="14">
        <f>IF(ISNUMBER(Klisz_Verbräuche[[#This Row],[2026]]), Klisz_Verbräuche[[#This Row],[2026]]*Emissionsfaktoren[[#This Row],[2026]]/1000, 0)</f>
        <v>0</v>
      </c>
      <c r="R136" s="14">
        <f>IF(ISNUMBER(Klisz_Verbräuche[[#This Row],[2027]]), Klisz_Verbräuche[[#This Row],[2027]]*Emissionsfaktoren[[#This Row],[2027]]/1000, 0)</f>
        <v>0</v>
      </c>
      <c r="S136" s="14">
        <f>IF(ISNUMBER(Klisz_Verbräuche[[#This Row],[2028]]), Klisz_Verbräuche[[#This Row],[2028]]*Emissionsfaktoren[[#This Row],[2028]]/1000, 0)</f>
        <v>0</v>
      </c>
      <c r="T136" s="14">
        <f>IF(ISNUMBER(Klisz_Verbräuche[[#This Row],[2029]]), Klisz_Verbräuche[[#This Row],[2029]]*Emissionsfaktoren[[#This Row],[2029]]/1000, 0)</f>
        <v>0</v>
      </c>
      <c r="U136" s="14">
        <f>IF(ISNUMBER(Klisz_Verbräuche[[#This Row],[2030]]), Klisz_Verbräuche[[#This Row],[2030]]*Emissionsfaktoren[[#This Row],[2030]]/1000, 0)</f>
        <v>0</v>
      </c>
      <c r="V136" s="14">
        <f>IF(ISNUMBER(Klisz_Verbräuche[[#This Row],[2035]]), Klisz_Verbräuche[[#This Row],[2035]]*Emissionsfaktoren[[#This Row],[2035]]/1000, 0)</f>
        <v>0</v>
      </c>
      <c r="W136" s="14">
        <f>IF(ISNUMBER(Klisz_Verbräuche[[#This Row],[2040]]), Klisz_Verbräuche[[#This Row],[2040]]*Emissionsfaktoren[[#This Row],[2040]]/1000, 0)</f>
        <v>0</v>
      </c>
      <c r="X136" s="14">
        <f>IF(ISNUMBER(Klisz_Verbräuche[[#This Row],[2045]]), Klisz_Verbräuche[[#This Row],[2045]]*Emissionsfaktoren[[#This Row],[2045]]/1000, 0)</f>
        <v>0</v>
      </c>
      <c r="Y136" s="14">
        <f>IF(ISNUMBER(Klisz_Verbräuche[[#This Row],[2050]]), Klisz_Verbräuche[[#This Row],[2050]]*Emissionsfaktoren[[#This Row],[2050]]/1000, 0)</f>
        <v>0</v>
      </c>
    </row>
    <row r="137" spans="2:25" ht="16.5">
      <c r="B137" s="14">
        <v>120</v>
      </c>
      <c r="C137" s="14" t="str">
        <f>Refsz_Verbräuche[[#This Row],[Handlungsfeld]]</f>
        <v>Baugüter</v>
      </c>
      <c r="D137" s="19" t="str">
        <f>Refsz_Verbräuche[[#This Row],[Datenpunkt]]</f>
        <v>Glas (flach)</v>
      </c>
      <c r="E137" t="s">
        <v>195</v>
      </c>
      <c r="F137" s="14">
        <f>IF(ISNUMBER(Klisz_Verbräuche[[#This Row],[2015]]), Klisz_Verbräuche[[#This Row],[2015]]*Emissionsfaktoren[[#This Row],[2015]]/1000, 0)</f>
        <v>0</v>
      </c>
      <c r="G137" s="14">
        <f>IF(ISNUMBER(Klisz_Verbräuche[[#This Row],[2016]]), Klisz_Verbräuche[[#This Row],[2016]]*Emissionsfaktoren[[#This Row],[2016]]/1000, 0)</f>
        <v>0</v>
      </c>
      <c r="H137" s="14">
        <f>IF(ISNUMBER(Klisz_Verbräuche[[#This Row],[2017]]), Klisz_Verbräuche[[#This Row],[2017]]*Emissionsfaktoren[[#This Row],[2017]]/1000, 0)</f>
        <v>0</v>
      </c>
      <c r="I137" s="14">
        <f>IF(ISNUMBER(Klisz_Verbräuche[[#This Row],[2018]]), Klisz_Verbräuche[[#This Row],[2018]]*Emissionsfaktoren[[#This Row],[2018]]/1000, 0)</f>
        <v>0</v>
      </c>
      <c r="J137" s="14">
        <f>IF(ISNUMBER(Klisz_Verbräuche[[#This Row],[2019]]), Klisz_Verbräuche[[#This Row],[2019]]*Emissionsfaktoren[[#This Row],[2019]]/1000, 0)</f>
        <v>0</v>
      </c>
      <c r="K137" s="14">
        <f>IF(ISNUMBER(Klisz_Verbräuche[[#This Row],[2020]]), Klisz_Verbräuche[[#This Row],[2020]]*Emissionsfaktoren[[#This Row],[2020]]/1000, 0)</f>
        <v>0</v>
      </c>
      <c r="L137" s="14">
        <f>IF(ISNUMBER(Klisz_Verbräuche[[#This Row],[2021]]), Klisz_Verbräuche[[#This Row],[2021]]*Emissionsfaktoren[[#This Row],[2021]]/1000, 0)</f>
        <v>0</v>
      </c>
      <c r="M137" s="14">
        <f>IF(ISNUMBER(Klisz_Verbräuche[[#This Row],[2022]]), Klisz_Verbräuche[[#This Row],[2022]]*Emissionsfaktoren[[#This Row],[2022]]/1000, 0)</f>
        <v>0</v>
      </c>
      <c r="N137" s="14">
        <f>IF(ISNUMBER(Klisz_Verbräuche[[#This Row],[2023]]), Klisz_Verbräuche[[#This Row],[2023]]*Emissionsfaktoren[[#This Row],[2023]]/1000, 0)</f>
        <v>0</v>
      </c>
      <c r="O137" s="14">
        <f>IF(ISNUMBER(Klisz_Verbräuche[[#This Row],[2024]]), Klisz_Verbräuche[[#This Row],[2024]]*Emissionsfaktoren[[#This Row],[2024]]/1000, 0)</f>
        <v>0</v>
      </c>
      <c r="P137" s="14">
        <f>IF(ISNUMBER(Klisz_Verbräuche[[#This Row],[2025]]), Klisz_Verbräuche[[#This Row],[2025]]*Emissionsfaktoren[[#This Row],[2025]]/1000, 0)</f>
        <v>0</v>
      </c>
      <c r="Q137" s="14">
        <f>IF(ISNUMBER(Klisz_Verbräuche[[#This Row],[2026]]), Klisz_Verbräuche[[#This Row],[2026]]*Emissionsfaktoren[[#This Row],[2026]]/1000, 0)</f>
        <v>0</v>
      </c>
      <c r="R137" s="14">
        <f>IF(ISNUMBER(Klisz_Verbräuche[[#This Row],[2027]]), Klisz_Verbräuche[[#This Row],[2027]]*Emissionsfaktoren[[#This Row],[2027]]/1000, 0)</f>
        <v>0</v>
      </c>
      <c r="S137" s="14">
        <f>IF(ISNUMBER(Klisz_Verbräuche[[#This Row],[2028]]), Klisz_Verbräuche[[#This Row],[2028]]*Emissionsfaktoren[[#This Row],[2028]]/1000, 0)</f>
        <v>0</v>
      </c>
      <c r="T137" s="14">
        <f>IF(ISNUMBER(Klisz_Verbräuche[[#This Row],[2029]]), Klisz_Verbräuche[[#This Row],[2029]]*Emissionsfaktoren[[#This Row],[2029]]/1000, 0)</f>
        <v>0</v>
      </c>
      <c r="U137" s="14">
        <f>IF(ISNUMBER(Klisz_Verbräuche[[#This Row],[2030]]), Klisz_Verbräuche[[#This Row],[2030]]*Emissionsfaktoren[[#This Row],[2030]]/1000, 0)</f>
        <v>0</v>
      </c>
      <c r="V137" s="14">
        <f>IF(ISNUMBER(Klisz_Verbräuche[[#This Row],[2035]]), Klisz_Verbräuche[[#This Row],[2035]]*Emissionsfaktoren[[#This Row],[2035]]/1000, 0)</f>
        <v>0</v>
      </c>
      <c r="W137" s="14">
        <f>IF(ISNUMBER(Klisz_Verbräuche[[#This Row],[2040]]), Klisz_Verbräuche[[#This Row],[2040]]*Emissionsfaktoren[[#This Row],[2040]]/1000, 0)</f>
        <v>0</v>
      </c>
      <c r="X137" s="14">
        <f>IF(ISNUMBER(Klisz_Verbräuche[[#This Row],[2045]]), Klisz_Verbräuche[[#This Row],[2045]]*Emissionsfaktoren[[#This Row],[2045]]/1000, 0)</f>
        <v>0</v>
      </c>
      <c r="Y137" s="14">
        <f>IF(ISNUMBER(Klisz_Verbräuche[[#This Row],[2050]]), Klisz_Verbräuche[[#This Row],[2050]]*Emissionsfaktoren[[#This Row],[2050]]/1000, 0)</f>
        <v>0</v>
      </c>
    </row>
    <row r="138" spans="2:25" ht="16.5">
      <c r="B138" s="14">
        <v>121</v>
      </c>
      <c r="C138" s="14" t="str">
        <f>Refsz_Verbräuche[[#This Row],[Handlungsfeld]]</f>
        <v>Baugüter</v>
      </c>
      <c r="D138" s="19" t="str">
        <f>Refsz_Verbräuche[[#This Row],[Datenpunkt]]</f>
        <v>Gussasphalt</v>
      </c>
      <c r="E138" t="s">
        <v>195</v>
      </c>
      <c r="F138" s="14">
        <f>IF(ISNUMBER(Klisz_Verbräuche[[#This Row],[2015]]), Klisz_Verbräuche[[#This Row],[2015]]*Emissionsfaktoren[[#This Row],[2015]]/1000, 0)</f>
        <v>0</v>
      </c>
      <c r="G138" s="14">
        <f>IF(ISNUMBER(Klisz_Verbräuche[[#This Row],[2016]]), Klisz_Verbräuche[[#This Row],[2016]]*Emissionsfaktoren[[#This Row],[2016]]/1000, 0)</f>
        <v>0</v>
      </c>
      <c r="H138" s="14">
        <f>IF(ISNUMBER(Klisz_Verbräuche[[#This Row],[2017]]), Klisz_Verbräuche[[#This Row],[2017]]*Emissionsfaktoren[[#This Row],[2017]]/1000, 0)</f>
        <v>0</v>
      </c>
      <c r="I138" s="14">
        <f>IF(ISNUMBER(Klisz_Verbräuche[[#This Row],[2018]]), Klisz_Verbräuche[[#This Row],[2018]]*Emissionsfaktoren[[#This Row],[2018]]/1000, 0)</f>
        <v>0</v>
      </c>
      <c r="J138" s="14">
        <f>IF(ISNUMBER(Klisz_Verbräuche[[#This Row],[2019]]), Klisz_Verbräuche[[#This Row],[2019]]*Emissionsfaktoren[[#This Row],[2019]]/1000, 0)</f>
        <v>0</v>
      </c>
      <c r="K138" s="14">
        <f>IF(ISNUMBER(Klisz_Verbräuche[[#This Row],[2020]]), Klisz_Verbräuche[[#This Row],[2020]]*Emissionsfaktoren[[#This Row],[2020]]/1000, 0)</f>
        <v>0</v>
      </c>
      <c r="L138" s="14">
        <f>IF(ISNUMBER(Klisz_Verbräuche[[#This Row],[2021]]), Klisz_Verbräuche[[#This Row],[2021]]*Emissionsfaktoren[[#This Row],[2021]]/1000, 0)</f>
        <v>0</v>
      </c>
      <c r="M138" s="14">
        <f>IF(ISNUMBER(Klisz_Verbräuche[[#This Row],[2022]]), Klisz_Verbräuche[[#This Row],[2022]]*Emissionsfaktoren[[#This Row],[2022]]/1000, 0)</f>
        <v>0</v>
      </c>
      <c r="N138" s="14">
        <f>IF(ISNUMBER(Klisz_Verbräuche[[#This Row],[2023]]), Klisz_Verbräuche[[#This Row],[2023]]*Emissionsfaktoren[[#This Row],[2023]]/1000, 0)</f>
        <v>0</v>
      </c>
      <c r="O138" s="14">
        <f>IF(ISNUMBER(Klisz_Verbräuche[[#This Row],[2024]]), Klisz_Verbräuche[[#This Row],[2024]]*Emissionsfaktoren[[#This Row],[2024]]/1000, 0)</f>
        <v>0</v>
      </c>
      <c r="P138" s="14">
        <f>IF(ISNUMBER(Klisz_Verbräuche[[#This Row],[2025]]), Klisz_Verbräuche[[#This Row],[2025]]*Emissionsfaktoren[[#This Row],[2025]]/1000, 0)</f>
        <v>0</v>
      </c>
      <c r="Q138" s="14">
        <f>IF(ISNUMBER(Klisz_Verbräuche[[#This Row],[2026]]), Klisz_Verbräuche[[#This Row],[2026]]*Emissionsfaktoren[[#This Row],[2026]]/1000, 0)</f>
        <v>0</v>
      </c>
      <c r="R138" s="14">
        <f>IF(ISNUMBER(Klisz_Verbräuche[[#This Row],[2027]]), Klisz_Verbräuche[[#This Row],[2027]]*Emissionsfaktoren[[#This Row],[2027]]/1000, 0)</f>
        <v>0</v>
      </c>
      <c r="S138" s="14">
        <f>IF(ISNUMBER(Klisz_Verbräuche[[#This Row],[2028]]), Klisz_Verbräuche[[#This Row],[2028]]*Emissionsfaktoren[[#This Row],[2028]]/1000, 0)</f>
        <v>0</v>
      </c>
      <c r="T138" s="14">
        <f>IF(ISNUMBER(Klisz_Verbräuche[[#This Row],[2029]]), Klisz_Verbräuche[[#This Row],[2029]]*Emissionsfaktoren[[#This Row],[2029]]/1000, 0)</f>
        <v>0</v>
      </c>
      <c r="U138" s="14">
        <f>IF(ISNUMBER(Klisz_Verbräuche[[#This Row],[2030]]), Klisz_Verbräuche[[#This Row],[2030]]*Emissionsfaktoren[[#This Row],[2030]]/1000, 0)</f>
        <v>0</v>
      </c>
      <c r="V138" s="14">
        <f>IF(ISNUMBER(Klisz_Verbräuche[[#This Row],[2035]]), Klisz_Verbräuche[[#This Row],[2035]]*Emissionsfaktoren[[#This Row],[2035]]/1000, 0)</f>
        <v>0</v>
      </c>
      <c r="W138" s="14">
        <f>IF(ISNUMBER(Klisz_Verbräuche[[#This Row],[2040]]), Klisz_Verbräuche[[#This Row],[2040]]*Emissionsfaktoren[[#This Row],[2040]]/1000, 0)</f>
        <v>0</v>
      </c>
      <c r="X138" s="14">
        <f>IF(ISNUMBER(Klisz_Verbräuche[[#This Row],[2045]]), Klisz_Verbräuche[[#This Row],[2045]]*Emissionsfaktoren[[#This Row],[2045]]/1000, 0)</f>
        <v>0</v>
      </c>
      <c r="Y138" s="14">
        <f>IF(ISNUMBER(Klisz_Verbräuche[[#This Row],[2050]]), Klisz_Verbräuche[[#This Row],[2050]]*Emissionsfaktoren[[#This Row],[2050]]/1000, 0)</f>
        <v>0</v>
      </c>
    </row>
    <row r="139" spans="2:25" ht="16.5">
      <c r="B139" s="14">
        <v>122</v>
      </c>
      <c r="C139" s="14" t="str">
        <f>Refsz_Verbräuche[[#This Row],[Handlungsfeld]]</f>
        <v>Baugüter</v>
      </c>
      <c r="D139" s="19" t="str">
        <f>Refsz_Verbräuche[[#This Row],[Datenpunkt]]</f>
        <v>Kalksandstein</v>
      </c>
      <c r="E139" t="s">
        <v>195</v>
      </c>
      <c r="F139" s="14">
        <f>IF(ISNUMBER(Klisz_Verbräuche[[#This Row],[2015]]), Klisz_Verbräuche[[#This Row],[2015]]*Emissionsfaktoren[[#This Row],[2015]]/1000, 0)</f>
        <v>0</v>
      </c>
      <c r="G139" s="14">
        <f>IF(ISNUMBER(Klisz_Verbräuche[[#This Row],[2016]]), Klisz_Verbräuche[[#This Row],[2016]]*Emissionsfaktoren[[#This Row],[2016]]/1000, 0)</f>
        <v>0</v>
      </c>
      <c r="H139" s="14">
        <f>IF(ISNUMBER(Klisz_Verbräuche[[#This Row],[2017]]), Klisz_Verbräuche[[#This Row],[2017]]*Emissionsfaktoren[[#This Row],[2017]]/1000, 0)</f>
        <v>0</v>
      </c>
      <c r="I139" s="14">
        <f>IF(ISNUMBER(Klisz_Verbräuche[[#This Row],[2018]]), Klisz_Verbräuche[[#This Row],[2018]]*Emissionsfaktoren[[#This Row],[2018]]/1000, 0)</f>
        <v>0</v>
      </c>
      <c r="J139" s="14">
        <f>IF(ISNUMBER(Klisz_Verbräuche[[#This Row],[2019]]), Klisz_Verbräuche[[#This Row],[2019]]*Emissionsfaktoren[[#This Row],[2019]]/1000, 0)</f>
        <v>0</v>
      </c>
      <c r="K139" s="14">
        <f>IF(ISNUMBER(Klisz_Verbräuche[[#This Row],[2020]]), Klisz_Verbräuche[[#This Row],[2020]]*Emissionsfaktoren[[#This Row],[2020]]/1000, 0)</f>
        <v>0</v>
      </c>
      <c r="L139" s="14">
        <f>IF(ISNUMBER(Klisz_Verbräuche[[#This Row],[2021]]), Klisz_Verbräuche[[#This Row],[2021]]*Emissionsfaktoren[[#This Row],[2021]]/1000, 0)</f>
        <v>0</v>
      </c>
      <c r="M139" s="14">
        <f>IF(ISNUMBER(Klisz_Verbräuche[[#This Row],[2022]]), Klisz_Verbräuche[[#This Row],[2022]]*Emissionsfaktoren[[#This Row],[2022]]/1000, 0)</f>
        <v>0</v>
      </c>
      <c r="N139" s="14">
        <f>IF(ISNUMBER(Klisz_Verbräuche[[#This Row],[2023]]), Klisz_Verbräuche[[#This Row],[2023]]*Emissionsfaktoren[[#This Row],[2023]]/1000, 0)</f>
        <v>0</v>
      </c>
      <c r="O139" s="14">
        <f>IF(ISNUMBER(Klisz_Verbräuche[[#This Row],[2024]]), Klisz_Verbräuche[[#This Row],[2024]]*Emissionsfaktoren[[#This Row],[2024]]/1000, 0)</f>
        <v>0</v>
      </c>
      <c r="P139" s="14">
        <f>IF(ISNUMBER(Klisz_Verbräuche[[#This Row],[2025]]), Klisz_Verbräuche[[#This Row],[2025]]*Emissionsfaktoren[[#This Row],[2025]]/1000, 0)</f>
        <v>0</v>
      </c>
      <c r="Q139" s="14">
        <f>IF(ISNUMBER(Klisz_Verbräuche[[#This Row],[2026]]), Klisz_Verbräuche[[#This Row],[2026]]*Emissionsfaktoren[[#This Row],[2026]]/1000, 0)</f>
        <v>0</v>
      </c>
      <c r="R139" s="14">
        <f>IF(ISNUMBER(Klisz_Verbräuche[[#This Row],[2027]]), Klisz_Verbräuche[[#This Row],[2027]]*Emissionsfaktoren[[#This Row],[2027]]/1000, 0)</f>
        <v>0</v>
      </c>
      <c r="S139" s="14">
        <f>IF(ISNUMBER(Klisz_Verbräuche[[#This Row],[2028]]), Klisz_Verbräuche[[#This Row],[2028]]*Emissionsfaktoren[[#This Row],[2028]]/1000, 0)</f>
        <v>0</v>
      </c>
      <c r="T139" s="14">
        <f>IF(ISNUMBER(Klisz_Verbräuche[[#This Row],[2029]]), Klisz_Verbräuche[[#This Row],[2029]]*Emissionsfaktoren[[#This Row],[2029]]/1000, 0)</f>
        <v>0</v>
      </c>
      <c r="U139" s="14">
        <f>IF(ISNUMBER(Klisz_Verbräuche[[#This Row],[2030]]), Klisz_Verbräuche[[#This Row],[2030]]*Emissionsfaktoren[[#This Row],[2030]]/1000, 0)</f>
        <v>0</v>
      </c>
      <c r="V139" s="14">
        <f>IF(ISNUMBER(Klisz_Verbräuche[[#This Row],[2035]]), Klisz_Verbräuche[[#This Row],[2035]]*Emissionsfaktoren[[#This Row],[2035]]/1000, 0)</f>
        <v>0</v>
      </c>
      <c r="W139" s="14">
        <f>IF(ISNUMBER(Klisz_Verbräuche[[#This Row],[2040]]), Klisz_Verbräuche[[#This Row],[2040]]*Emissionsfaktoren[[#This Row],[2040]]/1000, 0)</f>
        <v>0</v>
      </c>
      <c r="X139" s="14">
        <f>IF(ISNUMBER(Klisz_Verbräuche[[#This Row],[2045]]), Klisz_Verbräuche[[#This Row],[2045]]*Emissionsfaktoren[[#This Row],[2045]]/1000, 0)</f>
        <v>0</v>
      </c>
      <c r="Y139" s="14">
        <f>IF(ISNUMBER(Klisz_Verbräuche[[#This Row],[2050]]), Klisz_Verbräuche[[#This Row],[2050]]*Emissionsfaktoren[[#This Row],[2050]]/1000, 0)</f>
        <v>0</v>
      </c>
    </row>
    <row r="140" spans="2:25" ht="16.5">
      <c r="B140" s="14">
        <v>123</v>
      </c>
      <c r="C140" s="14" t="str">
        <f>Refsz_Verbräuche[[#This Row],[Handlungsfeld]]</f>
        <v>Baugüter</v>
      </c>
      <c r="D140" s="19" t="str">
        <f>Refsz_Verbräuche[[#This Row],[Datenpunkt]]</f>
        <v>Porenbetonstein</v>
      </c>
      <c r="E140" t="s">
        <v>195</v>
      </c>
      <c r="F140" s="14">
        <f>IF(ISNUMBER(Klisz_Verbräuche[[#This Row],[2015]]), Klisz_Verbräuche[[#This Row],[2015]]*Emissionsfaktoren[[#This Row],[2015]]/1000, 0)</f>
        <v>0</v>
      </c>
      <c r="G140" s="14">
        <f>IF(ISNUMBER(Klisz_Verbräuche[[#This Row],[2016]]), Klisz_Verbräuche[[#This Row],[2016]]*Emissionsfaktoren[[#This Row],[2016]]/1000, 0)</f>
        <v>0</v>
      </c>
      <c r="H140" s="14">
        <f>IF(ISNUMBER(Klisz_Verbräuche[[#This Row],[2017]]), Klisz_Verbräuche[[#This Row],[2017]]*Emissionsfaktoren[[#This Row],[2017]]/1000, 0)</f>
        <v>0</v>
      </c>
      <c r="I140" s="14">
        <f>IF(ISNUMBER(Klisz_Verbräuche[[#This Row],[2018]]), Klisz_Verbräuche[[#This Row],[2018]]*Emissionsfaktoren[[#This Row],[2018]]/1000, 0)</f>
        <v>0</v>
      </c>
      <c r="J140" s="14">
        <f>IF(ISNUMBER(Klisz_Verbräuche[[#This Row],[2019]]), Klisz_Verbräuche[[#This Row],[2019]]*Emissionsfaktoren[[#This Row],[2019]]/1000, 0)</f>
        <v>0</v>
      </c>
      <c r="K140" s="14">
        <f>IF(ISNUMBER(Klisz_Verbräuche[[#This Row],[2020]]), Klisz_Verbräuche[[#This Row],[2020]]*Emissionsfaktoren[[#This Row],[2020]]/1000, 0)</f>
        <v>0</v>
      </c>
      <c r="L140" s="14">
        <f>IF(ISNUMBER(Klisz_Verbräuche[[#This Row],[2021]]), Klisz_Verbräuche[[#This Row],[2021]]*Emissionsfaktoren[[#This Row],[2021]]/1000, 0)</f>
        <v>0</v>
      </c>
      <c r="M140" s="14">
        <f>IF(ISNUMBER(Klisz_Verbräuche[[#This Row],[2022]]), Klisz_Verbräuche[[#This Row],[2022]]*Emissionsfaktoren[[#This Row],[2022]]/1000, 0)</f>
        <v>0</v>
      </c>
      <c r="N140" s="14">
        <f>IF(ISNUMBER(Klisz_Verbräuche[[#This Row],[2023]]), Klisz_Verbräuche[[#This Row],[2023]]*Emissionsfaktoren[[#This Row],[2023]]/1000, 0)</f>
        <v>0</v>
      </c>
      <c r="O140" s="14">
        <f>IF(ISNUMBER(Klisz_Verbräuche[[#This Row],[2024]]), Klisz_Verbräuche[[#This Row],[2024]]*Emissionsfaktoren[[#This Row],[2024]]/1000, 0)</f>
        <v>0</v>
      </c>
      <c r="P140" s="14">
        <f>IF(ISNUMBER(Klisz_Verbräuche[[#This Row],[2025]]), Klisz_Verbräuche[[#This Row],[2025]]*Emissionsfaktoren[[#This Row],[2025]]/1000, 0)</f>
        <v>0</v>
      </c>
      <c r="Q140" s="14">
        <f>IF(ISNUMBER(Klisz_Verbräuche[[#This Row],[2026]]), Klisz_Verbräuche[[#This Row],[2026]]*Emissionsfaktoren[[#This Row],[2026]]/1000, 0)</f>
        <v>0</v>
      </c>
      <c r="R140" s="14">
        <f>IF(ISNUMBER(Klisz_Verbräuche[[#This Row],[2027]]), Klisz_Verbräuche[[#This Row],[2027]]*Emissionsfaktoren[[#This Row],[2027]]/1000, 0)</f>
        <v>0</v>
      </c>
      <c r="S140" s="14">
        <f>IF(ISNUMBER(Klisz_Verbräuche[[#This Row],[2028]]), Klisz_Verbräuche[[#This Row],[2028]]*Emissionsfaktoren[[#This Row],[2028]]/1000, 0)</f>
        <v>0</v>
      </c>
      <c r="T140" s="14">
        <f>IF(ISNUMBER(Klisz_Verbräuche[[#This Row],[2029]]), Klisz_Verbräuche[[#This Row],[2029]]*Emissionsfaktoren[[#This Row],[2029]]/1000, 0)</f>
        <v>0</v>
      </c>
      <c r="U140" s="14">
        <f>IF(ISNUMBER(Klisz_Verbräuche[[#This Row],[2030]]), Klisz_Verbräuche[[#This Row],[2030]]*Emissionsfaktoren[[#This Row],[2030]]/1000, 0)</f>
        <v>0</v>
      </c>
      <c r="V140" s="14">
        <f>IF(ISNUMBER(Klisz_Verbräuche[[#This Row],[2035]]), Klisz_Verbräuche[[#This Row],[2035]]*Emissionsfaktoren[[#This Row],[2035]]/1000, 0)</f>
        <v>0</v>
      </c>
      <c r="W140" s="14">
        <f>IF(ISNUMBER(Klisz_Verbräuche[[#This Row],[2040]]), Klisz_Verbräuche[[#This Row],[2040]]*Emissionsfaktoren[[#This Row],[2040]]/1000, 0)</f>
        <v>0</v>
      </c>
      <c r="X140" s="14">
        <f>IF(ISNUMBER(Klisz_Verbräuche[[#This Row],[2045]]), Klisz_Verbräuche[[#This Row],[2045]]*Emissionsfaktoren[[#This Row],[2045]]/1000, 0)</f>
        <v>0</v>
      </c>
      <c r="Y140" s="14">
        <f>IF(ISNUMBER(Klisz_Verbräuche[[#This Row],[2050]]), Klisz_Verbräuche[[#This Row],[2050]]*Emissionsfaktoren[[#This Row],[2050]]/1000, 0)</f>
        <v>0</v>
      </c>
    </row>
    <row r="141" spans="2:25" ht="16.5">
      <c r="B141" s="14">
        <v>124</v>
      </c>
      <c r="C141" s="14" t="str">
        <f>Refsz_Verbräuche[[#This Row],[Handlungsfeld]]</f>
        <v>Baugüter</v>
      </c>
      <c r="D141" s="19" t="str">
        <f>Refsz_Verbräuche[[#This Row],[Datenpunkt]]</f>
        <v>Steinwolle</v>
      </c>
      <c r="E141" t="s">
        <v>195</v>
      </c>
      <c r="F141" s="14">
        <f>IF(ISNUMBER(Klisz_Verbräuche[[#This Row],[2015]]), Klisz_Verbräuche[[#This Row],[2015]]*Emissionsfaktoren[[#This Row],[2015]]/1000, 0)</f>
        <v>0</v>
      </c>
      <c r="G141" s="14">
        <f>IF(ISNUMBER(Klisz_Verbräuche[[#This Row],[2016]]), Klisz_Verbräuche[[#This Row],[2016]]*Emissionsfaktoren[[#This Row],[2016]]/1000, 0)</f>
        <v>0</v>
      </c>
      <c r="H141" s="14">
        <f>IF(ISNUMBER(Klisz_Verbräuche[[#This Row],[2017]]), Klisz_Verbräuche[[#This Row],[2017]]*Emissionsfaktoren[[#This Row],[2017]]/1000, 0)</f>
        <v>0</v>
      </c>
      <c r="I141" s="14">
        <f>IF(ISNUMBER(Klisz_Verbräuche[[#This Row],[2018]]), Klisz_Verbräuche[[#This Row],[2018]]*Emissionsfaktoren[[#This Row],[2018]]/1000, 0)</f>
        <v>0</v>
      </c>
      <c r="J141" s="14">
        <f>IF(ISNUMBER(Klisz_Verbräuche[[#This Row],[2019]]), Klisz_Verbräuche[[#This Row],[2019]]*Emissionsfaktoren[[#This Row],[2019]]/1000, 0)</f>
        <v>0</v>
      </c>
      <c r="K141" s="14">
        <f>IF(ISNUMBER(Klisz_Verbräuche[[#This Row],[2020]]), Klisz_Verbräuche[[#This Row],[2020]]*Emissionsfaktoren[[#This Row],[2020]]/1000, 0)</f>
        <v>0</v>
      </c>
      <c r="L141" s="14">
        <f>IF(ISNUMBER(Klisz_Verbräuche[[#This Row],[2021]]), Klisz_Verbräuche[[#This Row],[2021]]*Emissionsfaktoren[[#This Row],[2021]]/1000, 0)</f>
        <v>0</v>
      </c>
      <c r="M141" s="14">
        <f>IF(ISNUMBER(Klisz_Verbräuche[[#This Row],[2022]]), Klisz_Verbräuche[[#This Row],[2022]]*Emissionsfaktoren[[#This Row],[2022]]/1000, 0)</f>
        <v>0</v>
      </c>
      <c r="N141" s="14">
        <f>IF(ISNUMBER(Klisz_Verbräuche[[#This Row],[2023]]), Klisz_Verbräuche[[#This Row],[2023]]*Emissionsfaktoren[[#This Row],[2023]]/1000, 0)</f>
        <v>0</v>
      </c>
      <c r="O141" s="14">
        <f>IF(ISNUMBER(Klisz_Verbräuche[[#This Row],[2024]]), Klisz_Verbräuche[[#This Row],[2024]]*Emissionsfaktoren[[#This Row],[2024]]/1000, 0)</f>
        <v>0</v>
      </c>
      <c r="P141" s="14">
        <f>IF(ISNUMBER(Klisz_Verbräuche[[#This Row],[2025]]), Klisz_Verbräuche[[#This Row],[2025]]*Emissionsfaktoren[[#This Row],[2025]]/1000, 0)</f>
        <v>0</v>
      </c>
      <c r="Q141" s="14">
        <f>IF(ISNUMBER(Klisz_Verbräuche[[#This Row],[2026]]), Klisz_Verbräuche[[#This Row],[2026]]*Emissionsfaktoren[[#This Row],[2026]]/1000, 0)</f>
        <v>0</v>
      </c>
      <c r="R141" s="14">
        <f>IF(ISNUMBER(Klisz_Verbräuche[[#This Row],[2027]]), Klisz_Verbräuche[[#This Row],[2027]]*Emissionsfaktoren[[#This Row],[2027]]/1000, 0)</f>
        <v>0</v>
      </c>
      <c r="S141" s="14">
        <f>IF(ISNUMBER(Klisz_Verbräuche[[#This Row],[2028]]), Klisz_Verbräuche[[#This Row],[2028]]*Emissionsfaktoren[[#This Row],[2028]]/1000, 0)</f>
        <v>0</v>
      </c>
      <c r="T141" s="14">
        <f>IF(ISNUMBER(Klisz_Verbräuche[[#This Row],[2029]]), Klisz_Verbräuche[[#This Row],[2029]]*Emissionsfaktoren[[#This Row],[2029]]/1000, 0)</f>
        <v>0</v>
      </c>
      <c r="U141" s="14">
        <f>IF(ISNUMBER(Klisz_Verbräuche[[#This Row],[2030]]), Klisz_Verbräuche[[#This Row],[2030]]*Emissionsfaktoren[[#This Row],[2030]]/1000, 0)</f>
        <v>0</v>
      </c>
      <c r="V141" s="14">
        <f>IF(ISNUMBER(Klisz_Verbräuche[[#This Row],[2035]]), Klisz_Verbräuche[[#This Row],[2035]]*Emissionsfaktoren[[#This Row],[2035]]/1000, 0)</f>
        <v>0</v>
      </c>
      <c r="W141" s="14">
        <f>IF(ISNUMBER(Klisz_Verbräuche[[#This Row],[2040]]), Klisz_Verbräuche[[#This Row],[2040]]*Emissionsfaktoren[[#This Row],[2040]]/1000, 0)</f>
        <v>0</v>
      </c>
      <c r="X141" s="14">
        <f>IF(ISNUMBER(Klisz_Verbräuche[[#This Row],[2045]]), Klisz_Verbräuche[[#This Row],[2045]]*Emissionsfaktoren[[#This Row],[2045]]/1000, 0)</f>
        <v>0</v>
      </c>
      <c r="Y141" s="14">
        <f>IF(ISNUMBER(Klisz_Verbräuche[[#This Row],[2050]]), Klisz_Verbräuche[[#This Row],[2050]]*Emissionsfaktoren[[#This Row],[2050]]/1000, 0)</f>
        <v>0</v>
      </c>
    </row>
    <row r="142" spans="2:25" ht="16.5">
      <c r="B142" s="14">
        <v>125</v>
      </c>
      <c r="C142" s="14" t="str">
        <f>Refsz_Verbräuche[[#This Row],[Handlungsfeld]]</f>
        <v>Baugüter</v>
      </c>
      <c r="D142" s="19" t="str">
        <f>Refsz_Verbräuche[[#This Row],[Datenpunkt]]</f>
        <v>Tonziegel (fürs Dach)</v>
      </c>
      <c r="E142" t="s">
        <v>195</v>
      </c>
      <c r="F142" s="14">
        <f>IF(ISNUMBER(Klisz_Verbräuche[[#This Row],[2015]]), Klisz_Verbräuche[[#This Row],[2015]]*Emissionsfaktoren[[#This Row],[2015]]/1000, 0)</f>
        <v>0</v>
      </c>
      <c r="G142" s="14">
        <f>IF(ISNUMBER(Klisz_Verbräuche[[#This Row],[2016]]), Klisz_Verbräuche[[#This Row],[2016]]*Emissionsfaktoren[[#This Row],[2016]]/1000, 0)</f>
        <v>0</v>
      </c>
      <c r="H142" s="14">
        <f>IF(ISNUMBER(Klisz_Verbräuche[[#This Row],[2017]]), Klisz_Verbräuche[[#This Row],[2017]]*Emissionsfaktoren[[#This Row],[2017]]/1000, 0)</f>
        <v>0</v>
      </c>
      <c r="I142" s="14">
        <f>IF(ISNUMBER(Klisz_Verbräuche[[#This Row],[2018]]), Klisz_Verbräuche[[#This Row],[2018]]*Emissionsfaktoren[[#This Row],[2018]]/1000, 0)</f>
        <v>0</v>
      </c>
      <c r="J142" s="14">
        <f>IF(ISNUMBER(Klisz_Verbräuche[[#This Row],[2019]]), Klisz_Verbräuche[[#This Row],[2019]]*Emissionsfaktoren[[#This Row],[2019]]/1000, 0)</f>
        <v>0</v>
      </c>
      <c r="K142" s="14">
        <f>IF(ISNUMBER(Klisz_Verbräuche[[#This Row],[2020]]), Klisz_Verbräuche[[#This Row],[2020]]*Emissionsfaktoren[[#This Row],[2020]]/1000, 0)</f>
        <v>0</v>
      </c>
      <c r="L142" s="14">
        <f>IF(ISNUMBER(Klisz_Verbräuche[[#This Row],[2021]]), Klisz_Verbräuche[[#This Row],[2021]]*Emissionsfaktoren[[#This Row],[2021]]/1000, 0)</f>
        <v>0</v>
      </c>
      <c r="M142" s="14">
        <f>IF(ISNUMBER(Klisz_Verbräuche[[#This Row],[2022]]), Klisz_Verbräuche[[#This Row],[2022]]*Emissionsfaktoren[[#This Row],[2022]]/1000, 0)</f>
        <v>0</v>
      </c>
      <c r="N142" s="14">
        <f>IF(ISNUMBER(Klisz_Verbräuche[[#This Row],[2023]]), Klisz_Verbräuche[[#This Row],[2023]]*Emissionsfaktoren[[#This Row],[2023]]/1000, 0)</f>
        <v>0</v>
      </c>
      <c r="O142" s="14">
        <f>IF(ISNUMBER(Klisz_Verbräuche[[#This Row],[2024]]), Klisz_Verbräuche[[#This Row],[2024]]*Emissionsfaktoren[[#This Row],[2024]]/1000, 0)</f>
        <v>0</v>
      </c>
      <c r="P142" s="14">
        <f>IF(ISNUMBER(Klisz_Verbräuche[[#This Row],[2025]]), Klisz_Verbräuche[[#This Row],[2025]]*Emissionsfaktoren[[#This Row],[2025]]/1000, 0)</f>
        <v>0</v>
      </c>
      <c r="Q142" s="14">
        <f>IF(ISNUMBER(Klisz_Verbräuche[[#This Row],[2026]]), Klisz_Verbräuche[[#This Row],[2026]]*Emissionsfaktoren[[#This Row],[2026]]/1000, 0)</f>
        <v>0</v>
      </c>
      <c r="R142" s="14">
        <f>IF(ISNUMBER(Klisz_Verbräuche[[#This Row],[2027]]), Klisz_Verbräuche[[#This Row],[2027]]*Emissionsfaktoren[[#This Row],[2027]]/1000, 0)</f>
        <v>0</v>
      </c>
      <c r="S142" s="14">
        <f>IF(ISNUMBER(Klisz_Verbräuche[[#This Row],[2028]]), Klisz_Verbräuche[[#This Row],[2028]]*Emissionsfaktoren[[#This Row],[2028]]/1000, 0)</f>
        <v>0</v>
      </c>
      <c r="T142" s="14">
        <f>IF(ISNUMBER(Klisz_Verbräuche[[#This Row],[2029]]), Klisz_Verbräuche[[#This Row],[2029]]*Emissionsfaktoren[[#This Row],[2029]]/1000, 0)</f>
        <v>0</v>
      </c>
      <c r="U142" s="14">
        <f>IF(ISNUMBER(Klisz_Verbräuche[[#This Row],[2030]]), Klisz_Verbräuche[[#This Row],[2030]]*Emissionsfaktoren[[#This Row],[2030]]/1000, 0)</f>
        <v>0</v>
      </c>
      <c r="V142" s="14">
        <f>IF(ISNUMBER(Klisz_Verbräuche[[#This Row],[2035]]), Klisz_Verbräuche[[#This Row],[2035]]*Emissionsfaktoren[[#This Row],[2035]]/1000, 0)</f>
        <v>0</v>
      </c>
      <c r="W142" s="14">
        <f>IF(ISNUMBER(Klisz_Verbräuche[[#This Row],[2040]]), Klisz_Verbräuche[[#This Row],[2040]]*Emissionsfaktoren[[#This Row],[2040]]/1000, 0)</f>
        <v>0</v>
      </c>
      <c r="X142" s="14">
        <f>IF(ISNUMBER(Klisz_Verbräuche[[#This Row],[2045]]), Klisz_Verbräuche[[#This Row],[2045]]*Emissionsfaktoren[[#This Row],[2045]]/1000, 0)</f>
        <v>0</v>
      </c>
      <c r="Y142" s="14">
        <f>IF(ISNUMBER(Klisz_Verbräuche[[#This Row],[2050]]), Klisz_Verbräuche[[#This Row],[2050]]*Emissionsfaktoren[[#This Row],[2050]]/1000, 0)</f>
        <v>0</v>
      </c>
    </row>
    <row r="143" spans="2:25" ht="16.5">
      <c r="B143" s="14">
        <v>126</v>
      </c>
      <c r="C143" s="14" t="str">
        <f>Refsz_Verbräuche[[#This Row],[Handlungsfeld]]</f>
        <v>Baugüter</v>
      </c>
      <c r="D143" s="19" t="str">
        <f>Refsz_Verbräuche[[#This Row],[Datenpunkt]]</f>
        <v>Zement (Portland)</v>
      </c>
      <c r="E143" t="s">
        <v>195</v>
      </c>
      <c r="F143" s="14">
        <f>IF(ISNUMBER(Klisz_Verbräuche[[#This Row],[2015]]), Klisz_Verbräuche[[#This Row],[2015]]*Emissionsfaktoren[[#This Row],[2015]]/1000, 0)</f>
        <v>0</v>
      </c>
      <c r="G143" s="14">
        <f>IF(ISNUMBER(Klisz_Verbräuche[[#This Row],[2016]]), Klisz_Verbräuche[[#This Row],[2016]]*Emissionsfaktoren[[#This Row],[2016]]/1000, 0)</f>
        <v>0</v>
      </c>
      <c r="H143" s="14">
        <f>IF(ISNUMBER(Klisz_Verbräuche[[#This Row],[2017]]), Klisz_Verbräuche[[#This Row],[2017]]*Emissionsfaktoren[[#This Row],[2017]]/1000, 0)</f>
        <v>0</v>
      </c>
      <c r="I143" s="14">
        <f>IF(ISNUMBER(Klisz_Verbräuche[[#This Row],[2018]]), Klisz_Verbräuche[[#This Row],[2018]]*Emissionsfaktoren[[#This Row],[2018]]/1000, 0)</f>
        <v>0</v>
      </c>
      <c r="J143" s="14">
        <f>IF(ISNUMBER(Klisz_Verbräuche[[#This Row],[2019]]), Klisz_Verbräuche[[#This Row],[2019]]*Emissionsfaktoren[[#This Row],[2019]]/1000, 0)</f>
        <v>0</v>
      </c>
      <c r="K143" s="14">
        <f>IF(ISNUMBER(Klisz_Verbräuche[[#This Row],[2020]]), Klisz_Verbräuche[[#This Row],[2020]]*Emissionsfaktoren[[#This Row],[2020]]/1000, 0)</f>
        <v>0</v>
      </c>
      <c r="L143" s="14">
        <f>IF(ISNUMBER(Klisz_Verbräuche[[#This Row],[2021]]), Klisz_Verbräuche[[#This Row],[2021]]*Emissionsfaktoren[[#This Row],[2021]]/1000, 0)</f>
        <v>0</v>
      </c>
      <c r="M143" s="14">
        <f>IF(ISNUMBER(Klisz_Verbräuche[[#This Row],[2022]]), Klisz_Verbräuche[[#This Row],[2022]]*Emissionsfaktoren[[#This Row],[2022]]/1000, 0)</f>
        <v>0</v>
      </c>
      <c r="N143" s="14">
        <f>IF(ISNUMBER(Klisz_Verbräuche[[#This Row],[2023]]), Klisz_Verbräuche[[#This Row],[2023]]*Emissionsfaktoren[[#This Row],[2023]]/1000, 0)</f>
        <v>0</v>
      </c>
      <c r="O143" s="14">
        <f>IF(ISNUMBER(Klisz_Verbräuche[[#This Row],[2024]]), Klisz_Verbräuche[[#This Row],[2024]]*Emissionsfaktoren[[#This Row],[2024]]/1000, 0)</f>
        <v>0</v>
      </c>
      <c r="P143" s="14">
        <f>IF(ISNUMBER(Klisz_Verbräuche[[#This Row],[2025]]), Klisz_Verbräuche[[#This Row],[2025]]*Emissionsfaktoren[[#This Row],[2025]]/1000, 0)</f>
        <v>0</v>
      </c>
      <c r="Q143" s="14">
        <f>IF(ISNUMBER(Klisz_Verbräuche[[#This Row],[2026]]), Klisz_Verbräuche[[#This Row],[2026]]*Emissionsfaktoren[[#This Row],[2026]]/1000, 0)</f>
        <v>0</v>
      </c>
      <c r="R143" s="14">
        <f>IF(ISNUMBER(Klisz_Verbräuche[[#This Row],[2027]]), Klisz_Verbräuche[[#This Row],[2027]]*Emissionsfaktoren[[#This Row],[2027]]/1000, 0)</f>
        <v>0</v>
      </c>
      <c r="S143" s="14">
        <f>IF(ISNUMBER(Klisz_Verbräuche[[#This Row],[2028]]), Klisz_Verbräuche[[#This Row],[2028]]*Emissionsfaktoren[[#This Row],[2028]]/1000, 0)</f>
        <v>0</v>
      </c>
      <c r="T143" s="14">
        <f>IF(ISNUMBER(Klisz_Verbräuche[[#This Row],[2029]]), Klisz_Verbräuche[[#This Row],[2029]]*Emissionsfaktoren[[#This Row],[2029]]/1000, 0)</f>
        <v>0</v>
      </c>
      <c r="U143" s="14">
        <f>IF(ISNUMBER(Klisz_Verbräuche[[#This Row],[2030]]), Klisz_Verbräuche[[#This Row],[2030]]*Emissionsfaktoren[[#This Row],[2030]]/1000, 0)</f>
        <v>0</v>
      </c>
      <c r="V143" s="14">
        <f>IF(ISNUMBER(Klisz_Verbräuche[[#This Row],[2035]]), Klisz_Verbräuche[[#This Row],[2035]]*Emissionsfaktoren[[#This Row],[2035]]/1000, 0)</f>
        <v>0</v>
      </c>
      <c r="W143" s="14">
        <f>IF(ISNUMBER(Klisz_Verbräuche[[#This Row],[2040]]), Klisz_Verbräuche[[#This Row],[2040]]*Emissionsfaktoren[[#This Row],[2040]]/1000, 0)</f>
        <v>0</v>
      </c>
      <c r="X143" s="14">
        <f>IF(ISNUMBER(Klisz_Verbräuche[[#This Row],[2045]]), Klisz_Verbräuche[[#This Row],[2045]]*Emissionsfaktoren[[#This Row],[2045]]/1000, 0)</f>
        <v>0</v>
      </c>
      <c r="Y143" s="14">
        <f>IF(ISNUMBER(Klisz_Verbräuche[[#This Row],[2050]]), Klisz_Verbräuche[[#This Row],[2050]]*Emissionsfaktoren[[#This Row],[2050]]/1000, 0)</f>
        <v>0</v>
      </c>
    </row>
    <row r="144" spans="2:25" ht="16.5">
      <c r="B144" s="14">
        <v>127</v>
      </c>
      <c r="C144" s="14" t="str">
        <f>Refsz_Verbräuche[[#This Row],[Handlungsfeld]]</f>
        <v>Baugüter</v>
      </c>
      <c r="D144" s="19" t="str">
        <f>Refsz_Verbräuche[[#This Row],[Datenpunkt]]</f>
        <v>Kies</v>
      </c>
      <c r="E144" t="s">
        <v>195</v>
      </c>
      <c r="F144" s="14">
        <f>IF(ISNUMBER(Klisz_Verbräuche[[#This Row],[2015]]), Klisz_Verbräuche[[#This Row],[2015]]*Emissionsfaktoren[[#This Row],[2015]]/1000, 0)</f>
        <v>0</v>
      </c>
      <c r="G144" s="14">
        <f>IF(ISNUMBER(Klisz_Verbräuche[[#This Row],[2016]]), Klisz_Verbräuche[[#This Row],[2016]]*Emissionsfaktoren[[#This Row],[2016]]/1000, 0)</f>
        <v>0</v>
      </c>
      <c r="H144" s="14">
        <f>IF(ISNUMBER(Klisz_Verbräuche[[#This Row],[2017]]), Klisz_Verbräuche[[#This Row],[2017]]*Emissionsfaktoren[[#This Row],[2017]]/1000, 0)</f>
        <v>0</v>
      </c>
      <c r="I144" s="14">
        <f>IF(ISNUMBER(Klisz_Verbräuche[[#This Row],[2018]]), Klisz_Verbräuche[[#This Row],[2018]]*Emissionsfaktoren[[#This Row],[2018]]/1000, 0)</f>
        <v>0</v>
      </c>
      <c r="J144" s="14">
        <f>IF(ISNUMBER(Klisz_Verbräuche[[#This Row],[2019]]), Klisz_Verbräuche[[#This Row],[2019]]*Emissionsfaktoren[[#This Row],[2019]]/1000, 0)</f>
        <v>0</v>
      </c>
      <c r="K144" s="14">
        <f>IF(ISNUMBER(Klisz_Verbräuche[[#This Row],[2020]]), Klisz_Verbräuche[[#This Row],[2020]]*Emissionsfaktoren[[#This Row],[2020]]/1000, 0)</f>
        <v>0</v>
      </c>
      <c r="L144" s="14">
        <f>IF(ISNUMBER(Klisz_Verbräuche[[#This Row],[2021]]), Klisz_Verbräuche[[#This Row],[2021]]*Emissionsfaktoren[[#This Row],[2021]]/1000, 0)</f>
        <v>0</v>
      </c>
      <c r="M144" s="14">
        <f>IF(ISNUMBER(Klisz_Verbräuche[[#This Row],[2022]]), Klisz_Verbräuche[[#This Row],[2022]]*Emissionsfaktoren[[#This Row],[2022]]/1000, 0)</f>
        <v>0</v>
      </c>
      <c r="N144" s="14">
        <f>IF(ISNUMBER(Klisz_Verbräuche[[#This Row],[2023]]), Klisz_Verbräuche[[#This Row],[2023]]*Emissionsfaktoren[[#This Row],[2023]]/1000, 0)</f>
        <v>0</v>
      </c>
      <c r="O144" s="14">
        <f>IF(ISNUMBER(Klisz_Verbräuche[[#This Row],[2024]]), Klisz_Verbräuche[[#This Row],[2024]]*Emissionsfaktoren[[#This Row],[2024]]/1000, 0)</f>
        <v>0</v>
      </c>
      <c r="P144" s="14">
        <f>IF(ISNUMBER(Klisz_Verbräuche[[#This Row],[2025]]), Klisz_Verbräuche[[#This Row],[2025]]*Emissionsfaktoren[[#This Row],[2025]]/1000, 0)</f>
        <v>0</v>
      </c>
      <c r="Q144" s="14">
        <f>IF(ISNUMBER(Klisz_Verbräuche[[#This Row],[2026]]), Klisz_Verbräuche[[#This Row],[2026]]*Emissionsfaktoren[[#This Row],[2026]]/1000, 0)</f>
        <v>0</v>
      </c>
      <c r="R144" s="14">
        <f>IF(ISNUMBER(Klisz_Verbräuche[[#This Row],[2027]]), Klisz_Verbräuche[[#This Row],[2027]]*Emissionsfaktoren[[#This Row],[2027]]/1000, 0)</f>
        <v>0</v>
      </c>
      <c r="S144" s="14">
        <f>IF(ISNUMBER(Klisz_Verbräuche[[#This Row],[2028]]), Klisz_Verbräuche[[#This Row],[2028]]*Emissionsfaktoren[[#This Row],[2028]]/1000, 0)</f>
        <v>0</v>
      </c>
      <c r="T144" s="14">
        <f>IF(ISNUMBER(Klisz_Verbräuche[[#This Row],[2029]]), Klisz_Verbräuche[[#This Row],[2029]]*Emissionsfaktoren[[#This Row],[2029]]/1000, 0)</f>
        <v>0</v>
      </c>
      <c r="U144" s="14">
        <f>IF(ISNUMBER(Klisz_Verbräuche[[#This Row],[2030]]), Klisz_Verbräuche[[#This Row],[2030]]*Emissionsfaktoren[[#This Row],[2030]]/1000, 0)</f>
        <v>0</v>
      </c>
      <c r="V144" s="14">
        <f>IF(ISNUMBER(Klisz_Verbräuche[[#This Row],[2035]]), Klisz_Verbräuche[[#This Row],[2035]]*Emissionsfaktoren[[#This Row],[2035]]/1000, 0)</f>
        <v>0</v>
      </c>
      <c r="W144" s="14">
        <f>IF(ISNUMBER(Klisz_Verbräuche[[#This Row],[2040]]), Klisz_Verbräuche[[#This Row],[2040]]*Emissionsfaktoren[[#This Row],[2040]]/1000, 0)</f>
        <v>0</v>
      </c>
      <c r="X144" s="14">
        <f>IF(ISNUMBER(Klisz_Verbräuche[[#This Row],[2045]]), Klisz_Verbräuche[[#This Row],[2045]]*Emissionsfaktoren[[#This Row],[2045]]/1000, 0)</f>
        <v>0</v>
      </c>
      <c r="Y144" s="14">
        <f>IF(ISNUMBER(Klisz_Verbräuche[[#This Row],[2050]]), Klisz_Verbräuche[[#This Row],[2050]]*Emissionsfaktoren[[#This Row],[2050]]/1000, 0)</f>
        <v>0</v>
      </c>
    </row>
    <row r="145" spans="2:25" ht="16.5">
      <c r="B145" s="14">
        <v>128</v>
      </c>
      <c r="C145" s="14" t="str">
        <f>Refsz_Verbräuche[[#This Row],[Handlungsfeld]]</f>
        <v>Baugüter</v>
      </c>
      <c r="D145" s="19" t="str">
        <f>Refsz_Verbräuche[[#This Row],[Datenpunkt]]</f>
        <v>Sand</v>
      </c>
      <c r="E145" t="s">
        <v>195</v>
      </c>
      <c r="F145" s="14">
        <f>IF(ISNUMBER(Klisz_Verbräuche[[#This Row],[2015]]), Klisz_Verbräuche[[#This Row],[2015]]*Emissionsfaktoren[[#This Row],[2015]]/1000, 0)</f>
        <v>0</v>
      </c>
      <c r="G145" s="14">
        <f>IF(ISNUMBER(Klisz_Verbräuche[[#This Row],[2016]]), Klisz_Verbräuche[[#This Row],[2016]]*Emissionsfaktoren[[#This Row],[2016]]/1000, 0)</f>
        <v>0</v>
      </c>
      <c r="H145" s="14">
        <f>IF(ISNUMBER(Klisz_Verbräuche[[#This Row],[2017]]), Klisz_Verbräuche[[#This Row],[2017]]*Emissionsfaktoren[[#This Row],[2017]]/1000, 0)</f>
        <v>0</v>
      </c>
      <c r="I145" s="14">
        <f>IF(ISNUMBER(Klisz_Verbräuche[[#This Row],[2018]]), Klisz_Verbräuche[[#This Row],[2018]]*Emissionsfaktoren[[#This Row],[2018]]/1000, 0)</f>
        <v>0</v>
      </c>
      <c r="J145" s="14">
        <f>IF(ISNUMBER(Klisz_Verbräuche[[#This Row],[2019]]), Klisz_Verbräuche[[#This Row],[2019]]*Emissionsfaktoren[[#This Row],[2019]]/1000, 0)</f>
        <v>0</v>
      </c>
      <c r="K145" s="14">
        <f>IF(ISNUMBER(Klisz_Verbräuche[[#This Row],[2020]]), Klisz_Verbräuche[[#This Row],[2020]]*Emissionsfaktoren[[#This Row],[2020]]/1000, 0)</f>
        <v>0</v>
      </c>
      <c r="L145" s="14">
        <f>IF(ISNUMBER(Klisz_Verbräuche[[#This Row],[2021]]), Klisz_Verbräuche[[#This Row],[2021]]*Emissionsfaktoren[[#This Row],[2021]]/1000, 0)</f>
        <v>0</v>
      </c>
      <c r="M145" s="14">
        <f>IF(ISNUMBER(Klisz_Verbräuche[[#This Row],[2022]]), Klisz_Verbräuche[[#This Row],[2022]]*Emissionsfaktoren[[#This Row],[2022]]/1000, 0)</f>
        <v>0</v>
      </c>
      <c r="N145" s="14">
        <f>IF(ISNUMBER(Klisz_Verbräuche[[#This Row],[2023]]), Klisz_Verbräuche[[#This Row],[2023]]*Emissionsfaktoren[[#This Row],[2023]]/1000, 0)</f>
        <v>0</v>
      </c>
      <c r="O145" s="14">
        <f>IF(ISNUMBER(Klisz_Verbräuche[[#This Row],[2024]]), Klisz_Verbräuche[[#This Row],[2024]]*Emissionsfaktoren[[#This Row],[2024]]/1000, 0)</f>
        <v>0</v>
      </c>
      <c r="P145" s="14">
        <f>IF(ISNUMBER(Klisz_Verbräuche[[#This Row],[2025]]), Klisz_Verbräuche[[#This Row],[2025]]*Emissionsfaktoren[[#This Row],[2025]]/1000, 0)</f>
        <v>0</v>
      </c>
      <c r="Q145" s="14">
        <f>IF(ISNUMBER(Klisz_Verbräuche[[#This Row],[2026]]), Klisz_Verbräuche[[#This Row],[2026]]*Emissionsfaktoren[[#This Row],[2026]]/1000, 0)</f>
        <v>0</v>
      </c>
      <c r="R145" s="14">
        <f>IF(ISNUMBER(Klisz_Verbräuche[[#This Row],[2027]]), Klisz_Verbräuche[[#This Row],[2027]]*Emissionsfaktoren[[#This Row],[2027]]/1000, 0)</f>
        <v>0</v>
      </c>
      <c r="S145" s="14">
        <f>IF(ISNUMBER(Klisz_Verbräuche[[#This Row],[2028]]), Klisz_Verbräuche[[#This Row],[2028]]*Emissionsfaktoren[[#This Row],[2028]]/1000, 0)</f>
        <v>0</v>
      </c>
      <c r="T145" s="14">
        <f>IF(ISNUMBER(Klisz_Verbräuche[[#This Row],[2029]]), Klisz_Verbräuche[[#This Row],[2029]]*Emissionsfaktoren[[#This Row],[2029]]/1000, 0)</f>
        <v>0</v>
      </c>
      <c r="U145" s="14">
        <f>IF(ISNUMBER(Klisz_Verbräuche[[#This Row],[2030]]), Klisz_Verbräuche[[#This Row],[2030]]*Emissionsfaktoren[[#This Row],[2030]]/1000, 0)</f>
        <v>0</v>
      </c>
      <c r="V145" s="14">
        <f>IF(ISNUMBER(Klisz_Verbräuche[[#This Row],[2035]]), Klisz_Verbräuche[[#This Row],[2035]]*Emissionsfaktoren[[#This Row],[2035]]/1000, 0)</f>
        <v>0</v>
      </c>
      <c r="W145" s="14">
        <f>IF(ISNUMBER(Klisz_Verbräuche[[#This Row],[2040]]), Klisz_Verbräuche[[#This Row],[2040]]*Emissionsfaktoren[[#This Row],[2040]]/1000, 0)</f>
        <v>0</v>
      </c>
      <c r="X145" s="14">
        <f>IF(ISNUMBER(Klisz_Verbräuche[[#This Row],[2045]]), Klisz_Verbräuche[[#This Row],[2045]]*Emissionsfaktoren[[#This Row],[2045]]/1000, 0)</f>
        <v>0</v>
      </c>
      <c r="Y145" s="14">
        <f>IF(ISNUMBER(Klisz_Verbräuche[[#This Row],[2050]]), Klisz_Verbräuche[[#This Row],[2050]]*Emissionsfaktoren[[#This Row],[2050]]/1000, 0)</f>
        <v>0</v>
      </c>
    </row>
    <row r="146" spans="2:25" ht="16.5">
      <c r="B146" s="14">
        <v>129</v>
      </c>
      <c r="C146" s="14" t="str">
        <f>Refsz_Verbräuche[[#This Row],[Handlungsfeld]]</f>
        <v>Baugüter</v>
      </c>
      <c r="D146" s="19" t="str">
        <f>Refsz_Verbräuche[[#This Row],[Datenpunkt]]</f>
        <v>Kupferdraht</v>
      </c>
      <c r="E146" t="s">
        <v>195</v>
      </c>
      <c r="F146" s="14">
        <f>IF(ISNUMBER(Klisz_Verbräuche[[#This Row],[2015]]), Klisz_Verbräuche[[#This Row],[2015]]*Emissionsfaktoren[[#This Row],[2015]]/1000, 0)</f>
        <v>0</v>
      </c>
      <c r="G146" s="14">
        <f>IF(ISNUMBER(Klisz_Verbräuche[[#This Row],[2016]]), Klisz_Verbräuche[[#This Row],[2016]]*Emissionsfaktoren[[#This Row],[2016]]/1000, 0)</f>
        <v>0</v>
      </c>
      <c r="H146" s="14">
        <f>IF(ISNUMBER(Klisz_Verbräuche[[#This Row],[2017]]), Klisz_Verbräuche[[#This Row],[2017]]*Emissionsfaktoren[[#This Row],[2017]]/1000, 0)</f>
        <v>0</v>
      </c>
      <c r="I146" s="14">
        <f>IF(ISNUMBER(Klisz_Verbräuche[[#This Row],[2018]]), Klisz_Verbräuche[[#This Row],[2018]]*Emissionsfaktoren[[#This Row],[2018]]/1000, 0)</f>
        <v>0</v>
      </c>
      <c r="J146" s="14">
        <f>IF(ISNUMBER(Klisz_Verbräuche[[#This Row],[2019]]), Klisz_Verbräuche[[#This Row],[2019]]*Emissionsfaktoren[[#This Row],[2019]]/1000, 0)</f>
        <v>0</v>
      </c>
      <c r="K146" s="14">
        <f>IF(ISNUMBER(Klisz_Verbräuche[[#This Row],[2020]]), Klisz_Verbräuche[[#This Row],[2020]]*Emissionsfaktoren[[#This Row],[2020]]/1000, 0)</f>
        <v>0</v>
      </c>
      <c r="L146" s="14">
        <f>IF(ISNUMBER(Klisz_Verbräuche[[#This Row],[2021]]), Klisz_Verbräuche[[#This Row],[2021]]*Emissionsfaktoren[[#This Row],[2021]]/1000, 0)</f>
        <v>0</v>
      </c>
      <c r="M146" s="14">
        <f>IF(ISNUMBER(Klisz_Verbräuche[[#This Row],[2022]]), Klisz_Verbräuche[[#This Row],[2022]]*Emissionsfaktoren[[#This Row],[2022]]/1000, 0)</f>
        <v>0</v>
      </c>
      <c r="N146" s="14">
        <f>IF(ISNUMBER(Klisz_Verbräuche[[#This Row],[2023]]), Klisz_Verbräuche[[#This Row],[2023]]*Emissionsfaktoren[[#This Row],[2023]]/1000, 0)</f>
        <v>0</v>
      </c>
      <c r="O146" s="14">
        <f>IF(ISNUMBER(Klisz_Verbräuche[[#This Row],[2024]]), Klisz_Verbräuche[[#This Row],[2024]]*Emissionsfaktoren[[#This Row],[2024]]/1000, 0)</f>
        <v>0</v>
      </c>
      <c r="P146" s="14">
        <f>IF(ISNUMBER(Klisz_Verbräuche[[#This Row],[2025]]), Klisz_Verbräuche[[#This Row],[2025]]*Emissionsfaktoren[[#This Row],[2025]]/1000, 0)</f>
        <v>0</v>
      </c>
      <c r="Q146" s="14">
        <f>IF(ISNUMBER(Klisz_Verbräuche[[#This Row],[2026]]), Klisz_Verbräuche[[#This Row],[2026]]*Emissionsfaktoren[[#This Row],[2026]]/1000, 0)</f>
        <v>0</v>
      </c>
      <c r="R146" s="14">
        <f>IF(ISNUMBER(Klisz_Verbräuche[[#This Row],[2027]]), Klisz_Verbräuche[[#This Row],[2027]]*Emissionsfaktoren[[#This Row],[2027]]/1000, 0)</f>
        <v>0</v>
      </c>
      <c r="S146" s="14">
        <f>IF(ISNUMBER(Klisz_Verbräuche[[#This Row],[2028]]), Klisz_Verbräuche[[#This Row],[2028]]*Emissionsfaktoren[[#This Row],[2028]]/1000, 0)</f>
        <v>0</v>
      </c>
      <c r="T146" s="14">
        <f>IF(ISNUMBER(Klisz_Verbräuche[[#This Row],[2029]]), Klisz_Verbräuche[[#This Row],[2029]]*Emissionsfaktoren[[#This Row],[2029]]/1000, 0)</f>
        <v>0</v>
      </c>
      <c r="U146" s="14">
        <f>IF(ISNUMBER(Klisz_Verbräuche[[#This Row],[2030]]), Klisz_Verbräuche[[#This Row],[2030]]*Emissionsfaktoren[[#This Row],[2030]]/1000, 0)</f>
        <v>0</v>
      </c>
      <c r="V146" s="14">
        <f>IF(ISNUMBER(Klisz_Verbräuche[[#This Row],[2035]]), Klisz_Verbräuche[[#This Row],[2035]]*Emissionsfaktoren[[#This Row],[2035]]/1000, 0)</f>
        <v>0</v>
      </c>
      <c r="W146" s="14">
        <f>IF(ISNUMBER(Klisz_Verbräuche[[#This Row],[2040]]), Klisz_Verbräuche[[#This Row],[2040]]*Emissionsfaktoren[[#This Row],[2040]]/1000, 0)</f>
        <v>0</v>
      </c>
      <c r="X146" s="14">
        <f>IF(ISNUMBER(Klisz_Verbräuche[[#This Row],[2045]]), Klisz_Verbräuche[[#This Row],[2045]]*Emissionsfaktoren[[#This Row],[2045]]/1000, 0)</f>
        <v>0</v>
      </c>
      <c r="Y146" s="14">
        <f>IF(ISNUMBER(Klisz_Verbräuche[[#This Row],[2050]]), Klisz_Verbräuche[[#This Row],[2050]]*Emissionsfaktoren[[#This Row],[2050]]/1000, 0)</f>
        <v>0</v>
      </c>
    </row>
    <row r="147" spans="2:25" ht="16.5">
      <c r="B147" s="14">
        <v>130</v>
      </c>
      <c r="C147" s="14" t="str">
        <f>Refsz_Verbräuche[[#This Row],[Handlungsfeld]]</f>
        <v>Baugüter</v>
      </c>
      <c r="D147" s="19" t="str">
        <f>Refsz_Verbräuche[[#This Row],[Datenpunkt]]</f>
        <v>Kupferrohr</v>
      </c>
      <c r="E147" t="s">
        <v>195</v>
      </c>
      <c r="F147" s="14">
        <f>IF(ISNUMBER(Klisz_Verbräuche[[#This Row],[2015]]), Klisz_Verbräuche[[#This Row],[2015]]*Emissionsfaktoren[[#This Row],[2015]]/1000, 0)</f>
        <v>0</v>
      </c>
      <c r="G147" s="14">
        <f>IF(ISNUMBER(Klisz_Verbräuche[[#This Row],[2016]]), Klisz_Verbräuche[[#This Row],[2016]]*Emissionsfaktoren[[#This Row],[2016]]/1000, 0)</f>
        <v>0</v>
      </c>
      <c r="H147" s="14">
        <f>IF(ISNUMBER(Klisz_Verbräuche[[#This Row],[2017]]), Klisz_Verbräuche[[#This Row],[2017]]*Emissionsfaktoren[[#This Row],[2017]]/1000, 0)</f>
        <v>0</v>
      </c>
      <c r="I147" s="14">
        <f>IF(ISNUMBER(Klisz_Verbräuche[[#This Row],[2018]]), Klisz_Verbräuche[[#This Row],[2018]]*Emissionsfaktoren[[#This Row],[2018]]/1000, 0)</f>
        <v>0</v>
      </c>
      <c r="J147" s="14">
        <f>IF(ISNUMBER(Klisz_Verbräuche[[#This Row],[2019]]), Klisz_Verbräuche[[#This Row],[2019]]*Emissionsfaktoren[[#This Row],[2019]]/1000, 0)</f>
        <v>0</v>
      </c>
      <c r="K147" s="14">
        <f>IF(ISNUMBER(Klisz_Verbräuche[[#This Row],[2020]]), Klisz_Verbräuche[[#This Row],[2020]]*Emissionsfaktoren[[#This Row],[2020]]/1000, 0)</f>
        <v>0</v>
      </c>
      <c r="L147" s="14">
        <f>IF(ISNUMBER(Klisz_Verbräuche[[#This Row],[2021]]), Klisz_Verbräuche[[#This Row],[2021]]*Emissionsfaktoren[[#This Row],[2021]]/1000, 0)</f>
        <v>0</v>
      </c>
      <c r="M147" s="14">
        <f>IF(ISNUMBER(Klisz_Verbräuche[[#This Row],[2022]]), Klisz_Verbräuche[[#This Row],[2022]]*Emissionsfaktoren[[#This Row],[2022]]/1000, 0)</f>
        <v>0</v>
      </c>
      <c r="N147" s="14">
        <f>IF(ISNUMBER(Klisz_Verbräuche[[#This Row],[2023]]), Klisz_Verbräuche[[#This Row],[2023]]*Emissionsfaktoren[[#This Row],[2023]]/1000, 0)</f>
        <v>0</v>
      </c>
      <c r="O147" s="14">
        <f>IF(ISNUMBER(Klisz_Verbräuche[[#This Row],[2024]]), Klisz_Verbräuche[[#This Row],[2024]]*Emissionsfaktoren[[#This Row],[2024]]/1000, 0)</f>
        <v>0</v>
      </c>
      <c r="P147" s="14">
        <f>IF(ISNUMBER(Klisz_Verbräuche[[#This Row],[2025]]), Klisz_Verbräuche[[#This Row],[2025]]*Emissionsfaktoren[[#This Row],[2025]]/1000, 0)</f>
        <v>0</v>
      </c>
      <c r="Q147" s="14">
        <f>IF(ISNUMBER(Klisz_Verbräuche[[#This Row],[2026]]), Klisz_Verbräuche[[#This Row],[2026]]*Emissionsfaktoren[[#This Row],[2026]]/1000, 0)</f>
        <v>0</v>
      </c>
      <c r="R147" s="14">
        <f>IF(ISNUMBER(Klisz_Verbräuche[[#This Row],[2027]]), Klisz_Verbräuche[[#This Row],[2027]]*Emissionsfaktoren[[#This Row],[2027]]/1000, 0)</f>
        <v>0</v>
      </c>
      <c r="S147" s="14">
        <f>IF(ISNUMBER(Klisz_Verbräuche[[#This Row],[2028]]), Klisz_Verbräuche[[#This Row],[2028]]*Emissionsfaktoren[[#This Row],[2028]]/1000, 0)</f>
        <v>0</v>
      </c>
      <c r="T147" s="14">
        <f>IF(ISNUMBER(Klisz_Verbräuche[[#This Row],[2029]]), Klisz_Verbräuche[[#This Row],[2029]]*Emissionsfaktoren[[#This Row],[2029]]/1000, 0)</f>
        <v>0</v>
      </c>
      <c r="U147" s="14">
        <f>IF(ISNUMBER(Klisz_Verbräuche[[#This Row],[2030]]), Klisz_Verbräuche[[#This Row],[2030]]*Emissionsfaktoren[[#This Row],[2030]]/1000, 0)</f>
        <v>0</v>
      </c>
      <c r="V147" s="14">
        <f>IF(ISNUMBER(Klisz_Verbräuche[[#This Row],[2035]]), Klisz_Verbräuche[[#This Row],[2035]]*Emissionsfaktoren[[#This Row],[2035]]/1000, 0)</f>
        <v>0</v>
      </c>
      <c r="W147" s="14">
        <f>IF(ISNUMBER(Klisz_Verbräuche[[#This Row],[2040]]), Klisz_Verbräuche[[#This Row],[2040]]*Emissionsfaktoren[[#This Row],[2040]]/1000, 0)</f>
        <v>0</v>
      </c>
      <c r="X147" s="14">
        <f>IF(ISNUMBER(Klisz_Verbräuche[[#This Row],[2045]]), Klisz_Verbräuche[[#This Row],[2045]]*Emissionsfaktoren[[#This Row],[2045]]/1000, 0)</f>
        <v>0</v>
      </c>
      <c r="Y147" s="14">
        <f>IF(ISNUMBER(Klisz_Verbräuche[[#This Row],[2050]]), Klisz_Verbräuche[[#This Row],[2050]]*Emissionsfaktoren[[#This Row],[2050]]/1000, 0)</f>
        <v>0</v>
      </c>
    </row>
    <row r="148" spans="2:25" ht="16.5">
      <c r="B148" s="14">
        <v>131</v>
      </c>
      <c r="C148" s="14" t="str">
        <f>Refsz_Verbräuche[[#This Row],[Handlungsfeld]]</f>
        <v>Baugüter</v>
      </c>
      <c r="D148" s="19" t="str">
        <f>Refsz_Verbräuche[[#This Row],[Datenpunkt]]</f>
        <v>Stahl-Blech</v>
      </c>
      <c r="E148" t="s">
        <v>195</v>
      </c>
      <c r="F148" s="14">
        <f>IF(ISNUMBER(Klisz_Verbräuche[[#This Row],[2015]]), Klisz_Verbräuche[[#This Row],[2015]]*Emissionsfaktoren[[#This Row],[2015]]/1000, 0)</f>
        <v>0</v>
      </c>
      <c r="G148" s="14">
        <f>IF(ISNUMBER(Klisz_Verbräuche[[#This Row],[2016]]), Klisz_Verbräuche[[#This Row],[2016]]*Emissionsfaktoren[[#This Row],[2016]]/1000, 0)</f>
        <v>0</v>
      </c>
      <c r="H148" s="14">
        <f>IF(ISNUMBER(Klisz_Verbräuche[[#This Row],[2017]]), Klisz_Verbräuche[[#This Row],[2017]]*Emissionsfaktoren[[#This Row],[2017]]/1000, 0)</f>
        <v>0</v>
      </c>
      <c r="I148" s="14">
        <f>IF(ISNUMBER(Klisz_Verbräuche[[#This Row],[2018]]), Klisz_Verbräuche[[#This Row],[2018]]*Emissionsfaktoren[[#This Row],[2018]]/1000, 0)</f>
        <v>0</v>
      </c>
      <c r="J148" s="14">
        <f>IF(ISNUMBER(Klisz_Verbräuche[[#This Row],[2019]]), Klisz_Verbräuche[[#This Row],[2019]]*Emissionsfaktoren[[#This Row],[2019]]/1000, 0)</f>
        <v>0</v>
      </c>
      <c r="K148" s="14">
        <f>IF(ISNUMBER(Klisz_Verbräuche[[#This Row],[2020]]), Klisz_Verbräuche[[#This Row],[2020]]*Emissionsfaktoren[[#This Row],[2020]]/1000, 0)</f>
        <v>0</v>
      </c>
      <c r="L148" s="14">
        <f>IF(ISNUMBER(Klisz_Verbräuche[[#This Row],[2021]]), Klisz_Verbräuche[[#This Row],[2021]]*Emissionsfaktoren[[#This Row],[2021]]/1000, 0)</f>
        <v>0</v>
      </c>
      <c r="M148" s="14">
        <f>IF(ISNUMBER(Klisz_Verbräuche[[#This Row],[2022]]), Klisz_Verbräuche[[#This Row],[2022]]*Emissionsfaktoren[[#This Row],[2022]]/1000, 0)</f>
        <v>0</v>
      </c>
      <c r="N148" s="14">
        <f>IF(ISNUMBER(Klisz_Verbräuche[[#This Row],[2023]]), Klisz_Verbräuche[[#This Row],[2023]]*Emissionsfaktoren[[#This Row],[2023]]/1000, 0)</f>
        <v>0</v>
      </c>
      <c r="O148" s="14">
        <f>IF(ISNUMBER(Klisz_Verbräuche[[#This Row],[2024]]), Klisz_Verbräuche[[#This Row],[2024]]*Emissionsfaktoren[[#This Row],[2024]]/1000, 0)</f>
        <v>0</v>
      </c>
      <c r="P148" s="14">
        <f>IF(ISNUMBER(Klisz_Verbräuche[[#This Row],[2025]]), Klisz_Verbräuche[[#This Row],[2025]]*Emissionsfaktoren[[#This Row],[2025]]/1000, 0)</f>
        <v>0</v>
      </c>
      <c r="Q148" s="14">
        <f>IF(ISNUMBER(Klisz_Verbräuche[[#This Row],[2026]]), Klisz_Verbräuche[[#This Row],[2026]]*Emissionsfaktoren[[#This Row],[2026]]/1000, 0)</f>
        <v>0</v>
      </c>
      <c r="R148" s="14">
        <f>IF(ISNUMBER(Klisz_Verbräuche[[#This Row],[2027]]), Klisz_Verbräuche[[#This Row],[2027]]*Emissionsfaktoren[[#This Row],[2027]]/1000, 0)</f>
        <v>0</v>
      </c>
      <c r="S148" s="14">
        <f>IF(ISNUMBER(Klisz_Verbräuche[[#This Row],[2028]]), Klisz_Verbräuche[[#This Row],[2028]]*Emissionsfaktoren[[#This Row],[2028]]/1000, 0)</f>
        <v>0</v>
      </c>
      <c r="T148" s="14">
        <f>IF(ISNUMBER(Klisz_Verbräuche[[#This Row],[2029]]), Klisz_Verbräuche[[#This Row],[2029]]*Emissionsfaktoren[[#This Row],[2029]]/1000, 0)</f>
        <v>0</v>
      </c>
      <c r="U148" s="14">
        <f>IF(ISNUMBER(Klisz_Verbräuche[[#This Row],[2030]]), Klisz_Verbräuche[[#This Row],[2030]]*Emissionsfaktoren[[#This Row],[2030]]/1000, 0)</f>
        <v>0</v>
      </c>
      <c r="V148" s="14">
        <f>IF(ISNUMBER(Klisz_Verbräuche[[#This Row],[2035]]), Klisz_Verbräuche[[#This Row],[2035]]*Emissionsfaktoren[[#This Row],[2035]]/1000, 0)</f>
        <v>0</v>
      </c>
      <c r="W148" s="14">
        <f>IF(ISNUMBER(Klisz_Verbräuche[[#This Row],[2040]]), Klisz_Verbräuche[[#This Row],[2040]]*Emissionsfaktoren[[#This Row],[2040]]/1000, 0)</f>
        <v>0</v>
      </c>
      <c r="X148" s="14">
        <f>IF(ISNUMBER(Klisz_Verbräuche[[#This Row],[2045]]), Klisz_Verbräuche[[#This Row],[2045]]*Emissionsfaktoren[[#This Row],[2045]]/1000, 0)</f>
        <v>0</v>
      </c>
      <c r="Y148" s="14">
        <f>IF(ISNUMBER(Klisz_Verbräuche[[#This Row],[2050]]), Klisz_Verbräuche[[#This Row],[2050]]*Emissionsfaktoren[[#This Row],[2050]]/1000, 0)</f>
        <v>0</v>
      </c>
    </row>
    <row r="149" spans="2:25" ht="16.5">
      <c r="B149" s="14">
        <v>132</v>
      </c>
      <c r="C149" s="14" t="str">
        <f>Refsz_Verbräuche[[#This Row],[Handlungsfeld]]</f>
        <v>Baugüter</v>
      </c>
      <c r="D149" s="19" t="str">
        <f>Refsz_Verbräuche[[#This Row],[Datenpunkt]]</f>
        <v>Stahl-Blech verzinkt</v>
      </c>
      <c r="E149" t="s">
        <v>195</v>
      </c>
      <c r="F149" s="14">
        <f>IF(ISNUMBER(Klisz_Verbräuche[[#This Row],[2015]]), Klisz_Verbräuche[[#This Row],[2015]]*Emissionsfaktoren[[#This Row],[2015]]/1000, 0)</f>
        <v>0</v>
      </c>
      <c r="G149" s="14">
        <f>IF(ISNUMBER(Klisz_Verbräuche[[#This Row],[2016]]), Klisz_Verbräuche[[#This Row],[2016]]*Emissionsfaktoren[[#This Row],[2016]]/1000, 0)</f>
        <v>0</v>
      </c>
      <c r="H149" s="14">
        <f>IF(ISNUMBER(Klisz_Verbräuche[[#This Row],[2017]]), Klisz_Verbräuche[[#This Row],[2017]]*Emissionsfaktoren[[#This Row],[2017]]/1000, 0)</f>
        <v>0</v>
      </c>
      <c r="I149" s="14">
        <f>IF(ISNUMBER(Klisz_Verbräuche[[#This Row],[2018]]), Klisz_Verbräuche[[#This Row],[2018]]*Emissionsfaktoren[[#This Row],[2018]]/1000, 0)</f>
        <v>0</v>
      </c>
      <c r="J149" s="14">
        <f>IF(ISNUMBER(Klisz_Verbräuche[[#This Row],[2019]]), Klisz_Verbräuche[[#This Row],[2019]]*Emissionsfaktoren[[#This Row],[2019]]/1000, 0)</f>
        <v>0</v>
      </c>
      <c r="K149" s="14">
        <f>IF(ISNUMBER(Klisz_Verbräuche[[#This Row],[2020]]), Klisz_Verbräuche[[#This Row],[2020]]*Emissionsfaktoren[[#This Row],[2020]]/1000, 0)</f>
        <v>0</v>
      </c>
      <c r="L149" s="14">
        <f>IF(ISNUMBER(Klisz_Verbräuche[[#This Row],[2021]]), Klisz_Verbräuche[[#This Row],[2021]]*Emissionsfaktoren[[#This Row],[2021]]/1000, 0)</f>
        <v>0</v>
      </c>
      <c r="M149" s="14">
        <f>IF(ISNUMBER(Klisz_Verbräuche[[#This Row],[2022]]), Klisz_Verbräuche[[#This Row],[2022]]*Emissionsfaktoren[[#This Row],[2022]]/1000, 0)</f>
        <v>0</v>
      </c>
      <c r="N149" s="14">
        <f>IF(ISNUMBER(Klisz_Verbräuche[[#This Row],[2023]]), Klisz_Verbräuche[[#This Row],[2023]]*Emissionsfaktoren[[#This Row],[2023]]/1000, 0)</f>
        <v>0</v>
      </c>
      <c r="O149" s="14">
        <f>IF(ISNUMBER(Klisz_Verbräuche[[#This Row],[2024]]), Klisz_Verbräuche[[#This Row],[2024]]*Emissionsfaktoren[[#This Row],[2024]]/1000, 0)</f>
        <v>0</v>
      </c>
      <c r="P149" s="14">
        <f>IF(ISNUMBER(Klisz_Verbräuche[[#This Row],[2025]]), Klisz_Verbräuche[[#This Row],[2025]]*Emissionsfaktoren[[#This Row],[2025]]/1000, 0)</f>
        <v>0</v>
      </c>
      <c r="Q149" s="14">
        <f>IF(ISNUMBER(Klisz_Verbräuche[[#This Row],[2026]]), Klisz_Verbräuche[[#This Row],[2026]]*Emissionsfaktoren[[#This Row],[2026]]/1000, 0)</f>
        <v>0</v>
      </c>
      <c r="R149" s="14">
        <f>IF(ISNUMBER(Klisz_Verbräuche[[#This Row],[2027]]), Klisz_Verbräuche[[#This Row],[2027]]*Emissionsfaktoren[[#This Row],[2027]]/1000, 0)</f>
        <v>0</v>
      </c>
      <c r="S149" s="14">
        <f>IF(ISNUMBER(Klisz_Verbräuche[[#This Row],[2028]]), Klisz_Verbräuche[[#This Row],[2028]]*Emissionsfaktoren[[#This Row],[2028]]/1000, 0)</f>
        <v>0</v>
      </c>
      <c r="T149" s="14">
        <f>IF(ISNUMBER(Klisz_Verbräuche[[#This Row],[2029]]), Klisz_Verbräuche[[#This Row],[2029]]*Emissionsfaktoren[[#This Row],[2029]]/1000, 0)</f>
        <v>0</v>
      </c>
      <c r="U149" s="14">
        <f>IF(ISNUMBER(Klisz_Verbräuche[[#This Row],[2030]]), Klisz_Verbräuche[[#This Row],[2030]]*Emissionsfaktoren[[#This Row],[2030]]/1000, 0)</f>
        <v>0</v>
      </c>
      <c r="V149" s="14">
        <f>IF(ISNUMBER(Klisz_Verbräuche[[#This Row],[2035]]), Klisz_Verbräuche[[#This Row],[2035]]*Emissionsfaktoren[[#This Row],[2035]]/1000, 0)</f>
        <v>0</v>
      </c>
      <c r="W149" s="14">
        <f>IF(ISNUMBER(Klisz_Verbräuche[[#This Row],[2040]]), Klisz_Verbräuche[[#This Row],[2040]]*Emissionsfaktoren[[#This Row],[2040]]/1000, 0)</f>
        <v>0</v>
      </c>
      <c r="X149" s="14">
        <f>IF(ISNUMBER(Klisz_Verbräuche[[#This Row],[2045]]), Klisz_Verbräuche[[#This Row],[2045]]*Emissionsfaktoren[[#This Row],[2045]]/1000, 0)</f>
        <v>0</v>
      </c>
      <c r="Y149" s="14">
        <f>IF(ISNUMBER(Klisz_Verbräuche[[#This Row],[2050]]), Klisz_Verbräuche[[#This Row],[2050]]*Emissionsfaktoren[[#This Row],[2050]]/1000, 0)</f>
        <v>0</v>
      </c>
    </row>
    <row r="150" spans="2:25" ht="16.5">
      <c r="B150" s="14">
        <v>133</v>
      </c>
      <c r="C150" s="14" t="str">
        <f>Refsz_Verbräuche[[#This Row],[Handlungsfeld]]</f>
        <v>Baugüter</v>
      </c>
      <c r="D150" s="19" t="str">
        <f>Refsz_Verbräuche[[#This Row],[Datenpunkt]]</f>
        <v>Stahl-Elektro</v>
      </c>
      <c r="E150" t="s">
        <v>195</v>
      </c>
      <c r="F150" s="14">
        <f>IF(ISNUMBER(Klisz_Verbräuche[[#This Row],[2015]]), Klisz_Verbräuche[[#This Row],[2015]]*Emissionsfaktoren[[#This Row],[2015]]/1000, 0)</f>
        <v>0</v>
      </c>
      <c r="G150" s="14">
        <f>IF(ISNUMBER(Klisz_Verbräuche[[#This Row],[2016]]), Klisz_Verbräuche[[#This Row],[2016]]*Emissionsfaktoren[[#This Row],[2016]]/1000, 0)</f>
        <v>0</v>
      </c>
      <c r="H150" s="14">
        <f>IF(ISNUMBER(Klisz_Verbräuche[[#This Row],[2017]]), Klisz_Verbräuche[[#This Row],[2017]]*Emissionsfaktoren[[#This Row],[2017]]/1000, 0)</f>
        <v>0</v>
      </c>
      <c r="I150" s="14">
        <f>IF(ISNUMBER(Klisz_Verbräuche[[#This Row],[2018]]), Klisz_Verbräuche[[#This Row],[2018]]*Emissionsfaktoren[[#This Row],[2018]]/1000, 0)</f>
        <v>0</v>
      </c>
      <c r="J150" s="14">
        <f>IF(ISNUMBER(Klisz_Verbräuche[[#This Row],[2019]]), Klisz_Verbräuche[[#This Row],[2019]]*Emissionsfaktoren[[#This Row],[2019]]/1000, 0)</f>
        <v>0</v>
      </c>
      <c r="K150" s="14">
        <f>IF(ISNUMBER(Klisz_Verbräuche[[#This Row],[2020]]), Klisz_Verbräuche[[#This Row],[2020]]*Emissionsfaktoren[[#This Row],[2020]]/1000, 0)</f>
        <v>0</v>
      </c>
      <c r="L150" s="14">
        <f>IF(ISNUMBER(Klisz_Verbräuche[[#This Row],[2021]]), Klisz_Verbräuche[[#This Row],[2021]]*Emissionsfaktoren[[#This Row],[2021]]/1000, 0)</f>
        <v>0</v>
      </c>
      <c r="M150" s="14">
        <f>IF(ISNUMBER(Klisz_Verbräuche[[#This Row],[2022]]), Klisz_Verbräuche[[#This Row],[2022]]*Emissionsfaktoren[[#This Row],[2022]]/1000, 0)</f>
        <v>0</v>
      </c>
      <c r="N150" s="14">
        <f>IF(ISNUMBER(Klisz_Verbräuche[[#This Row],[2023]]), Klisz_Verbräuche[[#This Row],[2023]]*Emissionsfaktoren[[#This Row],[2023]]/1000, 0)</f>
        <v>0</v>
      </c>
      <c r="O150" s="14">
        <f>IF(ISNUMBER(Klisz_Verbräuche[[#This Row],[2024]]), Klisz_Verbräuche[[#This Row],[2024]]*Emissionsfaktoren[[#This Row],[2024]]/1000, 0)</f>
        <v>0</v>
      </c>
      <c r="P150" s="14">
        <f>IF(ISNUMBER(Klisz_Verbräuche[[#This Row],[2025]]), Klisz_Verbräuche[[#This Row],[2025]]*Emissionsfaktoren[[#This Row],[2025]]/1000, 0)</f>
        <v>0</v>
      </c>
      <c r="Q150" s="14">
        <f>IF(ISNUMBER(Klisz_Verbräuche[[#This Row],[2026]]), Klisz_Verbräuche[[#This Row],[2026]]*Emissionsfaktoren[[#This Row],[2026]]/1000, 0)</f>
        <v>0</v>
      </c>
      <c r="R150" s="14">
        <f>IF(ISNUMBER(Klisz_Verbräuche[[#This Row],[2027]]), Klisz_Verbräuche[[#This Row],[2027]]*Emissionsfaktoren[[#This Row],[2027]]/1000, 0)</f>
        <v>0</v>
      </c>
      <c r="S150" s="14">
        <f>IF(ISNUMBER(Klisz_Verbräuche[[#This Row],[2028]]), Klisz_Verbräuche[[#This Row],[2028]]*Emissionsfaktoren[[#This Row],[2028]]/1000, 0)</f>
        <v>0</v>
      </c>
      <c r="T150" s="14">
        <f>IF(ISNUMBER(Klisz_Verbräuche[[#This Row],[2029]]), Klisz_Verbräuche[[#This Row],[2029]]*Emissionsfaktoren[[#This Row],[2029]]/1000, 0)</f>
        <v>0</v>
      </c>
      <c r="U150" s="14">
        <f>IF(ISNUMBER(Klisz_Verbräuche[[#This Row],[2030]]), Klisz_Verbräuche[[#This Row],[2030]]*Emissionsfaktoren[[#This Row],[2030]]/1000, 0)</f>
        <v>0</v>
      </c>
      <c r="V150" s="14">
        <f>IF(ISNUMBER(Klisz_Verbräuche[[#This Row],[2035]]), Klisz_Verbräuche[[#This Row],[2035]]*Emissionsfaktoren[[#This Row],[2035]]/1000, 0)</f>
        <v>0</v>
      </c>
      <c r="W150" s="14">
        <f>IF(ISNUMBER(Klisz_Verbräuche[[#This Row],[2040]]), Klisz_Verbräuche[[#This Row],[2040]]*Emissionsfaktoren[[#This Row],[2040]]/1000, 0)</f>
        <v>0</v>
      </c>
      <c r="X150" s="14">
        <f>IF(ISNUMBER(Klisz_Verbräuche[[#This Row],[2045]]), Klisz_Verbräuche[[#This Row],[2045]]*Emissionsfaktoren[[#This Row],[2045]]/1000, 0)</f>
        <v>0</v>
      </c>
      <c r="Y150" s="14">
        <f>IF(ISNUMBER(Klisz_Verbräuche[[#This Row],[2050]]), Klisz_Verbräuche[[#This Row],[2050]]*Emissionsfaktoren[[#This Row],[2050]]/1000, 0)</f>
        <v>0</v>
      </c>
    </row>
    <row r="151" spans="2:25" ht="16.5">
      <c r="B151" s="14">
        <v>134</v>
      </c>
      <c r="C151" s="14" t="str">
        <f>Refsz_Verbräuche[[#This Row],[Handlungsfeld]]</f>
        <v>Baugüter</v>
      </c>
      <c r="D151" s="19" t="str">
        <f>Refsz_Verbräuche[[#This Row],[Datenpunkt]]</f>
        <v>Stahl-mix</v>
      </c>
      <c r="E151" t="s">
        <v>195</v>
      </c>
      <c r="F151" s="14">
        <f>IF(ISNUMBER(Klisz_Verbräuche[[#This Row],[2015]]), Klisz_Verbräuche[[#This Row],[2015]]*Emissionsfaktoren[[#This Row],[2015]]/1000, 0)</f>
        <v>0</v>
      </c>
      <c r="G151" s="14">
        <f>IF(ISNUMBER(Klisz_Verbräuche[[#This Row],[2016]]), Klisz_Verbräuche[[#This Row],[2016]]*Emissionsfaktoren[[#This Row],[2016]]/1000, 0)</f>
        <v>0</v>
      </c>
      <c r="H151" s="14">
        <f>IF(ISNUMBER(Klisz_Verbräuche[[#This Row],[2017]]), Klisz_Verbräuche[[#This Row],[2017]]*Emissionsfaktoren[[#This Row],[2017]]/1000, 0)</f>
        <v>0</v>
      </c>
      <c r="I151" s="14">
        <f>IF(ISNUMBER(Klisz_Verbräuche[[#This Row],[2018]]), Klisz_Verbräuche[[#This Row],[2018]]*Emissionsfaktoren[[#This Row],[2018]]/1000, 0)</f>
        <v>0</v>
      </c>
      <c r="J151" s="14">
        <f>IF(ISNUMBER(Klisz_Verbräuche[[#This Row],[2019]]), Klisz_Verbräuche[[#This Row],[2019]]*Emissionsfaktoren[[#This Row],[2019]]/1000, 0)</f>
        <v>0</v>
      </c>
      <c r="K151" s="14">
        <f>IF(ISNUMBER(Klisz_Verbräuche[[#This Row],[2020]]), Klisz_Verbräuche[[#This Row],[2020]]*Emissionsfaktoren[[#This Row],[2020]]/1000, 0)</f>
        <v>0</v>
      </c>
      <c r="L151" s="14">
        <f>IF(ISNUMBER(Klisz_Verbräuche[[#This Row],[2021]]), Klisz_Verbräuche[[#This Row],[2021]]*Emissionsfaktoren[[#This Row],[2021]]/1000, 0)</f>
        <v>0</v>
      </c>
      <c r="M151" s="14">
        <f>IF(ISNUMBER(Klisz_Verbräuche[[#This Row],[2022]]), Klisz_Verbräuche[[#This Row],[2022]]*Emissionsfaktoren[[#This Row],[2022]]/1000, 0)</f>
        <v>0</v>
      </c>
      <c r="N151" s="14">
        <f>IF(ISNUMBER(Klisz_Verbräuche[[#This Row],[2023]]), Klisz_Verbräuche[[#This Row],[2023]]*Emissionsfaktoren[[#This Row],[2023]]/1000, 0)</f>
        <v>0</v>
      </c>
      <c r="O151" s="14">
        <f>IF(ISNUMBER(Klisz_Verbräuche[[#This Row],[2024]]), Klisz_Verbräuche[[#This Row],[2024]]*Emissionsfaktoren[[#This Row],[2024]]/1000, 0)</f>
        <v>0</v>
      </c>
      <c r="P151" s="14">
        <f>IF(ISNUMBER(Klisz_Verbräuche[[#This Row],[2025]]), Klisz_Verbräuche[[#This Row],[2025]]*Emissionsfaktoren[[#This Row],[2025]]/1000, 0)</f>
        <v>0</v>
      </c>
      <c r="Q151" s="14">
        <f>IF(ISNUMBER(Klisz_Verbräuche[[#This Row],[2026]]), Klisz_Verbräuche[[#This Row],[2026]]*Emissionsfaktoren[[#This Row],[2026]]/1000, 0)</f>
        <v>0</v>
      </c>
      <c r="R151" s="14">
        <f>IF(ISNUMBER(Klisz_Verbräuche[[#This Row],[2027]]), Klisz_Verbräuche[[#This Row],[2027]]*Emissionsfaktoren[[#This Row],[2027]]/1000, 0)</f>
        <v>0</v>
      </c>
      <c r="S151" s="14">
        <f>IF(ISNUMBER(Klisz_Verbräuche[[#This Row],[2028]]), Klisz_Verbräuche[[#This Row],[2028]]*Emissionsfaktoren[[#This Row],[2028]]/1000, 0)</f>
        <v>0</v>
      </c>
      <c r="T151" s="14">
        <f>IF(ISNUMBER(Klisz_Verbräuche[[#This Row],[2029]]), Klisz_Verbräuche[[#This Row],[2029]]*Emissionsfaktoren[[#This Row],[2029]]/1000, 0)</f>
        <v>0</v>
      </c>
      <c r="U151" s="14">
        <f>IF(ISNUMBER(Klisz_Verbräuche[[#This Row],[2030]]), Klisz_Verbräuche[[#This Row],[2030]]*Emissionsfaktoren[[#This Row],[2030]]/1000, 0)</f>
        <v>0</v>
      </c>
      <c r="V151" s="14">
        <f>IF(ISNUMBER(Klisz_Verbräuche[[#This Row],[2035]]), Klisz_Verbräuche[[#This Row],[2035]]*Emissionsfaktoren[[#This Row],[2035]]/1000, 0)</f>
        <v>0</v>
      </c>
      <c r="W151" s="14">
        <f>IF(ISNUMBER(Klisz_Verbräuche[[#This Row],[2040]]), Klisz_Verbräuche[[#This Row],[2040]]*Emissionsfaktoren[[#This Row],[2040]]/1000, 0)</f>
        <v>0</v>
      </c>
      <c r="X151" s="14">
        <f>IF(ISNUMBER(Klisz_Verbräuche[[#This Row],[2045]]), Klisz_Verbräuche[[#This Row],[2045]]*Emissionsfaktoren[[#This Row],[2045]]/1000, 0)</f>
        <v>0</v>
      </c>
      <c r="Y151" s="14">
        <f>IF(ISNUMBER(Klisz_Verbräuche[[#This Row],[2050]]), Klisz_Verbräuche[[#This Row],[2050]]*Emissionsfaktoren[[#This Row],[2050]]/1000, 0)</f>
        <v>0</v>
      </c>
    </row>
    <row r="152" spans="2:25" ht="16.5">
      <c r="B152" s="14">
        <v>135</v>
      </c>
      <c r="C152" s="14" t="str">
        <f>Refsz_Verbräuche[[#This Row],[Handlungsfeld]]</f>
        <v>Baugüter</v>
      </c>
      <c r="D152" s="19" t="str">
        <f>Refsz_Verbräuche[[#This Row],[Datenpunkt]]</f>
        <v>Beton</v>
      </c>
      <c r="E152" t="s">
        <v>195</v>
      </c>
      <c r="F152" s="14">
        <f>IF(ISNUMBER(Klisz_Verbräuche[[#This Row],[2015]]), Klisz_Verbräuche[[#This Row],[2015]]*Emissionsfaktoren[[#This Row],[2015]]/1000, 0)</f>
        <v>0</v>
      </c>
      <c r="G152" s="14">
        <f>IF(ISNUMBER(Klisz_Verbräuche[[#This Row],[2016]]), Klisz_Verbräuche[[#This Row],[2016]]*Emissionsfaktoren[[#This Row],[2016]]/1000, 0)</f>
        <v>0</v>
      </c>
      <c r="H152" s="14">
        <f>IF(ISNUMBER(Klisz_Verbräuche[[#This Row],[2017]]), Klisz_Verbräuche[[#This Row],[2017]]*Emissionsfaktoren[[#This Row],[2017]]/1000, 0)</f>
        <v>0</v>
      </c>
      <c r="I152" s="14">
        <f>IF(ISNUMBER(Klisz_Verbräuche[[#This Row],[2018]]), Klisz_Verbräuche[[#This Row],[2018]]*Emissionsfaktoren[[#This Row],[2018]]/1000, 0)</f>
        <v>0</v>
      </c>
      <c r="J152" s="14">
        <f>IF(ISNUMBER(Klisz_Verbräuche[[#This Row],[2019]]), Klisz_Verbräuche[[#This Row],[2019]]*Emissionsfaktoren[[#This Row],[2019]]/1000, 0)</f>
        <v>0</v>
      </c>
      <c r="K152" s="14">
        <f>IF(ISNUMBER(Klisz_Verbräuche[[#This Row],[2020]]), Klisz_Verbräuche[[#This Row],[2020]]*Emissionsfaktoren[[#This Row],[2020]]/1000, 0)</f>
        <v>0</v>
      </c>
      <c r="L152" s="14">
        <f>IF(ISNUMBER(Klisz_Verbräuche[[#This Row],[2021]]), Klisz_Verbräuche[[#This Row],[2021]]*Emissionsfaktoren[[#This Row],[2021]]/1000, 0)</f>
        <v>0</v>
      </c>
      <c r="M152" s="14">
        <f>IF(ISNUMBER(Klisz_Verbräuche[[#This Row],[2022]]), Klisz_Verbräuche[[#This Row],[2022]]*Emissionsfaktoren[[#This Row],[2022]]/1000, 0)</f>
        <v>0</v>
      </c>
      <c r="N152" s="14">
        <f>IF(ISNUMBER(Klisz_Verbräuche[[#This Row],[2023]]), Klisz_Verbräuche[[#This Row],[2023]]*Emissionsfaktoren[[#This Row],[2023]]/1000, 0)</f>
        <v>0</v>
      </c>
      <c r="O152" s="14">
        <f>IF(ISNUMBER(Klisz_Verbräuche[[#This Row],[2024]]), Klisz_Verbräuche[[#This Row],[2024]]*Emissionsfaktoren[[#This Row],[2024]]/1000, 0)</f>
        <v>0</v>
      </c>
      <c r="P152" s="14">
        <f>IF(ISNUMBER(Klisz_Verbräuche[[#This Row],[2025]]), Klisz_Verbräuche[[#This Row],[2025]]*Emissionsfaktoren[[#This Row],[2025]]/1000, 0)</f>
        <v>0</v>
      </c>
      <c r="Q152" s="14">
        <f>IF(ISNUMBER(Klisz_Verbräuche[[#This Row],[2026]]), Klisz_Verbräuche[[#This Row],[2026]]*Emissionsfaktoren[[#This Row],[2026]]/1000, 0)</f>
        <v>0</v>
      </c>
      <c r="R152" s="14">
        <f>IF(ISNUMBER(Klisz_Verbräuche[[#This Row],[2027]]), Klisz_Verbräuche[[#This Row],[2027]]*Emissionsfaktoren[[#This Row],[2027]]/1000, 0)</f>
        <v>0</v>
      </c>
      <c r="S152" s="14">
        <f>IF(ISNUMBER(Klisz_Verbräuche[[#This Row],[2028]]), Klisz_Verbräuche[[#This Row],[2028]]*Emissionsfaktoren[[#This Row],[2028]]/1000, 0)</f>
        <v>0</v>
      </c>
      <c r="T152" s="14">
        <f>IF(ISNUMBER(Klisz_Verbräuche[[#This Row],[2029]]), Klisz_Verbräuche[[#This Row],[2029]]*Emissionsfaktoren[[#This Row],[2029]]/1000, 0)</f>
        <v>0</v>
      </c>
      <c r="U152" s="14">
        <f>IF(ISNUMBER(Klisz_Verbräuche[[#This Row],[2030]]), Klisz_Verbräuche[[#This Row],[2030]]*Emissionsfaktoren[[#This Row],[2030]]/1000, 0)</f>
        <v>0</v>
      </c>
      <c r="V152" s="14">
        <f>IF(ISNUMBER(Klisz_Verbräuche[[#This Row],[2035]]), Klisz_Verbräuche[[#This Row],[2035]]*Emissionsfaktoren[[#This Row],[2035]]/1000, 0)</f>
        <v>0</v>
      </c>
      <c r="W152" s="14">
        <f>IF(ISNUMBER(Klisz_Verbräuche[[#This Row],[2040]]), Klisz_Verbräuche[[#This Row],[2040]]*Emissionsfaktoren[[#This Row],[2040]]/1000, 0)</f>
        <v>0</v>
      </c>
      <c r="X152" s="14">
        <f>IF(ISNUMBER(Klisz_Verbräuche[[#This Row],[2045]]), Klisz_Verbräuche[[#This Row],[2045]]*Emissionsfaktoren[[#This Row],[2045]]/1000, 0)</f>
        <v>0</v>
      </c>
      <c r="Y152" s="14">
        <f>IF(ISNUMBER(Klisz_Verbräuche[[#This Row],[2050]]), Klisz_Verbräuche[[#This Row],[2050]]*Emissionsfaktoren[[#This Row],[2050]]/1000, 0)</f>
        <v>0</v>
      </c>
    </row>
    <row r="153" spans="2:25" ht="16.5">
      <c r="B153" s="14">
        <v>136</v>
      </c>
      <c r="C153" s="14" t="str">
        <f>Refsz_Verbräuche[[#This Row],[Handlungsfeld]]</f>
        <v>Baugüter</v>
      </c>
      <c r="D153" s="19" t="str">
        <f>Refsz_Verbräuche[[#This Row],[Datenpunkt]]</f>
        <v>Glaswolle</v>
      </c>
      <c r="E153" t="s">
        <v>195</v>
      </c>
      <c r="F153" s="14">
        <f>IF(ISNUMBER(Klisz_Verbräuche[[#This Row],[2015]]), Klisz_Verbräuche[[#This Row],[2015]]*Emissionsfaktoren[[#This Row],[2015]]/1000, 0)</f>
        <v>0</v>
      </c>
      <c r="G153" s="14">
        <f>IF(ISNUMBER(Klisz_Verbräuche[[#This Row],[2016]]), Klisz_Verbräuche[[#This Row],[2016]]*Emissionsfaktoren[[#This Row],[2016]]/1000, 0)</f>
        <v>0</v>
      </c>
      <c r="H153" s="14">
        <f>IF(ISNUMBER(Klisz_Verbräuche[[#This Row],[2017]]), Klisz_Verbräuche[[#This Row],[2017]]*Emissionsfaktoren[[#This Row],[2017]]/1000, 0)</f>
        <v>0</v>
      </c>
      <c r="I153" s="14">
        <f>IF(ISNUMBER(Klisz_Verbräuche[[#This Row],[2018]]), Klisz_Verbräuche[[#This Row],[2018]]*Emissionsfaktoren[[#This Row],[2018]]/1000, 0)</f>
        <v>0</v>
      </c>
      <c r="J153" s="14">
        <f>IF(ISNUMBER(Klisz_Verbräuche[[#This Row],[2019]]), Klisz_Verbräuche[[#This Row],[2019]]*Emissionsfaktoren[[#This Row],[2019]]/1000, 0)</f>
        <v>0</v>
      </c>
      <c r="K153" s="14">
        <f>IF(ISNUMBER(Klisz_Verbräuche[[#This Row],[2020]]), Klisz_Verbräuche[[#This Row],[2020]]*Emissionsfaktoren[[#This Row],[2020]]/1000, 0)</f>
        <v>0</v>
      </c>
      <c r="L153" s="14">
        <f>IF(ISNUMBER(Klisz_Verbräuche[[#This Row],[2021]]), Klisz_Verbräuche[[#This Row],[2021]]*Emissionsfaktoren[[#This Row],[2021]]/1000, 0)</f>
        <v>0</v>
      </c>
      <c r="M153" s="14">
        <f>IF(ISNUMBER(Klisz_Verbräuche[[#This Row],[2022]]), Klisz_Verbräuche[[#This Row],[2022]]*Emissionsfaktoren[[#This Row],[2022]]/1000, 0)</f>
        <v>0</v>
      </c>
      <c r="N153" s="14">
        <f>IF(ISNUMBER(Klisz_Verbräuche[[#This Row],[2023]]), Klisz_Verbräuche[[#This Row],[2023]]*Emissionsfaktoren[[#This Row],[2023]]/1000, 0)</f>
        <v>0</v>
      </c>
      <c r="O153" s="14">
        <f>IF(ISNUMBER(Klisz_Verbräuche[[#This Row],[2024]]), Klisz_Verbräuche[[#This Row],[2024]]*Emissionsfaktoren[[#This Row],[2024]]/1000, 0)</f>
        <v>0</v>
      </c>
      <c r="P153" s="14">
        <f>IF(ISNUMBER(Klisz_Verbräuche[[#This Row],[2025]]), Klisz_Verbräuche[[#This Row],[2025]]*Emissionsfaktoren[[#This Row],[2025]]/1000, 0)</f>
        <v>0</v>
      </c>
      <c r="Q153" s="14">
        <f>IF(ISNUMBER(Klisz_Verbräuche[[#This Row],[2026]]), Klisz_Verbräuche[[#This Row],[2026]]*Emissionsfaktoren[[#This Row],[2026]]/1000, 0)</f>
        <v>0</v>
      </c>
      <c r="R153" s="14">
        <f>IF(ISNUMBER(Klisz_Verbräuche[[#This Row],[2027]]), Klisz_Verbräuche[[#This Row],[2027]]*Emissionsfaktoren[[#This Row],[2027]]/1000, 0)</f>
        <v>0</v>
      </c>
      <c r="S153" s="14">
        <f>IF(ISNUMBER(Klisz_Verbräuche[[#This Row],[2028]]), Klisz_Verbräuche[[#This Row],[2028]]*Emissionsfaktoren[[#This Row],[2028]]/1000, 0)</f>
        <v>0</v>
      </c>
      <c r="T153" s="14">
        <f>IF(ISNUMBER(Klisz_Verbräuche[[#This Row],[2029]]), Klisz_Verbräuche[[#This Row],[2029]]*Emissionsfaktoren[[#This Row],[2029]]/1000, 0)</f>
        <v>0</v>
      </c>
      <c r="U153" s="14">
        <f>IF(ISNUMBER(Klisz_Verbräuche[[#This Row],[2030]]), Klisz_Verbräuche[[#This Row],[2030]]*Emissionsfaktoren[[#This Row],[2030]]/1000, 0)</f>
        <v>0</v>
      </c>
      <c r="V153" s="14">
        <f>IF(ISNUMBER(Klisz_Verbräuche[[#This Row],[2035]]), Klisz_Verbräuche[[#This Row],[2035]]*Emissionsfaktoren[[#This Row],[2035]]/1000, 0)</f>
        <v>0</v>
      </c>
      <c r="W153" s="14">
        <f>IF(ISNUMBER(Klisz_Verbräuche[[#This Row],[2040]]), Klisz_Verbräuche[[#This Row],[2040]]*Emissionsfaktoren[[#This Row],[2040]]/1000, 0)</f>
        <v>0</v>
      </c>
      <c r="X153" s="14">
        <f>IF(ISNUMBER(Klisz_Verbräuche[[#This Row],[2045]]), Klisz_Verbräuche[[#This Row],[2045]]*Emissionsfaktoren[[#This Row],[2045]]/1000, 0)</f>
        <v>0</v>
      </c>
      <c r="Y153" s="14">
        <f>IF(ISNUMBER(Klisz_Verbräuche[[#This Row],[2050]]), Klisz_Verbräuche[[#This Row],[2050]]*Emissionsfaktoren[[#This Row],[2050]]/1000, 0)</f>
        <v>0</v>
      </c>
    </row>
    <row r="154" spans="2:25" ht="16.5">
      <c r="B154" s="14">
        <v>137</v>
      </c>
      <c r="C154" s="14" t="str">
        <f>Refsz_Verbräuche[[#This Row],[Handlungsfeld]]</f>
        <v>Baugüter</v>
      </c>
      <c r="D154" s="19" t="str">
        <f>Refsz_Verbräuche[[#This Row],[Datenpunkt]]</f>
        <v>Konstruktionsvollholz</v>
      </c>
      <c r="E154" t="s">
        <v>195</v>
      </c>
      <c r="F154" s="14">
        <f>IF(ISNUMBER(Klisz_Verbräuche[[#This Row],[2015]]), Klisz_Verbräuche[[#This Row],[2015]]*Emissionsfaktoren[[#This Row],[2015]]/1000, 0)</f>
        <v>0</v>
      </c>
      <c r="G154" s="14">
        <f>IF(ISNUMBER(Klisz_Verbräuche[[#This Row],[2016]]), Klisz_Verbräuche[[#This Row],[2016]]*Emissionsfaktoren[[#This Row],[2016]]/1000, 0)</f>
        <v>0</v>
      </c>
      <c r="H154" s="14">
        <f>IF(ISNUMBER(Klisz_Verbräuche[[#This Row],[2017]]), Klisz_Verbräuche[[#This Row],[2017]]*Emissionsfaktoren[[#This Row],[2017]]/1000, 0)</f>
        <v>0</v>
      </c>
      <c r="I154" s="14">
        <f>IF(ISNUMBER(Klisz_Verbräuche[[#This Row],[2018]]), Klisz_Verbräuche[[#This Row],[2018]]*Emissionsfaktoren[[#This Row],[2018]]/1000, 0)</f>
        <v>0</v>
      </c>
      <c r="J154" s="14">
        <f>IF(ISNUMBER(Klisz_Verbräuche[[#This Row],[2019]]), Klisz_Verbräuche[[#This Row],[2019]]*Emissionsfaktoren[[#This Row],[2019]]/1000, 0)</f>
        <v>0</v>
      </c>
      <c r="K154" s="14">
        <f>IF(ISNUMBER(Klisz_Verbräuche[[#This Row],[2020]]), Klisz_Verbräuche[[#This Row],[2020]]*Emissionsfaktoren[[#This Row],[2020]]/1000, 0)</f>
        <v>0</v>
      </c>
      <c r="L154" s="14">
        <f>IF(ISNUMBER(Klisz_Verbräuche[[#This Row],[2021]]), Klisz_Verbräuche[[#This Row],[2021]]*Emissionsfaktoren[[#This Row],[2021]]/1000, 0)</f>
        <v>0</v>
      </c>
      <c r="M154" s="14">
        <f>IF(ISNUMBER(Klisz_Verbräuche[[#This Row],[2022]]), Klisz_Verbräuche[[#This Row],[2022]]*Emissionsfaktoren[[#This Row],[2022]]/1000, 0)</f>
        <v>0</v>
      </c>
      <c r="N154" s="14">
        <f>IF(ISNUMBER(Klisz_Verbräuche[[#This Row],[2023]]), Klisz_Verbräuche[[#This Row],[2023]]*Emissionsfaktoren[[#This Row],[2023]]/1000, 0)</f>
        <v>0</v>
      </c>
      <c r="O154" s="14">
        <f>IF(ISNUMBER(Klisz_Verbräuche[[#This Row],[2024]]), Klisz_Verbräuche[[#This Row],[2024]]*Emissionsfaktoren[[#This Row],[2024]]/1000, 0)</f>
        <v>0</v>
      </c>
      <c r="P154" s="14">
        <f>IF(ISNUMBER(Klisz_Verbräuche[[#This Row],[2025]]), Klisz_Verbräuche[[#This Row],[2025]]*Emissionsfaktoren[[#This Row],[2025]]/1000, 0)</f>
        <v>0</v>
      </c>
      <c r="Q154" s="14">
        <f>IF(ISNUMBER(Klisz_Verbräuche[[#This Row],[2026]]), Klisz_Verbräuche[[#This Row],[2026]]*Emissionsfaktoren[[#This Row],[2026]]/1000, 0)</f>
        <v>0</v>
      </c>
      <c r="R154" s="14">
        <f>IF(ISNUMBER(Klisz_Verbräuche[[#This Row],[2027]]), Klisz_Verbräuche[[#This Row],[2027]]*Emissionsfaktoren[[#This Row],[2027]]/1000, 0)</f>
        <v>0</v>
      </c>
      <c r="S154" s="14">
        <f>IF(ISNUMBER(Klisz_Verbräuche[[#This Row],[2028]]), Klisz_Verbräuche[[#This Row],[2028]]*Emissionsfaktoren[[#This Row],[2028]]/1000, 0)</f>
        <v>0</v>
      </c>
      <c r="T154" s="14">
        <f>IF(ISNUMBER(Klisz_Verbräuche[[#This Row],[2029]]), Klisz_Verbräuche[[#This Row],[2029]]*Emissionsfaktoren[[#This Row],[2029]]/1000, 0)</f>
        <v>0</v>
      </c>
      <c r="U154" s="14">
        <f>IF(ISNUMBER(Klisz_Verbräuche[[#This Row],[2030]]), Klisz_Verbräuche[[#This Row],[2030]]*Emissionsfaktoren[[#This Row],[2030]]/1000, 0)</f>
        <v>0</v>
      </c>
      <c r="V154" s="14">
        <f>IF(ISNUMBER(Klisz_Verbräuche[[#This Row],[2035]]), Klisz_Verbräuche[[#This Row],[2035]]*Emissionsfaktoren[[#This Row],[2035]]/1000, 0)</f>
        <v>0</v>
      </c>
      <c r="W154" s="14">
        <f>IF(ISNUMBER(Klisz_Verbräuche[[#This Row],[2040]]), Klisz_Verbräuche[[#This Row],[2040]]*Emissionsfaktoren[[#This Row],[2040]]/1000, 0)</f>
        <v>0</v>
      </c>
      <c r="X154" s="14">
        <f>IF(ISNUMBER(Klisz_Verbräuche[[#This Row],[2045]]), Klisz_Verbräuche[[#This Row],[2045]]*Emissionsfaktoren[[#This Row],[2045]]/1000, 0)</f>
        <v>0</v>
      </c>
      <c r="Y154" s="14">
        <f>IF(ISNUMBER(Klisz_Verbräuche[[#This Row],[2050]]), Klisz_Verbräuche[[#This Row],[2050]]*Emissionsfaktoren[[#This Row],[2050]]/1000, 0)</f>
        <v>0</v>
      </c>
    </row>
    <row r="155" spans="2:25" ht="16.5">
      <c r="B155" s="14">
        <v>138</v>
      </c>
      <c r="C155" s="14" t="str">
        <f>Refsz_Verbräuche[[#This Row],[Handlungsfeld]]</f>
        <v>Baugüter</v>
      </c>
      <c r="D155" s="19" t="str">
        <f>Refsz_Verbräuche[[#This Row],[Datenpunkt]]</f>
        <v>Spanplatte</v>
      </c>
      <c r="E155" t="s">
        <v>195</v>
      </c>
      <c r="F155" s="14">
        <f>IF(ISNUMBER(Klisz_Verbräuche[[#This Row],[2015]]), Klisz_Verbräuche[[#This Row],[2015]]*Emissionsfaktoren[[#This Row],[2015]]/1000, 0)</f>
        <v>0</v>
      </c>
      <c r="G155" s="14">
        <f>IF(ISNUMBER(Klisz_Verbräuche[[#This Row],[2016]]), Klisz_Verbräuche[[#This Row],[2016]]*Emissionsfaktoren[[#This Row],[2016]]/1000, 0)</f>
        <v>0</v>
      </c>
      <c r="H155" s="14">
        <f>IF(ISNUMBER(Klisz_Verbräuche[[#This Row],[2017]]), Klisz_Verbräuche[[#This Row],[2017]]*Emissionsfaktoren[[#This Row],[2017]]/1000, 0)</f>
        <v>0</v>
      </c>
      <c r="I155" s="14">
        <f>IF(ISNUMBER(Klisz_Verbräuche[[#This Row],[2018]]), Klisz_Verbräuche[[#This Row],[2018]]*Emissionsfaktoren[[#This Row],[2018]]/1000, 0)</f>
        <v>0</v>
      </c>
      <c r="J155" s="14">
        <f>IF(ISNUMBER(Klisz_Verbräuche[[#This Row],[2019]]), Klisz_Verbräuche[[#This Row],[2019]]*Emissionsfaktoren[[#This Row],[2019]]/1000, 0)</f>
        <v>0</v>
      </c>
      <c r="K155" s="14">
        <f>IF(ISNUMBER(Klisz_Verbräuche[[#This Row],[2020]]), Klisz_Verbräuche[[#This Row],[2020]]*Emissionsfaktoren[[#This Row],[2020]]/1000, 0)</f>
        <v>0</v>
      </c>
      <c r="L155" s="14">
        <f>IF(ISNUMBER(Klisz_Verbräuche[[#This Row],[2021]]), Klisz_Verbräuche[[#This Row],[2021]]*Emissionsfaktoren[[#This Row],[2021]]/1000, 0)</f>
        <v>0</v>
      </c>
      <c r="M155" s="14">
        <f>IF(ISNUMBER(Klisz_Verbräuche[[#This Row],[2022]]), Klisz_Verbräuche[[#This Row],[2022]]*Emissionsfaktoren[[#This Row],[2022]]/1000, 0)</f>
        <v>0</v>
      </c>
      <c r="N155" s="14">
        <f>IF(ISNUMBER(Klisz_Verbräuche[[#This Row],[2023]]), Klisz_Verbräuche[[#This Row],[2023]]*Emissionsfaktoren[[#This Row],[2023]]/1000, 0)</f>
        <v>0</v>
      </c>
      <c r="O155" s="14">
        <f>IF(ISNUMBER(Klisz_Verbräuche[[#This Row],[2024]]), Klisz_Verbräuche[[#This Row],[2024]]*Emissionsfaktoren[[#This Row],[2024]]/1000, 0)</f>
        <v>0</v>
      </c>
      <c r="P155" s="14">
        <f>IF(ISNUMBER(Klisz_Verbräuche[[#This Row],[2025]]), Klisz_Verbräuche[[#This Row],[2025]]*Emissionsfaktoren[[#This Row],[2025]]/1000, 0)</f>
        <v>0</v>
      </c>
      <c r="Q155" s="14">
        <f>IF(ISNUMBER(Klisz_Verbräuche[[#This Row],[2026]]), Klisz_Verbräuche[[#This Row],[2026]]*Emissionsfaktoren[[#This Row],[2026]]/1000, 0)</f>
        <v>0</v>
      </c>
      <c r="R155" s="14">
        <f>IF(ISNUMBER(Klisz_Verbräuche[[#This Row],[2027]]), Klisz_Verbräuche[[#This Row],[2027]]*Emissionsfaktoren[[#This Row],[2027]]/1000, 0)</f>
        <v>0</v>
      </c>
      <c r="S155" s="14">
        <f>IF(ISNUMBER(Klisz_Verbräuche[[#This Row],[2028]]), Klisz_Verbräuche[[#This Row],[2028]]*Emissionsfaktoren[[#This Row],[2028]]/1000, 0)</f>
        <v>0</v>
      </c>
      <c r="T155" s="14">
        <f>IF(ISNUMBER(Klisz_Verbräuche[[#This Row],[2029]]), Klisz_Verbräuche[[#This Row],[2029]]*Emissionsfaktoren[[#This Row],[2029]]/1000, 0)</f>
        <v>0</v>
      </c>
      <c r="U155" s="14">
        <f>IF(ISNUMBER(Klisz_Verbräuche[[#This Row],[2030]]), Klisz_Verbräuche[[#This Row],[2030]]*Emissionsfaktoren[[#This Row],[2030]]/1000, 0)</f>
        <v>0</v>
      </c>
      <c r="V155" s="14">
        <f>IF(ISNUMBER(Klisz_Verbräuche[[#This Row],[2035]]), Klisz_Verbräuche[[#This Row],[2035]]*Emissionsfaktoren[[#This Row],[2035]]/1000, 0)</f>
        <v>0</v>
      </c>
      <c r="W155" s="14">
        <f>IF(ISNUMBER(Klisz_Verbräuche[[#This Row],[2040]]), Klisz_Verbräuche[[#This Row],[2040]]*Emissionsfaktoren[[#This Row],[2040]]/1000, 0)</f>
        <v>0</v>
      </c>
      <c r="X155" s="14">
        <f>IF(ISNUMBER(Klisz_Verbräuche[[#This Row],[2045]]), Klisz_Verbräuche[[#This Row],[2045]]*Emissionsfaktoren[[#This Row],[2045]]/1000, 0)</f>
        <v>0</v>
      </c>
      <c r="Y155" s="14">
        <f>IF(ISNUMBER(Klisz_Verbräuche[[#This Row],[2050]]), Klisz_Verbräuche[[#This Row],[2050]]*Emissionsfaktoren[[#This Row],[2050]]/1000, 0)</f>
        <v>0</v>
      </c>
    </row>
    <row r="156" spans="2:25" ht="16.5">
      <c r="B156" s="14">
        <v>139</v>
      </c>
      <c r="C156" s="14" t="str">
        <f>Refsz_Verbräuche[[#This Row],[Handlungsfeld]]</f>
        <v>Baugüter</v>
      </c>
      <c r="D156" s="19" t="str">
        <f>Refsz_Verbräuche[[#This Row],[Datenpunkt]]</f>
        <v>Perlit</v>
      </c>
      <c r="E156" t="s">
        <v>195</v>
      </c>
      <c r="F156" s="14">
        <f>IF(ISNUMBER(Klisz_Verbräuche[[#This Row],[2015]]), Klisz_Verbräuche[[#This Row],[2015]]*Emissionsfaktoren[[#This Row],[2015]]/1000, 0)</f>
        <v>0</v>
      </c>
      <c r="G156" s="14">
        <f>IF(ISNUMBER(Klisz_Verbräuche[[#This Row],[2016]]), Klisz_Verbräuche[[#This Row],[2016]]*Emissionsfaktoren[[#This Row],[2016]]/1000, 0)</f>
        <v>0</v>
      </c>
      <c r="H156" s="14">
        <f>IF(ISNUMBER(Klisz_Verbräuche[[#This Row],[2017]]), Klisz_Verbräuche[[#This Row],[2017]]*Emissionsfaktoren[[#This Row],[2017]]/1000, 0)</f>
        <v>0</v>
      </c>
      <c r="I156" s="14">
        <f>IF(ISNUMBER(Klisz_Verbräuche[[#This Row],[2018]]), Klisz_Verbräuche[[#This Row],[2018]]*Emissionsfaktoren[[#This Row],[2018]]/1000, 0)</f>
        <v>0</v>
      </c>
      <c r="J156" s="14">
        <f>IF(ISNUMBER(Klisz_Verbräuche[[#This Row],[2019]]), Klisz_Verbräuche[[#This Row],[2019]]*Emissionsfaktoren[[#This Row],[2019]]/1000, 0)</f>
        <v>0</v>
      </c>
      <c r="K156" s="14">
        <f>IF(ISNUMBER(Klisz_Verbräuche[[#This Row],[2020]]), Klisz_Verbräuche[[#This Row],[2020]]*Emissionsfaktoren[[#This Row],[2020]]/1000, 0)</f>
        <v>0</v>
      </c>
      <c r="L156" s="14">
        <f>IF(ISNUMBER(Klisz_Verbräuche[[#This Row],[2021]]), Klisz_Verbräuche[[#This Row],[2021]]*Emissionsfaktoren[[#This Row],[2021]]/1000, 0)</f>
        <v>0</v>
      </c>
      <c r="M156" s="14">
        <f>IF(ISNUMBER(Klisz_Verbräuche[[#This Row],[2022]]), Klisz_Verbräuche[[#This Row],[2022]]*Emissionsfaktoren[[#This Row],[2022]]/1000, 0)</f>
        <v>0</v>
      </c>
      <c r="N156" s="14">
        <f>IF(ISNUMBER(Klisz_Verbräuche[[#This Row],[2023]]), Klisz_Verbräuche[[#This Row],[2023]]*Emissionsfaktoren[[#This Row],[2023]]/1000, 0)</f>
        <v>0</v>
      </c>
      <c r="O156" s="14">
        <f>IF(ISNUMBER(Klisz_Verbräuche[[#This Row],[2024]]), Klisz_Verbräuche[[#This Row],[2024]]*Emissionsfaktoren[[#This Row],[2024]]/1000, 0)</f>
        <v>0</v>
      </c>
      <c r="P156" s="14">
        <f>IF(ISNUMBER(Klisz_Verbräuche[[#This Row],[2025]]), Klisz_Verbräuche[[#This Row],[2025]]*Emissionsfaktoren[[#This Row],[2025]]/1000, 0)</f>
        <v>0</v>
      </c>
      <c r="Q156" s="14">
        <f>IF(ISNUMBER(Klisz_Verbräuche[[#This Row],[2026]]), Klisz_Verbräuche[[#This Row],[2026]]*Emissionsfaktoren[[#This Row],[2026]]/1000, 0)</f>
        <v>0</v>
      </c>
      <c r="R156" s="14">
        <f>IF(ISNUMBER(Klisz_Verbräuche[[#This Row],[2027]]), Klisz_Verbräuche[[#This Row],[2027]]*Emissionsfaktoren[[#This Row],[2027]]/1000, 0)</f>
        <v>0</v>
      </c>
      <c r="S156" s="14">
        <f>IF(ISNUMBER(Klisz_Verbräuche[[#This Row],[2028]]), Klisz_Verbräuche[[#This Row],[2028]]*Emissionsfaktoren[[#This Row],[2028]]/1000, 0)</f>
        <v>0</v>
      </c>
      <c r="T156" s="14">
        <f>IF(ISNUMBER(Klisz_Verbräuche[[#This Row],[2029]]), Klisz_Verbräuche[[#This Row],[2029]]*Emissionsfaktoren[[#This Row],[2029]]/1000, 0)</f>
        <v>0</v>
      </c>
      <c r="U156" s="14">
        <f>IF(ISNUMBER(Klisz_Verbräuche[[#This Row],[2030]]), Klisz_Verbräuche[[#This Row],[2030]]*Emissionsfaktoren[[#This Row],[2030]]/1000, 0)</f>
        <v>0</v>
      </c>
      <c r="V156" s="14">
        <f>IF(ISNUMBER(Klisz_Verbräuche[[#This Row],[2035]]), Klisz_Verbräuche[[#This Row],[2035]]*Emissionsfaktoren[[#This Row],[2035]]/1000, 0)</f>
        <v>0</v>
      </c>
      <c r="W156" s="14">
        <f>IF(ISNUMBER(Klisz_Verbräuche[[#This Row],[2040]]), Klisz_Verbräuche[[#This Row],[2040]]*Emissionsfaktoren[[#This Row],[2040]]/1000, 0)</f>
        <v>0</v>
      </c>
      <c r="X156" s="14">
        <f>IF(ISNUMBER(Klisz_Verbräuche[[#This Row],[2045]]), Klisz_Verbräuche[[#This Row],[2045]]*Emissionsfaktoren[[#This Row],[2045]]/1000, 0)</f>
        <v>0</v>
      </c>
      <c r="Y156" s="14">
        <f>IF(ISNUMBER(Klisz_Verbräuche[[#This Row],[2050]]), Klisz_Verbräuche[[#This Row],[2050]]*Emissionsfaktoren[[#This Row],[2050]]/1000, 0)</f>
        <v>0</v>
      </c>
    </row>
    <row r="157" spans="2:25" ht="16.5">
      <c r="B157" s="14">
        <v>140</v>
      </c>
      <c r="C157" s="14" t="str">
        <f>Refsz_Verbräuche[[#This Row],[Handlungsfeld]]</f>
        <v>Baugüter</v>
      </c>
      <c r="D157" s="19" t="str">
        <f>Refsz_Verbräuche[[#This Row],[Datenpunkt]]</f>
        <v>Stahlbeton Fertigteil Decke (20cm Dicke)</v>
      </c>
      <c r="E157" t="s">
        <v>195</v>
      </c>
      <c r="F157" s="14">
        <f>IF(ISNUMBER(Klisz_Verbräuche[[#This Row],[2015]]), Klisz_Verbräuche[[#This Row],[2015]]*Emissionsfaktoren[[#This Row],[2015]]/1000, 0)</f>
        <v>0</v>
      </c>
      <c r="G157" s="14">
        <f>IF(ISNUMBER(Klisz_Verbräuche[[#This Row],[2016]]), Klisz_Verbräuche[[#This Row],[2016]]*Emissionsfaktoren[[#This Row],[2016]]/1000, 0)</f>
        <v>0</v>
      </c>
      <c r="H157" s="14">
        <f>IF(ISNUMBER(Klisz_Verbräuche[[#This Row],[2017]]), Klisz_Verbräuche[[#This Row],[2017]]*Emissionsfaktoren[[#This Row],[2017]]/1000, 0)</f>
        <v>0</v>
      </c>
      <c r="I157" s="14">
        <f>IF(ISNUMBER(Klisz_Verbräuche[[#This Row],[2018]]), Klisz_Verbräuche[[#This Row],[2018]]*Emissionsfaktoren[[#This Row],[2018]]/1000, 0)</f>
        <v>0</v>
      </c>
      <c r="J157" s="14">
        <f>IF(ISNUMBER(Klisz_Verbräuche[[#This Row],[2019]]), Klisz_Verbräuche[[#This Row],[2019]]*Emissionsfaktoren[[#This Row],[2019]]/1000, 0)</f>
        <v>0</v>
      </c>
      <c r="K157" s="14">
        <f>IF(ISNUMBER(Klisz_Verbräuche[[#This Row],[2020]]), Klisz_Verbräuche[[#This Row],[2020]]*Emissionsfaktoren[[#This Row],[2020]]/1000, 0)</f>
        <v>0</v>
      </c>
      <c r="L157" s="14">
        <f>IF(ISNUMBER(Klisz_Verbräuche[[#This Row],[2021]]), Klisz_Verbräuche[[#This Row],[2021]]*Emissionsfaktoren[[#This Row],[2021]]/1000, 0)</f>
        <v>0</v>
      </c>
      <c r="M157" s="14">
        <f>IF(ISNUMBER(Klisz_Verbräuche[[#This Row],[2022]]), Klisz_Verbräuche[[#This Row],[2022]]*Emissionsfaktoren[[#This Row],[2022]]/1000, 0)</f>
        <v>0</v>
      </c>
      <c r="N157" s="14">
        <f>IF(ISNUMBER(Klisz_Verbräuche[[#This Row],[2023]]), Klisz_Verbräuche[[#This Row],[2023]]*Emissionsfaktoren[[#This Row],[2023]]/1000, 0)</f>
        <v>0</v>
      </c>
      <c r="O157" s="14">
        <f>IF(ISNUMBER(Klisz_Verbräuche[[#This Row],[2024]]), Klisz_Verbräuche[[#This Row],[2024]]*Emissionsfaktoren[[#This Row],[2024]]/1000, 0)</f>
        <v>0</v>
      </c>
      <c r="P157" s="14">
        <f>IF(ISNUMBER(Klisz_Verbräuche[[#This Row],[2025]]), Klisz_Verbräuche[[#This Row],[2025]]*Emissionsfaktoren[[#This Row],[2025]]/1000, 0)</f>
        <v>0</v>
      </c>
      <c r="Q157" s="14">
        <f>IF(ISNUMBER(Klisz_Verbräuche[[#This Row],[2026]]), Klisz_Verbräuche[[#This Row],[2026]]*Emissionsfaktoren[[#This Row],[2026]]/1000, 0)</f>
        <v>0</v>
      </c>
      <c r="R157" s="14">
        <f>IF(ISNUMBER(Klisz_Verbräuche[[#This Row],[2027]]), Klisz_Verbräuche[[#This Row],[2027]]*Emissionsfaktoren[[#This Row],[2027]]/1000, 0)</f>
        <v>0</v>
      </c>
      <c r="S157" s="14">
        <f>IF(ISNUMBER(Klisz_Verbräuche[[#This Row],[2028]]), Klisz_Verbräuche[[#This Row],[2028]]*Emissionsfaktoren[[#This Row],[2028]]/1000, 0)</f>
        <v>0</v>
      </c>
      <c r="T157" s="14">
        <f>IF(ISNUMBER(Klisz_Verbräuche[[#This Row],[2029]]), Klisz_Verbräuche[[#This Row],[2029]]*Emissionsfaktoren[[#This Row],[2029]]/1000, 0)</f>
        <v>0</v>
      </c>
      <c r="U157" s="14">
        <f>IF(ISNUMBER(Klisz_Verbräuche[[#This Row],[2030]]), Klisz_Verbräuche[[#This Row],[2030]]*Emissionsfaktoren[[#This Row],[2030]]/1000, 0)</f>
        <v>0</v>
      </c>
      <c r="V157" s="14">
        <f>IF(ISNUMBER(Klisz_Verbräuche[[#This Row],[2035]]), Klisz_Verbräuche[[#This Row],[2035]]*Emissionsfaktoren[[#This Row],[2035]]/1000, 0)</f>
        <v>0</v>
      </c>
      <c r="W157" s="14">
        <f>IF(ISNUMBER(Klisz_Verbräuche[[#This Row],[2040]]), Klisz_Verbräuche[[#This Row],[2040]]*Emissionsfaktoren[[#This Row],[2040]]/1000, 0)</f>
        <v>0</v>
      </c>
      <c r="X157" s="14">
        <f>IF(ISNUMBER(Klisz_Verbräuche[[#This Row],[2045]]), Klisz_Verbräuche[[#This Row],[2045]]*Emissionsfaktoren[[#This Row],[2045]]/1000, 0)</f>
        <v>0</v>
      </c>
      <c r="Y157" s="14">
        <f>IF(ISNUMBER(Klisz_Verbräuche[[#This Row],[2050]]), Klisz_Verbräuche[[#This Row],[2050]]*Emissionsfaktoren[[#This Row],[2050]]/1000, 0)</f>
        <v>0</v>
      </c>
    </row>
    <row r="158" spans="2:25" ht="16.5">
      <c r="B158" s="14">
        <v>141</v>
      </c>
      <c r="C158" s="14" t="str">
        <f>Refsz_Verbräuche[[#This Row],[Handlungsfeld]]</f>
        <v>Baugüter</v>
      </c>
      <c r="D158" s="19" t="str">
        <f>Refsz_Verbräuche[[#This Row],[Datenpunkt]]</f>
        <v>Stahlbeton Fertigteil Wand (12cm Dicke)</v>
      </c>
      <c r="E158" t="s">
        <v>195</v>
      </c>
      <c r="F158" s="14">
        <f>IF(ISNUMBER(Klisz_Verbräuche[[#This Row],[2015]]), Klisz_Verbräuche[[#This Row],[2015]]*Emissionsfaktoren[[#This Row],[2015]]/1000, 0)</f>
        <v>0</v>
      </c>
      <c r="G158" s="14">
        <f>IF(ISNUMBER(Klisz_Verbräuche[[#This Row],[2016]]), Klisz_Verbräuche[[#This Row],[2016]]*Emissionsfaktoren[[#This Row],[2016]]/1000, 0)</f>
        <v>0</v>
      </c>
      <c r="H158" s="14">
        <f>IF(ISNUMBER(Klisz_Verbräuche[[#This Row],[2017]]), Klisz_Verbräuche[[#This Row],[2017]]*Emissionsfaktoren[[#This Row],[2017]]/1000, 0)</f>
        <v>0</v>
      </c>
      <c r="I158" s="14">
        <f>IF(ISNUMBER(Klisz_Verbräuche[[#This Row],[2018]]), Klisz_Verbräuche[[#This Row],[2018]]*Emissionsfaktoren[[#This Row],[2018]]/1000, 0)</f>
        <v>0</v>
      </c>
      <c r="J158" s="14">
        <f>IF(ISNUMBER(Klisz_Verbräuche[[#This Row],[2019]]), Klisz_Verbräuche[[#This Row],[2019]]*Emissionsfaktoren[[#This Row],[2019]]/1000, 0)</f>
        <v>0</v>
      </c>
      <c r="K158" s="14">
        <f>IF(ISNUMBER(Klisz_Verbräuche[[#This Row],[2020]]), Klisz_Verbräuche[[#This Row],[2020]]*Emissionsfaktoren[[#This Row],[2020]]/1000, 0)</f>
        <v>0</v>
      </c>
      <c r="L158" s="14">
        <f>IF(ISNUMBER(Klisz_Verbräuche[[#This Row],[2021]]), Klisz_Verbräuche[[#This Row],[2021]]*Emissionsfaktoren[[#This Row],[2021]]/1000, 0)</f>
        <v>0</v>
      </c>
      <c r="M158" s="14">
        <f>IF(ISNUMBER(Klisz_Verbräuche[[#This Row],[2022]]), Klisz_Verbräuche[[#This Row],[2022]]*Emissionsfaktoren[[#This Row],[2022]]/1000, 0)</f>
        <v>0</v>
      </c>
      <c r="N158" s="14">
        <f>IF(ISNUMBER(Klisz_Verbräuche[[#This Row],[2023]]), Klisz_Verbräuche[[#This Row],[2023]]*Emissionsfaktoren[[#This Row],[2023]]/1000, 0)</f>
        <v>0</v>
      </c>
      <c r="O158" s="14">
        <f>IF(ISNUMBER(Klisz_Verbräuche[[#This Row],[2024]]), Klisz_Verbräuche[[#This Row],[2024]]*Emissionsfaktoren[[#This Row],[2024]]/1000, 0)</f>
        <v>0</v>
      </c>
      <c r="P158" s="14">
        <f>IF(ISNUMBER(Klisz_Verbräuche[[#This Row],[2025]]), Klisz_Verbräuche[[#This Row],[2025]]*Emissionsfaktoren[[#This Row],[2025]]/1000, 0)</f>
        <v>0</v>
      </c>
      <c r="Q158" s="14">
        <f>IF(ISNUMBER(Klisz_Verbräuche[[#This Row],[2026]]), Klisz_Verbräuche[[#This Row],[2026]]*Emissionsfaktoren[[#This Row],[2026]]/1000, 0)</f>
        <v>0</v>
      </c>
      <c r="R158" s="14">
        <f>IF(ISNUMBER(Klisz_Verbräuche[[#This Row],[2027]]), Klisz_Verbräuche[[#This Row],[2027]]*Emissionsfaktoren[[#This Row],[2027]]/1000, 0)</f>
        <v>0</v>
      </c>
      <c r="S158" s="14">
        <f>IF(ISNUMBER(Klisz_Verbräuche[[#This Row],[2028]]), Klisz_Verbräuche[[#This Row],[2028]]*Emissionsfaktoren[[#This Row],[2028]]/1000, 0)</f>
        <v>0</v>
      </c>
      <c r="T158" s="14">
        <f>IF(ISNUMBER(Klisz_Verbräuche[[#This Row],[2029]]), Klisz_Verbräuche[[#This Row],[2029]]*Emissionsfaktoren[[#This Row],[2029]]/1000, 0)</f>
        <v>0</v>
      </c>
      <c r="U158" s="14">
        <f>IF(ISNUMBER(Klisz_Verbräuche[[#This Row],[2030]]), Klisz_Verbräuche[[#This Row],[2030]]*Emissionsfaktoren[[#This Row],[2030]]/1000, 0)</f>
        <v>0</v>
      </c>
      <c r="V158" s="14">
        <f>IF(ISNUMBER(Klisz_Verbräuche[[#This Row],[2035]]), Klisz_Verbräuche[[#This Row],[2035]]*Emissionsfaktoren[[#This Row],[2035]]/1000, 0)</f>
        <v>0</v>
      </c>
      <c r="W158" s="14">
        <f>IF(ISNUMBER(Klisz_Verbräuche[[#This Row],[2040]]), Klisz_Verbräuche[[#This Row],[2040]]*Emissionsfaktoren[[#This Row],[2040]]/1000, 0)</f>
        <v>0</v>
      </c>
      <c r="X158" s="14">
        <f>IF(ISNUMBER(Klisz_Verbräuche[[#This Row],[2045]]), Klisz_Verbräuche[[#This Row],[2045]]*Emissionsfaktoren[[#This Row],[2045]]/1000, 0)</f>
        <v>0</v>
      </c>
      <c r="Y158" s="14">
        <f>IF(ISNUMBER(Klisz_Verbräuche[[#This Row],[2050]]), Klisz_Verbräuche[[#This Row],[2050]]*Emissionsfaktoren[[#This Row],[2050]]/1000, 0)</f>
        <v>0</v>
      </c>
    </row>
    <row r="159" spans="2:25" ht="16.5">
      <c r="B159" s="14">
        <v>142</v>
      </c>
      <c r="C159" s="14" t="str">
        <f>Refsz_Verbräuche[[#This Row],[Handlungsfeld]]</f>
        <v>Baugüter</v>
      </c>
      <c r="D159" s="19" t="str">
        <f>Refsz_Verbräuche[[#This Row],[Datenpunkt]]</f>
        <v xml:space="preserve">Stahlbeton Fertigteil Treppe (1,1 m Breite, 9 Stufen a 16 cm) </v>
      </c>
      <c r="E159" t="s">
        <v>195</v>
      </c>
      <c r="F159" s="14">
        <f>IF(ISNUMBER(Klisz_Verbräuche[[#This Row],[2015]]), Klisz_Verbräuche[[#This Row],[2015]]*Emissionsfaktoren[[#This Row],[2015]]/1000, 0)</f>
        <v>0</v>
      </c>
      <c r="G159" s="14">
        <f>IF(ISNUMBER(Klisz_Verbräuche[[#This Row],[2016]]), Klisz_Verbräuche[[#This Row],[2016]]*Emissionsfaktoren[[#This Row],[2016]]/1000, 0)</f>
        <v>0</v>
      </c>
      <c r="H159" s="14">
        <f>IF(ISNUMBER(Klisz_Verbräuche[[#This Row],[2017]]), Klisz_Verbräuche[[#This Row],[2017]]*Emissionsfaktoren[[#This Row],[2017]]/1000, 0)</f>
        <v>0</v>
      </c>
      <c r="I159" s="14">
        <f>IF(ISNUMBER(Klisz_Verbräuche[[#This Row],[2018]]), Klisz_Verbräuche[[#This Row],[2018]]*Emissionsfaktoren[[#This Row],[2018]]/1000, 0)</f>
        <v>0</v>
      </c>
      <c r="J159" s="14">
        <f>IF(ISNUMBER(Klisz_Verbräuche[[#This Row],[2019]]), Klisz_Verbräuche[[#This Row],[2019]]*Emissionsfaktoren[[#This Row],[2019]]/1000, 0)</f>
        <v>0</v>
      </c>
      <c r="K159" s="14">
        <f>IF(ISNUMBER(Klisz_Verbräuche[[#This Row],[2020]]), Klisz_Verbräuche[[#This Row],[2020]]*Emissionsfaktoren[[#This Row],[2020]]/1000, 0)</f>
        <v>0</v>
      </c>
      <c r="L159" s="14">
        <f>IF(ISNUMBER(Klisz_Verbräuche[[#This Row],[2021]]), Klisz_Verbräuche[[#This Row],[2021]]*Emissionsfaktoren[[#This Row],[2021]]/1000, 0)</f>
        <v>0</v>
      </c>
      <c r="M159" s="14">
        <f>IF(ISNUMBER(Klisz_Verbräuche[[#This Row],[2022]]), Klisz_Verbräuche[[#This Row],[2022]]*Emissionsfaktoren[[#This Row],[2022]]/1000, 0)</f>
        <v>0</v>
      </c>
      <c r="N159" s="14">
        <f>IF(ISNUMBER(Klisz_Verbräuche[[#This Row],[2023]]), Klisz_Verbräuche[[#This Row],[2023]]*Emissionsfaktoren[[#This Row],[2023]]/1000, 0)</f>
        <v>0</v>
      </c>
      <c r="O159" s="14">
        <f>IF(ISNUMBER(Klisz_Verbräuche[[#This Row],[2024]]), Klisz_Verbräuche[[#This Row],[2024]]*Emissionsfaktoren[[#This Row],[2024]]/1000, 0)</f>
        <v>0</v>
      </c>
      <c r="P159" s="14">
        <f>IF(ISNUMBER(Klisz_Verbräuche[[#This Row],[2025]]), Klisz_Verbräuche[[#This Row],[2025]]*Emissionsfaktoren[[#This Row],[2025]]/1000, 0)</f>
        <v>0</v>
      </c>
      <c r="Q159" s="14">
        <f>IF(ISNUMBER(Klisz_Verbräuche[[#This Row],[2026]]), Klisz_Verbräuche[[#This Row],[2026]]*Emissionsfaktoren[[#This Row],[2026]]/1000, 0)</f>
        <v>0</v>
      </c>
      <c r="R159" s="14">
        <f>IF(ISNUMBER(Klisz_Verbräuche[[#This Row],[2027]]), Klisz_Verbräuche[[#This Row],[2027]]*Emissionsfaktoren[[#This Row],[2027]]/1000, 0)</f>
        <v>0</v>
      </c>
      <c r="S159" s="14">
        <f>IF(ISNUMBER(Klisz_Verbräuche[[#This Row],[2028]]), Klisz_Verbräuche[[#This Row],[2028]]*Emissionsfaktoren[[#This Row],[2028]]/1000, 0)</f>
        <v>0</v>
      </c>
      <c r="T159" s="14">
        <f>IF(ISNUMBER(Klisz_Verbräuche[[#This Row],[2029]]), Klisz_Verbräuche[[#This Row],[2029]]*Emissionsfaktoren[[#This Row],[2029]]/1000, 0)</f>
        <v>0</v>
      </c>
      <c r="U159" s="14">
        <f>IF(ISNUMBER(Klisz_Verbräuche[[#This Row],[2030]]), Klisz_Verbräuche[[#This Row],[2030]]*Emissionsfaktoren[[#This Row],[2030]]/1000, 0)</f>
        <v>0</v>
      </c>
      <c r="V159" s="14">
        <f>IF(ISNUMBER(Klisz_Verbräuche[[#This Row],[2035]]), Klisz_Verbräuche[[#This Row],[2035]]*Emissionsfaktoren[[#This Row],[2035]]/1000, 0)</f>
        <v>0</v>
      </c>
      <c r="W159" s="14">
        <f>IF(ISNUMBER(Klisz_Verbräuche[[#This Row],[2040]]), Klisz_Verbräuche[[#This Row],[2040]]*Emissionsfaktoren[[#This Row],[2040]]/1000, 0)</f>
        <v>0</v>
      </c>
      <c r="X159" s="14">
        <f>IF(ISNUMBER(Klisz_Verbräuche[[#This Row],[2045]]), Klisz_Verbräuche[[#This Row],[2045]]*Emissionsfaktoren[[#This Row],[2045]]/1000, 0)</f>
        <v>0</v>
      </c>
      <c r="Y159" s="14">
        <f>IF(ISNUMBER(Klisz_Verbräuche[[#This Row],[2050]]), Klisz_Verbräuche[[#This Row],[2050]]*Emissionsfaktoren[[#This Row],[2050]]/1000, 0)</f>
        <v>0</v>
      </c>
    </row>
    <row r="160" spans="2:25" ht="16.5">
      <c r="B160" s="14">
        <v>143</v>
      </c>
      <c r="C160" s="14" t="str">
        <f>Refsz_Verbräuche[[#This Row],[Handlungsfeld]]</f>
        <v>Baugüter</v>
      </c>
      <c r="D160" s="19" t="str">
        <f>Refsz_Verbräuche[[#This Row],[Datenpunkt]]</f>
        <v>Mineralwolle</v>
      </c>
      <c r="E160" t="s">
        <v>195</v>
      </c>
      <c r="F160" s="14">
        <f>IF(ISNUMBER(Klisz_Verbräuche[[#This Row],[2015]]), Klisz_Verbräuche[[#This Row],[2015]]*Emissionsfaktoren[[#This Row],[2015]]/1000, 0)</f>
        <v>0</v>
      </c>
      <c r="G160" s="14">
        <f>IF(ISNUMBER(Klisz_Verbräuche[[#This Row],[2016]]), Klisz_Verbräuche[[#This Row],[2016]]*Emissionsfaktoren[[#This Row],[2016]]/1000, 0)</f>
        <v>0</v>
      </c>
      <c r="H160" s="14">
        <f>IF(ISNUMBER(Klisz_Verbräuche[[#This Row],[2017]]), Klisz_Verbräuche[[#This Row],[2017]]*Emissionsfaktoren[[#This Row],[2017]]/1000, 0)</f>
        <v>0</v>
      </c>
      <c r="I160" s="14">
        <f>IF(ISNUMBER(Klisz_Verbräuche[[#This Row],[2018]]), Klisz_Verbräuche[[#This Row],[2018]]*Emissionsfaktoren[[#This Row],[2018]]/1000, 0)</f>
        <v>0</v>
      </c>
      <c r="J160" s="14">
        <f>IF(ISNUMBER(Klisz_Verbräuche[[#This Row],[2019]]), Klisz_Verbräuche[[#This Row],[2019]]*Emissionsfaktoren[[#This Row],[2019]]/1000, 0)</f>
        <v>0</v>
      </c>
      <c r="K160" s="14">
        <f>IF(ISNUMBER(Klisz_Verbräuche[[#This Row],[2020]]), Klisz_Verbräuche[[#This Row],[2020]]*Emissionsfaktoren[[#This Row],[2020]]/1000, 0)</f>
        <v>0</v>
      </c>
      <c r="L160" s="14">
        <f>IF(ISNUMBER(Klisz_Verbräuche[[#This Row],[2021]]), Klisz_Verbräuche[[#This Row],[2021]]*Emissionsfaktoren[[#This Row],[2021]]/1000, 0)</f>
        <v>0</v>
      </c>
      <c r="M160" s="14">
        <f>IF(ISNUMBER(Klisz_Verbräuche[[#This Row],[2022]]), Klisz_Verbräuche[[#This Row],[2022]]*Emissionsfaktoren[[#This Row],[2022]]/1000, 0)</f>
        <v>0</v>
      </c>
      <c r="N160" s="14">
        <f>IF(ISNUMBER(Klisz_Verbräuche[[#This Row],[2023]]), Klisz_Verbräuche[[#This Row],[2023]]*Emissionsfaktoren[[#This Row],[2023]]/1000, 0)</f>
        <v>0</v>
      </c>
      <c r="O160" s="14">
        <f>IF(ISNUMBER(Klisz_Verbräuche[[#This Row],[2024]]), Klisz_Verbräuche[[#This Row],[2024]]*Emissionsfaktoren[[#This Row],[2024]]/1000, 0)</f>
        <v>0</v>
      </c>
      <c r="P160" s="14">
        <f>IF(ISNUMBER(Klisz_Verbräuche[[#This Row],[2025]]), Klisz_Verbräuche[[#This Row],[2025]]*Emissionsfaktoren[[#This Row],[2025]]/1000, 0)</f>
        <v>0</v>
      </c>
      <c r="Q160" s="14">
        <f>IF(ISNUMBER(Klisz_Verbräuche[[#This Row],[2026]]), Klisz_Verbräuche[[#This Row],[2026]]*Emissionsfaktoren[[#This Row],[2026]]/1000, 0)</f>
        <v>0</v>
      </c>
      <c r="R160" s="14">
        <f>IF(ISNUMBER(Klisz_Verbräuche[[#This Row],[2027]]), Klisz_Verbräuche[[#This Row],[2027]]*Emissionsfaktoren[[#This Row],[2027]]/1000, 0)</f>
        <v>0</v>
      </c>
      <c r="S160" s="14">
        <f>IF(ISNUMBER(Klisz_Verbräuche[[#This Row],[2028]]), Klisz_Verbräuche[[#This Row],[2028]]*Emissionsfaktoren[[#This Row],[2028]]/1000, 0)</f>
        <v>0</v>
      </c>
      <c r="T160" s="14">
        <f>IF(ISNUMBER(Klisz_Verbräuche[[#This Row],[2029]]), Klisz_Verbräuche[[#This Row],[2029]]*Emissionsfaktoren[[#This Row],[2029]]/1000, 0)</f>
        <v>0</v>
      </c>
      <c r="U160" s="14">
        <f>IF(ISNUMBER(Klisz_Verbräuche[[#This Row],[2030]]), Klisz_Verbräuche[[#This Row],[2030]]*Emissionsfaktoren[[#This Row],[2030]]/1000, 0)</f>
        <v>0</v>
      </c>
      <c r="V160" s="14">
        <f>IF(ISNUMBER(Klisz_Verbräuche[[#This Row],[2035]]), Klisz_Verbräuche[[#This Row],[2035]]*Emissionsfaktoren[[#This Row],[2035]]/1000, 0)</f>
        <v>0</v>
      </c>
      <c r="W160" s="14">
        <f>IF(ISNUMBER(Klisz_Verbräuche[[#This Row],[2040]]), Klisz_Verbräuche[[#This Row],[2040]]*Emissionsfaktoren[[#This Row],[2040]]/1000, 0)</f>
        <v>0</v>
      </c>
      <c r="X160" s="14">
        <f>IF(ISNUMBER(Klisz_Verbräuche[[#This Row],[2045]]), Klisz_Verbräuche[[#This Row],[2045]]*Emissionsfaktoren[[#This Row],[2045]]/1000, 0)</f>
        <v>0</v>
      </c>
      <c r="Y160" s="14">
        <f>IF(ISNUMBER(Klisz_Verbräuche[[#This Row],[2050]]), Klisz_Verbräuche[[#This Row],[2050]]*Emissionsfaktoren[[#This Row],[2050]]/1000, 0)</f>
        <v>0</v>
      </c>
    </row>
    <row r="161" spans="2:25" ht="16.5">
      <c r="B161" s="14">
        <v>144</v>
      </c>
      <c r="C161" s="14" t="str">
        <f>Refsz_Verbräuche[[#This Row],[Handlungsfeld]]</f>
        <v>Baugüter</v>
      </c>
      <c r="D161" s="19" t="str">
        <f>Refsz_Verbräuche[[#This Row],[Datenpunkt]]</f>
        <v>Mauerziegel (ungefüllt)</v>
      </c>
      <c r="E161" t="s">
        <v>195</v>
      </c>
      <c r="F161" s="14">
        <f>IF(ISNUMBER(Klisz_Verbräuche[[#This Row],[2015]]), Klisz_Verbräuche[[#This Row],[2015]]*Emissionsfaktoren[[#This Row],[2015]]/1000, 0)</f>
        <v>0</v>
      </c>
      <c r="G161" s="14">
        <f>IF(ISNUMBER(Klisz_Verbräuche[[#This Row],[2016]]), Klisz_Verbräuche[[#This Row],[2016]]*Emissionsfaktoren[[#This Row],[2016]]/1000, 0)</f>
        <v>0</v>
      </c>
      <c r="H161" s="14">
        <f>IF(ISNUMBER(Klisz_Verbräuche[[#This Row],[2017]]), Klisz_Verbräuche[[#This Row],[2017]]*Emissionsfaktoren[[#This Row],[2017]]/1000, 0)</f>
        <v>0</v>
      </c>
      <c r="I161" s="14">
        <f>IF(ISNUMBER(Klisz_Verbräuche[[#This Row],[2018]]), Klisz_Verbräuche[[#This Row],[2018]]*Emissionsfaktoren[[#This Row],[2018]]/1000, 0)</f>
        <v>0</v>
      </c>
      <c r="J161" s="14">
        <f>IF(ISNUMBER(Klisz_Verbräuche[[#This Row],[2019]]), Klisz_Verbräuche[[#This Row],[2019]]*Emissionsfaktoren[[#This Row],[2019]]/1000, 0)</f>
        <v>0</v>
      </c>
      <c r="K161" s="14">
        <f>IF(ISNUMBER(Klisz_Verbräuche[[#This Row],[2020]]), Klisz_Verbräuche[[#This Row],[2020]]*Emissionsfaktoren[[#This Row],[2020]]/1000, 0)</f>
        <v>0</v>
      </c>
      <c r="L161" s="14">
        <f>IF(ISNUMBER(Klisz_Verbräuche[[#This Row],[2021]]), Klisz_Verbräuche[[#This Row],[2021]]*Emissionsfaktoren[[#This Row],[2021]]/1000, 0)</f>
        <v>0</v>
      </c>
      <c r="M161" s="14">
        <f>IF(ISNUMBER(Klisz_Verbräuche[[#This Row],[2022]]), Klisz_Verbräuche[[#This Row],[2022]]*Emissionsfaktoren[[#This Row],[2022]]/1000, 0)</f>
        <v>0</v>
      </c>
      <c r="N161" s="14">
        <f>IF(ISNUMBER(Klisz_Verbräuche[[#This Row],[2023]]), Klisz_Verbräuche[[#This Row],[2023]]*Emissionsfaktoren[[#This Row],[2023]]/1000, 0)</f>
        <v>0</v>
      </c>
      <c r="O161" s="14">
        <f>IF(ISNUMBER(Klisz_Verbräuche[[#This Row],[2024]]), Klisz_Verbräuche[[#This Row],[2024]]*Emissionsfaktoren[[#This Row],[2024]]/1000, 0)</f>
        <v>0</v>
      </c>
      <c r="P161" s="14">
        <f>IF(ISNUMBER(Klisz_Verbräuche[[#This Row],[2025]]), Klisz_Verbräuche[[#This Row],[2025]]*Emissionsfaktoren[[#This Row],[2025]]/1000, 0)</f>
        <v>0</v>
      </c>
      <c r="Q161" s="14">
        <f>IF(ISNUMBER(Klisz_Verbräuche[[#This Row],[2026]]), Klisz_Verbräuche[[#This Row],[2026]]*Emissionsfaktoren[[#This Row],[2026]]/1000, 0)</f>
        <v>0</v>
      </c>
      <c r="R161" s="14">
        <f>IF(ISNUMBER(Klisz_Verbräuche[[#This Row],[2027]]), Klisz_Verbräuche[[#This Row],[2027]]*Emissionsfaktoren[[#This Row],[2027]]/1000, 0)</f>
        <v>0</v>
      </c>
      <c r="S161" s="14">
        <f>IF(ISNUMBER(Klisz_Verbräuche[[#This Row],[2028]]), Klisz_Verbräuche[[#This Row],[2028]]*Emissionsfaktoren[[#This Row],[2028]]/1000, 0)</f>
        <v>0</v>
      </c>
      <c r="T161" s="14">
        <f>IF(ISNUMBER(Klisz_Verbräuche[[#This Row],[2029]]), Klisz_Verbräuche[[#This Row],[2029]]*Emissionsfaktoren[[#This Row],[2029]]/1000, 0)</f>
        <v>0</v>
      </c>
      <c r="U161" s="14">
        <f>IF(ISNUMBER(Klisz_Verbräuche[[#This Row],[2030]]), Klisz_Verbräuche[[#This Row],[2030]]*Emissionsfaktoren[[#This Row],[2030]]/1000, 0)</f>
        <v>0</v>
      </c>
      <c r="V161" s="14">
        <f>IF(ISNUMBER(Klisz_Verbräuche[[#This Row],[2035]]), Klisz_Verbräuche[[#This Row],[2035]]*Emissionsfaktoren[[#This Row],[2035]]/1000, 0)</f>
        <v>0</v>
      </c>
      <c r="W161" s="14">
        <f>IF(ISNUMBER(Klisz_Verbräuche[[#This Row],[2040]]), Klisz_Verbräuche[[#This Row],[2040]]*Emissionsfaktoren[[#This Row],[2040]]/1000, 0)</f>
        <v>0</v>
      </c>
      <c r="X161" s="14">
        <f>IF(ISNUMBER(Klisz_Verbräuche[[#This Row],[2045]]), Klisz_Verbräuche[[#This Row],[2045]]*Emissionsfaktoren[[#This Row],[2045]]/1000, 0)</f>
        <v>0</v>
      </c>
      <c r="Y161" s="14">
        <f>IF(ISNUMBER(Klisz_Verbräuche[[#This Row],[2050]]), Klisz_Verbräuche[[#This Row],[2050]]*Emissionsfaktoren[[#This Row],[2050]]/1000, 0)</f>
        <v>0</v>
      </c>
    </row>
    <row r="162" spans="2:25" ht="16.5">
      <c r="B162" s="14">
        <v>145</v>
      </c>
      <c r="C162" s="14">
        <f>Refsz_Verbräuche[[#This Row],[Handlungsfeld]]</f>
        <v>0</v>
      </c>
      <c r="D162" s="19">
        <f>Refsz_Verbräuche[[#This Row],[Datenpunkt]]</f>
        <v>0</v>
      </c>
      <c r="E162" t="s">
        <v>195</v>
      </c>
      <c r="F162" s="14">
        <f>IF(ISNUMBER(Klisz_Verbräuche[[#This Row],[2015]]), Klisz_Verbräuche[[#This Row],[2015]]*Emissionsfaktoren[[#This Row],[2015]]/1000, 0)</f>
        <v>0</v>
      </c>
      <c r="G162" s="14">
        <f>IF(ISNUMBER(Klisz_Verbräuche[[#This Row],[2016]]), Klisz_Verbräuche[[#This Row],[2016]]*Emissionsfaktoren[[#This Row],[2016]]/1000, 0)</f>
        <v>0</v>
      </c>
      <c r="H162" s="14">
        <f>IF(ISNUMBER(Klisz_Verbräuche[[#This Row],[2017]]), Klisz_Verbräuche[[#This Row],[2017]]*Emissionsfaktoren[[#This Row],[2017]]/1000, 0)</f>
        <v>0</v>
      </c>
      <c r="I162" s="14">
        <f>IF(ISNUMBER(Klisz_Verbräuche[[#This Row],[2018]]), Klisz_Verbräuche[[#This Row],[2018]]*Emissionsfaktoren[[#This Row],[2018]]/1000, 0)</f>
        <v>0</v>
      </c>
      <c r="J162" s="14">
        <f>IF(ISNUMBER(Klisz_Verbräuche[[#This Row],[2019]]), Klisz_Verbräuche[[#This Row],[2019]]*Emissionsfaktoren[[#This Row],[2019]]/1000, 0)</f>
        <v>0</v>
      </c>
      <c r="K162" s="14">
        <f>IF(ISNUMBER(Klisz_Verbräuche[[#This Row],[2020]]), Klisz_Verbräuche[[#This Row],[2020]]*Emissionsfaktoren[[#This Row],[2020]]/1000, 0)</f>
        <v>0</v>
      </c>
      <c r="L162" s="14">
        <f>IF(ISNUMBER(Klisz_Verbräuche[[#This Row],[2021]]), Klisz_Verbräuche[[#This Row],[2021]]*Emissionsfaktoren[[#This Row],[2021]]/1000, 0)</f>
        <v>0</v>
      </c>
      <c r="M162" s="14">
        <f>IF(ISNUMBER(Klisz_Verbräuche[[#This Row],[2022]]), Klisz_Verbräuche[[#This Row],[2022]]*Emissionsfaktoren[[#This Row],[2022]]/1000, 0)</f>
        <v>0</v>
      </c>
      <c r="N162" s="14">
        <f>IF(ISNUMBER(Klisz_Verbräuche[[#This Row],[2023]]), Klisz_Verbräuche[[#This Row],[2023]]*Emissionsfaktoren[[#This Row],[2023]]/1000, 0)</f>
        <v>0</v>
      </c>
      <c r="O162" s="14">
        <f>IF(ISNUMBER(Klisz_Verbräuche[[#This Row],[2024]]), Klisz_Verbräuche[[#This Row],[2024]]*Emissionsfaktoren[[#This Row],[2024]]/1000, 0)</f>
        <v>0</v>
      </c>
      <c r="P162" s="14">
        <f>IF(ISNUMBER(Klisz_Verbräuche[[#This Row],[2025]]), Klisz_Verbräuche[[#This Row],[2025]]*Emissionsfaktoren[[#This Row],[2025]]/1000, 0)</f>
        <v>0</v>
      </c>
      <c r="Q162" s="14">
        <f>IF(ISNUMBER(Klisz_Verbräuche[[#This Row],[2026]]), Klisz_Verbräuche[[#This Row],[2026]]*Emissionsfaktoren[[#This Row],[2026]]/1000, 0)</f>
        <v>0</v>
      </c>
      <c r="R162" s="14">
        <f>IF(ISNUMBER(Klisz_Verbräuche[[#This Row],[2027]]), Klisz_Verbräuche[[#This Row],[2027]]*Emissionsfaktoren[[#This Row],[2027]]/1000, 0)</f>
        <v>0</v>
      </c>
      <c r="S162" s="14">
        <f>IF(ISNUMBER(Klisz_Verbräuche[[#This Row],[2028]]), Klisz_Verbräuche[[#This Row],[2028]]*Emissionsfaktoren[[#This Row],[2028]]/1000, 0)</f>
        <v>0</v>
      </c>
      <c r="T162" s="14">
        <f>IF(ISNUMBER(Klisz_Verbräuche[[#This Row],[2029]]), Klisz_Verbräuche[[#This Row],[2029]]*Emissionsfaktoren[[#This Row],[2029]]/1000, 0)</f>
        <v>0</v>
      </c>
      <c r="U162" s="14">
        <f>IF(ISNUMBER(Klisz_Verbräuche[[#This Row],[2030]]), Klisz_Verbräuche[[#This Row],[2030]]*Emissionsfaktoren[[#This Row],[2030]]/1000, 0)</f>
        <v>0</v>
      </c>
      <c r="V162" s="14">
        <f>IF(ISNUMBER(Klisz_Verbräuche[[#This Row],[2035]]), Klisz_Verbräuche[[#This Row],[2035]]*Emissionsfaktoren[[#This Row],[2035]]/1000, 0)</f>
        <v>0</v>
      </c>
      <c r="W162" s="14">
        <f>IF(ISNUMBER(Klisz_Verbräuche[[#This Row],[2040]]), Klisz_Verbräuche[[#This Row],[2040]]*Emissionsfaktoren[[#This Row],[2040]]/1000, 0)</f>
        <v>0</v>
      </c>
      <c r="X162" s="14">
        <f>IF(ISNUMBER(Klisz_Verbräuche[[#This Row],[2045]]), Klisz_Verbräuche[[#This Row],[2045]]*Emissionsfaktoren[[#This Row],[2045]]/1000, 0)</f>
        <v>0</v>
      </c>
      <c r="Y162" s="14">
        <f>IF(ISNUMBER(Klisz_Verbräuche[[#This Row],[2050]]), Klisz_Verbräuche[[#This Row],[2050]]*Emissionsfaktoren[[#This Row],[2050]]/1000, 0)</f>
        <v>0</v>
      </c>
    </row>
    <row r="163" spans="2:25" ht="16.5">
      <c r="B163" s="14">
        <v>146</v>
      </c>
      <c r="C163" s="14" t="str">
        <f>Refsz_Verbräuche[[#This Row],[Handlungsfeld]]</f>
        <v>Waren mit negativem GWP total</v>
      </c>
      <c r="D163" s="19" t="str">
        <f>Refsz_Verbräuche[[#This Row],[Datenpunkt]]</f>
        <v>Holzfaserdämmpatte (flexibe Matte)</v>
      </c>
      <c r="E163" t="s">
        <v>195</v>
      </c>
      <c r="F163" s="14">
        <f>IF(ISNUMBER(Klisz_Verbräuche[[#This Row],[2015]]), Klisz_Verbräuche[[#This Row],[2015]]*Emissionsfaktoren[[#This Row],[2015]]/1000, 0)</f>
        <v>0</v>
      </c>
      <c r="G163" s="14">
        <f>IF(ISNUMBER(Klisz_Verbräuche[[#This Row],[2016]]), Klisz_Verbräuche[[#This Row],[2016]]*Emissionsfaktoren[[#This Row],[2016]]/1000, 0)</f>
        <v>0</v>
      </c>
      <c r="H163" s="14">
        <f>IF(ISNUMBER(Klisz_Verbräuche[[#This Row],[2017]]), Klisz_Verbräuche[[#This Row],[2017]]*Emissionsfaktoren[[#This Row],[2017]]/1000, 0)</f>
        <v>0</v>
      </c>
      <c r="I163" s="14">
        <f>IF(ISNUMBER(Klisz_Verbräuche[[#This Row],[2018]]), Klisz_Verbräuche[[#This Row],[2018]]*Emissionsfaktoren[[#This Row],[2018]]/1000, 0)</f>
        <v>0</v>
      </c>
      <c r="J163" s="14">
        <f>IF(ISNUMBER(Klisz_Verbräuche[[#This Row],[2019]]), Klisz_Verbräuche[[#This Row],[2019]]*Emissionsfaktoren[[#This Row],[2019]]/1000, 0)</f>
        <v>0</v>
      </c>
      <c r="K163" s="14">
        <f>IF(ISNUMBER(Klisz_Verbräuche[[#This Row],[2020]]), Klisz_Verbräuche[[#This Row],[2020]]*Emissionsfaktoren[[#This Row],[2020]]/1000, 0)</f>
        <v>0</v>
      </c>
      <c r="L163" s="14">
        <f>IF(ISNUMBER(Klisz_Verbräuche[[#This Row],[2021]]), Klisz_Verbräuche[[#This Row],[2021]]*Emissionsfaktoren[[#This Row],[2021]]/1000, 0)</f>
        <v>0</v>
      </c>
      <c r="M163" s="14">
        <f>IF(ISNUMBER(Klisz_Verbräuche[[#This Row],[2022]]), Klisz_Verbräuche[[#This Row],[2022]]*Emissionsfaktoren[[#This Row],[2022]]/1000, 0)</f>
        <v>0</v>
      </c>
      <c r="N163" s="14">
        <f>IF(ISNUMBER(Klisz_Verbräuche[[#This Row],[2023]]), Klisz_Verbräuche[[#This Row],[2023]]*Emissionsfaktoren[[#This Row],[2023]]/1000, 0)</f>
        <v>0</v>
      </c>
      <c r="O163" s="14">
        <f>IF(ISNUMBER(Klisz_Verbräuche[[#This Row],[2024]]), Klisz_Verbräuche[[#This Row],[2024]]*Emissionsfaktoren[[#This Row],[2024]]/1000, 0)</f>
        <v>0</v>
      </c>
      <c r="P163" s="14">
        <f>IF(ISNUMBER(Klisz_Verbräuche[[#This Row],[2025]]), Klisz_Verbräuche[[#This Row],[2025]]*Emissionsfaktoren[[#This Row],[2025]]/1000, 0)</f>
        <v>0</v>
      </c>
      <c r="Q163" s="14">
        <f>IF(ISNUMBER(Klisz_Verbräuche[[#This Row],[2026]]), Klisz_Verbräuche[[#This Row],[2026]]*Emissionsfaktoren[[#This Row],[2026]]/1000, 0)</f>
        <v>0</v>
      </c>
      <c r="R163" s="14">
        <f>IF(ISNUMBER(Klisz_Verbräuche[[#This Row],[2027]]), Klisz_Verbräuche[[#This Row],[2027]]*Emissionsfaktoren[[#This Row],[2027]]/1000, 0)</f>
        <v>0</v>
      </c>
      <c r="S163" s="14">
        <f>IF(ISNUMBER(Klisz_Verbräuche[[#This Row],[2028]]), Klisz_Verbräuche[[#This Row],[2028]]*Emissionsfaktoren[[#This Row],[2028]]/1000, 0)</f>
        <v>0</v>
      </c>
      <c r="T163" s="14">
        <f>IF(ISNUMBER(Klisz_Verbräuche[[#This Row],[2029]]), Klisz_Verbräuche[[#This Row],[2029]]*Emissionsfaktoren[[#This Row],[2029]]/1000, 0)</f>
        <v>0</v>
      </c>
      <c r="U163" s="14">
        <f>IF(ISNUMBER(Klisz_Verbräuche[[#This Row],[2030]]), Klisz_Verbräuche[[#This Row],[2030]]*Emissionsfaktoren[[#This Row],[2030]]/1000, 0)</f>
        <v>0</v>
      </c>
      <c r="V163" s="14">
        <f>IF(ISNUMBER(Klisz_Verbräuche[[#This Row],[2035]]), Klisz_Verbräuche[[#This Row],[2035]]*Emissionsfaktoren[[#This Row],[2035]]/1000, 0)</f>
        <v>0</v>
      </c>
      <c r="W163" s="14">
        <f>IF(ISNUMBER(Klisz_Verbräuche[[#This Row],[2040]]), Klisz_Verbräuche[[#This Row],[2040]]*Emissionsfaktoren[[#This Row],[2040]]/1000, 0)</f>
        <v>0</v>
      </c>
      <c r="X163" s="14">
        <f>IF(ISNUMBER(Klisz_Verbräuche[[#This Row],[2045]]), Klisz_Verbräuche[[#This Row],[2045]]*Emissionsfaktoren[[#This Row],[2045]]/1000, 0)</f>
        <v>0</v>
      </c>
      <c r="Y163" s="14">
        <f>IF(ISNUMBER(Klisz_Verbräuche[[#This Row],[2050]]), Klisz_Verbräuche[[#This Row],[2050]]*Emissionsfaktoren[[#This Row],[2050]]/1000, 0)</f>
        <v>0</v>
      </c>
    </row>
    <row r="164" spans="2:25" ht="16.5">
      <c r="B164" s="14">
        <v>147</v>
      </c>
      <c r="C164" s="14">
        <f>Refsz_Verbräuche[[#This Row],[Handlungsfeld]]</f>
        <v>0</v>
      </c>
      <c r="D164" s="19">
        <f>Refsz_Verbräuche[[#This Row],[Datenpunkt]]</f>
        <v>0</v>
      </c>
      <c r="E164" t="s">
        <v>195</v>
      </c>
      <c r="F164" s="14">
        <f>IF(ISNUMBER(Klisz_Verbräuche[[#This Row],[2015]]), Klisz_Verbräuche[[#This Row],[2015]]*Emissionsfaktoren[[#This Row],[2015]]/1000, 0)</f>
        <v>0</v>
      </c>
      <c r="G164" s="14">
        <f>IF(ISNUMBER(Klisz_Verbräuche[[#This Row],[2016]]), Klisz_Verbräuche[[#This Row],[2016]]*Emissionsfaktoren[[#This Row],[2016]]/1000, 0)</f>
        <v>0</v>
      </c>
      <c r="H164" s="14">
        <f>IF(ISNUMBER(Klisz_Verbräuche[[#This Row],[2017]]), Klisz_Verbräuche[[#This Row],[2017]]*Emissionsfaktoren[[#This Row],[2017]]/1000, 0)</f>
        <v>0</v>
      </c>
      <c r="I164" s="14">
        <f>IF(ISNUMBER(Klisz_Verbräuche[[#This Row],[2018]]), Klisz_Verbräuche[[#This Row],[2018]]*Emissionsfaktoren[[#This Row],[2018]]/1000, 0)</f>
        <v>0</v>
      </c>
      <c r="J164" s="14">
        <f>IF(ISNUMBER(Klisz_Verbräuche[[#This Row],[2019]]), Klisz_Verbräuche[[#This Row],[2019]]*Emissionsfaktoren[[#This Row],[2019]]/1000, 0)</f>
        <v>0</v>
      </c>
      <c r="K164" s="14">
        <f>IF(ISNUMBER(Klisz_Verbräuche[[#This Row],[2020]]), Klisz_Verbräuche[[#This Row],[2020]]*Emissionsfaktoren[[#This Row],[2020]]/1000, 0)</f>
        <v>0</v>
      </c>
      <c r="L164" s="14">
        <f>IF(ISNUMBER(Klisz_Verbräuche[[#This Row],[2021]]), Klisz_Verbräuche[[#This Row],[2021]]*Emissionsfaktoren[[#This Row],[2021]]/1000, 0)</f>
        <v>0</v>
      </c>
      <c r="M164" s="14">
        <f>IF(ISNUMBER(Klisz_Verbräuche[[#This Row],[2022]]), Klisz_Verbräuche[[#This Row],[2022]]*Emissionsfaktoren[[#This Row],[2022]]/1000, 0)</f>
        <v>0</v>
      </c>
      <c r="N164" s="14">
        <f>IF(ISNUMBER(Klisz_Verbräuche[[#This Row],[2023]]), Klisz_Verbräuche[[#This Row],[2023]]*Emissionsfaktoren[[#This Row],[2023]]/1000, 0)</f>
        <v>0</v>
      </c>
      <c r="O164" s="14">
        <f>IF(ISNUMBER(Klisz_Verbräuche[[#This Row],[2024]]), Klisz_Verbräuche[[#This Row],[2024]]*Emissionsfaktoren[[#This Row],[2024]]/1000, 0)</f>
        <v>0</v>
      </c>
      <c r="P164" s="14">
        <f>IF(ISNUMBER(Klisz_Verbräuche[[#This Row],[2025]]), Klisz_Verbräuche[[#This Row],[2025]]*Emissionsfaktoren[[#This Row],[2025]]/1000, 0)</f>
        <v>0</v>
      </c>
      <c r="Q164" s="14">
        <f>IF(ISNUMBER(Klisz_Verbräuche[[#This Row],[2026]]), Klisz_Verbräuche[[#This Row],[2026]]*Emissionsfaktoren[[#This Row],[2026]]/1000, 0)</f>
        <v>0</v>
      </c>
      <c r="R164" s="14">
        <f>IF(ISNUMBER(Klisz_Verbräuche[[#This Row],[2027]]), Klisz_Verbräuche[[#This Row],[2027]]*Emissionsfaktoren[[#This Row],[2027]]/1000, 0)</f>
        <v>0</v>
      </c>
      <c r="S164" s="14">
        <f>IF(ISNUMBER(Klisz_Verbräuche[[#This Row],[2028]]), Klisz_Verbräuche[[#This Row],[2028]]*Emissionsfaktoren[[#This Row],[2028]]/1000, 0)</f>
        <v>0</v>
      </c>
      <c r="T164" s="14">
        <f>IF(ISNUMBER(Klisz_Verbräuche[[#This Row],[2029]]), Klisz_Verbräuche[[#This Row],[2029]]*Emissionsfaktoren[[#This Row],[2029]]/1000, 0)</f>
        <v>0</v>
      </c>
      <c r="U164" s="14">
        <f>IF(ISNUMBER(Klisz_Verbräuche[[#This Row],[2030]]), Klisz_Verbräuche[[#This Row],[2030]]*Emissionsfaktoren[[#This Row],[2030]]/1000, 0)</f>
        <v>0</v>
      </c>
      <c r="V164" s="14">
        <f>IF(ISNUMBER(Klisz_Verbräuche[[#This Row],[2035]]), Klisz_Verbräuche[[#This Row],[2035]]*Emissionsfaktoren[[#This Row],[2035]]/1000, 0)</f>
        <v>0</v>
      </c>
      <c r="W164" s="14">
        <f>IF(ISNUMBER(Klisz_Verbräuche[[#This Row],[2040]]), Klisz_Verbräuche[[#This Row],[2040]]*Emissionsfaktoren[[#This Row],[2040]]/1000, 0)</f>
        <v>0</v>
      </c>
      <c r="X164" s="14">
        <f>IF(ISNUMBER(Klisz_Verbräuche[[#This Row],[2045]]), Klisz_Verbräuche[[#This Row],[2045]]*Emissionsfaktoren[[#This Row],[2045]]/1000, 0)</f>
        <v>0</v>
      </c>
      <c r="Y164" s="14">
        <f>IF(ISNUMBER(Klisz_Verbräuche[[#This Row],[2050]]), Klisz_Verbräuche[[#This Row],[2050]]*Emissionsfaktoren[[#This Row],[2050]]/1000, 0)</f>
        <v>0</v>
      </c>
    </row>
    <row r="165" spans="2:25" ht="16.5">
      <c r="B165" s="14">
        <v>148</v>
      </c>
      <c r="C165" s="14" t="str">
        <f>Refsz_Verbräuche[[#This Row],[Handlungsfeld]]</f>
        <v>Kompensation</v>
      </c>
      <c r="D165" s="19" t="str">
        <f>Refsz_Verbräuche[[#This Row],[Datenpunkt]]</f>
        <v>Kompensation</v>
      </c>
      <c r="E165" t="s">
        <v>195</v>
      </c>
      <c r="F165" s="14">
        <f>IF(ISNUMBER(Klisz_Verbräuche[[#This Row],[2015]]), Klisz_Verbräuche[[#This Row],[2015]]*Emissionsfaktoren[[#This Row],[2015]]/1000, 0)</f>
        <v>0</v>
      </c>
      <c r="G165" s="14">
        <f>IF(ISNUMBER(Klisz_Verbräuche[[#This Row],[2016]]), Klisz_Verbräuche[[#This Row],[2016]]*Emissionsfaktoren[[#This Row],[2016]]/1000, 0)</f>
        <v>0</v>
      </c>
      <c r="H165" s="14">
        <f>IF(ISNUMBER(Klisz_Verbräuche[[#This Row],[2017]]), Klisz_Verbräuche[[#This Row],[2017]]*Emissionsfaktoren[[#This Row],[2017]]/1000, 0)</f>
        <v>0</v>
      </c>
      <c r="I165" s="14">
        <f>IF(ISNUMBER(Klisz_Verbräuche[[#This Row],[2018]]), Klisz_Verbräuche[[#This Row],[2018]]*Emissionsfaktoren[[#This Row],[2018]]/1000, 0)</f>
        <v>0</v>
      </c>
      <c r="J165" s="14">
        <f>IF(ISNUMBER(Klisz_Verbräuche[[#This Row],[2019]]), Klisz_Verbräuche[[#This Row],[2019]]*Emissionsfaktoren[[#This Row],[2019]]/1000, 0)</f>
        <v>0</v>
      </c>
      <c r="K165" s="14">
        <f>IF(ISNUMBER(Klisz_Verbräuche[[#This Row],[2020]]), Klisz_Verbräuche[[#This Row],[2020]]*Emissionsfaktoren[[#This Row],[2020]]/1000, 0)</f>
        <v>0</v>
      </c>
      <c r="L165" s="14">
        <f>IF(ISNUMBER(Klisz_Verbräuche[[#This Row],[2021]]), Klisz_Verbräuche[[#This Row],[2021]]*Emissionsfaktoren[[#This Row],[2021]]/1000, 0)</f>
        <v>0</v>
      </c>
      <c r="M165" s="14">
        <f>IF(ISNUMBER(Klisz_Verbräuche[[#This Row],[2022]]), Klisz_Verbräuche[[#This Row],[2022]]*Emissionsfaktoren[[#This Row],[2022]]/1000, 0)</f>
        <v>0</v>
      </c>
      <c r="N165" s="14">
        <f>IF(ISNUMBER(Klisz_Verbräuche[[#This Row],[2023]]), Klisz_Verbräuche[[#This Row],[2023]]*Emissionsfaktoren[[#This Row],[2023]]/1000, 0)</f>
        <v>0</v>
      </c>
      <c r="O165" s="14">
        <f>IF(ISNUMBER(Klisz_Verbräuche[[#This Row],[2024]]), Klisz_Verbräuche[[#This Row],[2024]]*Emissionsfaktoren[[#This Row],[2024]]/1000, 0)</f>
        <v>0</v>
      </c>
      <c r="P165" s="14">
        <f>IF(ISNUMBER(Klisz_Verbräuche[[#This Row],[2025]]), Klisz_Verbräuche[[#This Row],[2025]]*Emissionsfaktoren[[#This Row],[2025]]/1000, 0)</f>
        <v>0</v>
      </c>
      <c r="Q165" s="14">
        <f>IF(ISNUMBER(Klisz_Verbräuche[[#This Row],[2026]]), Klisz_Verbräuche[[#This Row],[2026]]*Emissionsfaktoren[[#This Row],[2026]]/1000, 0)</f>
        <v>0</v>
      </c>
      <c r="R165" s="14">
        <f>IF(ISNUMBER(Klisz_Verbräuche[[#This Row],[2027]]), Klisz_Verbräuche[[#This Row],[2027]]*Emissionsfaktoren[[#This Row],[2027]]/1000, 0)</f>
        <v>0</v>
      </c>
      <c r="S165" s="14">
        <f>IF(ISNUMBER(Klisz_Verbräuche[[#This Row],[2028]]), Klisz_Verbräuche[[#This Row],[2028]]*Emissionsfaktoren[[#This Row],[2028]]/1000, 0)</f>
        <v>0</v>
      </c>
      <c r="T165" s="14">
        <f>IF(ISNUMBER(Klisz_Verbräuche[[#This Row],[2029]]), Klisz_Verbräuche[[#This Row],[2029]]*Emissionsfaktoren[[#This Row],[2029]]/1000, 0)</f>
        <v>0</v>
      </c>
      <c r="U165" s="14">
        <f>IF(ISNUMBER(Klisz_Verbräuche[[#This Row],[2030]]), Klisz_Verbräuche[[#This Row],[2030]]*Emissionsfaktoren[[#This Row],[2030]]/1000, 0)</f>
        <v>0</v>
      </c>
      <c r="V165" s="14">
        <f>IF(ISNUMBER(Klisz_Verbräuche[[#This Row],[2035]]), Klisz_Verbräuche[[#This Row],[2035]]*Emissionsfaktoren[[#This Row],[2035]]/1000, 0)</f>
        <v>0</v>
      </c>
      <c r="W165" s="14">
        <f>IF(ISNUMBER(Klisz_Verbräuche[[#This Row],[2040]]), Klisz_Verbräuche[[#This Row],[2040]]*Emissionsfaktoren[[#This Row],[2040]]/1000, 0)</f>
        <v>0</v>
      </c>
      <c r="X165" s="14">
        <f>IF(ISNUMBER(Klisz_Verbräuche[[#This Row],[2045]]), Klisz_Verbräuche[[#This Row],[2045]]*Emissionsfaktoren[[#This Row],[2045]]/1000, 0)</f>
        <v>0</v>
      </c>
      <c r="Y165" s="14">
        <f>IF(ISNUMBER(Klisz_Verbräuche[[#This Row],[2050]]), Klisz_Verbräuche[[#This Row],[2050]]*Emissionsfaktoren[[#This Row],[2050]]/1000, 0)</f>
        <v>0</v>
      </c>
    </row>
    <row r="166" spans="2:25" ht="16.5">
      <c r="B166" s="14">
        <v>149</v>
      </c>
      <c r="C166" s="14">
        <f>Refsz_Verbräuche[[#This Row],[Handlungsfeld]]</f>
        <v>0</v>
      </c>
      <c r="D166" s="19">
        <f>Refsz_Verbräuche[[#This Row],[Datenpunkt]]</f>
        <v>0</v>
      </c>
      <c r="E166" t="s">
        <v>195</v>
      </c>
      <c r="F166" s="14">
        <f>IF(ISNUMBER(Klisz_Verbräuche[[#This Row],[2015]]), Klisz_Verbräuche[[#This Row],[2015]]*Emissionsfaktoren[[#This Row],[2015]]/1000, 0)</f>
        <v>0</v>
      </c>
      <c r="G166" s="14">
        <f>IF(ISNUMBER(Klisz_Verbräuche[[#This Row],[2016]]), Klisz_Verbräuche[[#This Row],[2016]]*Emissionsfaktoren[[#This Row],[2016]]/1000, 0)</f>
        <v>0</v>
      </c>
      <c r="H166" s="14">
        <f>IF(ISNUMBER(Klisz_Verbräuche[[#This Row],[2017]]), Klisz_Verbräuche[[#This Row],[2017]]*Emissionsfaktoren[[#This Row],[2017]]/1000, 0)</f>
        <v>0</v>
      </c>
      <c r="I166" s="14">
        <f>IF(ISNUMBER(Klisz_Verbräuche[[#This Row],[2018]]), Klisz_Verbräuche[[#This Row],[2018]]*Emissionsfaktoren[[#This Row],[2018]]/1000, 0)</f>
        <v>0</v>
      </c>
      <c r="J166" s="14">
        <f>IF(ISNUMBER(Klisz_Verbräuche[[#This Row],[2019]]), Klisz_Verbräuche[[#This Row],[2019]]*Emissionsfaktoren[[#This Row],[2019]]/1000, 0)</f>
        <v>0</v>
      </c>
      <c r="K166" s="14">
        <f>IF(ISNUMBER(Klisz_Verbräuche[[#This Row],[2020]]), Klisz_Verbräuche[[#This Row],[2020]]*Emissionsfaktoren[[#This Row],[2020]]/1000, 0)</f>
        <v>0</v>
      </c>
      <c r="L166" s="14">
        <f>IF(ISNUMBER(Klisz_Verbräuche[[#This Row],[2021]]), Klisz_Verbräuche[[#This Row],[2021]]*Emissionsfaktoren[[#This Row],[2021]]/1000, 0)</f>
        <v>0</v>
      </c>
      <c r="M166" s="14">
        <f>IF(ISNUMBER(Klisz_Verbräuche[[#This Row],[2022]]), Klisz_Verbräuche[[#This Row],[2022]]*Emissionsfaktoren[[#This Row],[2022]]/1000, 0)</f>
        <v>0</v>
      </c>
      <c r="N166" s="14">
        <f>IF(ISNUMBER(Klisz_Verbräuche[[#This Row],[2023]]), Klisz_Verbräuche[[#This Row],[2023]]*Emissionsfaktoren[[#This Row],[2023]]/1000, 0)</f>
        <v>0</v>
      </c>
      <c r="O166" s="14">
        <f>IF(ISNUMBER(Klisz_Verbräuche[[#This Row],[2024]]), Klisz_Verbräuche[[#This Row],[2024]]*Emissionsfaktoren[[#This Row],[2024]]/1000, 0)</f>
        <v>0</v>
      </c>
      <c r="P166" s="14">
        <f>IF(ISNUMBER(Klisz_Verbräuche[[#This Row],[2025]]), Klisz_Verbräuche[[#This Row],[2025]]*Emissionsfaktoren[[#This Row],[2025]]/1000, 0)</f>
        <v>0</v>
      </c>
      <c r="Q166" s="14">
        <f>IF(ISNUMBER(Klisz_Verbräuche[[#This Row],[2026]]), Klisz_Verbräuche[[#This Row],[2026]]*Emissionsfaktoren[[#This Row],[2026]]/1000, 0)</f>
        <v>0</v>
      </c>
      <c r="R166" s="14">
        <f>IF(ISNUMBER(Klisz_Verbräuche[[#This Row],[2027]]), Klisz_Verbräuche[[#This Row],[2027]]*Emissionsfaktoren[[#This Row],[2027]]/1000, 0)</f>
        <v>0</v>
      </c>
      <c r="S166" s="14">
        <f>IF(ISNUMBER(Klisz_Verbräuche[[#This Row],[2028]]), Klisz_Verbräuche[[#This Row],[2028]]*Emissionsfaktoren[[#This Row],[2028]]/1000, 0)</f>
        <v>0</v>
      </c>
      <c r="T166" s="14">
        <f>IF(ISNUMBER(Klisz_Verbräuche[[#This Row],[2029]]), Klisz_Verbräuche[[#This Row],[2029]]*Emissionsfaktoren[[#This Row],[2029]]/1000, 0)</f>
        <v>0</v>
      </c>
      <c r="U166" s="14">
        <f>IF(ISNUMBER(Klisz_Verbräuche[[#This Row],[2030]]), Klisz_Verbräuche[[#This Row],[2030]]*Emissionsfaktoren[[#This Row],[2030]]/1000, 0)</f>
        <v>0</v>
      </c>
      <c r="V166" s="14">
        <f>IF(ISNUMBER(Klisz_Verbräuche[[#This Row],[2035]]), Klisz_Verbräuche[[#This Row],[2035]]*Emissionsfaktoren[[#This Row],[2035]]/1000, 0)</f>
        <v>0</v>
      </c>
      <c r="W166" s="14">
        <f>IF(ISNUMBER(Klisz_Verbräuche[[#This Row],[2040]]), Klisz_Verbräuche[[#This Row],[2040]]*Emissionsfaktoren[[#This Row],[2040]]/1000, 0)</f>
        <v>0</v>
      </c>
      <c r="X166" s="14">
        <f>IF(ISNUMBER(Klisz_Verbräuche[[#This Row],[2045]]), Klisz_Verbräuche[[#This Row],[2045]]*Emissionsfaktoren[[#This Row],[2045]]/1000, 0)</f>
        <v>0</v>
      </c>
      <c r="Y166" s="14">
        <f>IF(ISNUMBER(Klisz_Verbräuche[[#This Row],[2050]]), Klisz_Verbräuche[[#This Row],[2050]]*Emissionsfaktoren[[#This Row],[2050]]/1000, 0)</f>
        <v>0</v>
      </c>
    </row>
    <row r="167" spans="2:25" ht="16.5">
      <c r="B167" s="14">
        <v>150</v>
      </c>
      <c r="C167" s="14">
        <f>Refsz_Verbräuche[[#This Row],[Handlungsfeld]]</f>
        <v>0</v>
      </c>
      <c r="D167" s="19">
        <f>Refsz_Verbräuche[[#This Row],[Datenpunkt]]</f>
        <v>0</v>
      </c>
      <c r="E167" t="s">
        <v>195</v>
      </c>
      <c r="F167" s="14">
        <f>IF(ISNUMBER(Klisz_Verbräuche[[#This Row],[2015]]), Klisz_Verbräuche[[#This Row],[2015]]*Emissionsfaktoren[[#This Row],[2015]]/1000, 0)</f>
        <v>0</v>
      </c>
      <c r="G167" s="14">
        <f>IF(ISNUMBER(Klisz_Verbräuche[[#This Row],[2016]]), Klisz_Verbräuche[[#This Row],[2016]]*Emissionsfaktoren[[#This Row],[2016]]/1000, 0)</f>
        <v>0</v>
      </c>
      <c r="H167" s="14">
        <f>IF(ISNUMBER(Klisz_Verbräuche[[#This Row],[2017]]), Klisz_Verbräuche[[#This Row],[2017]]*Emissionsfaktoren[[#This Row],[2017]]/1000, 0)</f>
        <v>0</v>
      </c>
      <c r="I167" s="14">
        <f>IF(ISNUMBER(Klisz_Verbräuche[[#This Row],[2018]]), Klisz_Verbräuche[[#This Row],[2018]]*Emissionsfaktoren[[#This Row],[2018]]/1000, 0)</f>
        <v>0</v>
      </c>
      <c r="J167" s="14">
        <f>IF(ISNUMBER(Klisz_Verbräuche[[#This Row],[2019]]), Klisz_Verbräuche[[#This Row],[2019]]*Emissionsfaktoren[[#This Row],[2019]]/1000, 0)</f>
        <v>0</v>
      </c>
      <c r="K167" s="14">
        <f>IF(ISNUMBER(Klisz_Verbräuche[[#This Row],[2020]]), Klisz_Verbräuche[[#This Row],[2020]]*Emissionsfaktoren[[#This Row],[2020]]/1000, 0)</f>
        <v>0</v>
      </c>
      <c r="L167" s="14">
        <f>IF(ISNUMBER(Klisz_Verbräuche[[#This Row],[2021]]), Klisz_Verbräuche[[#This Row],[2021]]*Emissionsfaktoren[[#This Row],[2021]]/1000, 0)</f>
        <v>0</v>
      </c>
      <c r="M167" s="14">
        <f>IF(ISNUMBER(Klisz_Verbräuche[[#This Row],[2022]]), Klisz_Verbräuche[[#This Row],[2022]]*Emissionsfaktoren[[#This Row],[2022]]/1000, 0)</f>
        <v>0</v>
      </c>
      <c r="N167" s="14">
        <f>IF(ISNUMBER(Klisz_Verbräuche[[#This Row],[2023]]), Klisz_Verbräuche[[#This Row],[2023]]*Emissionsfaktoren[[#This Row],[2023]]/1000, 0)</f>
        <v>0</v>
      </c>
      <c r="O167" s="14">
        <f>IF(ISNUMBER(Klisz_Verbräuche[[#This Row],[2024]]), Klisz_Verbräuche[[#This Row],[2024]]*Emissionsfaktoren[[#This Row],[2024]]/1000, 0)</f>
        <v>0</v>
      </c>
      <c r="P167" s="14">
        <f>IF(ISNUMBER(Klisz_Verbräuche[[#This Row],[2025]]), Klisz_Verbräuche[[#This Row],[2025]]*Emissionsfaktoren[[#This Row],[2025]]/1000, 0)</f>
        <v>0</v>
      </c>
      <c r="Q167" s="14">
        <f>IF(ISNUMBER(Klisz_Verbräuche[[#This Row],[2026]]), Klisz_Verbräuche[[#This Row],[2026]]*Emissionsfaktoren[[#This Row],[2026]]/1000, 0)</f>
        <v>0</v>
      </c>
      <c r="R167" s="14">
        <f>IF(ISNUMBER(Klisz_Verbräuche[[#This Row],[2027]]), Klisz_Verbräuche[[#This Row],[2027]]*Emissionsfaktoren[[#This Row],[2027]]/1000, 0)</f>
        <v>0</v>
      </c>
      <c r="S167" s="14">
        <f>IF(ISNUMBER(Klisz_Verbräuche[[#This Row],[2028]]), Klisz_Verbräuche[[#This Row],[2028]]*Emissionsfaktoren[[#This Row],[2028]]/1000, 0)</f>
        <v>0</v>
      </c>
      <c r="T167" s="14">
        <f>IF(ISNUMBER(Klisz_Verbräuche[[#This Row],[2029]]), Klisz_Verbräuche[[#This Row],[2029]]*Emissionsfaktoren[[#This Row],[2029]]/1000, 0)</f>
        <v>0</v>
      </c>
      <c r="U167" s="14">
        <f>IF(ISNUMBER(Klisz_Verbräuche[[#This Row],[2030]]), Klisz_Verbräuche[[#This Row],[2030]]*Emissionsfaktoren[[#This Row],[2030]]/1000, 0)</f>
        <v>0</v>
      </c>
      <c r="V167" s="14">
        <f>IF(ISNUMBER(Klisz_Verbräuche[[#This Row],[2035]]), Klisz_Verbräuche[[#This Row],[2035]]*Emissionsfaktoren[[#This Row],[2035]]/1000, 0)</f>
        <v>0</v>
      </c>
      <c r="W167" s="14">
        <f>IF(ISNUMBER(Klisz_Verbräuche[[#This Row],[2040]]), Klisz_Verbräuche[[#This Row],[2040]]*Emissionsfaktoren[[#This Row],[2040]]/1000, 0)</f>
        <v>0</v>
      </c>
      <c r="X167" s="14">
        <f>IF(ISNUMBER(Klisz_Verbräuche[[#This Row],[2045]]), Klisz_Verbräuche[[#This Row],[2045]]*Emissionsfaktoren[[#This Row],[2045]]/1000, 0)</f>
        <v>0</v>
      </c>
      <c r="Y167" s="14">
        <f>IF(ISNUMBER(Klisz_Verbräuche[[#This Row],[2050]]), Klisz_Verbräuche[[#This Row],[2050]]*Emissionsfaktoren[[#This Row],[2050]]/1000, 0)</f>
        <v>0</v>
      </c>
    </row>
    <row r="168" spans="2:25" ht="16.5">
      <c r="B168" s="14">
        <v>151</v>
      </c>
      <c r="C168" s="14">
        <f>Refsz_Verbräuche[[#This Row],[Handlungsfeld]]</f>
        <v>0</v>
      </c>
      <c r="D168" s="19">
        <f>Refsz_Verbräuche[[#This Row],[Datenpunkt]]</f>
        <v>0</v>
      </c>
      <c r="E168" t="s">
        <v>195</v>
      </c>
      <c r="F168" s="14">
        <f>IF(ISNUMBER(Klisz_Verbräuche[[#This Row],[2015]]), Klisz_Verbräuche[[#This Row],[2015]]*Emissionsfaktoren[[#This Row],[2015]]/1000, 0)</f>
        <v>0</v>
      </c>
      <c r="G168" s="14">
        <f>IF(ISNUMBER(Klisz_Verbräuche[[#This Row],[2016]]), Klisz_Verbräuche[[#This Row],[2016]]*Emissionsfaktoren[[#This Row],[2016]]/1000, 0)</f>
        <v>0</v>
      </c>
      <c r="H168" s="14">
        <f>IF(ISNUMBER(Klisz_Verbräuche[[#This Row],[2017]]), Klisz_Verbräuche[[#This Row],[2017]]*Emissionsfaktoren[[#This Row],[2017]]/1000, 0)</f>
        <v>0</v>
      </c>
      <c r="I168" s="14">
        <f>IF(ISNUMBER(Klisz_Verbräuche[[#This Row],[2018]]), Klisz_Verbräuche[[#This Row],[2018]]*Emissionsfaktoren[[#This Row],[2018]]/1000, 0)</f>
        <v>0</v>
      </c>
      <c r="J168" s="14">
        <f>IF(ISNUMBER(Klisz_Verbräuche[[#This Row],[2019]]), Klisz_Verbräuche[[#This Row],[2019]]*Emissionsfaktoren[[#This Row],[2019]]/1000, 0)</f>
        <v>0</v>
      </c>
      <c r="K168" s="14">
        <f>IF(ISNUMBER(Klisz_Verbräuche[[#This Row],[2020]]), Klisz_Verbräuche[[#This Row],[2020]]*Emissionsfaktoren[[#This Row],[2020]]/1000, 0)</f>
        <v>0</v>
      </c>
      <c r="L168" s="14">
        <f>IF(ISNUMBER(Klisz_Verbräuche[[#This Row],[2021]]), Klisz_Verbräuche[[#This Row],[2021]]*Emissionsfaktoren[[#This Row],[2021]]/1000, 0)</f>
        <v>0</v>
      </c>
      <c r="M168" s="14">
        <f>IF(ISNUMBER(Klisz_Verbräuche[[#This Row],[2022]]), Klisz_Verbräuche[[#This Row],[2022]]*Emissionsfaktoren[[#This Row],[2022]]/1000, 0)</f>
        <v>0</v>
      </c>
      <c r="N168" s="14">
        <f>IF(ISNUMBER(Klisz_Verbräuche[[#This Row],[2023]]), Klisz_Verbräuche[[#This Row],[2023]]*Emissionsfaktoren[[#This Row],[2023]]/1000, 0)</f>
        <v>0</v>
      </c>
      <c r="O168" s="14">
        <f>IF(ISNUMBER(Klisz_Verbräuche[[#This Row],[2024]]), Klisz_Verbräuche[[#This Row],[2024]]*Emissionsfaktoren[[#This Row],[2024]]/1000, 0)</f>
        <v>0</v>
      </c>
      <c r="P168" s="14">
        <f>IF(ISNUMBER(Klisz_Verbräuche[[#This Row],[2025]]), Klisz_Verbräuche[[#This Row],[2025]]*Emissionsfaktoren[[#This Row],[2025]]/1000, 0)</f>
        <v>0</v>
      </c>
      <c r="Q168" s="14">
        <f>IF(ISNUMBER(Klisz_Verbräuche[[#This Row],[2026]]), Klisz_Verbräuche[[#This Row],[2026]]*Emissionsfaktoren[[#This Row],[2026]]/1000, 0)</f>
        <v>0</v>
      </c>
      <c r="R168" s="14">
        <f>IF(ISNUMBER(Klisz_Verbräuche[[#This Row],[2027]]), Klisz_Verbräuche[[#This Row],[2027]]*Emissionsfaktoren[[#This Row],[2027]]/1000, 0)</f>
        <v>0</v>
      </c>
      <c r="S168" s="14">
        <f>IF(ISNUMBER(Klisz_Verbräuche[[#This Row],[2028]]), Klisz_Verbräuche[[#This Row],[2028]]*Emissionsfaktoren[[#This Row],[2028]]/1000, 0)</f>
        <v>0</v>
      </c>
      <c r="T168" s="14">
        <f>IF(ISNUMBER(Klisz_Verbräuche[[#This Row],[2029]]), Klisz_Verbräuche[[#This Row],[2029]]*Emissionsfaktoren[[#This Row],[2029]]/1000, 0)</f>
        <v>0</v>
      </c>
      <c r="U168" s="14">
        <f>IF(ISNUMBER(Klisz_Verbräuche[[#This Row],[2030]]), Klisz_Verbräuche[[#This Row],[2030]]*Emissionsfaktoren[[#This Row],[2030]]/1000, 0)</f>
        <v>0</v>
      </c>
      <c r="V168" s="14">
        <f>IF(ISNUMBER(Klisz_Verbräuche[[#This Row],[2035]]), Klisz_Verbräuche[[#This Row],[2035]]*Emissionsfaktoren[[#This Row],[2035]]/1000, 0)</f>
        <v>0</v>
      </c>
      <c r="W168" s="14">
        <f>IF(ISNUMBER(Klisz_Verbräuche[[#This Row],[2040]]), Klisz_Verbräuche[[#This Row],[2040]]*Emissionsfaktoren[[#This Row],[2040]]/1000, 0)</f>
        <v>0</v>
      </c>
      <c r="X168" s="14">
        <f>IF(ISNUMBER(Klisz_Verbräuche[[#This Row],[2045]]), Klisz_Verbräuche[[#This Row],[2045]]*Emissionsfaktoren[[#This Row],[2045]]/1000, 0)</f>
        <v>0</v>
      </c>
      <c r="Y168" s="14">
        <f>IF(ISNUMBER(Klisz_Verbräuche[[#This Row],[2050]]), Klisz_Verbräuche[[#This Row],[2050]]*Emissionsfaktoren[[#This Row],[2050]]/1000, 0)</f>
        <v>0</v>
      </c>
    </row>
    <row r="169" spans="2:25" ht="16.5">
      <c r="B169" s="14">
        <v>152</v>
      </c>
      <c r="C169" s="14">
        <f>Refsz_Verbräuche[[#This Row],[Handlungsfeld]]</f>
        <v>0</v>
      </c>
      <c r="D169" s="19">
        <f>Refsz_Verbräuche[[#This Row],[Datenpunkt]]</f>
        <v>0</v>
      </c>
      <c r="E169" t="s">
        <v>195</v>
      </c>
      <c r="F169" s="14">
        <f>IF(ISNUMBER(Klisz_Verbräuche[[#This Row],[2015]]), Klisz_Verbräuche[[#This Row],[2015]]*Emissionsfaktoren[[#This Row],[2015]]/1000, 0)</f>
        <v>0</v>
      </c>
      <c r="G169" s="14">
        <f>IF(ISNUMBER(Klisz_Verbräuche[[#This Row],[2016]]), Klisz_Verbräuche[[#This Row],[2016]]*Emissionsfaktoren[[#This Row],[2016]]/1000, 0)</f>
        <v>0</v>
      </c>
      <c r="H169" s="14">
        <f>IF(ISNUMBER(Klisz_Verbräuche[[#This Row],[2017]]), Klisz_Verbräuche[[#This Row],[2017]]*Emissionsfaktoren[[#This Row],[2017]]/1000, 0)</f>
        <v>0</v>
      </c>
      <c r="I169" s="14">
        <f>IF(ISNUMBER(Klisz_Verbräuche[[#This Row],[2018]]), Klisz_Verbräuche[[#This Row],[2018]]*Emissionsfaktoren[[#This Row],[2018]]/1000, 0)</f>
        <v>0</v>
      </c>
      <c r="J169" s="14">
        <f>IF(ISNUMBER(Klisz_Verbräuche[[#This Row],[2019]]), Klisz_Verbräuche[[#This Row],[2019]]*Emissionsfaktoren[[#This Row],[2019]]/1000, 0)</f>
        <v>0</v>
      </c>
      <c r="K169" s="14">
        <f>IF(ISNUMBER(Klisz_Verbräuche[[#This Row],[2020]]), Klisz_Verbräuche[[#This Row],[2020]]*Emissionsfaktoren[[#This Row],[2020]]/1000, 0)</f>
        <v>0</v>
      </c>
      <c r="L169" s="14">
        <f>IF(ISNUMBER(Klisz_Verbräuche[[#This Row],[2021]]), Klisz_Verbräuche[[#This Row],[2021]]*Emissionsfaktoren[[#This Row],[2021]]/1000, 0)</f>
        <v>0</v>
      </c>
      <c r="M169" s="14">
        <f>IF(ISNUMBER(Klisz_Verbräuche[[#This Row],[2022]]), Klisz_Verbräuche[[#This Row],[2022]]*Emissionsfaktoren[[#This Row],[2022]]/1000, 0)</f>
        <v>0</v>
      </c>
      <c r="N169" s="14">
        <f>IF(ISNUMBER(Klisz_Verbräuche[[#This Row],[2023]]), Klisz_Verbräuche[[#This Row],[2023]]*Emissionsfaktoren[[#This Row],[2023]]/1000, 0)</f>
        <v>0</v>
      </c>
      <c r="O169" s="14">
        <f>IF(ISNUMBER(Klisz_Verbräuche[[#This Row],[2024]]), Klisz_Verbräuche[[#This Row],[2024]]*Emissionsfaktoren[[#This Row],[2024]]/1000, 0)</f>
        <v>0</v>
      </c>
      <c r="P169" s="14">
        <f>IF(ISNUMBER(Klisz_Verbräuche[[#This Row],[2025]]), Klisz_Verbräuche[[#This Row],[2025]]*Emissionsfaktoren[[#This Row],[2025]]/1000, 0)</f>
        <v>0</v>
      </c>
      <c r="Q169" s="14">
        <f>IF(ISNUMBER(Klisz_Verbräuche[[#This Row],[2026]]), Klisz_Verbräuche[[#This Row],[2026]]*Emissionsfaktoren[[#This Row],[2026]]/1000, 0)</f>
        <v>0</v>
      </c>
      <c r="R169" s="14">
        <f>IF(ISNUMBER(Klisz_Verbräuche[[#This Row],[2027]]), Klisz_Verbräuche[[#This Row],[2027]]*Emissionsfaktoren[[#This Row],[2027]]/1000, 0)</f>
        <v>0</v>
      </c>
      <c r="S169" s="14">
        <f>IF(ISNUMBER(Klisz_Verbräuche[[#This Row],[2028]]), Klisz_Verbräuche[[#This Row],[2028]]*Emissionsfaktoren[[#This Row],[2028]]/1000, 0)</f>
        <v>0</v>
      </c>
      <c r="T169" s="14">
        <f>IF(ISNUMBER(Klisz_Verbräuche[[#This Row],[2029]]), Klisz_Verbräuche[[#This Row],[2029]]*Emissionsfaktoren[[#This Row],[2029]]/1000, 0)</f>
        <v>0</v>
      </c>
      <c r="U169" s="14">
        <f>IF(ISNUMBER(Klisz_Verbräuche[[#This Row],[2030]]), Klisz_Verbräuche[[#This Row],[2030]]*Emissionsfaktoren[[#This Row],[2030]]/1000, 0)</f>
        <v>0</v>
      </c>
      <c r="V169" s="14">
        <f>IF(ISNUMBER(Klisz_Verbräuche[[#This Row],[2035]]), Klisz_Verbräuche[[#This Row],[2035]]*Emissionsfaktoren[[#This Row],[2035]]/1000, 0)</f>
        <v>0</v>
      </c>
      <c r="W169" s="14">
        <f>IF(ISNUMBER(Klisz_Verbräuche[[#This Row],[2040]]), Klisz_Verbräuche[[#This Row],[2040]]*Emissionsfaktoren[[#This Row],[2040]]/1000, 0)</f>
        <v>0</v>
      </c>
      <c r="X169" s="14">
        <f>IF(ISNUMBER(Klisz_Verbräuche[[#This Row],[2045]]), Klisz_Verbräuche[[#This Row],[2045]]*Emissionsfaktoren[[#This Row],[2045]]/1000, 0)</f>
        <v>0</v>
      </c>
      <c r="Y169" s="14">
        <f>IF(ISNUMBER(Klisz_Verbräuche[[#This Row],[2050]]), Klisz_Verbräuche[[#This Row],[2050]]*Emissionsfaktoren[[#This Row],[2050]]/1000, 0)</f>
        <v>0</v>
      </c>
    </row>
    <row r="170" spans="2:25" ht="16.5">
      <c r="B170" s="14">
        <v>153</v>
      </c>
      <c r="C170" s="14">
        <f>Refsz_Verbräuche[[#This Row],[Handlungsfeld]]</f>
        <v>0</v>
      </c>
      <c r="D170" s="19">
        <f>Refsz_Verbräuche[[#This Row],[Datenpunkt]]</f>
        <v>0</v>
      </c>
      <c r="E170" t="s">
        <v>195</v>
      </c>
      <c r="F170" s="14">
        <f>IF(ISNUMBER(Klisz_Verbräuche[[#This Row],[2015]]), Klisz_Verbräuche[[#This Row],[2015]]*Emissionsfaktoren[[#This Row],[2015]]/1000, 0)</f>
        <v>0</v>
      </c>
      <c r="G170" s="14">
        <f>IF(ISNUMBER(Klisz_Verbräuche[[#This Row],[2016]]), Klisz_Verbräuche[[#This Row],[2016]]*Emissionsfaktoren[[#This Row],[2016]]/1000, 0)</f>
        <v>0</v>
      </c>
      <c r="H170" s="14">
        <f>IF(ISNUMBER(Klisz_Verbräuche[[#This Row],[2017]]), Klisz_Verbräuche[[#This Row],[2017]]*Emissionsfaktoren[[#This Row],[2017]]/1000, 0)</f>
        <v>0</v>
      </c>
      <c r="I170" s="14">
        <f>IF(ISNUMBER(Klisz_Verbräuche[[#This Row],[2018]]), Klisz_Verbräuche[[#This Row],[2018]]*Emissionsfaktoren[[#This Row],[2018]]/1000, 0)</f>
        <v>0</v>
      </c>
      <c r="J170" s="14">
        <f>IF(ISNUMBER(Klisz_Verbräuche[[#This Row],[2019]]), Klisz_Verbräuche[[#This Row],[2019]]*Emissionsfaktoren[[#This Row],[2019]]/1000, 0)</f>
        <v>0</v>
      </c>
      <c r="K170" s="14">
        <f>IF(ISNUMBER(Klisz_Verbräuche[[#This Row],[2020]]), Klisz_Verbräuche[[#This Row],[2020]]*Emissionsfaktoren[[#This Row],[2020]]/1000, 0)</f>
        <v>0</v>
      </c>
      <c r="L170" s="14">
        <f>IF(ISNUMBER(Klisz_Verbräuche[[#This Row],[2021]]), Klisz_Verbräuche[[#This Row],[2021]]*Emissionsfaktoren[[#This Row],[2021]]/1000, 0)</f>
        <v>0</v>
      </c>
      <c r="M170" s="14">
        <f>IF(ISNUMBER(Klisz_Verbräuche[[#This Row],[2022]]), Klisz_Verbräuche[[#This Row],[2022]]*Emissionsfaktoren[[#This Row],[2022]]/1000, 0)</f>
        <v>0</v>
      </c>
      <c r="N170" s="14">
        <f>IF(ISNUMBER(Klisz_Verbräuche[[#This Row],[2023]]), Klisz_Verbräuche[[#This Row],[2023]]*Emissionsfaktoren[[#This Row],[2023]]/1000, 0)</f>
        <v>0</v>
      </c>
      <c r="O170" s="14">
        <f>IF(ISNUMBER(Klisz_Verbräuche[[#This Row],[2024]]), Klisz_Verbräuche[[#This Row],[2024]]*Emissionsfaktoren[[#This Row],[2024]]/1000, 0)</f>
        <v>0</v>
      </c>
      <c r="P170" s="14">
        <f>IF(ISNUMBER(Klisz_Verbräuche[[#This Row],[2025]]), Klisz_Verbräuche[[#This Row],[2025]]*Emissionsfaktoren[[#This Row],[2025]]/1000, 0)</f>
        <v>0</v>
      </c>
      <c r="Q170" s="14">
        <f>IF(ISNUMBER(Klisz_Verbräuche[[#This Row],[2026]]), Klisz_Verbräuche[[#This Row],[2026]]*Emissionsfaktoren[[#This Row],[2026]]/1000, 0)</f>
        <v>0</v>
      </c>
      <c r="R170" s="14">
        <f>IF(ISNUMBER(Klisz_Verbräuche[[#This Row],[2027]]), Klisz_Verbräuche[[#This Row],[2027]]*Emissionsfaktoren[[#This Row],[2027]]/1000, 0)</f>
        <v>0</v>
      </c>
      <c r="S170" s="14">
        <f>IF(ISNUMBER(Klisz_Verbräuche[[#This Row],[2028]]), Klisz_Verbräuche[[#This Row],[2028]]*Emissionsfaktoren[[#This Row],[2028]]/1000, 0)</f>
        <v>0</v>
      </c>
      <c r="T170" s="14">
        <f>IF(ISNUMBER(Klisz_Verbräuche[[#This Row],[2029]]), Klisz_Verbräuche[[#This Row],[2029]]*Emissionsfaktoren[[#This Row],[2029]]/1000, 0)</f>
        <v>0</v>
      </c>
      <c r="U170" s="14">
        <f>IF(ISNUMBER(Klisz_Verbräuche[[#This Row],[2030]]), Klisz_Verbräuche[[#This Row],[2030]]*Emissionsfaktoren[[#This Row],[2030]]/1000, 0)</f>
        <v>0</v>
      </c>
      <c r="V170" s="14">
        <f>IF(ISNUMBER(Klisz_Verbräuche[[#This Row],[2035]]), Klisz_Verbräuche[[#This Row],[2035]]*Emissionsfaktoren[[#This Row],[2035]]/1000, 0)</f>
        <v>0</v>
      </c>
      <c r="W170" s="14">
        <f>IF(ISNUMBER(Klisz_Verbräuche[[#This Row],[2040]]), Klisz_Verbräuche[[#This Row],[2040]]*Emissionsfaktoren[[#This Row],[2040]]/1000, 0)</f>
        <v>0</v>
      </c>
      <c r="X170" s="14">
        <f>IF(ISNUMBER(Klisz_Verbräuche[[#This Row],[2045]]), Klisz_Verbräuche[[#This Row],[2045]]*Emissionsfaktoren[[#This Row],[2045]]/1000, 0)</f>
        <v>0</v>
      </c>
      <c r="Y170" s="14">
        <f>IF(ISNUMBER(Klisz_Verbräuche[[#This Row],[2050]]), Klisz_Verbräuche[[#This Row],[2050]]*Emissionsfaktoren[[#This Row],[2050]]/1000, 0)</f>
        <v>0</v>
      </c>
    </row>
    <row r="171" spans="2:25" ht="16.5">
      <c r="B171" s="14">
        <v>154</v>
      </c>
      <c r="C171" s="14">
        <f>Refsz_Verbräuche[[#This Row],[Handlungsfeld]]</f>
        <v>0</v>
      </c>
      <c r="D171" s="19">
        <f>Refsz_Verbräuche[[#This Row],[Datenpunkt]]</f>
        <v>0</v>
      </c>
      <c r="E171" t="s">
        <v>195</v>
      </c>
      <c r="F171" s="14">
        <f>IF(ISNUMBER(Klisz_Verbräuche[[#This Row],[2015]]), Klisz_Verbräuche[[#This Row],[2015]]*Emissionsfaktoren[[#This Row],[2015]]/1000, 0)</f>
        <v>0</v>
      </c>
      <c r="G171" s="14">
        <f>IF(ISNUMBER(Klisz_Verbräuche[[#This Row],[2016]]), Klisz_Verbräuche[[#This Row],[2016]]*Emissionsfaktoren[[#This Row],[2016]]/1000, 0)</f>
        <v>0</v>
      </c>
      <c r="H171" s="14">
        <f>IF(ISNUMBER(Klisz_Verbräuche[[#This Row],[2017]]), Klisz_Verbräuche[[#This Row],[2017]]*Emissionsfaktoren[[#This Row],[2017]]/1000, 0)</f>
        <v>0</v>
      </c>
      <c r="I171" s="14">
        <f>IF(ISNUMBER(Klisz_Verbräuche[[#This Row],[2018]]), Klisz_Verbräuche[[#This Row],[2018]]*Emissionsfaktoren[[#This Row],[2018]]/1000, 0)</f>
        <v>0</v>
      </c>
      <c r="J171" s="14">
        <f>IF(ISNUMBER(Klisz_Verbräuche[[#This Row],[2019]]), Klisz_Verbräuche[[#This Row],[2019]]*Emissionsfaktoren[[#This Row],[2019]]/1000, 0)</f>
        <v>0</v>
      </c>
      <c r="K171" s="14">
        <f>IF(ISNUMBER(Klisz_Verbräuche[[#This Row],[2020]]), Klisz_Verbräuche[[#This Row],[2020]]*Emissionsfaktoren[[#This Row],[2020]]/1000, 0)</f>
        <v>0</v>
      </c>
      <c r="L171" s="14">
        <f>IF(ISNUMBER(Klisz_Verbräuche[[#This Row],[2021]]), Klisz_Verbräuche[[#This Row],[2021]]*Emissionsfaktoren[[#This Row],[2021]]/1000, 0)</f>
        <v>0</v>
      </c>
      <c r="M171" s="14">
        <f>IF(ISNUMBER(Klisz_Verbräuche[[#This Row],[2022]]), Klisz_Verbräuche[[#This Row],[2022]]*Emissionsfaktoren[[#This Row],[2022]]/1000, 0)</f>
        <v>0</v>
      </c>
      <c r="N171" s="14">
        <f>IF(ISNUMBER(Klisz_Verbräuche[[#This Row],[2023]]), Klisz_Verbräuche[[#This Row],[2023]]*Emissionsfaktoren[[#This Row],[2023]]/1000, 0)</f>
        <v>0</v>
      </c>
      <c r="O171" s="14">
        <f>IF(ISNUMBER(Klisz_Verbräuche[[#This Row],[2024]]), Klisz_Verbräuche[[#This Row],[2024]]*Emissionsfaktoren[[#This Row],[2024]]/1000, 0)</f>
        <v>0</v>
      </c>
      <c r="P171" s="14">
        <f>IF(ISNUMBER(Klisz_Verbräuche[[#This Row],[2025]]), Klisz_Verbräuche[[#This Row],[2025]]*Emissionsfaktoren[[#This Row],[2025]]/1000, 0)</f>
        <v>0</v>
      </c>
      <c r="Q171" s="14">
        <f>IF(ISNUMBER(Klisz_Verbräuche[[#This Row],[2026]]), Klisz_Verbräuche[[#This Row],[2026]]*Emissionsfaktoren[[#This Row],[2026]]/1000, 0)</f>
        <v>0</v>
      </c>
      <c r="R171" s="14">
        <f>IF(ISNUMBER(Klisz_Verbräuche[[#This Row],[2027]]), Klisz_Verbräuche[[#This Row],[2027]]*Emissionsfaktoren[[#This Row],[2027]]/1000, 0)</f>
        <v>0</v>
      </c>
      <c r="S171" s="14">
        <f>IF(ISNUMBER(Klisz_Verbräuche[[#This Row],[2028]]), Klisz_Verbräuche[[#This Row],[2028]]*Emissionsfaktoren[[#This Row],[2028]]/1000, 0)</f>
        <v>0</v>
      </c>
      <c r="T171" s="14">
        <f>IF(ISNUMBER(Klisz_Verbräuche[[#This Row],[2029]]), Klisz_Verbräuche[[#This Row],[2029]]*Emissionsfaktoren[[#This Row],[2029]]/1000, 0)</f>
        <v>0</v>
      </c>
      <c r="U171" s="14">
        <f>IF(ISNUMBER(Klisz_Verbräuche[[#This Row],[2030]]), Klisz_Verbräuche[[#This Row],[2030]]*Emissionsfaktoren[[#This Row],[2030]]/1000, 0)</f>
        <v>0</v>
      </c>
      <c r="V171" s="14">
        <f>IF(ISNUMBER(Klisz_Verbräuche[[#This Row],[2035]]), Klisz_Verbräuche[[#This Row],[2035]]*Emissionsfaktoren[[#This Row],[2035]]/1000, 0)</f>
        <v>0</v>
      </c>
      <c r="W171" s="14">
        <f>IF(ISNUMBER(Klisz_Verbräuche[[#This Row],[2040]]), Klisz_Verbräuche[[#This Row],[2040]]*Emissionsfaktoren[[#This Row],[2040]]/1000, 0)</f>
        <v>0</v>
      </c>
      <c r="X171" s="14">
        <f>IF(ISNUMBER(Klisz_Verbräuche[[#This Row],[2045]]), Klisz_Verbräuche[[#This Row],[2045]]*Emissionsfaktoren[[#This Row],[2045]]/1000, 0)</f>
        <v>0</v>
      </c>
      <c r="Y171" s="14">
        <f>IF(ISNUMBER(Klisz_Verbräuche[[#This Row],[2050]]), Klisz_Verbräuche[[#This Row],[2050]]*Emissionsfaktoren[[#This Row],[2050]]/1000, 0)</f>
        <v>0</v>
      </c>
    </row>
    <row r="172" spans="2:25" ht="16.5">
      <c r="B172" s="14">
        <v>155</v>
      </c>
      <c r="C172" s="14">
        <f>Refsz_Verbräuche[[#This Row],[Handlungsfeld]]</f>
        <v>0</v>
      </c>
      <c r="D172" s="19">
        <f>Refsz_Verbräuche[[#This Row],[Datenpunkt]]</f>
        <v>0</v>
      </c>
      <c r="E172" t="s">
        <v>195</v>
      </c>
      <c r="F172" s="14">
        <f>IF(ISNUMBER(Klisz_Verbräuche[[#This Row],[2015]]), Klisz_Verbräuche[[#This Row],[2015]]*Emissionsfaktoren[[#This Row],[2015]]/1000, 0)</f>
        <v>0</v>
      </c>
      <c r="G172" s="14">
        <f>IF(ISNUMBER(Klisz_Verbräuche[[#This Row],[2016]]), Klisz_Verbräuche[[#This Row],[2016]]*Emissionsfaktoren[[#This Row],[2016]]/1000, 0)</f>
        <v>0</v>
      </c>
      <c r="H172" s="14">
        <f>IF(ISNUMBER(Klisz_Verbräuche[[#This Row],[2017]]), Klisz_Verbräuche[[#This Row],[2017]]*Emissionsfaktoren[[#This Row],[2017]]/1000, 0)</f>
        <v>0</v>
      </c>
      <c r="I172" s="14">
        <f>IF(ISNUMBER(Klisz_Verbräuche[[#This Row],[2018]]), Klisz_Verbräuche[[#This Row],[2018]]*Emissionsfaktoren[[#This Row],[2018]]/1000, 0)</f>
        <v>0</v>
      </c>
      <c r="J172" s="14">
        <f>IF(ISNUMBER(Klisz_Verbräuche[[#This Row],[2019]]), Klisz_Verbräuche[[#This Row],[2019]]*Emissionsfaktoren[[#This Row],[2019]]/1000, 0)</f>
        <v>0</v>
      </c>
      <c r="K172" s="14">
        <f>IF(ISNUMBER(Klisz_Verbräuche[[#This Row],[2020]]), Klisz_Verbräuche[[#This Row],[2020]]*Emissionsfaktoren[[#This Row],[2020]]/1000, 0)</f>
        <v>0</v>
      </c>
      <c r="L172" s="14">
        <f>IF(ISNUMBER(Klisz_Verbräuche[[#This Row],[2021]]), Klisz_Verbräuche[[#This Row],[2021]]*Emissionsfaktoren[[#This Row],[2021]]/1000, 0)</f>
        <v>0</v>
      </c>
      <c r="M172" s="14">
        <f>IF(ISNUMBER(Klisz_Verbräuche[[#This Row],[2022]]), Klisz_Verbräuche[[#This Row],[2022]]*Emissionsfaktoren[[#This Row],[2022]]/1000, 0)</f>
        <v>0</v>
      </c>
      <c r="N172" s="14">
        <f>IF(ISNUMBER(Klisz_Verbräuche[[#This Row],[2023]]), Klisz_Verbräuche[[#This Row],[2023]]*Emissionsfaktoren[[#This Row],[2023]]/1000, 0)</f>
        <v>0</v>
      </c>
      <c r="O172" s="14">
        <f>IF(ISNUMBER(Klisz_Verbräuche[[#This Row],[2024]]), Klisz_Verbräuche[[#This Row],[2024]]*Emissionsfaktoren[[#This Row],[2024]]/1000, 0)</f>
        <v>0</v>
      </c>
      <c r="P172" s="14">
        <f>IF(ISNUMBER(Klisz_Verbräuche[[#This Row],[2025]]), Klisz_Verbräuche[[#This Row],[2025]]*Emissionsfaktoren[[#This Row],[2025]]/1000, 0)</f>
        <v>0</v>
      </c>
      <c r="Q172" s="14">
        <f>IF(ISNUMBER(Klisz_Verbräuche[[#This Row],[2026]]), Klisz_Verbräuche[[#This Row],[2026]]*Emissionsfaktoren[[#This Row],[2026]]/1000, 0)</f>
        <v>0</v>
      </c>
      <c r="R172" s="14">
        <f>IF(ISNUMBER(Klisz_Verbräuche[[#This Row],[2027]]), Klisz_Verbräuche[[#This Row],[2027]]*Emissionsfaktoren[[#This Row],[2027]]/1000, 0)</f>
        <v>0</v>
      </c>
      <c r="S172" s="14">
        <f>IF(ISNUMBER(Klisz_Verbräuche[[#This Row],[2028]]), Klisz_Verbräuche[[#This Row],[2028]]*Emissionsfaktoren[[#This Row],[2028]]/1000, 0)</f>
        <v>0</v>
      </c>
      <c r="T172" s="14">
        <f>IF(ISNUMBER(Klisz_Verbräuche[[#This Row],[2029]]), Klisz_Verbräuche[[#This Row],[2029]]*Emissionsfaktoren[[#This Row],[2029]]/1000, 0)</f>
        <v>0</v>
      </c>
      <c r="U172" s="14">
        <f>IF(ISNUMBER(Klisz_Verbräuche[[#This Row],[2030]]), Klisz_Verbräuche[[#This Row],[2030]]*Emissionsfaktoren[[#This Row],[2030]]/1000, 0)</f>
        <v>0</v>
      </c>
      <c r="V172" s="14">
        <f>IF(ISNUMBER(Klisz_Verbräuche[[#This Row],[2035]]), Klisz_Verbräuche[[#This Row],[2035]]*Emissionsfaktoren[[#This Row],[2035]]/1000, 0)</f>
        <v>0</v>
      </c>
      <c r="W172" s="14">
        <f>IF(ISNUMBER(Klisz_Verbräuche[[#This Row],[2040]]), Klisz_Verbräuche[[#This Row],[2040]]*Emissionsfaktoren[[#This Row],[2040]]/1000, 0)</f>
        <v>0</v>
      </c>
      <c r="X172" s="14">
        <f>IF(ISNUMBER(Klisz_Verbräuche[[#This Row],[2045]]), Klisz_Verbräuche[[#This Row],[2045]]*Emissionsfaktoren[[#This Row],[2045]]/1000, 0)</f>
        <v>0</v>
      </c>
      <c r="Y172" s="14">
        <f>IF(ISNUMBER(Klisz_Verbräuche[[#This Row],[2050]]), Klisz_Verbräuche[[#This Row],[2050]]*Emissionsfaktoren[[#This Row],[2050]]/1000, 0)</f>
        <v>0</v>
      </c>
    </row>
    <row r="173" spans="2:25" ht="16.5">
      <c r="B173" s="14">
        <v>156</v>
      </c>
      <c r="C173" s="14">
        <f>Refsz_Verbräuche[[#This Row],[Handlungsfeld]]</f>
        <v>0</v>
      </c>
      <c r="D173" s="19">
        <f>Refsz_Verbräuche[[#This Row],[Datenpunkt]]</f>
        <v>0</v>
      </c>
      <c r="E173" t="s">
        <v>195</v>
      </c>
      <c r="F173" s="14">
        <f>IF(ISNUMBER(Klisz_Verbräuche[[#This Row],[2015]]), Klisz_Verbräuche[[#This Row],[2015]]*Emissionsfaktoren[[#This Row],[2015]]/1000, 0)</f>
        <v>0</v>
      </c>
      <c r="G173" s="14">
        <f>IF(ISNUMBER(Klisz_Verbräuche[[#This Row],[2016]]), Klisz_Verbräuche[[#This Row],[2016]]*Emissionsfaktoren[[#This Row],[2016]]/1000, 0)</f>
        <v>0</v>
      </c>
      <c r="H173" s="14">
        <f>IF(ISNUMBER(Klisz_Verbräuche[[#This Row],[2017]]), Klisz_Verbräuche[[#This Row],[2017]]*Emissionsfaktoren[[#This Row],[2017]]/1000, 0)</f>
        <v>0</v>
      </c>
      <c r="I173" s="14">
        <f>IF(ISNUMBER(Klisz_Verbräuche[[#This Row],[2018]]), Klisz_Verbräuche[[#This Row],[2018]]*Emissionsfaktoren[[#This Row],[2018]]/1000, 0)</f>
        <v>0</v>
      </c>
      <c r="J173" s="14">
        <f>IF(ISNUMBER(Klisz_Verbräuche[[#This Row],[2019]]), Klisz_Verbräuche[[#This Row],[2019]]*Emissionsfaktoren[[#This Row],[2019]]/1000, 0)</f>
        <v>0</v>
      </c>
      <c r="K173" s="14">
        <f>IF(ISNUMBER(Klisz_Verbräuche[[#This Row],[2020]]), Klisz_Verbräuche[[#This Row],[2020]]*Emissionsfaktoren[[#This Row],[2020]]/1000, 0)</f>
        <v>0</v>
      </c>
      <c r="L173" s="14">
        <f>IF(ISNUMBER(Klisz_Verbräuche[[#This Row],[2021]]), Klisz_Verbräuche[[#This Row],[2021]]*Emissionsfaktoren[[#This Row],[2021]]/1000, 0)</f>
        <v>0</v>
      </c>
      <c r="M173" s="14">
        <f>IF(ISNUMBER(Klisz_Verbräuche[[#This Row],[2022]]), Klisz_Verbräuche[[#This Row],[2022]]*Emissionsfaktoren[[#This Row],[2022]]/1000, 0)</f>
        <v>0</v>
      </c>
      <c r="N173" s="14">
        <f>IF(ISNUMBER(Klisz_Verbräuche[[#This Row],[2023]]), Klisz_Verbräuche[[#This Row],[2023]]*Emissionsfaktoren[[#This Row],[2023]]/1000, 0)</f>
        <v>0</v>
      </c>
      <c r="O173" s="14">
        <f>IF(ISNUMBER(Klisz_Verbräuche[[#This Row],[2024]]), Klisz_Verbräuche[[#This Row],[2024]]*Emissionsfaktoren[[#This Row],[2024]]/1000, 0)</f>
        <v>0</v>
      </c>
      <c r="P173" s="14">
        <f>IF(ISNUMBER(Klisz_Verbräuche[[#This Row],[2025]]), Klisz_Verbräuche[[#This Row],[2025]]*Emissionsfaktoren[[#This Row],[2025]]/1000, 0)</f>
        <v>0</v>
      </c>
      <c r="Q173" s="14">
        <f>IF(ISNUMBER(Klisz_Verbräuche[[#This Row],[2026]]), Klisz_Verbräuche[[#This Row],[2026]]*Emissionsfaktoren[[#This Row],[2026]]/1000, 0)</f>
        <v>0</v>
      </c>
      <c r="R173" s="14">
        <f>IF(ISNUMBER(Klisz_Verbräuche[[#This Row],[2027]]), Klisz_Verbräuche[[#This Row],[2027]]*Emissionsfaktoren[[#This Row],[2027]]/1000, 0)</f>
        <v>0</v>
      </c>
      <c r="S173" s="14">
        <f>IF(ISNUMBER(Klisz_Verbräuche[[#This Row],[2028]]), Klisz_Verbräuche[[#This Row],[2028]]*Emissionsfaktoren[[#This Row],[2028]]/1000, 0)</f>
        <v>0</v>
      </c>
      <c r="T173" s="14">
        <f>IF(ISNUMBER(Klisz_Verbräuche[[#This Row],[2029]]), Klisz_Verbräuche[[#This Row],[2029]]*Emissionsfaktoren[[#This Row],[2029]]/1000, 0)</f>
        <v>0</v>
      </c>
      <c r="U173" s="14">
        <f>IF(ISNUMBER(Klisz_Verbräuche[[#This Row],[2030]]), Klisz_Verbräuche[[#This Row],[2030]]*Emissionsfaktoren[[#This Row],[2030]]/1000, 0)</f>
        <v>0</v>
      </c>
      <c r="V173" s="14">
        <f>IF(ISNUMBER(Klisz_Verbräuche[[#This Row],[2035]]), Klisz_Verbräuche[[#This Row],[2035]]*Emissionsfaktoren[[#This Row],[2035]]/1000, 0)</f>
        <v>0</v>
      </c>
      <c r="W173" s="14">
        <f>IF(ISNUMBER(Klisz_Verbräuche[[#This Row],[2040]]), Klisz_Verbräuche[[#This Row],[2040]]*Emissionsfaktoren[[#This Row],[2040]]/1000, 0)</f>
        <v>0</v>
      </c>
      <c r="X173" s="14">
        <f>IF(ISNUMBER(Klisz_Verbräuche[[#This Row],[2045]]), Klisz_Verbräuche[[#This Row],[2045]]*Emissionsfaktoren[[#This Row],[2045]]/1000, 0)</f>
        <v>0</v>
      </c>
      <c r="Y173" s="14">
        <f>IF(ISNUMBER(Klisz_Verbräuche[[#This Row],[2050]]), Klisz_Verbräuche[[#This Row],[2050]]*Emissionsfaktoren[[#This Row],[2050]]/1000, 0)</f>
        <v>0</v>
      </c>
    </row>
    <row r="174" spans="2:25" ht="16.5">
      <c r="B174" s="14">
        <v>157</v>
      </c>
      <c r="C174" s="14">
        <f>Refsz_Verbräuche[[#This Row],[Handlungsfeld]]</f>
        <v>0</v>
      </c>
      <c r="D174" s="19">
        <f>Refsz_Verbräuche[[#This Row],[Datenpunkt]]</f>
        <v>0</v>
      </c>
      <c r="E174" t="s">
        <v>195</v>
      </c>
      <c r="F174" s="14">
        <f>IF(ISNUMBER(Klisz_Verbräuche[[#This Row],[2015]]), Klisz_Verbräuche[[#This Row],[2015]]*Emissionsfaktoren[[#This Row],[2015]]/1000, 0)</f>
        <v>0</v>
      </c>
      <c r="G174" s="14">
        <f>IF(ISNUMBER(Klisz_Verbräuche[[#This Row],[2016]]), Klisz_Verbräuche[[#This Row],[2016]]*Emissionsfaktoren[[#This Row],[2016]]/1000, 0)</f>
        <v>0</v>
      </c>
      <c r="H174" s="14">
        <f>IF(ISNUMBER(Klisz_Verbräuche[[#This Row],[2017]]), Klisz_Verbräuche[[#This Row],[2017]]*Emissionsfaktoren[[#This Row],[2017]]/1000, 0)</f>
        <v>0</v>
      </c>
      <c r="I174" s="14">
        <f>IF(ISNUMBER(Klisz_Verbräuche[[#This Row],[2018]]), Klisz_Verbräuche[[#This Row],[2018]]*Emissionsfaktoren[[#This Row],[2018]]/1000, 0)</f>
        <v>0</v>
      </c>
      <c r="J174" s="14">
        <f>IF(ISNUMBER(Klisz_Verbräuche[[#This Row],[2019]]), Klisz_Verbräuche[[#This Row],[2019]]*Emissionsfaktoren[[#This Row],[2019]]/1000, 0)</f>
        <v>0</v>
      </c>
      <c r="K174" s="14">
        <f>IF(ISNUMBER(Klisz_Verbräuche[[#This Row],[2020]]), Klisz_Verbräuche[[#This Row],[2020]]*Emissionsfaktoren[[#This Row],[2020]]/1000, 0)</f>
        <v>0</v>
      </c>
      <c r="L174" s="14">
        <f>IF(ISNUMBER(Klisz_Verbräuche[[#This Row],[2021]]), Klisz_Verbräuche[[#This Row],[2021]]*Emissionsfaktoren[[#This Row],[2021]]/1000, 0)</f>
        <v>0</v>
      </c>
      <c r="M174" s="14">
        <f>IF(ISNUMBER(Klisz_Verbräuche[[#This Row],[2022]]), Klisz_Verbräuche[[#This Row],[2022]]*Emissionsfaktoren[[#This Row],[2022]]/1000, 0)</f>
        <v>0</v>
      </c>
      <c r="N174" s="14">
        <f>IF(ISNUMBER(Klisz_Verbräuche[[#This Row],[2023]]), Klisz_Verbräuche[[#This Row],[2023]]*Emissionsfaktoren[[#This Row],[2023]]/1000, 0)</f>
        <v>0</v>
      </c>
      <c r="O174" s="14">
        <f>IF(ISNUMBER(Klisz_Verbräuche[[#This Row],[2024]]), Klisz_Verbräuche[[#This Row],[2024]]*Emissionsfaktoren[[#This Row],[2024]]/1000, 0)</f>
        <v>0</v>
      </c>
      <c r="P174" s="14">
        <f>IF(ISNUMBER(Klisz_Verbräuche[[#This Row],[2025]]), Klisz_Verbräuche[[#This Row],[2025]]*Emissionsfaktoren[[#This Row],[2025]]/1000, 0)</f>
        <v>0</v>
      </c>
      <c r="Q174" s="14">
        <f>IF(ISNUMBER(Klisz_Verbräuche[[#This Row],[2026]]), Klisz_Verbräuche[[#This Row],[2026]]*Emissionsfaktoren[[#This Row],[2026]]/1000, 0)</f>
        <v>0</v>
      </c>
      <c r="R174" s="14">
        <f>IF(ISNUMBER(Klisz_Verbräuche[[#This Row],[2027]]), Klisz_Verbräuche[[#This Row],[2027]]*Emissionsfaktoren[[#This Row],[2027]]/1000, 0)</f>
        <v>0</v>
      </c>
      <c r="S174" s="14">
        <f>IF(ISNUMBER(Klisz_Verbräuche[[#This Row],[2028]]), Klisz_Verbräuche[[#This Row],[2028]]*Emissionsfaktoren[[#This Row],[2028]]/1000, 0)</f>
        <v>0</v>
      </c>
      <c r="T174" s="14">
        <f>IF(ISNUMBER(Klisz_Verbräuche[[#This Row],[2029]]), Klisz_Verbräuche[[#This Row],[2029]]*Emissionsfaktoren[[#This Row],[2029]]/1000, 0)</f>
        <v>0</v>
      </c>
      <c r="U174" s="14">
        <f>IF(ISNUMBER(Klisz_Verbräuche[[#This Row],[2030]]), Klisz_Verbräuche[[#This Row],[2030]]*Emissionsfaktoren[[#This Row],[2030]]/1000, 0)</f>
        <v>0</v>
      </c>
      <c r="V174" s="14">
        <f>IF(ISNUMBER(Klisz_Verbräuche[[#This Row],[2035]]), Klisz_Verbräuche[[#This Row],[2035]]*Emissionsfaktoren[[#This Row],[2035]]/1000, 0)</f>
        <v>0</v>
      </c>
      <c r="W174" s="14">
        <f>IF(ISNUMBER(Klisz_Verbräuche[[#This Row],[2040]]), Klisz_Verbräuche[[#This Row],[2040]]*Emissionsfaktoren[[#This Row],[2040]]/1000, 0)</f>
        <v>0</v>
      </c>
      <c r="X174" s="14">
        <f>IF(ISNUMBER(Klisz_Verbräuche[[#This Row],[2045]]), Klisz_Verbräuche[[#This Row],[2045]]*Emissionsfaktoren[[#This Row],[2045]]/1000, 0)</f>
        <v>0</v>
      </c>
      <c r="Y174" s="14">
        <f>IF(ISNUMBER(Klisz_Verbräuche[[#This Row],[2050]]), Klisz_Verbräuche[[#This Row],[2050]]*Emissionsfaktoren[[#This Row],[2050]]/1000, 0)</f>
        <v>0</v>
      </c>
    </row>
    <row r="175" spans="2:25" ht="16.5">
      <c r="B175" s="14">
        <v>158</v>
      </c>
      <c r="C175" s="14">
        <f>Refsz_Verbräuche[[#This Row],[Handlungsfeld]]</f>
        <v>0</v>
      </c>
      <c r="D175" s="19">
        <f>Refsz_Verbräuche[[#This Row],[Datenpunkt]]</f>
        <v>0</v>
      </c>
      <c r="E175" t="s">
        <v>195</v>
      </c>
      <c r="F175" s="14">
        <f>IF(ISNUMBER(Klisz_Verbräuche[[#This Row],[2015]]), Klisz_Verbräuche[[#This Row],[2015]]*Emissionsfaktoren[[#This Row],[2015]]/1000, 0)</f>
        <v>0</v>
      </c>
      <c r="G175" s="14">
        <f>IF(ISNUMBER(Klisz_Verbräuche[[#This Row],[2016]]), Klisz_Verbräuche[[#This Row],[2016]]*Emissionsfaktoren[[#This Row],[2016]]/1000, 0)</f>
        <v>0</v>
      </c>
      <c r="H175" s="14">
        <f>IF(ISNUMBER(Klisz_Verbräuche[[#This Row],[2017]]), Klisz_Verbräuche[[#This Row],[2017]]*Emissionsfaktoren[[#This Row],[2017]]/1000, 0)</f>
        <v>0</v>
      </c>
      <c r="I175" s="14">
        <f>IF(ISNUMBER(Klisz_Verbräuche[[#This Row],[2018]]), Klisz_Verbräuche[[#This Row],[2018]]*Emissionsfaktoren[[#This Row],[2018]]/1000, 0)</f>
        <v>0</v>
      </c>
      <c r="J175" s="14">
        <f>IF(ISNUMBER(Klisz_Verbräuche[[#This Row],[2019]]), Klisz_Verbräuche[[#This Row],[2019]]*Emissionsfaktoren[[#This Row],[2019]]/1000, 0)</f>
        <v>0</v>
      </c>
      <c r="K175" s="14">
        <f>IF(ISNUMBER(Klisz_Verbräuche[[#This Row],[2020]]), Klisz_Verbräuche[[#This Row],[2020]]*Emissionsfaktoren[[#This Row],[2020]]/1000, 0)</f>
        <v>0</v>
      </c>
      <c r="L175" s="14">
        <f>IF(ISNUMBER(Klisz_Verbräuche[[#This Row],[2021]]), Klisz_Verbräuche[[#This Row],[2021]]*Emissionsfaktoren[[#This Row],[2021]]/1000, 0)</f>
        <v>0</v>
      </c>
      <c r="M175" s="14">
        <f>IF(ISNUMBER(Klisz_Verbräuche[[#This Row],[2022]]), Klisz_Verbräuche[[#This Row],[2022]]*Emissionsfaktoren[[#This Row],[2022]]/1000, 0)</f>
        <v>0</v>
      </c>
      <c r="N175" s="14">
        <f>IF(ISNUMBER(Klisz_Verbräuche[[#This Row],[2023]]), Klisz_Verbräuche[[#This Row],[2023]]*Emissionsfaktoren[[#This Row],[2023]]/1000, 0)</f>
        <v>0</v>
      </c>
      <c r="O175" s="14">
        <f>IF(ISNUMBER(Klisz_Verbräuche[[#This Row],[2024]]), Klisz_Verbräuche[[#This Row],[2024]]*Emissionsfaktoren[[#This Row],[2024]]/1000, 0)</f>
        <v>0</v>
      </c>
      <c r="P175" s="14">
        <f>IF(ISNUMBER(Klisz_Verbräuche[[#This Row],[2025]]), Klisz_Verbräuche[[#This Row],[2025]]*Emissionsfaktoren[[#This Row],[2025]]/1000, 0)</f>
        <v>0</v>
      </c>
      <c r="Q175" s="14">
        <f>IF(ISNUMBER(Klisz_Verbräuche[[#This Row],[2026]]), Klisz_Verbräuche[[#This Row],[2026]]*Emissionsfaktoren[[#This Row],[2026]]/1000, 0)</f>
        <v>0</v>
      </c>
      <c r="R175" s="14">
        <f>IF(ISNUMBER(Klisz_Verbräuche[[#This Row],[2027]]), Klisz_Verbräuche[[#This Row],[2027]]*Emissionsfaktoren[[#This Row],[2027]]/1000, 0)</f>
        <v>0</v>
      </c>
      <c r="S175" s="14">
        <f>IF(ISNUMBER(Klisz_Verbräuche[[#This Row],[2028]]), Klisz_Verbräuche[[#This Row],[2028]]*Emissionsfaktoren[[#This Row],[2028]]/1000, 0)</f>
        <v>0</v>
      </c>
      <c r="T175" s="14">
        <f>IF(ISNUMBER(Klisz_Verbräuche[[#This Row],[2029]]), Klisz_Verbräuche[[#This Row],[2029]]*Emissionsfaktoren[[#This Row],[2029]]/1000, 0)</f>
        <v>0</v>
      </c>
      <c r="U175" s="14">
        <f>IF(ISNUMBER(Klisz_Verbräuche[[#This Row],[2030]]), Klisz_Verbräuche[[#This Row],[2030]]*Emissionsfaktoren[[#This Row],[2030]]/1000, 0)</f>
        <v>0</v>
      </c>
      <c r="V175" s="14">
        <f>IF(ISNUMBER(Klisz_Verbräuche[[#This Row],[2035]]), Klisz_Verbräuche[[#This Row],[2035]]*Emissionsfaktoren[[#This Row],[2035]]/1000, 0)</f>
        <v>0</v>
      </c>
      <c r="W175" s="14">
        <f>IF(ISNUMBER(Klisz_Verbräuche[[#This Row],[2040]]), Klisz_Verbräuche[[#This Row],[2040]]*Emissionsfaktoren[[#This Row],[2040]]/1000, 0)</f>
        <v>0</v>
      </c>
      <c r="X175" s="14">
        <f>IF(ISNUMBER(Klisz_Verbräuche[[#This Row],[2045]]), Klisz_Verbräuche[[#This Row],[2045]]*Emissionsfaktoren[[#This Row],[2045]]/1000, 0)</f>
        <v>0</v>
      </c>
      <c r="Y175" s="14">
        <f>IF(ISNUMBER(Klisz_Verbräuche[[#This Row],[2050]]), Klisz_Verbräuche[[#This Row],[2050]]*Emissionsfaktoren[[#This Row],[2050]]/1000, 0)</f>
        <v>0</v>
      </c>
    </row>
    <row r="176" spans="2:25" ht="16.5">
      <c r="B176" s="14">
        <v>159</v>
      </c>
      <c r="C176" s="14">
        <f>Refsz_Verbräuche[[#This Row],[Handlungsfeld]]</f>
        <v>0</v>
      </c>
      <c r="D176" s="19">
        <f>Refsz_Verbräuche[[#This Row],[Datenpunkt]]</f>
        <v>0</v>
      </c>
      <c r="E176" t="s">
        <v>195</v>
      </c>
      <c r="F176" s="14">
        <f>IF(ISNUMBER(Klisz_Verbräuche[[#This Row],[2015]]), Klisz_Verbräuche[[#This Row],[2015]]*Emissionsfaktoren[[#This Row],[2015]]/1000, 0)</f>
        <v>0</v>
      </c>
      <c r="G176" s="14">
        <f>IF(ISNUMBER(Klisz_Verbräuche[[#This Row],[2016]]), Klisz_Verbräuche[[#This Row],[2016]]*Emissionsfaktoren[[#This Row],[2016]]/1000, 0)</f>
        <v>0</v>
      </c>
      <c r="H176" s="14">
        <f>IF(ISNUMBER(Klisz_Verbräuche[[#This Row],[2017]]), Klisz_Verbräuche[[#This Row],[2017]]*Emissionsfaktoren[[#This Row],[2017]]/1000, 0)</f>
        <v>0</v>
      </c>
      <c r="I176" s="14">
        <f>IF(ISNUMBER(Klisz_Verbräuche[[#This Row],[2018]]), Klisz_Verbräuche[[#This Row],[2018]]*Emissionsfaktoren[[#This Row],[2018]]/1000, 0)</f>
        <v>0</v>
      </c>
      <c r="J176" s="14">
        <f>IF(ISNUMBER(Klisz_Verbräuche[[#This Row],[2019]]), Klisz_Verbräuche[[#This Row],[2019]]*Emissionsfaktoren[[#This Row],[2019]]/1000, 0)</f>
        <v>0</v>
      </c>
      <c r="K176" s="14">
        <f>IF(ISNUMBER(Klisz_Verbräuche[[#This Row],[2020]]), Klisz_Verbräuche[[#This Row],[2020]]*Emissionsfaktoren[[#This Row],[2020]]/1000, 0)</f>
        <v>0</v>
      </c>
      <c r="L176" s="14">
        <f>IF(ISNUMBER(Klisz_Verbräuche[[#This Row],[2021]]), Klisz_Verbräuche[[#This Row],[2021]]*Emissionsfaktoren[[#This Row],[2021]]/1000, 0)</f>
        <v>0</v>
      </c>
      <c r="M176" s="14">
        <f>IF(ISNUMBER(Klisz_Verbräuche[[#This Row],[2022]]), Klisz_Verbräuche[[#This Row],[2022]]*Emissionsfaktoren[[#This Row],[2022]]/1000, 0)</f>
        <v>0</v>
      </c>
      <c r="N176" s="14">
        <f>IF(ISNUMBER(Klisz_Verbräuche[[#This Row],[2023]]), Klisz_Verbräuche[[#This Row],[2023]]*Emissionsfaktoren[[#This Row],[2023]]/1000, 0)</f>
        <v>0</v>
      </c>
      <c r="O176" s="14">
        <f>IF(ISNUMBER(Klisz_Verbräuche[[#This Row],[2024]]), Klisz_Verbräuche[[#This Row],[2024]]*Emissionsfaktoren[[#This Row],[2024]]/1000, 0)</f>
        <v>0</v>
      </c>
      <c r="P176" s="14">
        <f>IF(ISNUMBER(Klisz_Verbräuche[[#This Row],[2025]]), Klisz_Verbräuche[[#This Row],[2025]]*Emissionsfaktoren[[#This Row],[2025]]/1000, 0)</f>
        <v>0</v>
      </c>
      <c r="Q176" s="14">
        <f>IF(ISNUMBER(Klisz_Verbräuche[[#This Row],[2026]]), Klisz_Verbräuche[[#This Row],[2026]]*Emissionsfaktoren[[#This Row],[2026]]/1000, 0)</f>
        <v>0</v>
      </c>
      <c r="R176" s="14">
        <f>IF(ISNUMBER(Klisz_Verbräuche[[#This Row],[2027]]), Klisz_Verbräuche[[#This Row],[2027]]*Emissionsfaktoren[[#This Row],[2027]]/1000, 0)</f>
        <v>0</v>
      </c>
      <c r="S176" s="14">
        <f>IF(ISNUMBER(Klisz_Verbräuche[[#This Row],[2028]]), Klisz_Verbräuche[[#This Row],[2028]]*Emissionsfaktoren[[#This Row],[2028]]/1000, 0)</f>
        <v>0</v>
      </c>
      <c r="T176" s="14">
        <f>IF(ISNUMBER(Klisz_Verbräuche[[#This Row],[2029]]), Klisz_Verbräuche[[#This Row],[2029]]*Emissionsfaktoren[[#This Row],[2029]]/1000, 0)</f>
        <v>0</v>
      </c>
      <c r="U176" s="14">
        <f>IF(ISNUMBER(Klisz_Verbräuche[[#This Row],[2030]]), Klisz_Verbräuche[[#This Row],[2030]]*Emissionsfaktoren[[#This Row],[2030]]/1000, 0)</f>
        <v>0</v>
      </c>
      <c r="V176" s="14">
        <f>IF(ISNUMBER(Klisz_Verbräuche[[#This Row],[2035]]), Klisz_Verbräuche[[#This Row],[2035]]*Emissionsfaktoren[[#This Row],[2035]]/1000, 0)</f>
        <v>0</v>
      </c>
      <c r="W176" s="14">
        <f>IF(ISNUMBER(Klisz_Verbräuche[[#This Row],[2040]]), Klisz_Verbräuche[[#This Row],[2040]]*Emissionsfaktoren[[#This Row],[2040]]/1000, 0)</f>
        <v>0</v>
      </c>
      <c r="X176" s="14">
        <f>IF(ISNUMBER(Klisz_Verbräuche[[#This Row],[2045]]), Klisz_Verbräuche[[#This Row],[2045]]*Emissionsfaktoren[[#This Row],[2045]]/1000, 0)</f>
        <v>0</v>
      </c>
      <c r="Y176" s="14">
        <f>IF(ISNUMBER(Klisz_Verbräuche[[#This Row],[2050]]), Klisz_Verbräuche[[#This Row],[2050]]*Emissionsfaktoren[[#This Row],[2050]]/1000, 0)</f>
        <v>0</v>
      </c>
    </row>
    <row r="177" spans="2:26" ht="16.5">
      <c r="B177" s="14">
        <v>160</v>
      </c>
      <c r="C177" s="14">
        <f>Refsz_Verbräuche[[#This Row],[Handlungsfeld]]</f>
        <v>0</v>
      </c>
      <c r="D177" s="19">
        <f>Refsz_Verbräuche[[#This Row],[Datenpunkt]]</f>
        <v>0</v>
      </c>
      <c r="E177" t="s">
        <v>195</v>
      </c>
      <c r="F177" s="14">
        <f>IF(ISNUMBER(Klisz_Verbräuche[[#This Row],[2015]]), Klisz_Verbräuche[[#This Row],[2015]]*Emissionsfaktoren[[#This Row],[2015]]/1000, 0)</f>
        <v>0</v>
      </c>
      <c r="G177" s="14">
        <f>IF(ISNUMBER(Klisz_Verbräuche[[#This Row],[2016]]), Klisz_Verbräuche[[#This Row],[2016]]*Emissionsfaktoren[[#This Row],[2016]]/1000, 0)</f>
        <v>0</v>
      </c>
      <c r="H177" s="14">
        <f>IF(ISNUMBER(Klisz_Verbräuche[[#This Row],[2017]]), Klisz_Verbräuche[[#This Row],[2017]]*Emissionsfaktoren[[#This Row],[2017]]/1000, 0)</f>
        <v>0</v>
      </c>
      <c r="I177" s="14">
        <f>IF(ISNUMBER(Klisz_Verbräuche[[#This Row],[2018]]), Klisz_Verbräuche[[#This Row],[2018]]*Emissionsfaktoren[[#This Row],[2018]]/1000, 0)</f>
        <v>0</v>
      </c>
      <c r="J177" s="14">
        <f>IF(ISNUMBER(Klisz_Verbräuche[[#This Row],[2019]]), Klisz_Verbräuche[[#This Row],[2019]]*Emissionsfaktoren[[#This Row],[2019]]/1000, 0)</f>
        <v>0</v>
      </c>
      <c r="K177" s="14">
        <f>IF(ISNUMBER(Klisz_Verbräuche[[#This Row],[2020]]), Klisz_Verbräuche[[#This Row],[2020]]*Emissionsfaktoren[[#This Row],[2020]]/1000, 0)</f>
        <v>0</v>
      </c>
      <c r="L177" s="14">
        <f>IF(ISNUMBER(Klisz_Verbräuche[[#This Row],[2021]]), Klisz_Verbräuche[[#This Row],[2021]]*Emissionsfaktoren[[#This Row],[2021]]/1000, 0)</f>
        <v>0</v>
      </c>
      <c r="M177" s="14">
        <f>IF(ISNUMBER(Klisz_Verbräuche[[#This Row],[2022]]), Klisz_Verbräuche[[#This Row],[2022]]*Emissionsfaktoren[[#This Row],[2022]]/1000, 0)</f>
        <v>0</v>
      </c>
      <c r="N177" s="14">
        <f>IF(ISNUMBER(Klisz_Verbräuche[[#This Row],[2023]]), Klisz_Verbräuche[[#This Row],[2023]]*Emissionsfaktoren[[#This Row],[2023]]/1000, 0)</f>
        <v>0</v>
      </c>
      <c r="O177" s="14">
        <f>IF(ISNUMBER(Klisz_Verbräuche[[#This Row],[2024]]), Klisz_Verbräuche[[#This Row],[2024]]*Emissionsfaktoren[[#This Row],[2024]]/1000, 0)</f>
        <v>0</v>
      </c>
      <c r="P177" s="14">
        <f>IF(ISNUMBER(Klisz_Verbräuche[[#This Row],[2025]]), Klisz_Verbräuche[[#This Row],[2025]]*Emissionsfaktoren[[#This Row],[2025]]/1000, 0)</f>
        <v>0</v>
      </c>
      <c r="Q177" s="14">
        <f>IF(ISNUMBER(Klisz_Verbräuche[[#This Row],[2026]]), Klisz_Verbräuche[[#This Row],[2026]]*Emissionsfaktoren[[#This Row],[2026]]/1000, 0)</f>
        <v>0</v>
      </c>
      <c r="R177" s="14">
        <f>IF(ISNUMBER(Klisz_Verbräuche[[#This Row],[2027]]), Klisz_Verbräuche[[#This Row],[2027]]*Emissionsfaktoren[[#This Row],[2027]]/1000, 0)</f>
        <v>0</v>
      </c>
      <c r="S177" s="14">
        <f>IF(ISNUMBER(Klisz_Verbräuche[[#This Row],[2028]]), Klisz_Verbräuche[[#This Row],[2028]]*Emissionsfaktoren[[#This Row],[2028]]/1000, 0)</f>
        <v>0</v>
      </c>
      <c r="T177" s="14">
        <f>IF(ISNUMBER(Klisz_Verbräuche[[#This Row],[2029]]), Klisz_Verbräuche[[#This Row],[2029]]*Emissionsfaktoren[[#This Row],[2029]]/1000, 0)</f>
        <v>0</v>
      </c>
      <c r="U177" s="14">
        <f>IF(ISNUMBER(Klisz_Verbräuche[[#This Row],[2030]]), Klisz_Verbräuche[[#This Row],[2030]]*Emissionsfaktoren[[#This Row],[2030]]/1000, 0)</f>
        <v>0</v>
      </c>
      <c r="V177" s="14">
        <f>IF(ISNUMBER(Klisz_Verbräuche[[#This Row],[2035]]), Klisz_Verbräuche[[#This Row],[2035]]*Emissionsfaktoren[[#This Row],[2035]]/1000, 0)</f>
        <v>0</v>
      </c>
      <c r="W177" s="14">
        <f>IF(ISNUMBER(Klisz_Verbräuche[[#This Row],[2040]]), Klisz_Verbräuche[[#This Row],[2040]]*Emissionsfaktoren[[#This Row],[2040]]/1000, 0)</f>
        <v>0</v>
      </c>
      <c r="X177" s="14">
        <f>IF(ISNUMBER(Klisz_Verbräuche[[#This Row],[2045]]), Klisz_Verbräuche[[#This Row],[2045]]*Emissionsfaktoren[[#This Row],[2045]]/1000, 0)</f>
        <v>0</v>
      </c>
      <c r="Y177" s="14">
        <f>IF(ISNUMBER(Klisz_Verbräuche[[#This Row],[2050]]), Klisz_Verbräuche[[#This Row],[2050]]*Emissionsfaktoren[[#This Row],[2050]]/1000, 0)</f>
        <v>0</v>
      </c>
    </row>
    <row r="178" spans="2:26" ht="16.5">
      <c r="B178" s="14">
        <v>161</v>
      </c>
      <c r="C178" s="14">
        <f>Refsz_Verbräuche[[#This Row],[Handlungsfeld]]</f>
        <v>0</v>
      </c>
      <c r="D178" s="19">
        <f>Refsz_Verbräuche[[#This Row],[Datenpunkt]]</f>
        <v>0</v>
      </c>
      <c r="E178" t="s">
        <v>195</v>
      </c>
      <c r="F178" s="14">
        <f>IF(ISNUMBER(Klisz_Verbräuche[[#This Row],[2015]]), Klisz_Verbräuche[[#This Row],[2015]]*Emissionsfaktoren[[#This Row],[2015]]/1000, 0)</f>
        <v>0</v>
      </c>
      <c r="G178" s="14">
        <f>IF(ISNUMBER(Klisz_Verbräuche[[#This Row],[2016]]), Klisz_Verbräuche[[#This Row],[2016]]*Emissionsfaktoren[[#This Row],[2016]]/1000, 0)</f>
        <v>0</v>
      </c>
      <c r="H178" s="14">
        <f>IF(ISNUMBER(Klisz_Verbräuche[[#This Row],[2017]]), Klisz_Verbräuche[[#This Row],[2017]]*Emissionsfaktoren[[#This Row],[2017]]/1000, 0)</f>
        <v>0</v>
      </c>
      <c r="I178" s="14">
        <f>IF(ISNUMBER(Klisz_Verbräuche[[#This Row],[2018]]), Klisz_Verbräuche[[#This Row],[2018]]*Emissionsfaktoren[[#This Row],[2018]]/1000, 0)</f>
        <v>0</v>
      </c>
      <c r="J178" s="14">
        <f>IF(ISNUMBER(Klisz_Verbräuche[[#This Row],[2019]]), Klisz_Verbräuche[[#This Row],[2019]]*Emissionsfaktoren[[#This Row],[2019]]/1000, 0)</f>
        <v>0</v>
      </c>
      <c r="K178" s="14">
        <f>IF(ISNUMBER(Klisz_Verbräuche[[#This Row],[2020]]), Klisz_Verbräuche[[#This Row],[2020]]*Emissionsfaktoren[[#This Row],[2020]]/1000, 0)</f>
        <v>0</v>
      </c>
      <c r="L178" s="14">
        <f>IF(ISNUMBER(Klisz_Verbräuche[[#This Row],[2021]]), Klisz_Verbräuche[[#This Row],[2021]]*Emissionsfaktoren[[#This Row],[2021]]/1000, 0)</f>
        <v>0</v>
      </c>
      <c r="M178" s="14">
        <f>IF(ISNUMBER(Klisz_Verbräuche[[#This Row],[2022]]), Klisz_Verbräuche[[#This Row],[2022]]*Emissionsfaktoren[[#This Row],[2022]]/1000, 0)</f>
        <v>0</v>
      </c>
      <c r="N178" s="14">
        <f>IF(ISNUMBER(Klisz_Verbräuche[[#This Row],[2023]]), Klisz_Verbräuche[[#This Row],[2023]]*Emissionsfaktoren[[#This Row],[2023]]/1000, 0)</f>
        <v>0</v>
      </c>
      <c r="O178" s="14">
        <f>IF(ISNUMBER(Klisz_Verbräuche[[#This Row],[2024]]), Klisz_Verbräuche[[#This Row],[2024]]*Emissionsfaktoren[[#This Row],[2024]]/1000, 0)</f>
        <v>0</v>
      </c>
      <c r="P178" s="14">
        <f>IF(ISNUMBER(Klisz_Verbräuche[[#This Row],[2025]]), Klisz_Verbräuche[[#This Row],[2025]]*Emissionsfaktoren[[#This Row],[2025]]/1000, 0)</f>
        <v>0</v>
      </c>
      <c r="Q178" s="14">
        <f>IF(ISNUMBER(Klisz_Verbräuche[[#This Row],[2026]]), Klisz_Verbräuche[[#This Row],[2026]]*Emissionsfaktoren[[#This Row],[2026]]/1000, 0)</f>
        <v>0</v>
      </c>
      <c r="R178" s="14">
        <f>IF(ISNUMBER(Klisz_Verbräuche[[#This Row],[2027]]), Klisz_Verbräuche[[#This Row],[2027]]*Emissionsfaktoren[[#This Row],[2027]]/1000, 0)</f>
        <v>0</v>
      </c>
      <c r="S178" s="14">
        <f>IF(ISNUMBER(Klisz_Verbräuche[[#This Row],[2028]]), Klisz_Verbräuche[[#This Row],[2028]]*Emissionsfaktoren[[#This Row],[2028]]/1000, 0)</f>
        <v>0</v>
      </c>
      <c r="T178" s="14">
        <f>IF(ISNUMBER(Klisz_Verbräuche[[#This Row],[2029]]), Klisz_Verbräuche[[#This Row],[2029]]*Emissionsfaktoren[[#This Row],[2029]]/1000, 0)</f>
        <v>0</v>
      </c>
      <c r="U178" s="14">
        <f>IF(ISNUMBER(Klisz_Verbräuche[[#This Row],[2030]]), Klisz_Verbräuche[[#This Row],[2030]]*Emissionsfaktoren[[#This Row],[2030]]/1000, 0)</f>
        <v>0</v>
      </c>
      <c r="V178" s="14">
        <f>IF(ISNUMBER(Klisz_Verbräuche[[#This Row],[2035]]), Klisz_Verbräuche[[#This Row],[2035]]*Emissionsfaktoren[[#This Row],[2035]]/1000, 0)</f>
        <v>0</v>
      </c>
      <c r="W178" s="14">
        <f>IF(ISNUMBER(Klisz_Verbräuche[[#This Row],[2040]]), Klisz_Verbräuche[[#This Row],[2040]]*Emissionsfaktoren[[#This Row],[2040]]/1000, 0)</f>
        <v>0</v>
      </c>
      <c r="X178" s="14">
        <f>IF(ISNUMBER(Klisz_Verbräuche[[#This Row],[2045]]), Klisz_Verbräuche[[#This Row],[2045]]*Emissionsfaktoren[[#This Row],[2045]]/1000, 0)</f>
        <v>0</v>
      </c>
      <c r="Y178" s="14">
        <f>IF(ISNUMBER(Klisz_Verbräuche[[#This Row],[2050]]), Klisz_Verbräuche[[#This Row],[2050]]*Emissionsfaktoren[[#This Row],[2050]]/1000, 0)</f>
        <v>0</v>
      </c>
    </row>
    <row r="181" spans="2:26">
      <c r="B181" s="1" t="s">
        <v>603</v>
      </c>
    </row>
    <row r="182" spans="2:26">
      <c r="B182" t="s">
        <v>38</v>
      </c>
      <c r="C182" t="s">
        <v>28</v>
      </c>
      <c r="D182" s="14" t="s">
        <v>435</v>
      </c>
      <c r="E182" t="s">
        <v>2</v>
      </c>
      <c r="F182" t="s">
        <v>3</v>
      </c>
      <c r="G182" t="s">
        <v>4</v>
      </c>
      <c r="H182" t="s">
        <v>5</v>
      </c>
      <c r="I182" t="s">
        <v>6</v>
      </c>
      <c r="J182" t="s">
        <v>7</v>
      </c>
      <c r="K182" t="s">
        <v>8</v>
      </c>
      <c r="L182" t="s">
        <v>9</v>
      </c>
      <c r="M182" t="s">
        <v>10</v>
      </c>
      <c r="N182" t="s">
        <v>11</v>
      </c>
      <c r="O182" t="s">
        <v>12</v>
      </c>
      <c r="P182" t="s">
        <v>13</v>
      </c>
      <c r="Q182" t="s">
        <v>14</v>
      </c>
      <c r="R182" t="s">
        <v>216</v>
      </c>
      <c r="S182" t="s">
        <v>217</v>
      </c>
      <c r="T182" t="s">
        <v>218</v>
      </c>
      <c r="U182" t="s">
        <v>15</v>
      </c>
      <c r="V182" t="s">
        <v>16</v>
      </c>
      <c r="W182" t="s">
        <v>17</v>
      </c>
      <c r="X182" t="s">
        <v>18</v>
      </c>
      <c r="Y182" t="s">
        <v>19</v>
      </c>
      <c r="Z182" t="s">
        <v>45</v>
      </c>
    </row>
    <row r="183" spans="2:26" ht="16.5">
      <c r="B183" s="14">
        <v>1</v>
      </c>
      <c r="C183" s="14" t="str">
        <f>'Refsz-Verbräuche'!C18</f>
        <v>Elektrischer Strom</v>
      </c>
      <c r="D183" s="19" t="str">
        <f>'Refsz-Verbräuche'!D18</f>
        <v>Bundesmix</v>
      </c>
      <c r="E183" t="s">
        <v>195</v>
      </c>
      <c r="F183" s="14"/>
      <c r="G183" s="14"/>
      <c r="H183" s="14"/>
      <c r="I183" s="14"/>
      <c r="J183" s="14"/>
      <c r="K183" s="14"/>
      <c r="L183" s="14"/>
      <c r="M183" s="14"/>
      <c r="N183" s="14"/>
      <c r="O183" s="14"/>
      <c r="P183" s="14"/>
      <c r="Q183" s="14"/>
      <c r="R183" s="14"/>
      <c r="S183" s="14"/>
      <c r="T183" s="14"/>
      <c r="U183" s="14"/>
      <c r="V183" s="14"/>
      <c r="W183" s="14"/>
      <c r="X183" s="14"/>
      <c r="Y183" s="14"/>
    </row>
    <row r="184" spans="2:26" ht="16.5">
      <c r="B184" s="14">
        <v>2</v>
      </c>
      <c r="C184" s="14" t="str">
        <f>'Refsz-Verbräuche'!C19</f>
        <v>Elektrischer Strom</v>
      </c>
      <c r="D184" s="19" t="str">
        <f>'Refsz-Verbräuche'!D19</f>
        <v>Bundesmix KS80</v>
      </c>
      <c r="E184" t="s">
        <v>195</v>
      </c>
      <c r="F184" s="14">
        <f>IF(OR(ISNUMBER('Klisz-Verbräuche'!G18),ISNUMBER('Klisz-Verbräuche'!G19),ISNUMBER('Klisz-Verbräuche'!G20),ISNUMBER('Klisz-Verbräuche'!G21),ISNUMBER('Klisz-Verbräuche'!G22), ISNUMBER('Klisz-Verbräuche'!G23), ISNUMBER('Klisz-Verbräuche'!G24), ISNUMBER('Klisz-Verbräuche'!G25), ISNUMBER('Klisz-Verbräuche'!G26), ISNUMBER('Klisz-Verbräuche'!G27)), (SUM('Klisz-Verbräuche'!G18:G27)*Emissionsfaktoren!E19/1000)+'Strommix &amp; BHKW'!D187+'Strommix &amp; BHKW'!D203+'Strommix &amp; BHKW'!D209+'Strommix &amp; BHKW'!D215, 0)</f>
        <v>0</v>
      </c>
      <c r="G184" s="14">
        <f>IF(OR(ISNUMBER('Klisz-Verbräuche'!H18),ISNUMBER('Klisz-Verbräuche'!H19),ISNUMBER('Klisz-Verbräuche'!H20),ISNUMBER('Klisz-Verbräuche'!H21),ISNUMBER('Klisz-Verbräuche'!H22), ISNUMBER('Klisz-Verbräuche'!H23), ISNUMBER('Klisz-Verbräuche'!H24), ISNUMBER('Klisz-Verbräuche'!H25), ISNUMBER('Klisz-Verbräuche'!H26), ISNUMBER('Klisz-Verbräuche'!H27)), (SUM('Klisz-Verbräuche'!H18:H27)*Emissionsfaktoren!F19/1000)+'Strommix &amp; BHKW'!E187+'Strommix &amp; BHKW'!E203+'Strommix &amp; BHKW'!E209+'Strommix &amp; BHKW'!E215, 0)</f>
        <v>0</v>
      </c>
      <c r="H184" s="14">
        <f>IF(OR(ISNUMBER('Klisz-Verbräuche'!I18),ISNUMBER('Klisz-Verbräuche'!I19),ISNUMBER('Klisz-Verbräuche'!I20),ISNUMBER('Klisz-Verbräuche'!I21),ISNUMBER('Klisz-Verbräuche'!I22), ISNUMBER('Klisz-Verbräuche'!I23), ISNUMBER('Klisz-Verbräuche'!I24), ISNUMBER('Klisz-Verbräuche'!I25), ISNUMBER('Klisz-Verbräuche'!I26), ISNUMBER('Klisz-Verbräuche'!I27)), (SUM('Klisz-Verbräuche'!I18:I27)*Emissionsfaktoren!G19/1000)+'Strommix &amp; BHKW'!F187+'Strommix &amp; BHKW'!F203+'Strommix &amp; BHKW'!F209+'Strommix &amp; BHKW'!F215, 0)</f>
        <v>0</v>
      </c>
      <c r="I184" s="14">
        <f>IF(OR(ISNUMBER('Klisz-Verbräuche'!J18),ISNUMBER('Klisz-Verbräuche'!J19),ISNUMBER('Klisz-Verbräuche'!J20),ISNUMBER('Klisz-Verbräuche'!J21),ISNUMBER('Klisz-Verbräuche'!J22), ISNUMBER('Klisz-Verbräuche'!J23), ISNUMBER('Klisz-Verbräuche'!J24), ISNUMBER('Klisz-Verbräuche'!J25), ISNUMBER('Klisz-Verbräuche'!J26), ISNUMBER('Klisz-Verbräuche'!J27)), (SUM('Klisz-Verbräuche'!J18:J27)*Emissionsfaktoren!H19/1000)+'Strommix &amp; BHKW'!G187+'Strommix &amp; BHKW'!G203+'Strommix &amp; BHKW'!G209+'Strommix &amp; BHKW'!G215, 0)</f>
        <v>0</v>
      </c>
      <c r="J184" s="14">
        <f>IF(OR(ISNUMBER('Klisz-Verbräuche'!K18),ISNUMBER('Klisz-Verbräuche'!K19),ISNUMBER('Klisz-Verbräuche'!K20),ISNUMBER('Klisz-Verbräuche'!K21),ISNUMBER('Klisz-Verbräuche'!K22), ISNUMBER('Klisz-Verbräuche'!K23), ISNUMBER('Klisz-Verbräuche'!K24), ISNUMBER('Klisz-Verbräuche'!K25), ISNUMBER('Klisz-Verbräuche'!K26), ISNUMBER('Klisz-Verbräuche'!K27)), (SUM('Klisz-Verbräuche'!K18:K27)*Emissionsfaktoren!I19/1000)+'Strommix &amp; BHKW'!H187+'Strommix &amp; BHKW'!H203+'Strommix &amp; BHKW'!H209+'Strommix &amp; BHKW'!H215, 0)</f>
        <v>0</v>
      </c>
      <c r="K184" s="14">
        <f>IF(OR(ISNUMBER('Klisz-Verbräuche'!L18),ISNUMBER('Klisz-Verbräuche'!L19),ISNUMBER('Klisz-Verbräuche'!L20),ISNUMBER('Klisz-Verbräuche'!L21),ISNUMBER('Klisz-Verbräuche'!L22), ISNUMBER('Klisz-Verbräuche'!L23), ISNUMBER('Klisz-Verbräuche'!L24), ISNUMBER('Klisz-Verbräuche'!L25), ISNUMBER('Klisz-Verbräuche'!L26), ISNUMBER('Klisz-Verbräuche'!L27)), (SUM('Klisz-Verbräuche'!L18:L27)*Emissionsfaktoren!J19/1000)+'Strommix &amp; BHKW'!I187+'Strommix &amp; BHKW'!I203+'Strommix &amp; BHKW'!I209+'Strommix &amp; BHKW'!I215, 0)</f>
        <v>0</v>
      </c>
      <c r="L184" s="14">
        <f>IF(OR(ISNUMBER('Klisz-Verbräuche'!M18),ISNUMBER('Klisz-Verbräuche'!M19),ISNUMBER('Klisz-Verbräuche'!M20),ISNUMBER('Klisz-Verbräuche'!M21),ISNUMBER('Klisz-Verbräuche'!M22), ISNUMBER('Klisz-Verbräuche'!M23), ISNUMBER('Klisz-Verbräuche'!M24), ISNUMBER('Klisz-Verbräuche'!M25), ISNUMBER('Klisz-Verbräuche'!M26), ISNUMBER('Klisz-Verbräuche'!M27)), (SUM('Klisz-Verbräuche'!M18:M27)*Emissionsfaktoren!K19/1000)+'Strommix &amp; BHKW'!J187+'Strommix &amp; BHKW'!J203+'Strommix &amp; BHKW'!J209+'Strommix &amp; BHKW'!J215, 0)</f>
        <v>0</v>
      </c>
      <c r="M184" s="14">
        <f>IF(OR(ISNUMBER('Klisz-Verbräuche'!N18),ISNUMBER('Klisz-Verbräuche'!N19),ISNUMBER('Klisz-Verbräuche'!N20),ISNUMBER('Klisz-Verbräuche'!N21),ISNUMBER('Klisz-Verbräuche'!N22), ISNUMBER('Klisz-Verbräuche'!N23), ISNUMBER('Klisz-Verbräuche'!N24), ISNUMBER('Klisz-Verbräuche'!N25), ISNUMBER('Klisz-Verbräuche'!N26), ISNUMBER('Klisz-Verbräuche'!N27)), (SUM('Klisz-Verbräuche'!N18:N27)*Emissionsfaktoren!L19/1000)+'Strommix &amp; BHKW'!K187+'Strommix &amp; BHKW'!K203+'Strommix &amp; BHKW'!K209+'Strommix &amp; BHKW'!K215, 0)</f>
        <v>0</v>
      </c>
      <c r="N184" s="14">
        <f>IF(OR(ISNUMBER('Klisz-Verbräuche'!O18),ISNUMBER('Klisz-Verbräuche'!O19),ISNUMBER('Klisz-Verbräuche'!O20),ISNUMBER('Klisz-Verbräuche'!O21),ISNUMBER('Klisz-Verbräuche'!O22), ISNUMBER('Klisz-Verbräuche'!O23), ISNUMBER('Klisz-Verbräuche'!O24), ISNUMBER('Klisz-Verbräuche'!O25), ISNUMBER('Klisz-Verbräuche'!O26), ISNUMBER('Klisz-Verbräuche'!O27)), (SUM('Klisz-Verbräuche'!O18:O27)*Emissionsfaktoren!M19/1000)+'Strommix &amp; BHKW'!L187+'Strommix &amp; BHKW'!L203+'Strommix &amp; BHKW'!L209+'Strommix &amp; BHKW'!L215, 0)</f>
        <v>0</v>
      </c>
      <c r="O184" s="14">
        <f>IF(OR(ISNUMBER('Klisz-Verbräuche'!P18),ISNUMBER('Klisz-Verbräuche'!P19),ISNUMBER('Klisz-Verbräuche'!P20),ISNUMBER('Klisz-Verbräuche'!P21),ISNUMBER('Klisz-Verbräuche'!P22), ISNUMBER('Klisz-Verbräuche'!P23), ISNUMBER('Klisz-Verbräuche'!P24), ISNUMBER('Klisz-Verbräuche'!P25), ISNUMBER('Klisz-Verbräuche'!P26), ISNUMBER('Klisz-Verbräuche'!P27)), (SUM('Klisz-Verbräuche'!P18:P27)*Emissionsfaktoren!N19/1000)+'Strommix &amp; BHKW'!M187+'Strommix &amp; BHKW'!M203+'Strommix &amp; BHKW'!M209+'Strommix &amp; BHKW'!M215, 0)</f>
        <v>0</v>
      </c>
      <c r="P184" s="14">
        <f>IF(OR(ISNUMBER('Klisz-Verbräuche'!Q18),ISNUMBER('Klisz-Verbräuche'!Q19),ISNUMBER('Klisz-Verbräuche'!Q20),ISNUMBER('Klisz-Verbräuche'!Q21),ISNUMBER('Klisz-Verbräuche'!Q22), ISNUMBER('Klisz-Verbräuche'!Q23), ISNUMBER('Klisz-Verbräuche'!Q24), ISNUMBER('Klisz-Verbräuche'!Q25), ISNUMBER('Klisz-Verbräuche'!Q26), ISNUMBER('Klisz-Verbräuche'!Q27)), (SUM('Klisz-Verbräuche'!Q18:Q27)*Emissionsfaktoren!O19/1000)+'Strommix &amp; BHKW'!N187+'Strommix &amp; BHKW'!N203+'Strommix &amp; BHKW'!N209+'Strommix &amp; BHKW'!N215, 0)</f>
        <v>0</v>
      </c>
      <c r="Q184" s="14">
        <f>IF(OR(ISNUMBER('Klisz-Verbräuche'!R18),ISNUMBER('Klisz-Verbräuche'!R19),ISNUMBER('Klisz-Verbräuche'!R20),ISNUMBER('Klisz-Verbräuche'!R21),ISNUMBER('Klisz-Verbräuche'!R22), ISNUMBER('Klisz-Verbräuche'!R23), ISNUMBER('Klisz-Verbräuche'!R24), ISNUMBER('Klisz-Verbräuche'!R25), ISNUMBER('Klisz-Verbräuche'!R26), ISNUMBER('Klisz-Verbräuche'!R27)), (SUM('Klisz-Verbräuche'!R18:R27)*Emissionsfaktoren!P19/1000)+'Strommix &amp; BHKW'!O187+'Strommix &amp; BHKW'!O203+'Strommix &amp; BHKW'!O209+'Strommix &amp; BHKW'!O215, 0)</f>
        <v>0</v>
      </c>
      <c r="R184" s="14">
        <f>IF(OR(ISNUMBER('Klisz-Verbräuche'!S18),ISNUMBER('Klisz-Verbräuche'!S19),ISNUMBER('Klisz-Verbräuche'!S20),ISNUMBER('Klisz-Verbräuche'!S21),ISNUMBER('Klisz-Verbräuche'!S22), ISNUMBER('Klisz-Verbräuche'!S23), ISNUMBER('Klisz-Verbräuche'!S24), ISNUMBER('Klisz-Verbräuche'!S25), ISNUMBER('Klisz-Verbräuche'!S26), ISNUMBER('Klisz-Verbräuche'!S27)), (SUM('Klisz-Verbräuche'!S18:S27)*Emissionsfaktoren!Q19/1000)+'Strommix &amp; BHKW'!P187+'Strommix &amp; BHKW'!P203+'Strommix &amp; BHKW'!P209+'Strommix &amp; BHKW'!P215, 0)</f>
        <v>0</v>
      </c>
      <c r="S184" s="14">
        <f>IF(OR(ISNUMBER('Klisz-Verbräuche'!T18),ISNUMBER('Klisz-Verbräuche'!T19),ISNUMBER('Klisz-Verbräuche'!T20),ISNUMBER('Klisz-Verbräuche'!T21),ISNUMBER('Klisz-Verbräuche'!T22), ISNUMBER('Klisz-Verbräuche'!T23), ISNUMBER('Klisz-Verbräuche'!T24), ISNUMBER('Klisz-Verbräuche'!T25), ISNUMBER('Klisz-Verbräuche'!T26), ISNUMBER('Klisz-Verbräuche'!T27)), (SUM('Klisz-Verbräuche'!T18:T27)*Emissionsfaktoren!R19/1000)+'Strommix &amp; BHKW'!Q187+'Strommix &amp; BHKW'!Q203+'Strommix &amp; BHKW'!Q209+'Strommix &amp; BHKW'!Q215, 0)</f>
        <v>0</v>
      </c>
      <c r="T184" s="14">
        <f>IF(OR(ISNUMBER('Klisz-Verbräuche'!U18),ISNUMBER('Klisz-Verbräuche'!U19),ISNUMBER('Klisz-Verbräuche'!U20),ISNUMBER('Klisz-Verbräuche'!U21),ISNUMBER('Klisz-Verbräuche'!U22), ISNUMBER('Klisz-Verbräuche'!U23), ISNUMBER('Klisz-Verbräuche'!U24), ISNUMBER('Klisz-Verbräuche'!U25), ISNUMBER('Klisz-Verbräuche'!U26), ISNUMBER('Klisz-Verbräuche'!U27)), (SUM('Klisz-Verbräuche'!U18:U27)*Emissionsfaktoren!S19/1000)+'Strommix &amp; BHKW'!R187+'Strommix &amp; BHKW'!R203+'Strommix &amp; BHKW'!R209+'Strommix &amp; BHKW'!R215, 0)</f>
        <v>0</v>
      </c>
      <c r="U184" s="14">
        <f>IF(OR(ISNUMBER('Klisz-Verbräuche'!V18),ISNUMBER('Klisz-Verbräuche'!V19),ISNUMBER('Klisz-Verbräuche'!V20),ISNUMBER('Klisz-Verbräuche'!V21),ISNUMBER('Klisz-Verbräuche'!V22), ISNUMBER('Klisz-Verbräuche'!V23), ISNUMBER('Klisz-Verbräuche'!V24), ISNUMBER('Klisz-Verbräuche'!V25), ISNUMBER('Klisz-Verbräuche'!V26), ISNUMBER('Klisz-Verbräuche'!V27)), (SUM('Klisz-Verbräuche'!V18:V27)*Emissionsfaktoren!T19/1000)+'Strommix &amp; BHKW'!S187+'Strommix &amp; BHKW'!S203+'Strommix &amp; BHKW'!S209+'Strommix &amp; BHKW'!S215, 0)</f>
        <v>0</v>
      </c>
      <c r="V184" s="14">
        <f>IF(OR(ISNUMBER('Klisz-Verbräuche'!W18),ISNUMBER('Klisz-Verbräuche'!W19),ISNUMBER('Klisz-Verbräuche'!W20),ISNUMBER('Klisz-Verbräuche'!W21),ISNUMBER('Klisz-Verbräuche'!W22), ISNUMBER('Klisz-Verbräuche'!W23), ISNUMBER('Klisz-Verbräuche'!W24), ISNUMBER('Klisz-Verbräuche'!W25), ISNUMBER('Klisz-Verbräuche'!W26), ISNUMBER('Klisz-Verbräuche'!W27)), (SUM('Klisz-Verbräuche'!W18:W27)*Emissionsfaktoren!U19/1000)+'Strommix &amp; BHKW'!T187+'Strommix &amp; BHKW'!T203+'Strommix &amp; BHKW'!T209+'Strommix &amp; BHKW'!T215, 0)</f>
        <v>0</v>
      </c>
      <c r="W184" s="14">
        <f>IF(OR(ISNUMBER('Klisz-Verbräuche'!X18),ISNUMBER('Klisz-Verbräuche'!X19),ISNUMBER('Klisz-Verbräuche'!X20),ISNUMBER('Klisz-Verbräuche'!X21),ISNUMBER('Klisz-Verbräuche'!X22), ISNUMBER('Klisz-Verbräuche'!X23), ISNUMBER('Klisz-Verbräuche'!X24), ISNUMBER('Klisz-Verbräuche'!X25), ISNUMBER('Klisz-Verbräuche'!X26), ISNUMBER('Klisz-Verbräuche'!X27)), (SUM('Klisz-Verbräuche'!X18:X27)*Emissionsfaktoren!V19/1000)+'Strommix &amp; BHKW'!U187+'Strommix &amp; BHKW'!U203+'Strommix &amp; BHKW'!U209+'Strommix &amp; BHKW'!U215, 0)</f>
        <v>0</v>
      </c>
      <c r="X184" s="14">
        <f>IF(OR(ISNUMBER('Klisz-Verbräuche'!Y18),ISNUMBER('Klisz-Verbräuche'!Y19),ISNUMBER('Klisz-Verbräuche'!Y20),ISNUMBER('Klisz-Verbräuche'!Y21),ISNUMBER('Klisz-Verbräuche'!Y22), ISNUMBER('Klisz-Verbräuche'!Y23), ISNUMBER('Klisz-Verbräuche'!Y24), ISNUMBER('Klisz-Verbräuche'!Y25), ISNUMBER('Klisz-Verbräuche'!Y26), ISNUMBER('Klisz-Verbräuche'!Y27)), (SUM('Klisz-Verbräuche'!Y18:Y27)*Emissionsfaktoren!W19/1000)+'Strommix &amp; BHKW'!V187+'Strommix &amp; BHKW'!V203+'Strommix &amp; BHKW'!V209+'Strommix &amp; BHKW'!V215, 0)</f>
        <v>0</v>
      </c>
      <c r="Y184" s="14">
        <f>IF(OR(ISNUMBER('Klisz-Verbräuche'!Z18),ISNUMBER('Klisz-Verbräuche'!Z19),ISNUMBER('Klisz-Verbräuche'!Z20),ISNUMBER('Klisz-Verbräuche'!Z21),ISNUMBER('Klisz-Verbräuche'!Z22), ISNUMBER('Klisz-Verbräuche'!Z23), ISNUMBER('Klisz-Verbräuche'!Z24), ISNUMBER('Klisz-Verbräuche'!Z25), ISNUMBER('Klisz-Verbräuche'!Z26), ISNUMBER('Klisz-Verbräuche'!Z27)), (SUM('Klisz-Verbräuche'!Z18:Z27)*Emissionsfaktoren!X19/1000)+'Strommix &amp; BHKW'!W187+'Strommix &amp; BHKW'!W203+'Strommix &amp; BHKW'!W209+'Strommix &amp; BHKW'!W215, 0)</f>
        <v>0</v>
      </c>
    </row>
    <row r="185" spans="2:26" ht="16.5">
      <c r="B185" s="14">
        <v>3</v>
      </c>
      <c r="C185" s="14" t="str">
        <f>'Refsz-Verbräuche'!C20</f>
        <v>Elektrischer Strom</v>
      </c>
      <c r="D185" s="19" t="str">
        <f>'Refsz-Verbräuche'!D20</f>
        <v>Individueller Strommix Einrichtung 1</v>
      </c>
      <c r="E185" t="s">
        <v>195</v>
      </c>
      <c r="F185" s="14"/>
      <c r="G185" s="14"/>
      <c r="H185" s="14"/>
      <c r="I185" s="14"/>
      <c r="J185" s="14"/>
      <c r="K185" s="14"/>
      <c r="L185" s="14"/>
      <c r="M185" s="14"/>
      <c r="N185" s="14"/>
      <c r="O185" s="14"/>
      <c r="P185" s="14"/>
      <c r="Q185" s="14"/>
      <c r="R185" s="14"/>
      <c r="S185" s="14"/>
      <c r="T185" s="14"/>
      <c r="U185" s="14"/>
      <c r="V185" s="14"/>
      <c r="W185" s="14"/>
      <c r="X185" s="14"/>
      <c r="Y185" s="14"/>
    </row>
    <row r="186" spans="2:26" ht="16.5">
      <c r="B186" s="14">
        <v>4</v>
      </c>
      <c r="C186" s="14" t="str">
        <f>'Refsz-Verbräuche'!C21</f>
        <v>Elektrischer Strom</v>
      </c>
      <c r="D186" s="19" t="str">
        <f>'Refsz-Verbräuche'!D21</f>
        <v>Individueller Strommix Einrichtung 2</v>
      </c>
      <c r="E186" t="s">
        <v>195</v>
      </c>
      <c r="F186" s="14"/>
      <c r="G186" s="14"/>
      <c r="H186" s="14"/>
      <c r="I186" s="14"/>
      <c r="J186" s="14"/>
      <c r="K186" s="14"/>
      <c r="L186" s="14"/>
      <c r="M186" s="14"/>
      <c r="N186" s="14"/>
      <c r="O186" s="14"/>
      <c r="P186" s="14"/>
      <c r="Q186" s="14"/>
      <c r="R186" s="14"/>
      <c r="S186" s="14"/>
      <c r="T186" s="14"/>
      <c r="U186" s="14"/>
      <c r="V186" s="14"/>
      <c r="W186" s="14"/>
      <c r="X186" s="14"/>
      <c r="Y186" s="14"/>
    </row>
    <row r="187" spans="2:26" ht="16.5">
      <c r="B187" s="14">
        <v>5</v>
      </c>
      <c r="C187" s="14" t="str">
        <f>'Refsz-Verbräuche'!C22</f>
        <v>Elektrischer Strom</v>
      </c>
      <c r="D187" s="19" t="str">
        <f>'Refsz-Verbräuche'!D22</f>
        <v>Individueller Strommix Einrichtung 3</v>
      </c>
      <c r="E187" t="s">
        <v>195</v>
      </c>
      <c r="F187" s="14"/>
      <c r="G187" s="14"/>
      <c r="H187" s="14"/>
      <c r="I187" s="14"/>
      <c r="J187" s="14"/>
      <c r="K187" s="14"/>
      <c r="L187" s="14"/>
      <c r="M187" s="14"/>
      <c r="N187" s="14"/>
      <c r="O187" s="14"/>
      <c r="P187" s="14"/>
      <c r="Q187" s="14"/>
      <c r="R187" s="14"/>
      <c r="S187" s="14"/>
      <c r="T187" s="14"/>
      <c r="U187" s="14"/>
      <c r="V187" s="14"/>
      <c r="W187" s="14"/>
      <c r="X187" s="14"/>
      <c r="Y187" s="14"/>
    </row>
    <row r="188" spans="2:26" ht="16.5">
      <c r="B188" s="14">
        <v>6</v>
      </c>
      <c r="C188" s="14" t="str">
        <f>'Refsz-Verbräuche'!C23</f>
        <v>Elektrischer Strom</v>
      </c>
      <c r="D188" s="19" t="str">
        <f>'Refsz-Verbräuche'!D23</f>
        <v>Individueller Strommix Einrichtung 4</v>
      </c>
      <c r="E188" t="s">
        <v>195</v>
      </c>
      <c r="F188" s="14"/>
      <c r="G188" s="14"/>
      <c r="H188" s="14"/>
      <c r="I188" s="14"/>
      <c r="J188" s="14"/>
      <c r="K188" s="14"/>
      <c r="L188" s="14"/>
      <c r="M188" s="14"/>
      <c r="N188" s="14"/>
      <c r="O188" s="14"/>
      <c r="P188" s="14"/>
      <c r="Q188" s="14"/>
      <c r="R188" s="14"/>
      <c r="S188" s="14"/>
      <c r="T188" s="14"/>
      <c r="U188" s="14"/>
      <c r="V188" s="14"/>
      <c r="W188" s="14"/>
      <c r="X188" s="14"/>
      <c r="Y188" s="14"/>
    </row>
    <row r="189" spans="2:26" ht="16.5">
      <c r="B189" s="14">
        <v>7</v>
      </c>
      <c r="C189" s="14" t="str">
        <f>'Refsz-Verbräuche'!C24</f>
        <v>Elektrischer Strom</v>
      </c>
      <c r="D189" s="19" t="str">
        <f>'Refsz-Verbräuche'!D24</f>
        <v>Individueller Strommix Einrichtung 5</v>
      </c>
      <c r="E189" t="s">
        <v>195</v>
      </c>
      <c r="F189" s="14"/>
      <c r="G189" s="14"/>
      <c r="H189" s="14"/>
      <c r="I189" s="14"/>
      <c r="J189" s="14"/>
      <c r="K189" s="14"/>
      <c r="L189" s="14"/>
      <c r="M189" s="14"/>
      <c r="N189" s="14"/>
      <c r="O189" s="14"/>
      <c r="P189" s="14"/>
      <c r="Q189" s="14"/>
      <c r="R189" s="14"/>
      <c r="S189" s="14"/>
      <c r="T189" s="14"/>
      <c r="U189" s="14"/>
      <c r="V189" s="14"/>
      <c r="W189" s="14"/>
      <c r="X189" s="14"/>
      <c r="Y189" s="14"/>
    </row>
    <row r="190" spans="2:26" ht="16.5">
      <c r="B190" s="14">
        <v>8</v>
      </c>
      <c r="C190" s="14" t="str">
        <f>'Refsz-Verbräuche'!C25</f>
        <v>Elektrischer Strom</v>
      </c>
      <c r="D190" s="19" t="str">
        <f>'Refsz-Verbräuche'!D25</f>
        <v>Individueller Strommix Einrichtung 6</v>
      </c>
      <c r="E190" t="s">
        <v>195</v>
      </c>
      <c r="F190" s="14"/>
      <c r="G190" s="14"/>
      <c r="H190" s="14"/>
      <c r="I190" s="14"/>
      <c r="J190" s="14"/>
      <c r="K190" s="14"/>
      <c r="L190" s="14"/>
      <c r="M190" s="14"/>
      <c r="N190" s="14"/>
      <c r="O190" s="14"/>
      <c r="P190" s="14"/>
      <c r="Q190" s="14"/>
      <c r="R190" s="14"/>
      <c r="S190" s="14"/>
      <c r="T190" s="14"/>
      <c r="U190" s="14"/>
      <c r="V190" s="14"/>
      <c r="W190" s="14"/>
      <c r="X190" s="14"/>
      <c r="Y190" s="14"/>
    </row>
    <row r="191" spans="2:26" ht="16.5">
      <c r="B191" s="14">
        <v>9</v>
      </c>
      <c r="C191" s="14" t="str">
        <f>'Refsz-Verbräuche'!C26</f>
        <v>Elektrischer Strom</v>
      </c>
      <c r="D191" s="19" t="str">
        <f>'Refsz-Verbräuche'!D26</f>
        <v>BHKW</v>
      </c>
      <c r="E191" t="s">
        <v>195</v>
      </c>
      <c r="F191" s="14"/>
      <c r="G191" s="14"/>
      <c r="H191" s="14"/>
      <c r="I191" s="14"/>
      <c r="J191" s="14"/>
      <c r="K191" s="14"/>
      <c r="L191" s="14"/>
      <c r="M191" s="14"/>
      <c r="N191" s="14"/>
      <c r="O191" s="14"/>
      <c r="P191" s="14"/>
      <c r="Q191" s="14"/>
      <c r="R191" s="14"/>
      <c r="S191" s="14"/>
      <c r="T191" s="14"/>
      <c r="U191" s="14"/>
      <c r="V191" s="14"/>
      <c r="W191" s="14"/>
      <c r="X191" s="14"/>
      <c r="Y191" s="14"/>
    </row>
    <row r="192" spans="2:26" ht="16.5">
      <c r="B192" s="14">
        <v>10</v>
      </c>
      <c r="C192" s="14" t="str">
        <f>'Refsz-Verbräuche'!C27</f>
        <v>Elektrischer Strom</v>
      </c>
      <c r="D192" s="19" t="str">
        <f>'Refsz-Verbräuche'!D27</f>
        <v>Ökostrom</v>
      </c>
      <c r="E192" t="s">
        <v>195</v>
      </c>
      <c r="F192" s="14"/>
      <c r="G192" s="14"/>
      <c r="H192" s="14"/>
      <c r="I192" s="14"/>
      <c r="J192" s="14"/>
      <c r="K192" s="14"/>
      <c r="L192" s="14"/>
      <c r="M192" s="14"/>
      <c r="N192" s="14"/>
      <c r="O192" s="14"/>
      <c r="P192" s="14"/>
      <c r="Q192" s="14"/>
      <c r="R192" s="14"/>
      <c r="S192" s="14"/>
      <c r="T192" s="14"/>
      <c r="U192" s="14"/>
      <c r="V192" s="14"/>
      <c r="W192" s="14"/>
      <c r="X192" s="14"/>
      <c r="Y192" s="14"/>
    </row>
    <row r="193" spans="2:25" ht="16.5">
      <c r="B193" s="14">
        <v>11</v>
      </c>
      <c r="C193" s="14" t="str">
        <f>'Refsz-Verbräuche'!C28</f>
        <v>Elektrischer Strom</v>
      </c>
      <c r="D193" s="19" t="str">
        <f>'Refsz-Verbräuche'!D28</f>
        <v>PV-Eigennutzung</v>
      </c>
      <c r="E193" t="s">
        <v>195</v>
      </c>
      <c r="F193" s="14">
        <f>IF(ISNUMBER('Klisz-Verbräuche'!G28), 'Klisz-Verbräuche'!G28*Emissionsfaktoren!E28/1000, 0)</f>
        <v>0</v>
      </c>
      <c r="G193" s="14">
        <f>IF(ISNUMBER('Klisz-Verbräuche'!H28), 'Klisz-Verbräuche'!H28*Emissionsfaktoren!F28/1000, 0)</f>
        <v>0</v>
      </c>
      <c r="H193" s="14">
        <f>IF(ISNUMBER('Klisz-Verbräuche'!I28), 'Klisz-Verbräuche'!I28*Emissionsfaktoren!G28/1000, 0)</f>
        <v>0</v>
      </c>
      <c r="I193" s="14">
        <f>IF(ISNUMBER('Klisz-Verbräuche'!J28), 'Klisz-Verbräuche'!J28*Emissionsfaktoren!H28/1000, 0)</f>
        <v>0</v>
      </c>
      <c r="J193" s="14">
        <f>IF(ISNUMBER('Klisz-Verbräuche'!K28), 'Klisz-Verbräuche'!K28*Emissionsfaktoren!I28/1000, 0)</f>
        <v>0</v>
      </c>
      <c r="K193" s="14">
        <f>IF(ISNUMBER('Klisz-Verbräuche'!L28), 'Klisz-Verbräuche'!L28*Emissionsfaktoren!J28/1000, 0)</f>
        <v>0</v>
      </c>
      <c r="L193" s="14">
        <f>IF(ISNUMBER('Klisz-Verbräuche'!M28), 'Klisz-Verbräuche'!M28*Emissionsfaktoren!K28/1000, 0)</f>
        <v>0</v>
      </c>
      <c r="M193" s="14">
        <f>IF(ISNUMBER('Klisz-Verbräuche'!N28), 'Klisz-Verbräuche'!N28*Emissionsfaktoren!L28/1000, 0)</f>
        <v>0</v>
      </c>
      <c r="N193" s="14">
        <f>IF(ISNUMBER('Klisz-Verbräuche'!O28), 'Klisz-Verbräuche'!O28*Emissionsfaktoren!M28/1000, 0)</f>
        <v>0</v>
      </c>
      <c r="O193" s="14">
        <f>IF(ISNUMBER('Klisz-Verbräuche'!P28), 'Klisz-Verbräuche'!P28*Emissionsfaktoren!N28/1000, 0)</f>
        <v>0</v>
      </c>
      <c r="P193" s="14">
        <f>IF(ISNUMBER('Klisz-Verbräuche'!Q28), 'Klisz-Verbräuche'!Q28*Emissionsfaktoren!O28/1000, 0)</f>
        <v>0</v>
      </c>
      <c r="Q193" s="14">
        <f>IF(ISNUMBER('Klisz-Verbräuche'!R28), 'Klisz-Verbräuche'!R28*Emissionsfaktoren!P28/1000, 0)</f>
        <v>0</v>
      </c>
      <c r="R193" s="14">
        <f>IF(ISNUMBER('Klisz-Verbräuche'!S28), 'Klisz-Verbräuche'!S28*Emissionsfaktoren!Q28/1000, 0)</f>
        <v>0</v>
      </c>
      <c r="S193" s="14">
        <f>IF(ISNUMBER('Klisz-Verbräuche'!T28), 'Klisz-Verbräuche'!T28*Emissionsfaktoren!R28/1000, 0)</f>
        <v>0</v>
      </c>
      <c r="T193" s="14">
        <f>IF(ISNUMBER('Klisz-Verbräuche'!U28), 'Klisz-Verbräuche'!U28*Emissionsfaktoren!S28/1000, 0)</f>
        <v>0</v>
      </c>
      <c r="U193" s="14">
        <f>IF(ISNUMBER('Klisz-Verbräuche'!V28), 'Klisz-Verbräuche'!V28*Emissionsfaktoren!T28/1000, 0)</f>
        <v>0</v>
      </c>
      <c r="V193" s="14">
        <f>IF(ISNUMBER('Klisz-Verbräuche'!W28), 'Klisz-Verbräuche'!W28*Emissionsfaktoren!U28/1000, 0)</f>
        <v>0</v>
      </c>
      <c r="W193" s="14">
        <f>IF(ISNUMBER('Klisz-Verbräuche'!X28), 'Klisz-Verbräuche'!X28*Emissionsfaktoren!V28/1000, 0)</f>
        <v>0</v>
      </c>
      <c r="X193" s="14">
        <f>IF(ISNUMBER('Klisz-Verbräuche'!Y28), 'Klisz-Verbräuche'!Y28*Emissionsfaktoren!W28/1000, 0)</f>
        <v>0</v>
      </c>
      <c r="Y193" s="14">
        <f>IF(ISNUMBER('Klisz-Verbräuche'!Z28), 'Klisz-Verbräuche'!Z28*Emissionsfaktoren!X28/1000, 0)</f>
        <v>0</v>
      </c>
    </row>
    <row r="194" spans="2:25" ht="16.5">
      <c r="B194" s="14">
        <v>12</v>
      </c>
      <c r="C194" s="14" t="str">
        <f>'Refsz-Verbräuche'!C29</f>
        <v>Wärme</v>
      </c>
      <c r="D194" s="19" t="str">
        <f>'Refsz-Verbräuche'!D29</f>
        <v>Erdgas</v>
      </c>
      <c r="E194" t="s">
        <v>195</v>
      </c>
      <c r="F194" s="14">
        <f>IF(ISNUMBER('Klisz-Verbräuche'!G29), 'Klisz-Verbräuche'!G29*Emissionsfaktoren!E29/1000, 0)</f>
        <v>0</v>
      </c>
      <c r="G194" s="14">
        <f>IF(ISNUMBER('Klisz-Verbräuche'!H29), 'Klisz-Verbräuche'!H29*Emissionsfaktoren!F29/1000, 0)</f>
        <v>0</v>
      </c>
      <c r="H194" s="14">
        <f>IF(ISNUMBER('Klisz-Verbräuche'!I29), 'Klisz-Verbräuche'!I29*Emissionsfaktoren!G29/1000, 0)</f>
        <v>0</v>
      </c>
      <c r="I194" s="14">
        <f>IF(ISNUMBER('Klisz-Verbräuche'!J29), 'Klisz-Verbräuche'!J29*Emissionsfaktoren!H29/1000, 0)</f>
        <v>0</v>
      </c>
      <c r="J194" s="14">
        <f>IF(ISNUMBER('Klisz-Verbräuche'!K29), 'Klisz-Verbräuche'!K29*Emissionsfaktoren!I29/1000, 0)</f>
        <v>0</v>
      </c>
      <c r="K194" s="14">
        <f>IF(ISNUMBER('Klisz-Verbräuche'!L29), 'Klisz-Verbräuche'!L29*Emissionsfaktoren!J29/1000, 0)</f>
        <v>0</v>
      </c>
      <c r="L194" s="14">
        <f>IF(ISNUMBER('Klisz-Verbräuche'!M29), 'Klisz-Verbräuche'!M29*Emissionsfaktoren!K29/1000, 0)</f>
        <v>0</v>
      </c>
      <c r="M194" s="14">
        <f>IF(ISNUMBER('Klisz-Verbräuche'!N29), 'Klisz-Verbräuche'!N29*Emissionsfaktoren!L29/1000, 0)</f>
        <v>0</v>
      </c>
      <c r="N194" s="14">
        <f>IF(ISNUMBER('Klisz-Verbräuche'!O29), 'Klisz-Verbräuche'!O29*Emissionsfaktoren!M29/1000, 0)</f>
        <v>0</v>
      </c>
      <c r="O194" s="14">
        <f>IF(ISNUMBER('Klisz-Verbräuche'!P29), 'Klisz-Verbräuche'!P29*Emissionsfaktoren!N29/1000, 0)</f>
        <v>0</v>
      </c>
      <c r="P194" s="14">
        <f>IF(ISNUMBER('Klisz-Verbräuche'!Q29), 'Klisz-Verbräuche'!Q29*Emissionsfaktoren!O29/1000, 0)</f>
        <v>0</v>
      </c>
      <c r="Q194" s="14">
        <f>IF(ISNUMBER('Klisz-Verbräuche'!R29), 'Klisz-Verbräuche'!R29*Emissionsfaktoren!P29/1000, 0)</f>
        <v>0</v>
      </c>
      <c r="R194" s="14">
        <f>IF(ISNUMBER('Klisz-Verbräuche'!S29), 'Klisz-Verbräuche'!S29*Emissionsfaktoren!Q29/1000, 0)</f>
        <v>0</v>
      </c>
      <c r="S194" s="14">
        <f>IF(ISNUMBER('Klisz-Verbräuche'!T29), 'Klisz-Verbräuche'!T29*Emissionsfaktoren!R29/1000, 0)</f>
        <v>0</v>
      </c>
      <c r="T194" s="14">
        <f>IF(ISNUMBER('Klisz-Verbräuche'!U29), 'Klisz-Verbräuche'!U29*Emissionsfaktoren!S29/1000, 0)</f>
        <v>0</v>
      </c>
      <c r="U194" s="14">
        <f>IF(ISNUMBER('Klisz-Verbräuche'!V29), 'Klisz-Verbräuche'!V29*Emissionsfaktoren!T29/1000, 0)</f>
        <v>0</v>
      </c>
      <c r="V194" s="14">
        <f>IF(ISNUMBER('Klisz-Verbräuche'!W29), 'Klisz-Verbräuche'!W29*Emissionsfaktoren!U29/1000, 0)</f>
        <v>0</v>
      </c>
      <c r="W194" s="14">
        <f>IF(ISNUMBER('Klisz-Verbräuche'!X29), 'Klisz-Verbräuche'!X29*Emissionsfaktoren!V29/1000, 0)</f>
        <v>0</v>
      </c>
      <c r="X194" s="14">
        <f>IF(ISNUMBER('Klisz-Verbräuche'!Y29), 'Klisz-Verbräuche'!Y29*Emissionsfaktoren!W29/1000, 0)</f>
        <v>0</v>
      </c>
      <c r="Y194" s="14">
        <f>IF(ISNUMBER('Klisz-Verbräuche'!Z29), 'Klisz-Verbräuche'!Z29*Emissionsfaktoren!X29/1000, 0)</f>
        <v>0</v>
      </c>
    </row>
    <row r="195" spans="2:25" ht="16.5">
      <c r="B195" s="14">
        <v>13</v>
      </c>
      <c r="C195" s="14" t="str">
        <f>'Refsz-Verbräuche'!C30</f>
        <v>Wärme</v>
      </c>
      <c r="D195" s="19" t="str">
        <f>'Refsz-Verbräuche'!D30</f>
        <v>BHKW</v>
      </c>
      <c r="E195" t="s">
        <v>195</v>
      </c>
      <c r="F195" s="14">
        <f>'Strommix &amp; BHKW'!D186+'Strommix &amp; BHKW'!D204+'Strommix &amp; BHKW'!D210+'Strommix &amp; BHKW'!D216</f>
        <v>0</v>
      </c>
      <c r="G195" s="14">
        <f>'Strommix &amp; BHKW'!E186+'Strommix &amp; BHKW'!E204+'Strommix &amp; BHKW'!E210+'Strommix &amp; BHKW'!E216</f>
        <v>0</v>
      </c>
      <c r="H195" s="14">
        <f>'Strommix &amp; BHKW'!F186+'Strommix &amp; BHKW'!F204+'Strommix &amp; BHKW'!F210+'Strommix &amp; BHKW'!F216</f>
        <v>0</v>
      </c>
      <c r="I195" s="14">
        <f>'Strommix &amp; BHKW'!G186+'Strommix &amp; BHKW'!G204+'Strommix &amp; BHKW'!G210+'Strommix &amp; BHKW'!G216</f>
        <v>0</v>
      </c>
      <c r="J195" s="14">
        <f>'Strommix &amp; BHKW'!H186+'Strommix &amp; BHKW'!H204+'Strommix &amp; BHKW'!H210+'Strommix &amp; BHKW'!H216</f>
        <v>0</v>
      </c>
      <c r="K195" s="14">
        <f>'Strommix &amp; BHKW'!I186+'Strommix &amp; BHKW'!I204+'Strommix &amp; BHKW'!I210+'Strommix &amp; BHKW'!I216</f>
        <v>0</v>
      </c>
      <c r="L195" s="14">
        <f>'Strommix &amp; BHKW'!J186+'Strommix &amp; BHKW'!J204+'Strommix &amp; BHKW'!J210+'Strommix &amp; BHKW'!J216</f>
        <v>0</v>
      </c>
      <c r="M195" s="14">
        <f>'Strommix &amp; BHKW'!K186+'Strommix &amp; BHKW'!K204+'Strommix &amp; BHKW'!K210+'Strommix &amp; BHKW'!K216</f>
        <v>0</v>
      </c>
      <c r="N195" s="14">
        <f>'Strommix &amp; BHKW'!L186+'Strommix &amp; BHKW'!L204+'Strommix &amp; BHKW'!L210+'Strommix &amp; BHKW'!L216</f>
        <v>0</v>
      </c>
      <c r="O195" s="14">
        <f>'Strommix &amp; BHKW'!M186+'Strommix &amp; BHKW'!M204+'Strommix &amp; BHKW'!M210+'Strommix &amp; BHKW'!M216</f>
        <v>0</v>
      </c>
      <c r="P195" s="14">
        <f>'Strommix &amp; BHKW'!N186+'Strommix &amp; BHKW'!N204+'Strommix &amp; BHKW'!N210+'Strommix &amp; BHKW'!N216</f>
        <v>0</v>
      </c>
      <c r="Q195" s="14">
        <f>'Strommix &amp; BHKW'!O186+'Strommix &amp; BHKW'!O204+'Strommix &amp; BHKW'!O210+'Strommix &amp; BHKW'!O216</f>
        <v>0</v>
      </c>
      <c r="R195" s="14">
        <f>'Strommix &amp; BHKW'!P186+'Strommix &amp; BHKW'!P204+'Strommix &amp; BHKW'!P210+'Strommix &amp; BHKW'!P216</f>
        <v>0</v>
      </c>
      <c r="S195" s="14">
        <f>'Strommix &amp; BHKW'!Q186+'Strommix &amp; BHKW'!Q204+'Strommix &amp; BHKW'!Q210+'Strommix &amp; BHKW'!Q216</f>
        <v>0</v>
      </c>
      <c r="T195" s="14">
        <f>'Strommix &amp; BHKW'!R186+'Strommix &amp; BHKW'!R204+'Strommix &amp; BHKW'!R210+'Strommix &amp; BHKW'!R216</f>
        <v>0</v>
      </c>
      <c r="U195" s="14">
        <f>'Strommix &amp; BHKW'!S186+'Strommix &amp; BHKW'!S204+'Strommix &amp; BHKW'!S210+'Strommix &amp; BHKW'!S216</f>
        <v>0</v>
      </c>
      <c r="V195" s="14">
        <f>'Strommix &amp; BHKW'!T186+'Strommix &amp; BHKW'!T204+'Strommix &amp; BHKW'!T210+'Strommix &amp; BHKW'!T216</f>
        <v>0</v>
      </c>
      <c r="W195" s="14">
        <f>'Strommix &amp; BHKW'!U186+'Strommix &amp; BHKW'!U204+'Strommix &amp; BHKW'!U210+'Strommix &amp; BHKW'!U216</f>
        <v>0</v>
      </c>
      <c r="X195" s="14">
        <f>'Strommix &amp; BHKW'!V186+'Strommix &amp; BHKW'!V204+'Strommix &amp; BHKW'!V210+'Strommix &amp; BHKW'!V216</f>
        <v>0</v>
      </c>
      <c r="Y195" s="14">
        <f>'Strommix &amp; BHKW'!W186+'Strommix &amp; BHKW'!W204+'Strommix &amp; BHKW'!W210+'Strommix &amp; BHKW'!W216</f>
        <v>0</v>
      </c>
    </row>
    <row r="196" spans="2:25" ht="16.5">
      <c r="B196" s="14">
        <v>14</v>
      </c>
      <c r="C196" s="14" t="str">
        <f>'Refsz-Verbräuche'!C31</f>
        <v>Wärme</v>
      </c>
      <c r="D196" s="19" t="str">
        <f>'Refsz-Verbräuche'!D31</f>
        <v>Biogas</v>
      </c>
      <c r="E196" t="s">
        <v>195</v>
      </c>
      <c r="F196" s="14">
        <f>IF(ISNUMBER('Klisz-Verbräuche'!G31), 'Klisz-Verbräuche'!G31*Emissionsfaktoren!E31/1000, 0)</f>
        <v>0</v>
      </c>
      <c r="G196" s="14">
        <f>IF(ISNUMBER('Klisz-Verbräuche'!H31), 'Klisz-Verbräuche'!H31*Emissionsfaktoren!F31/1000, 0)</f>
        <v>0</v>
      </c>
      <c r="H196" s="14">
        <f>IF(ISNUMBER('Klisz-Verbräuche'!I31), 'Klisz-Verbräuche'!I31*Emissionsfaktoren!G31/1000, 0)</f>
        <v>0</v>
      </c>
      <c r="I196" s="14">
        <f>IF(ISNUMBER('Klisz-Verbräuche'!J31), 'Klisz-Verbräuche'!J31*Emissionsfaktoren!H31/1000, 0)</f>
        <v>0</v>
      </c>
      <c r="J196" s="14">
        <f>IF(ISNUMBER('Klisz-Verbräuche'!K31), 'Klisz-Verbräuche'!K31*Emissionsfaktoren!I31/1000, 0)</f>
        <v>0</v>
      </c>
      <c r="K196" s="14">
        <f>IF(ISNUMBER('Klisz-Verbräuche'!L31), 'Klisz-Verbräuche'!L31*Emissionsfaktoren!J31/1000, 0)</f>
        <v>0</v>
      </c>
      <c r="L196" s="14">
        <f>IF(ISNUMBER('Klisz-Verbräuche'!M31), 'Klisz-Verbräuche'!M31*Emissionsfaktoren!K31/1000, 0)</f>
        <v>0</v>
      </c>
      <c r="M196" s="14">
        <f>IF(ISNUMBER('Klisz-Verbräuche'!N31), 'Klisz-Verbräuche'!N31*Emissionsfaktoren!L31/1000, 0)</f>
        <v>0</v>
      </c>
      <c r="N196" s="14">
        <f>IF(ISNUMBER('Klisz-Verbräuche'!O31), 'Klisz-Verbräuche'!O31*Emissionsfaktoren!M31/1000, 0)</f>
        <v>0</v>
      </c>
      <c r="O196" s="14">
        <f>IF(ISNUMBER('Klisz-Verbräuche'!P31), 'Klisz-Verbräuche'!P31*Emissionsfaktoren!N31/1000, 0)</f>
        <v>0</v>
      </c>
      <c r="P196" s="14">
        <f>IF(ISNUMBER('Klisz-Verbräuche'!Q31), 'Klisz-Verbräuche'!Q31*Emissionsfaktoren!O31/1000, 0)</f>
        <v>0</v>
      </c>
      <c r="Q196" s="14">
        <f>IF(ISNUMBER('Klisz-Verbräuche'!R31), 'Klisz-Verbräuche'!R31*Emissionsfaktoren!P31/1000, 0)</f>
        <v>0</v>
      </c>
      <c r="R196" s="14">
        <f>IF(ISNUMBER('Klisz-Verbräuche'!S31), 'Klisz-Verbräuche'!S31*Emissionsfaktoren!Q31/1000, 0)</f>
        <v>0</v>
      </c>
      <c r="S196" s="14">
        <f>IF(ISNUMBER('Klisz-Verbräuche'!T31), 'Klisz-Verbräuche'!T31*Emissionsfaktoren!R31/1000, 0)</f>
        <v>0</v>
      </c>
      <c r="T196" s="14">
        <f>IF(ISNUMBER('Klisz-Verbräuche'!U31), 'Klisz-Verbräuche'!U31*Emissionsfaktoren!S31/1000, 0)</f>
        <v>0</v>
      </c>
      <c r="U196" s="14">
        <f>IF(ISNUMBER('Klisz-Verbräuche'!V31), 'Klisz-Verbräuche'!V31*Emissionsfaktoren!T31/1000, 0)</f>
        <v>0</v>
      </c>
      <c r="V196" s="14">
        <f>IF(ISNUMBER('Klisz-Verbräuche'!W31), 'Klisz-Verbräuche'!W31*Emissionsfaktoren!U31/1000, 0)</f>
        <v>0</v>
      </c>
      <c r="W196" s="14">
        <f>IF(ISNUMBER('Klisz-Verbräuche'!X31), 'Klisz-Verbräuche'!X31*Emissionsfaktoren!V31/1000, 0)</f>
        <v>0</v>
      </c>
      <c r="X196" s="14">
        <f>IF(ISNUMBER('Klisz-Verbräuche'!Y31), 'Klisz-Verbräuche'!Y31*Emissionsfaktoren!W31/1000, 0)</f>
        <v>0</v>
      </c>
      <c r="Y196" s="14">
        <f>IF(ISNUMBER('Klisz-Verbräuche'!Z31), 'Klisz-Verbräuche'!Z31*Emissionsfaktoren!X31/1000, 0)</f>
        <v>0</v>
      </c>
    </row>
    <row r="197" spans="2:25" ht="16.5">
      <c r="B197" s="14">
        <v>15</v>
      </c>
      <c r="C197" s="14" t="str">
        <f>'Refsz-Verbräuche'!C32</f>
        <v>Wärme</v>
      </c>
      <c r="D197" s="19" t="str">
        <f>'Refsz-Verbräuche'!D32</f>
        <v>Individueller Emissionsfaktor</v>
      </c>
      <c r="E197" t="s">
        <v>195</v>
      </c>
      <c r="F197" s="14">
        <f>IF(ISNUMBER('Klisz-Verbräuche'!G32), 'Klisz-Verbräuche'!G32*Emissionsfaktoren!E32/1000, 0)</f>
        <v>0</v>
      </c>
      <c r="G197" s="14">
        <f>IF(ISNUMBER('Klisz-Verbräuche'!H32), 'Klisz-Verbräuche'!H32*Emissionsfaktoren!F32/1000, 0)</f>
        <v>0</v>
      </c>
      <c r="H197" s="14">
        <f>IF(ISNUMBER('Klisz-Verbräuche'!I32), 'Klisz-Verbräuche'!I32*Emissionsfaktoren!G32/1000, 0)</f>
        <v>0</v>
      </c>
      <c r="I197" s="14">
        <f>IF(ISNUMBER('Klisz-Verbräuche'!J32), 'Klisz-Verbräuche'!J32*Emissionsfaktoren!H32/1000, 0)</f>
        <v>0</v>
      </c>
      <c r="J197" s="14">
        <f>IF(ISNUMBER('Klisz-Verbräuche'!K32), 'Klisz-Verbräuche'!K32*Emissionsfaktoren!I32/1000, 0)</f>
        <v>0</v>
      </c>
      <c r="K197" s="14">
        <f>IF(ISNUMBER('Klisz-Verbräuche'!L32), 'Klisz-Verbräuche'!L32*Emissionsfaktoren!J32/1000, 0)</f>
        <v>0</v>
      </c>
      <c r="L197" s="14">
        <f>IF(ISNUMBER('Klisz-Verbräuche'!M32), 'Klisz-Verbräuche'!M32*Emissionsfaktoren!K32/1000, 0)</f>
        <v>0</v>
      </c>
      <c r="M197" s="14">
        <f>IF(ISNUMBER('Klisz-Verbräuche'!N32), 'Klisz-Verbräuche'!N32*Emissionsfaktoren!L32/1000, 0)</f>
        <v>0</v>
      </c>
      <c r="N197" s="14">
        <f>IF(ISNUMBER('Klisz-Verbräuche'!O32), 'Klisz-Verbräuche'!O32*Emissionsfaktoren!M32/1000, 0)</f>
        <v>0</v>
      </c>
      <c r="O197" s="14">
        <f>IF(ISNUMBER('Klisz-Verbräuche'!P32), 'Klisz-Verbräuche'!P32*Emissionsfaktoren!N32/1000, 0)</f>
        <v>0</v>
      </c>
      <c r="P197" s="14">
        <f>IF(ISNUMBER('Klisz-Verbräuche'!Q32), 'Klisz-Verbräuche'!Q32*Emissionsfaktoren!O32/1000, 0)</f>
        <v>0</v>
      </c>
      <c r="Q197" s="14">
        <f>IF(ISNUMBER('Klisz-Verbräuche'!R32), 'Klisz-Verbräuche'!R32*Emissionsfaktoren!P32/1000, 0)</f>
        <v>0</v>
      </c>
      <c r="R197" s="14">
        <f>IF(ISNUMBER('Klisz-Verbräuche'!S32), 'Klisz-Verbräuche'!S32*Emissionsfaktoren!Q32/1000, 0)</f>
        <v>0</v>
      </c>
      <c r="S197" s="14">
        <f>IF(ISNUMBER('Klisz-Verbräuche'!T32), 'Klisz-Verbräuche'!T32*Emissionsfaktoren!R32/1000, 0)</f>
        <v>0</v>
      </c>
      <c r="T197" s="14">
        <f>IF(ISNUMBER('Klisz-Verbräuche'!U32), 'Klisz-Verbräuche'!U32*Emissionsfaktoren!S32/1000, 0)</f>
        <v>0</v>
      </c>
      <c r="U197" s="14">
        <f>IF(ISNUMBER('Klisz-Verbräuche'!V32), 'Klisz-Verbräuche'!V32*Emissionsfaktoren!T32/1000, 0)</f>
        <v>0</v>
      </c>
      <c r="V197" s="14">
        <f>IF(ISNUMBER('Klisz-Verbräuche'!W32), 'Klisz-Verbräuche'!W32*Emissionsfaktoren!U32/1000, 0)</f>
        <v>0</v>
      </c>
      <c r="W197" s="14">
        <f>IF(ISNUMBER('Klisz-Verbräuche'!X32), 'Klisz-Verbräuche'!X32*Emissionsfaktoren!V32/1000, 0)</f>
        <v>0</v>
      </c>
      <c r="X197" s="14">
        <f>IF(ISNUMBER('Klisz-Verbräuche'!Y32), 'Klisz-Verbräuche'!Y32*Emissionsfaktoren!W32/1000, 0)</f>
        <v>0</v>
      </c>
      <c r="Y197" s="14">
        <f>IF(ISNUMBER('Klisz-Verbräuche'!Z32), 'Klisz-Verbräuche'!Z32*Emissionsfaktoren!X32/1000, 0)</f>
        <v>0</v>
      </c>
    </row>
    <row r="198" spans="2:25" ht="16.5">
      <c r="B198" s="14">
        <v>16</v>
      </c>
      <c r="C198" s="14" t="str">
        <f>'Refsz-Verbräuche'!C33</f>
        <v>Wärme</v>
      </c>
      <c r="D198" s="19" t="str">
        <f>'Refsz-Verbräuche'!D33</f>
        <v>Holzhackschnitzel</v>
      </c>
      <c r="E198" t="s">
        <v>195</v>
      </c>
      <c r="F198" s="14">
        <f>IF(ISNUMBER('Klisz-Verbräuche'!G33), 'Klisz-Verbräuche'!G33*Emissionsfaktoren!E33/1000, 0)</f>
        <v>0</v>
      </c>
      <c r="G198" s="14">
        <f>IF(ISNUMBER('Klisz-Verbräuche'!H33), 'Klisz-Verbräuche'!H33*Emissionsfaktoren!F33/1000, 0)</f>
        <v>0</v>
      </c>
      <c r="H198" s="14">
        <f>IF(ISNUMBER('Klisz-Verbräuche'!I33), 'Klisz-Verbräuche'!I33*Emissionsfaktoren!G33/1000, 0)</f>
        <v>0</v>
      </c>
      <c r="I198" s="14">
        <f>IF(ISNUMBER('Klisz-Verbräuche'!J33), 'Klisz-Verbräuche'!J33*Emissionsfaktoren!H33/1000, 0)</f>
        <v>0</v>
      </c>
      <c r="J198" s="14">
        <f>IF(ISNUMBER('Klisz-Verbräuche'!K33), 'Klisz-Verbräuche'!K33*Emissionsfaktoren!I33/1000, 0)</f>
        <v>0</v>
      </c>
      <c r="K198" s="14">
        <f>IF(ISNUMBER('Klisz-Verbräuche'!L33), 'Klisz-Verbräuche'!L33*Emissionsfaktoren!J33/1000, 0)</f>
        <v>0</v>
      </c>
      <c r="L198" s="14">
        <f>IF(ISNUMBER('Klisz-Verbräuche'!M33), 'Klisz-Verbräuche'!M33*Emissionsfaktoren!K33/1000, 0)</f>
        <v>0</v>
      </c>
      <c r="M198" s="14">
        <f>IF(ISNUMBER('Klisz-Verbräuche'!N33), 'Klisz-Verbräuche'!N33*Emissionsfaktoren!L33/1000, 0)</f>
        <v>0</v>
      </c>
      <c r="N198" s="14">
        <f>IF(ISNUMBER('Klisz-Verbräuche'!O33), 'Klisz-Verbräuche'!O33*Emissionsfaktoren!M33/1000, 0)</f>
        <v>0</v>
      </c>
      <c r="O198" s="14">
        <f>IF(ISNUMBER('Klisz-Verbräuche'!P33), 'Klisz-Verbräuche'!P33*Emissionsfaktoren!N33/1000, 0)</f>
        <v>0</v>
      </c>
      <c r="P198" s="14">
        <f>IF(ISNUMBER('Klisz-Verbräuche'!Q33), 'Klisz-Verbräuche'!Q33*Emissionsfaktoren!O33/1000, 0)</f>
        <v>0</v>
      </c>
      <c r="Q198" s="14">
        <f>IF(ISNUMBER('Klisz-Verbräuche'!R33), 'Klisz-Verbräuche'!R33*Emissionsfaktoren!P33/1000, 0)</f>
        <v>0</v>
      </c>
      <c r="R198" s="14">
        <f>IF(ISNUMBER('Klisz-Verbräuche'!S33), 'Klisz-Verbräuche'!S33*Emissionsfaktoren!Q33/1000, 0)</f>
        <v>0</v>
      </c>
      <c r="S198" s="14">
        <f>IF(ISNUMBER('Klisz-Verbräuche'!T33), 'Klisz-Verbräuche'!T33*Emissionsfaktoren!R33/1000, 0)</f>
        <v>0</v>
      </c>
      <c r="T198" s="14">
        <f>IF(ISNUMBER('Klisz-Verbräuche'!U33), 'Klisz-Verbräuche'!U33*Emissionsfaktoren!S33/1000, 0)</f>
        <v>0</v>
      </c>
      <c r="U198" s="14">
        <f>IF(ISNUMBER('Klisz-Verbräuche'!V33), 'Klisz-Verbräuche'!V33*Emissionsfaktoren!T33/1000, 0)</f>
        <v>0</v>
      </c>
      <c r="V198" s="14">
        <f>IF(ISNUMBER('Klisz-Verbräuche'!W33), 'Klisz-Verbräuche'!W33*Emissionsfaktoren!U33/1000, 0)</f>
        <v>0</v>
      </c>
      <c r="W198" s="14">
        <f>IF(ISNUMBER('Klisz-Verbräuche'!X33), 'Klisz-Verbräuche'!X33*Emissionsfaktoren!V33/1000, 0)</f>
        <v>0</v>
      </c>
      <c r="X198" s="14">
        <f>IF(ISNUMBER('Klisz-Verbräuche'!Y33), 'Klisz-Verbräuche'!Y33*Emissionsfaktoren!W33/1000, 0)</f>
        <v>0</v>
      </c>
      <c r="Y198" s="14">
        <f>IF(ISNUMBER('Klisz-Verbräuche'!Z33), 'Klisz-Verbräuche'!Z33*Emissionsfaktoren!X33/1000, 0)</f>
        <v>0</v>
      </c>
    </row>
    <row r="199" spans="2:25" ht="16.5">
      <c r="B199" s="14">
        <v>17</v>
      </c>
      <c r="C199" s="14" t="str">
        <f>'Refsz-Verbräuche'!C34</f>
        <v>Wärme</v>
      </c>
      <c r="D199" s="19" t="str">
        <f>'Refsz-Verbräuche'!D34</f>
        <v>Holzpellets, 10kW/kleinere Zentralheizung</v>
      </c>
      <c r="E199" t="s">
        <v>195</v>
      </c>
      <c r="F199" s="14">
        <f>IF(ISNUMBER('Klisz-Verbräuche'!G34), 'Klisz-Verbräuche'!G34*Emissionsfaktoren!E34/1000, 0)</f>
        <v>0</v>
      </c>
      <c r="G199" s="14">
        <f>IF(ISNUMBER('Klisz-Verbräuche'!H34), 'Klisz-Verbräuche'!H34*Emissionsfaktoren!F34/1000, 0)</f>
        <v>0</v>
      </c>
      <c r="H199" s="14">
        <f>IF(ISNUMBER('Klisz-Verbräuche'!I34), 'Klisz-Verbräuche'!I34*Emissionsfaktoren!G34/1000, 0)</f>
        <v>0</v>
      </c>
      <c r="I199" s="14">
        <f>IF(ISNUMBER('Klisz-Verbräuche'!J34), 'Klisz-Verbräuche'!J34*Emissionsfaktoren!H34/1000, 0)</f>
        <v>0</v>
      </c>
      <c r="J199" s="14">
        <f>IF(ISNUMBER('Klisz-Verbräuche'!K34), 'Klisz-Verbräuche'!K34*Emissionsfaktoren!I34/1000, 0)</f>
        <v>0</v>
      </c>
      <c r="K199" s="14">
        <f>IF(ISNUMBER('Klisz-Verbräuche'!L34), 'Klisz-Verbräuche'!L34*Emissionsfaktoren!J34/1000, 0)</f>
        <v>0</v>
      </c>
      <c r="L199" s="14">
        <f>IF(ISNUMBER('Klisz-Verbräuche'!M34), 'Klisz-Verbräuche'!M34*Emissionsfaktoren!K34/1000, 0)</f>
        <v>0</v>
      </c>
      <c r="M199" s="14">
        <f>IF(ISNUMBER('Klisz-Verbräuche'!N34), 'Klisz-Verbräuche'!N34*Emissionsfaktoren!L34/1000, 0)</f>
        <v>0</v>
      </c>
      <c r="N199" s="14">
        <f>IF(ISNUMBER('Klisz-Verbräuche'!O34), 'Klisz-Verbräuche'!O34*Emissionsfaktoren!M34/1000, 0)</f>
        <v>0</v>
      </c>
      <c r="O199" s="14">
        <f>IF(ISNUMBER('Klisz-Verbräuche'!P34), 'Klisz-Verbräuche'!P34*Emissionsfaktoren!N34/1000, 0)</f>
        <v>0</v>
      </c>
      <c r="P199" s="14">
        <f>IF(ISNUMBER('Klisz-Verbräuche'!Q34), 'Klisz-Verbräuche'!Q34*Emissionsfaktoren!O34/1000, 0)</f>
        <v>0</v>
      </c>
      <c r="Q199" s="14">
        <f>IF(ISNUMBER('Klisz-Verbräuche'!R34), 'Klisz-Verbräuche'!R34*Emissionsfaktoren!P34/1000, 0)</f>
        <v>0</v>
      </c>
      <c r="R199" s="14">
        <f>IF(ISNUMBER('Klisz-Verbräuche'!S34), 'Klisz-Verbräuche'!S34*Emissionsfaktoren!Q34/1000, 0)</f>
        <v>0</v>
      </c>
      <c r="S199" s="14">
        <f>IF(ISNUMBER('Klisz-Verbräuche'!T34), 'Klisz-Verbräuche'!T34*Emissionsfaktoren!R34/1000, 0)</f>
        <v>0</v>
      </c>
      <c r="T199" s="14">
        <f>IF(ISNUMBER('Klisz-Verbräuche'!U34), 'Klisz-Verbräuche'!U34*Emissionsfaktoren!S34/1000, 0)</f>
        <v>0</v>
      </c>
      <c r="U199" s="14">
        <f>IF(ISNUMBER('Klisz-Verbräuche'!V34), 'Klisz-Verbräuche'!V34*Emissionsfaktoren!T34/1000, 0)</f>
        <v>0</v>
      </c>
      <c r="V199" s="14">
        <f>IF(ISNUMBER('Klisz-Verbräuche'!W34), 'Klisz-Verbräuche'!W34*Emissionsfaktoren!U34/1000, 0)</f>
        <v>0</v>
      </c>
      <c r="W199" s="14">
        <f>IF(ISNUMBER('Klisz-Verbräuche'!X34), 'Klisz-Verbräuche'!X34*Emissionsfaktoren!V34/1000, 0)</f>
        <v>0</v>
      </c>
      <c r="X199" s="14">
        <f>IF(ISNUMBER('Klisz-Verbräuche'!Y34), 'Klisz-Verbräuche'!Y34*Emissionsfaktoren!W34/1000, 0)</f>
        <v>0</v>
      </c>
      <c r="Y199" s="14">
        <f>IF(ISNUMBER('Klisz-Verbräuche'!Z34), 'Klisz-Verbräuche'!Z34*Emissionsfaktoren!X34/1000, 0)</f>
        <v>0</v>
      </c>
    </row>
    <row r="200" spans="2:25" ht="16.5">
      <c r="B200" s="14">
        <v>18</v>
      </c>
      <c r="C200" s="14" t="str">
        <f>'Refsz-Verbräuche'!C35</f>
        <v>Wärme</v>
      </c>
      <c r="D200" s="19" t="str">
        <f>'Refsz-Verbräuche'!D35</f>
        <v>Holzpellets, 50kW/größere Zentralheizung</v>
      </c>
      <c r="E200" t="s">
        <v>195</v>
      </c>
      <c r="F200" s="14">
        <f>IF(ISNUMBER('Klisz-Verbräuche'!G35), 'Klisz-Verbräuche'!G35*Emissionsfaktoren!E35/1000, 0)</f>
        <v>0</v>
      </c>
      <c r="G200" s="14">
        <f>IF(ISNUMBER('Klisz-Verbräuche'!H35), 'Klisz-Verbräuche'!H35*Emissionsfaktoren!F35/1000, 0)</f>
        <v>0</v>
      </c>
      <c r="H200" s="14">
        <f>IF(ISNUMBER('Klisz-Verbräuche'!I35), 'Klisz-Verbräuche'!I35*Emissionsfaktoren!G35/1000, 0)</f>
        <v>0</v>
      </c>
      <c r="I200" s="14">
        <f>IF(ISNUMBER('Klisz-Verbräuche'!J35), 'Klisz-Verbräuche'!J35*Emissionsfaktoren!H35/1000, 0)</f>
        <v>0</v>
      </c>
      <c r="J200" s="14">
        <f>IF(ISNUMBER('Klisz-Verbräuche'!K35), 'Klisz-Verbräuche'!K35*Emissionsfaktoren!I35/1000, 0)</f>
        <v>0</v>
      </c>
      <c r="K200" s="14">
        <f>IF(ISNUMBER('Klisz-Verbräuche'!L35), 'Klisz-Verbräuche'!L35*Emissionsfaktoren!J35/1000, 0)</f>
        <v>0</v>
      </c>
      <c r="L200" s="14">
        <f>IF(ISNUMBER('Klisz-Verbräuche'!M35), 'Klisz-Verbräuche'!M35*Emissionsfaktoren!K35/1000, 0)</f>
        <v>0</v>
      </c>
      <c r="M200" s="14">
        <f>IF(ISNUMBER('Klisz-Verbräuche'!N35), 'Klisz-Verbräuche'!N35*Emissionsfaktoren!L35/1000, 0)</f>
        <v>0</v>
      </c>
      <c r="N200" s="14">
        <f>IF(ISNUMBER('Klisz-Verbräuche'!O35), 'Klisz-Verbräuche'!O35*Emissionsfaktoren!M35/1000, 0)</f>
        <v>0</v>
      </c>
      <c r="O200" s="14">
        <f>IF(ISNUMBER('Klisz-Verbräuche'!P35), 'Klisz-Verbräuche'!P35*Emissionsfaktoren!N35/1000, 0)</f>
        <v>0</v>
      </c>
      <c r="P200" s="14">
        <f>IF(ISNUMBER('Klisz-Verbräuche'!Q35), 'Klisz-Verbräuche'!Q35*Emissionsfaktoren!O35/1000, 0)</f>
        <v>0</v>
      </c>
      <c r="Q200" s="14">
        <f>IF(ISNUMBER('Klisz-Verbräuche'!R35), 'Klisz-Verbräuche'!R35*Emissionsfaktoren!P35/1000, 0)</f>
        <v>0</v>
      </c>
      <c r="R200" s="14">
        <f>IF(ISNUMBER('Klisz-Verbräuche'!S35), 'Klisz-Verbräuche'!S35*Emissionsfaktoren!Q35/1000, 0)</f>
        <v>0</v>
      </c>
      <c r="S200" s="14">
        <f>IF(ISNUMBER('Klisz-Verbräuche'!T35), 'Klisz-Verbräuche'!T35*Emissionsfaktoren!R35/1000, 0)</f>
        <v>0</v>
      </c>
      <c r="T200" s="14">
        <f>IF(ISNUMBER('Klisz-Verbräuche'!U35), 'Klisz-Verbräuche'!U35*Emissionsfaktoren!S35/1000, 0)</f>
        <v>0</v>
      </c>
      <c r="U200" s="14">
        <f>IF(ISNUMBER('Klisz-Verbräuche'!V35), 'Klisz-Verbräuche'!V35*Emissionsfaktoren!T35/1000, 0)</f>
        <v>0</v>
      </c>
      <c r="V200" s="14">
        <f>IF(ISNUMBER('Klisz-Verbräuche'!W35), 'Klisz-Verbräuche'!W35*Emissionsfaktoren!U35/1000, 0)</f>
        <v>0</v>
      </c>
      <c r="W200" s="14">
        <f>IF(ISNUMBER('Klisz-Verbräuche'!X35), 'Klisz-Verbräuche'!X35*Emissionsfaktoren!V35/1000, 0)</f>
        <v>0</v>
      </c>
      <c r="X200" s="14">
        <f>IF(ISNUMBER('Klisz-Verbräuche'!Y35), 'Klisz-Verbräuche'!Y35*Emissionsfaktoren!W35/1000, 0)</f>
        <v>0</v>
      </c>
      <c r="Y200" s="14">
        <f>IF(ISNUMBER('Klisz-Verbräuche'!Z35), 'Klisz-Verbräuche'!Z35*Emissionsfaktoren!X35/1000, 0)</f>
        <v>0</v>
      </c>
    </row>
    <row r="201" spans="2:25" ht="16.5">
      <c r="B201" s="14">
        <v>19</v>
      </c>
      <c r="C201" s="14" t="str">
        <f>'Refsz-Verbräuche'!C36</f>
        <v>Wärme</v>
      </c>
      <c r="D201" s="19" t="str">
        <f>'Refsz-Verbräuche'!D36</f>
        <v>Fernwärme Mix</v>
      </c>
      <c r="E201" t="s">
        <v>195</v>
      </c>
      <c r="F201" s="14">
        <f>IF(ISNUMBER('Klisz-Verbräuche'!G36), 'Klisz-Verbräuche'!G36*Emissionsfaktoren!E36/1000, 0)</f>
        <v>0</v>
      </c>
      <c r="G201" s="14">
        <f>IF(ISNUMBER('Klisz-Verbräuche'!H36), 'Klisz-Verbräuche'!H36*Emissionsfaktoren!F36/1000, 0)</f>
        <v>0</v>
      </c>
      <c r="H201" s="14">
        <f>IF(ISNUMBER('Klisz-Verbräuche'!I36), 'Klisz-Verbräuche'!I36*Emissionsfaktoren!G36/1000, 0)</f>
        <v>0</v>
      </c>
      <c r="I201" s="14">
        <f>IF(ISNUMBER('Klisz-Verbräuche'!J36), 'Klisz-Verbräuche'!J36*Emissionsfaktoren!H36/1000, 0)</f>
        <v>0</v>
      </c>
      <c r="J201" s="14">
        <f>IF(ISNUMBER('Klisz-Verbräuche'!K36), 'Klisz-Verbräuche'!K36*Emissionsfaktoren!I36/1000, 0)</f>
        <v>0</v>
      </c>
      <c r="K201" s="14">
        <f>IF(ISNUMBER('Klisz-Verbräuche'!L36), 'Klisz-Verbräuche'!L36*Emissionsfaktoren!J36/1000, 0)</f>
        <v>0</v>
      </c>
      <c r="L201" s="14">
        <f>IF(ISNUMBER('Klisz-Verbräuche'!M36), 'Klisz-Verbräuche'!M36*Emissionsfaktoren!K36/1000, 0)</f>
        <v>0</v>
      </c>
      <c r="M201" s="14">
        <f>IF(ISNUMBER('Klisz-Verbräuche'!N36), 'Klisz-Verbräuche'!N36*Emissionsfaktoren!L36/1000, 0)</f>
        <v>0</v>
      </c>
      <c r="N201" s="14">
        <f>IF(ISNUMBER('Klisz-Verbräuche'!O36), 'Klisz-Verbräuche'!O36*Emissionsfaktoren!M36/1000, 0)</f>
        <v>0</v>
      </c>
      <c r="O201" s="14">
        <f>IF(ISNUMBER('Klisz-Verbräuche'!P36), 'Klisz-Verbräuche'!P36*Emissionsfaktoren!N36/1000, 0)</f>
        <v>0</v>
      </c>
      <c r="P201" s="14">
        <f>IF(ISNUMBER('Klisz-Verbräuche'!Q36), 'Klisz-Verbräuche'!Q36*Emissionsfaktoren!O36/1000, 0)</f>
        <v>0</v>
      </c>
      <c r="Q201" s="14">
        <f>IF(ISNUMBER('Klisz-Verbräuche'!R36), 'Klisz-Verbräuche'!R36*Emissionsfaktoren!P36/1000, 0)</f>
        <v>0</v>
      </c>
      <c r="R201" s="14">
        <f>IF(ISNUMBER('Klisz-Verbräuche'!S36), 'Klisz-Verbräuche'!S36*Emissionsfaktoren!Q36/1000, 0)</f>
        <v>0</v>
      </c>
      <c r="S201" s="14">
        <f>IF(ISNUMBER('Klisz-Verbräuche'!T36), 'Klisz-Verbräuche'!T36*Emissionsfaktoren!R36/1000, 0)</f>
        <v>0</v>
      </c>
      <c r="T201" s="14">
        <f>IF(ISNUMBER('Klisz-Verbräuche'!U36), 'Klisz-Verbräuche'!U36*Emissionsfaktoren!S36/1000, 0)</f>
        <v>0</v>
      </c>
      <c r="U201" s="14">
        <f>IF(ISNUMBER('Klisz-Verbräuche'!V36), 'Klisz-Verbräuche'!V36*Emissionsfaktoren!T36/1000, 0)</f>
        <v>0</v>
      </c>
      <c r="V201" s="14">
        <f>IF(ISNUMBER('Klisz-Verbräuche'!W36), 'Klisz-Verbräuche'!W36*Emissionsfaktoren!U36/1000, 0)</f>
        <v>0</v>
      </c>
      <c r="W201" s="14">
        <f>IF(ISNUMBER('Klisz-Verbräuche'!X36), 'Klisz-Verbräuche'!X36*Emissionsfaktoren!V36/1000, 0)</f>
        <v>0</v>
      </c>
      <c r="X201" s="14">
        <f>IF(ISNUMBER('Klisz-Verbräuche'!Y36), 'Klisz-Verbräuche'!Y36*Emissionsfaktoren!W36/1000, 0)</f>
        <v>0</v>
      </c>
      <c r="Y201" s="14">
        <f>IF(ISNUMBER('Klisz-Verbräuche'!Z36), 'Klisz-Verbräuche'!Z36*Emissionsfaktoren!X36/1000, 0)</f>
        <v>0</v>
      </c>
    </row>
    <row r="202" spans="2:25" ht="16.5">
      <c r="B202" s="14">
        <v>20</v>
      </c>
      <c r="C202" s="14" t="str">
        <f>'Refsz-Verbräuche'!C37</f>
        <v>Wärme</v>
      </c>
      <c r="D202" s="19" t="str">
        <f>'Refsz-Verbräuche'!D37</f>
        <v>Fernwärme Abfall</v>
      </c>
      <c r="E202" t="s">
        <v>195</v>
      </c>
      <c r="F202" s="14">
        <f>IF(ISNUMBER('Klisz-Verbräuche'!G37), 'Klisz-Verbräuche'!G37*Emissionsfaktoren!E37/1000, 0)</f>
        <v>0</v>
      </c>
      <c r="G202" s="14">
        <f>IF(ISNUMBER('Klisz-Verbräuche'!H37), 'Klisz-Verbräuche'!H37*Emissionsfaktoren!F37/1000, 0)</f>
        <v>0</v>
      </c>
      <c r="H202" s="14">
        <f>IF(ISNUMBER('Klisz-Verbräuche'!I37), 'Klisz-Verbräuche'!I37*Emissionsfaktoren!G37/1000, 0)</f>
        <v>0</v>
      </c>
      <c r="I202" s="14">
        <f>IF(ISNUMBER('Klisz-Verbräuche'!J37), 'Klisz-Verbräuche'!J37*Emissionsfaktoren!H37/1000, 0)</f>
        <v>0</v>
      </c>
      <c r="J202" s="14">
        <f>IF(ISNUMBER('Klisz-Verbräuche'!K37), 'Klisz-Verbräuche'!K37*Emissionsfaktoren!I37/1000, 0)</f>
        <v>0</v>
      </c>
      <c r="K202" s="14">
        <f>IF(ISNUMBER('Klisz-Verbräuche'!L37), 'Klisz-Verbräuche'!L37*Emissionsfaktoren!J37/1000, 0)</f>
        <v>0</v>
      </c>
      <c r="L202" s="14">
        <f>IF(ISNUMBER('Klisz-Verbräuche'!M37), 'Klisz-Verbräuche'!M37*Emissionsfaktoren!K37/1000, 0)</f>
        <v>0</v>
      </c>
      <c r="M202" s="14">
        <f>IF(ISNUMBER('Klisz-Verbräuche'!N37), 'Klisz-Verbräuche'!N37*Emissionsfaktoren!L37/1000, 0)</f>
        <v>0</v>
      </c>
      <c r="N202" s="14">
        <f>IF(ISNUMBER('Klisz-Verbräuche'!O37), 'Klisz-Verbräuche'!O37*Emissionsfaktoren!M37/1000, 0)</f>
        <v>0</v>
      </c>
      <c r="O202" s="14">
        <f>IF(ISNUMBER('Klisz-Verbräuche'!P37), 'Klisz-Verbräuche'!P37*Emissionsfaktoren!N37/1000, 0)</f>
        <v>0</v>
      </c>
      <c r="P202" s="14">
        <f>IF(ISNUMBER('Klisz-Verbräuche'!Q37), 'Klisz-Verbräuche'!Q37*Emissionsfaktoren!O37/1000, 0)</f>
        <v>0</v>
      </c>
      <c r="Q202" s="14">
        <f>IF(ISNUMBER('Klisz-Verbräuche'!R37), 'Klisz-Verbräuche'!R37*Emissionsfaktoren!P37/1000, 0)</f>
        <v>0</v>
      </c>
      <c r="R202" s="14">
        <f>IF(ISNUMBER('Klisz-Verbräuche'!S37), 'Klisz-Verbräuche'!S37*Emissionsfaktoren!Q37/1000, 0)</f>
        <v>0</v>
      </c>
      <c r="S202" s="14">
        <f>IF(ISNUMBER('Klisz-Verbräuche'!T37), 'Klisz-Verbräuche'!T37*Emissionsfaktoren!R37/1000, 0)</f>
        <v>0</v>
      </c>
      <c r="T202" s="14">
        <f>IF(ISNUMBER('Klisz-Verbräuche'!U37), 'Klisz-Verbräuche'!U37*Emissionsfaktoren!S37/1000, 0)</f>
        <v>0</v>
      </c>
      <c r="U202" s="14">
        <f>IF(ISNUMBER('Klisz-Verbräuche'!V37), 'Klisz-Verbräuche'!V37*Emissionsfaktoren!T37/1000, 0)</f>
        <v>0</v>
      </c>
      <c r="V202" s="14">
        <f>IF(ISNUMBER('Klisz-Verbräuche'!W37), 'Klisz-Verbräuche'!W37*Emissionsfaktoren!U37/1000, 0)</f>
        <v>0</v>
      </c>
      <c r="W202" s="14">
        <f>IF(ISNUMBER('Klisz-Verbräuche'!X37), 'Klisz-Verbräuche'!X37*Emissionsfaktoren!V37/1000, 0)</f>
        <v>0</v>
      </c>
      <c r="X202" s="14">
        <f>IF(ISNUMBER('Klisz-Verbräuche'!Y37), 'Klisz-Verbräuche'!Y37*Emissionsfaktoren!W37/1000, 0)</f>
        <v>0</v>
      </c>
      <c r="Y202" s="14">
        <f>IF(ISNUMBER('Klisz-Verbräuche'!Z37), 'Klisz-Verbräuche'!Z37*Emissionsfaktoren!X37/1000, 0)</f>
        <v>0</v>
      </c>
    </row>
    <row r="203" spans="2:25" ht="16.5">
      <c r="B203" s="14">
        <v>21</v>
      </c>
      <c r="C203" s="14" t="str">
        <f>'Refsz-Verbräuche'!C38</f>
        <v>Wärme</v>
      </c>
      <c r="D203" s="19" t="str">
        <f>'Refsz-Verbräuche'!D38</f>
        <v>Heizöl</v>
      </c>
      <c r="E203" t="s">
        <v>195</v>
      </c>
      <c r="F203" s="14">
        <f>IF(ISNUMBER('Klisz-Verbräuche'!G38), 'Klisz-Verbräuche'!G38*Emissionsfaktoren!E38/1000, 0)</f>
        <v>0</v>
      </c>
      <c r="G203" s="14">
        <f>IF(ISNUMBER('Klisz-Verbräuche'!H38), 'Klisz-Verbräuche'!H38*Emissionsfaktoren!F38/1000, 0)</f>
        <v>0</v>
      </c>
      <c r="H203" s="14">
        <f>IF(ISNUMBER('Klisz-Verbräuche'!I38), 'Klisz-Verbräuche'!I38*Emissionsfaktoren!G38/1000, 0)</f>
        <v>0</v>
      </c>
      <c r="I203" s="14">
        <f>IF(ISNUMBER('Klisz-Verbräuche'!J38), 'Klisz-Verbräuche'!J38*Emissionsfaktoren!H38/1000, 0)</f>
        <v>0</v>
      </c>
      <c r="J203" s="14">
        <f>IF(ISNUMBER('Klisz-Verbräuche'!K38), 'Klisz-Verbräuche'!K38*Emissionsfaktoren!I38/1000, 0)</f>
        <v>0</v>
      </c>
      <c r="K203" s="14">
        <f>IF(ISNUMBER('Klisz-Verbräuche'!L38), 'Klisz-Verbräuche'!L38*Emissionsfaktoren!J38/1000, 0)</f>
        <v>0</v>
      </c>
      <c r="L203" s="14">
        <f>IF(ISNUMBER('Klisz-Verbräuche'!M38), 'Klisz-Verbräuche'!M38*Emissionsfaktoren!K38/1000, 0)</f>
        <v>0</v>
      </c>
      <c r="M203" s="14">
        <f>IF(ISNUMBER('Klisz-Verbräuche'!N38), 'Klisz-Verbräuche'!N38*Emissionsfaktoren!L38/1000, 0)</f>
        <v>0</v>
      </c>
      <c r="N203" s="14">
        <f>IF(ISNUMBER('Klisz-Verbräuche'!O38), 'Klisz-Verbräuche'!O38*Emissionsfaktoren!M38/1000, 0)</f>
        <v>0</v>
      </c>
      <c r="O203" s="14">
        <f>IF(ISNUMBER('Klisz-Verbräuche'!P38), 'Klisz-Verbräuche'!P38*Emissionsfaktoren!N38/1000, 0)</f>
        <v>0</v>
      </c>
      <c r="P203" s="14">
        <f>IF(ISNUMBER('Klisz-Verbräuche'!Q38), 'Klisz-Verbräuche'!Q38*Emissionsfaktoren!O38/1000, 0)</f>
        <v>0</v>
      </c>
      <c r="Q203" s="14">
        <f>IF(ISNUMBER('Klisz-Verbräuche'!R38), 'Klisz-Verbräuche'!R38*Emissionsfaktoren!P38/1000, 0)</f>
        <v>0</v>
      </c>
      <c r="R203" s="14">
        <f>IF(ISNUMBER('Klisz-Verbräuche'!S38), 'Klisz-Verbräuche'!S38*Emissionsfaktoren!Q38/1000, 0)</f>
        <v>0</v>
      </c>
      <c r="S203" s="14">
        <f>IF(ISNUMBER('Klisz-Verbräuche'!T38), 'Klisz-Verbräuche'!T38*Emissionsfaktoren!R38/1000, 0)</f>
        <v>0</v>
      </c>
      <c r="T203" s="14">
        <f>IF(ISNUMBER('Klisz-Verbräuche'!U38), 'Klisz-Verbräuche'!U38*Emissionsfaktoren!S38/1000, 0)</f>
        <v>0</v>
      </c>
      <c r="U203" s="14">
        <f>IF(ISNUMBER('Klisz-Verbräuche'!V38), 'Klisz-Verbräuche'!V38*Emissionsfaktoren!T38/1000, 0)</f>
        <v>0</v>
      </c>
      <c r="V203" s="14">
        <f>IF(ISNUMBER('Klisz-Verbräuche'!W38), 'Klisz-Verbräuche'!W38*Emissionsfaktoren!U38/1000, 0)</f>
        <v>0</v>
      </c>
      <c r="W203" s="14">
        <f>IF(ISNUMBER('Klisz-Verbräuche'!X38), 'Klisz-Verbräuche'!X38*Emissionsfaktoren!V38/1000, 0)</f>
        <v>0</v>
      </c>
      <c r="X203" s="14">
        <f>IF(ISNUMBER('Klisz-Verbräuche'!Y38), 'Klisz-Verbräuche'!Y38*Emissionsfaktoren!W38/1000, 0)</f>
        <v>0</v>
      </c>
      <c r="Y203" s="14">
        <f>IF(ISNUMBER('Klisz-Verbräuche'!Z38), 'Klisz-Verbräuche'!Z38*Emissionsfaktoren!X38/1000, 0)</f>
        <v>0</v>
      </c>
    </row>
    <row r="204" spans="2:25" ht="16.5">
      <c r="B204" s="14">
        <v>22</v>
      </c>
      <c r="C204" s="14" t="str">
        <f>'Refsz-Verbräuche'!C39</f>
        <v>Wärme</v>
      </c>
      <c r="D204" s="19" t="str">
        <f>'Refsz-Verbräuche'!D39</f>
        <v>Solarthermie</v>
      </c>
      <c r="E204" t="s">
        <v>195</v>
      </c>
      <c r="F204" s="14">
        <f>IF(ISNUMBER('Klisz-Verbräuche'!G39), 'Klisz-Verbräuche'!G39*Emissionsfaktoren!E39/1000, 0)</f>
        <v>0</v>
      </c>
      <c r="G204" s="14">
        <f>IF(ISNUMBER('Klisz-Verbräuche'!H39), 'Klisz-Verbräuche'!H39*Emissionsfaktoren!F39/1000, 0)</f>
        <v>0</v>
      </c>
      <c r="H204" s="14">
        <f>IF(ISNUMBER('Klisz-Verbräuche'!I39), 'Klisz-Verbräuche'!I39*Emissionsfaktoren!G39/1000, 0)</f>
        <v>0</v>
      </c>
      <c r="I204" s="14">
        <f>IF(ISNUMBER('Klisz-Verbräuche'!J39), 'Klisz-Verbräuche'!J39*Emissionsfaktoren!H39/1000, 0)</f>
        <v>0</v>
      </c>
      <c r="J204" s="14">
        <f>IF(ISNUMBER('Klisz-Verbräuche'!K39), 'Klisz-Verbräuche'!K39*Emissionsfaktoren!I39/1000, 0)</f>
        <v>0</v>
      </c>
      <c r="K204" s="14">
        <f>IF(ISNUMBER('Klisz-Verbräuche'!L39), 'Klisz-Verbräuche'!L39*Emissionsfaktoren!J39/1000, 0)</f>
        <v>0</v>
      </c>
      <c r="L204" s="14">
        <f>IF(ISNUMBER('Klisz-Verbräuche'!M39), 'Klisz-Verbräuche'!M39*Emissionsfaktoren!K39/1000, 0)</f>
        <v>0</v>
      </c>
      <c r="M204" s="14">
        <f>IF(ISNUMBER('Klisz-Verbräuche'!N39), 'Klisz-Verbräuche'!N39*Emissionsfaktoren!L39/1000, 0)</f>
        <v>0</v>
      </c>
      <c r="N204" s="14">
        <f>IF(ISNUMBER('Klisz-Verbräuche'!O39), 'Klisz-Verbräuche'!O39*Emissionsfaktoren!M39/1000, 0)</f>
        <v>0</v>
      </c>
      <c r="O204" s="14">
        <f>IF(ISNUMBER('Klisz-Verbräuche'!P39), 'Klisz-Verbräuche'!P39*Emissionsfaktoren!N39/1000, 0)</f>
        <v>0</v>
      </c>
      <c r="P204" s="14">
        <f>IF(ISNUMBER('Klisz-Verbräuche'!Q39), 'Klisz-Verbräuche'!Q39*Emissionsfaktoren!O39/1000, 0)</f>
        <v>0</v>
      </c>
      <c r="Q204" s="14">
        <f>IF(ISNUMBER('Klisz-Verbräuche'!R39), 'Klisz-Verbräuche'!R39*Emissionsfaktoren!P39/1000, 0)</f>
        <v>0</v>
      </c>
      <c r="R204" s="14">
        <f>IF(ISNUMBER('Klisz-Verbräuche'!S39), 'Klisz-Verbräuche'!S39*Emissionsfaktoren!Q39/1000, 0)</f>
        <v>0</v>
      </c>
      <c r="S204" s="14">
        <f>IF(ISNUMBER('Klisz-Verbräuche'!T39), 'Klisz-Verbräuche'!T39*Emissionsfaktoren!R39/1000, 0)</f>
        <v>0</v>
      </c>
      <c r="T204" s="14">
        <f>IF(ISNUMBER('Klisz-Verbräuche'!U39), 'Klisz-Verbräuche'!U39*Emissionsfaktoren!S39/1000, 0)</f>
        <v>0</v>
      </c>
      <c r="U204" s="14">
        <f>IF(ISNUMBER('Klisz-Verbräuche'!V39), 'Klisz-Verbräuche'!V39*Emissionsfaktoren!T39/1000, 0)</f>
        <v>0</v>
      </c>
      <c r="V204" s="14">
        <f>IF(ISNUMBER('Klisz-Verbräuche'!W39), 'Klisz-Verbräuche'!W39*Emissionsfaktoren!U39/1000, 0)</f>
        <v>0</v>
      </c>
      <c r="W204" s="14">
        <f>IF(ISNUMBER('Klisz-Verbräuche'!X39), 'Klisz-Verbräuche'!X39*Emissionsfaktoren!V39/1000, 0)</f>
        <v>0</v>
      </c>
      <c r="X204" s="14">
        <f>IF(ISNUMBER('Klisz-Verbräuche'!Y39), 'Klisz-Verbräuche'!Y39*Emissionsfaktoren!W39/1000, 0)</f>
        <v>0</v>
      </c>
      <c r="Y204" s="14">
        <f>IF(ISNUMBER('Klisz-Verbräuche'!Z39), 'Klisz-Verbräuche'!Z39*Emissionsfaktoren!X39/1000, 0)</f>
        <v>0</v>
      </c>
    </row>
    <row r="205" spans="2:25" ht="16.5">
      <c r="B205" s="14">
        <v>23</v>
      </c>
      <c r="C205" s="14" t="str">
        <f>'Refsz-Verbräuche'!C40</f>
        <v>Wärme</v>
      </c>
      <c r="D205" s="19" t="str">
        <f>'Refsz-Verbräuche'!D40</f>
        <v>Sole-Wasser-Wärmepumpe; Bundesstrommix</v>
      </c>
      <c r="E205" t="s">
        <v>195</v>
      </c>
      <c r="F205" s="14">
        <f>IF(ISNUMBER('Klisz-Verbräuche'!G40), 'Klisz-Verbräuche'!G40*Emissionsfaktoren!E40/1000, 0)</f>
        <v>0</v>
      </c>
      <c r="G205" s="14">
        <f>IF(ISNUMBER('Klisz-Verbräuche'!H40), 'Klisz-Verbräuche'!H40*Emissionsfaktoren!F40/1000, 0)</f>
        <v>0</v>
      </c>
      <c r="H205" s="14">
        <f>IF(ISNUMBER('Klisz-Verbräuche'!I40), 'Klisz-Verbräuche'!I40*Emissionsfaktoren!G40/1000, 0)</f>
        <v>0</v>
      </c>
      <c r="I205" s="14">
        <f>IF(ISNUMBER('Klisz-Verbräuche'!J40), 'Klisz-Verbräuche'!J40*Emissionsfaktoren!H40/1000, 0)</f>
        <v>0</v>
      </c>
      <c r="J205" s="14">
        <f>IF(ISNUMBER('Klisz-Verbräuche'!K40), 'Klisz-Verbräuche'!K40*Emissionsfaktoren!I40/1000, 0)</f>
        <v>0</v>
      </c>
      <c r="K205" s="14">
        <f>IF(ISNUMBER('Klisz-Verbräuche'!L40), 'Klisz-Verbräuche'!L40*Emissionsfaktoren!J40/1000, 0)</f>
        <v>0</v>
      </c>
      <c r="L205" s="14">
        <f>IF(ISNUMBER('Klisz-Verbräuche'!M40), 'Klisz-Verbräuche'!M40*Emissionsfaktoren!K40/1000, 0)</f>
        <v>0</v>
      </c>
      <c r="M205" s="14">
        <f>IF(ISNUMBER('Klisz-Verbräuche'!N40), 'Klisz-Verbräuche'!N40*Emissionsfaktoren!L40/1000, 0)</f>
        <v>0</v>
      </c>
      <c r="N205" s="14">
        <f>IF(ISNUMBER('Klisz-Verbräuche'!O40), 'Klisz-Verbräuche'!O40*Emissionsfaktoren!M40/1000, 0)</f>
        <v>0</v>
      </c>
      <c r="O205" s="14">
        <f>IF(ISNUMBER('Klisz-Verbräuche'!P40), 'Klisz-Verbräuche'!P40*Emissionsfaktoren!N40/1000, 0)</f>
        <v>0</v>
      </c>
      <c r="P205" s="14">
        <f>IF(ISNUMBER('Klisz-Verbräuche'!Q40), 'Klisz-Verbräuche'!Q40*Emissionsfaktoren!O40/1000, 0)</f>
        <v>0</v>
      </c>
      <c r="Q205" s="14">
        <f>IF(ISNUMBER('Klisz-Verbräuche'!R40), 'Klisz-Verbräuche'!R40*Emissionsfaktoren!P40/1000, 0)</f>
        <v>0</v>
      </c>
      <c r="R205" s="14">
        <f>IF(ISNUMBER('Klisz-Verbräuche'!S40), 'Klisz-Verbräuche'!S40*Emissionsfaktoren!Q40/1000, 0)</f>
        <v>0</v>
      </c>
      <c r="S205" s="14">
        <f>IF(ISNUMBER('Klisz-Verbräuche'!T40), 'Klisz-Verbräuche'!T40*Emissionsfaktoren!R40/1000, 0)</f>
        <v>0</v>
      </c>
      <c r="T205" s="14">
        <f>IF(ISNUMBER('Klisz-Verbräuche'!U40), 'Klisz-Verbräuche'!U40*Emissionsfaktoren!S40/1000, 0)</f>
        <v>0</v>
      </c>
      <c r="U205" s="14">
        <f>IF(ISNUMBER('Klisz-Verbräuche'!V40), 'Klisz-Verbräuche'!V40*Emissionsfaktoren!T40/1000, 0)</f>
        <v>0</v>
      </c>
      <c r="V205" s="14">
        <f>IF(ISNUMBER('Klisz-Verbräuche'!W40), 'Klisz-Verbräuche'!W40*Emissionsfaktoren!U40/1000, 0)</f>
        <v>0</v>
      </c>
      <c r="W205" s="14">
        <f>IF(ISNUMBER('Klisz-Verbräuche'!X40), 'Klisz-Verbräuche'!X40*Emissionsfaktoren!V40/1000, 0)</f>
        <v>0</v>
      </c>
      <c r="X205" s="14">
        <f>IF(ISNUMBER('Klisz-Verbräuche'!Y40), 'Klisz-Verbräuche'!Y40*Emissionsfaktoren!W40/1000, 0)</f>
        <v>0</v>
      </c>
      <c r="Y205" s="14">
        <f>IF(ISNUMBER('Klisz-Verbräuche'!Z40), 'Klisz-Verbräuche'!Z40*Emissionsfaktoren!X40/1000, 0)</f>
        <v>0</v>
      </c>
    </row>
    <row r="206" spans="2:25" ht="16.5">
      <c r="B206" s="14">
        <v>24</v>
      </c>
      <c r="C206" s="14" t="str">
        <f>'Refsz-Verbräuche'!C41</f>
        <v>Wärme</v>
      </c>
      <c r="D206" s="19" t="str">
        <f>'Refsz-Verbräuche'!D41</f>
        <v>Sole-Wasser-Wärmepumpe; Ökostrom</v>
      </c>
      <c r="E206" t="s">
        <v>195</v>
      </c>
      <c r="F206" s="14">
        <f>IF(ISNUMBER('Klisz-Verbräuche'!G41), 'Klisz-Verbräuche'!G41*Emissionsfaktoren!E41/1000, 0)</f>
        <v>0</v>
      </c>
      <c r="G206" s="14">
        <f>IF(ISNUMBER('Klisz-Verbräuche'!H41), 'Klisz-Verbräuche'!H41*Emissionsfaktoren!F41/1000, 0)</f>
        <v>0</v>
      </c>
      <c r="H206" s="14">
        <f>IF(ISNUMBER('Klisz-Verbräuche'!I41), 'Klisz-Verbräuche'!I41*Emissionsfaktoren!G41/1000, 0)</f>
        <v>0</v>
      </c>
      <c r="I206" s="14">
        <f>IF(ISNUMBER('Klisz-Verbräuche'!J41), 'Klisz-Verbräuche'!J41*Emissionsfaktoren!H41/1000, 0)</f>
        <v>0</v>
      </c>
      <c r="J206" s="14">
        <f>IF(ISNUMBER('Klisz-Verbräuche'!K41), 'Klisz-Verbräuche'!K41*Emissionsfaktoren!I41/1000, 0)</f>
        <v>0</v>
      </c>
      <c r="K206" s="14">
        <f>IF(ISNUMBER('Klisz-Verbräuche'!L41), 'Klisz-Verbräuche'!L41*Emissionsfaktoren!J41/1000, 0)</f>
        <v>0</v>
      </c>
      <c r="L206" s="14">
        <f>IF(ISNUMBER('Klisz-Verbräuche'!M41), 'Klisz-Verbräuche'!M41*Emissionsfaktoren!K41/1000, 0)</f>
        <v>0</v>
      </c>
      <c r="M206" s="14">
        <f>IF(ISNUMBER('Klisz-Verbräuche'!N41), 'Klisz-Verbräuche'!N41*Emissionsfaktoren!L41/1000, 0)</f>
        <v>0</v>
      </c>
      <c r="N206" s="14">
        <f>IF(ISNUMBER('Klisz-Verbräuche'!O41), 'Klisz-Verbräuche'!O41*Emissionsfaktoren!M41/1000, 0)</f>
        <v>0</v>
      </c>
      <c r="O206" s="14">
        <f>IF(ISNUMBER('Klisz-Verbräuche'!P41), 'Klisz-Verbräuche'!P41*Emissionsfaktoren!N41/1000, 0)</f>
        <v>0</v>
      </c>
      <c r="P206" s="14">
        <f>IF(ISNUMBER('Klisz-Verbräuche'!Q41), 'Klisz-Verbräuche'!Q41*Emissionsfaktoren!O41/1000, 0)</f>
        <v>0</v>
      </c>
      <c r="Q206" s="14">
        <f>IF(ISNUMBER('Klisz-Verbräuche'!R41), 'Klisz-Verbräuche'!R41*Emissionsfaktoren!P41/1000, 0)</f>
        <v>0</v>
      </c>
      <c r="R206" s="14">
        <f>IF(ISNUMBER('Klisz-Verbräuche'!S41), 'Klisz-Verbräuche'!S41*Emissionsfaktoren!Q41/1000, 0)</f>
        <v>0</v>
      </c>
      <c r="S206" s="14">
        <f>IF(ISNUMBER('Klisz-Verbräuche'!T41), 'Klisz-Verbräuche'!T41*Emissionsfaktoren!R41/1000, 0)</f>
        <v>0</v>
      </c>
      <c r="T206" s="14">
        <f>IF(ISNUMBER('Klisz-Verbräuche'!U41), 'Klisz-Verbräuche'!U41*Emissionsfaktoren!S41/1000, 0)</f>
        <v>0</v>
      </c>
      <c r="U206" s="14">
        <f>IF(ISNUMBER('Klisz-Verbräuche'!V41), 'Klisz-Verbräuche'!V41*Emissionsfaktoren!T41/1000, 0)</f>
        <v>0</v>
      </c>
      <c r="V206" s="14">
        <f>IF(ISNUMBER('Klisz-Verbräuche'!W41), 'Klisz-Verbräuche'!W41*Emissionsfaktoren!U41/1000, 0)</f>
        <v>0</v>
      </c>
      <c r="W206" s="14">
        <f>IF(ISNUMBER('Klisz-Verbräuche'!X41), 'Klisz-Verbräuche'!X41*Emissionsfaktoren!V41/1000, 0)</f>
        <v>0</v>
      </c>
      <c r="X206" s="14">
        <f>IF(ISNUMBER('Klisz-Verbräuche'!Y41), 'Klisz-Verbräuche'!Y41*Emissionsfaktoren!W41/1000, 0)</f>
        <v>0</v>
      </c>
      <c r="Y206" s="14">
        <f>IF(ISNUMBER('Klisz-Verbräuche'!Z41), 'Klisz-Verbräuche'!Z41*Emissionsfaktoren!X41/1000, 0)</f>
        <v>0</v>
      </c>
    </row>
    <row r="207" spans="2:25" ht="16.5">
      <c r="B207" s="14">
        <v>25</v>
      </c>
      <c r="C207" s="14" t="str">
        <f>'Refsz-Verbräuche'!C42</f>
        <v>Wärme</v>
      </c>
      <c r="D207" s="19" t="str">
        <f>'Refsz-Verbräuche'!D42</f>
        <v>Individuelle Wärmepumpe</v>
      </c>
      <c r="E207" t="s">
        <v>195</v>
      </c>
      <c r="F207" s="14">
        <f>IF(ISNUMBER('Klisz-Verbräuche'!G40), 'Klisz-Verbräuche'!G40*Emissionsfaktoren!E42/1000, 0)</f>
        <v>0</v>
      </c>
      <c r="G207" s="14">
        <f>IF(ISNUMBER('Klisz-Verbräuche'!H40), 'Klisz-Verbräuche'!H40*Emissionsfaktoren!F42/1000, 0)</f>
        <v>0</v>
      </c>
      <c r="H207" s="14">
        <f>IF(ISNUMBER('Klisz-Verbräuche'!I40), 'Klisz-Verbräuche'!I40*Emissionsfaktoren!G42/1000, 0)</f>
        <v>0</v>
      </c>
      <c r="I207" s="14">
        <f>IF(ISNUMBER('Klisz-Verbräuche'!J40), 'Klisz-Verbräuche'!J40*Emissionsfaktoren!H42/1000, 0)</f>
        <v>0</v>
      </c>
      <c r="J207" s="14">
        <f>IF(ISNUMBER('Klisz-Verbräuche'!K40), 'Klisz-Verbräuche'!K40*Emissionsfaktoren!I42/1000, 0)</f>
        <v>0</v>
      </c>
      <c r="K207" s="14">
        <f>IF(ISNUMBER('Klisz-Verbräuche'!L40), 'Klisz-Verbräuche'!L40*Emissionsfaktoren!J42/1000, 0)</f>
        <v>0</v>
      </c>
      <c r="L207" s="14">
        <f>IF(ISNUMBER('Klisz-Verbräuche'!M40), 'Klisz-Verbräuche'!M40*Emissionsfaktoren!K42/1000, 0)</f>
        <v>0</v>
      </c>
      <c r="M207" s="14">
        <f>IF(ISNUMBER('Klisz-Verbräuche'!N40), 'Klisz-Verbräuche'!N40*Emissionsfaktoren!L42/1000, 0)</f>
        <v>0</v>
      </c>
      <c r="N207" s="14">
        <f>IF(ISNUMBER('Klisz-Verbräuche'!O40), 'Klisz-Verbräuche'!O40*Emissionsfaktoren!M42/1000, 0)</f>
        <v>0</v>
      </c>
      <c r="O207" s="14">
        <f>IF(ISNUMBER('Klisz-Verbräuche'!P40), 'Klisz-Verbräuche'!P40*Emissionsfaktoren!N42/1000, 0)</f>
        <v>0</v>
      </c>
      <c r="P207" s="14">
        <f>IF(ISNUMBER('Klisz-Verbräuche'!Q40), 'Klisz-Verbräuche'!Q40*Emissionsfaktoren!O42/1000, 0)</f>
        <v>0</v>
      </c>
      <c r="Q207" s="14">
        <f>IF(ISNUMBER('Klisz-Verbräuche'!R40), 'Klisz-Verbräuche'!R40*Emissionsfaktoren!P42/1000, 0)</f>
        <v>0</v>
      </c>
      <c r="R207" s="14">
        <f>IF(ISNUMBER('Klisz-Verbräuche'!S40), 'Klisz-Verbräuche'!S40*Emissionsfaktoren!Q42/1000, 0)</f>
        <v>0</v>
      </c>
      <c r="S207" s="14">
        <f>IF(ISNUMBER('Klisz-Verbräuche'!T40), 'Klisz-Verbräuche'!T40*Emissionsfaktoren!R42/1000, 0)</f>
        <v>0</v>
      </c>
      <c r="T207" s="14">
        <f>IF(ISNUMBER('Klisz-Verbräuche'!U40), 'Klisz-Verbräuche'!U40*Emissionsfaktoren!S42/1000, 0)</f>
        <v>0</v>
      </c>
      <c r="U207" s="14">
        <f>IF(ISNUMBER('Klisz-Verbräuche'!V40), 'Klisz-Verbräuche'!V40*Emissionsfaktoren!T42/1000, 0)</f>
        <v>0</v>
      </c>
      <c r="V207" s="14">
        <f>IF(ISNUMBER('Klisz-Verbräuche'!W40), 'Klisz-Verbräuche'!W40*Emissionsfaktoren!U42/1000, 0)</f>
        <v>0</v>
      </c>
      <c r="W207" s="14">
        <f>IF(ISNUMBER('Klisz-Verbräuche'!X40), 'Klisz-Verbräuche'!X40*Emissionsfaktoren!V42/1000, 0)</f>
        <v>0</v>
      </c>
      <c r="X207" s="14">
        <f>IF(ISNUMBER('Klisz-Verbräuche'!Y40), 'Klisz-Verbräuche'!Y40*Emissionsfaktoren!W42/1000, 0)</f>
        <v>0</v>
      </c>
      <c r="Y207" s="14">
        <f>IF(ISNUMBER('Klisz-Verbräuche'!Z40), 'Klisz-Verbräuche'!Z40*Emissionsfaktoren!X42/1000, 0)</f>
        <v>0</v>
      </c>
    </row>
    <row r="208" spans="2:25" ht="16.5">
      <c r="B208" s="14">
        <v>26</v>
      </c>
      <c r="C208" s="14" t="str">
        <f>'Refsz-Verbräuche'!C43</f>
        <v>Kälte</v>
      </c>
      <c r="D208" s="19" t="str">
        <f>'Refsz-Verbräuche'!D43</f>
        <v>Nachfüllmenge Kältemittel (R22)</v>
      </c>
      <c r="E208" t="s">
        <v>195</v>
      </c>
      <c r="F208" s="14">
        <f>IF(ISNUMBER('Klisz-Verbräuche'!G43), 'Klisz-Verbräuche'!G43*Emissionsfaktoren!E43/1000, 0)</f>
        <v>0</v>
      </c>
      <c r="G208" s="14">
        <f>IF(ISNUMBER('Klisz-Verbräuche'!H43), 'Klisz-Verbräuche'!H43*Emissionsfaktoren!F43/1000, 0)</f>
        <v>0</v>
      </c>
      <c r="H208" s="14">
        <f>IF(ISNUMBER('Klisz-Verbräuche'!I43), 'Klisz-Verbräuche'!I43*Emissionsfaktoren!G43/1000, 0)</f>
        <v>0</v>
      </c>
      <c r="I208" s="14">
        <f>IF(ISNUMBER('Klisz-Verbräuche'!J43), 'Klisz-Verbräuche'!J43*Emissionsfaktoren!H43/1000, 0)</f>
        <v>0</v>
      </c>
      <c r="J208" s="14">
        <f>IF(ISNUMBER('Klisz-Verbräuche'!K43), 'Klisz-Verbräuche'!K43*Emissionsfaktoren!I43/1000, 0)</f>
        <v>0</v>
      </c>
      <c r="K208" s="14">
        <f>IF(ISNUMBER('Klisz-Verbräuche'!L43), 'Klisz-Verbräuche'!L43*Emissionsfaktoren!J43/1000, 0)</f>
        <v>0</v>
      </c>
      <c r="L208" s="14">
        <f>IF(ISNUMBER('Klisz-Verbräuche'!M43), 'Klisz-Verbräuche'!M43*Emissionsfaktoren!K43/1000, 0)</f>
        <v>0</v>
      </c>
      <c r="M208" s="14">
        <f>IF(ISNUMBER('Klisz-Verbräuche'!N43), 'Klisz-Verbräuche'!N43*Emissionsfaktoren!L43/1000, 0)</f>
        <v>0</v>
      </c>
      <c r="N208" s="14">
        <f>IF(ISNUMBER('Klisz-Verbräuche'!O43), 'Klisz-Verbräuche'!O43*Emissionsfaktoren!M43/1000, 0)</f>
        <v>0</v>
      </c>
      <c r="O208" s="14">
        <f>IF(ISNUMBER('Klisz-Verbräuche'!P43), 'Klisz-Verbräuche'!P43*Emissionsfaktoren!N43/1000, 0)</f>
        <v>0</v>
      </c>
      <c r="P208" s="14">
        <f>IF(ISNUMBER('Klisz-Verbräuche'!Q43), 'Klisz-Verbräuche'!Q43*Emissionsfaktoren!O43/1000, 0)</f>
        <v>0</v>
      </c>
      <c r="Q208" s="14">
        <f>IF(ISNUMBER('Klisz-Verbräuche'!R43), 'Klisz-Verbräuche'!R43*Emissionsfaktoren!P43/1000, 0)</f>
        <v>0</v>
      </c>
      <c r="R208" s="14">
        <f>IF(ISNUMBER('Klisz-Verbräuche'!S43), 'Klisz-Verbräuche'!S43*Emissionsfaktoren!Q43/1000, 0)</f>
        <v>0</v>
      </c>
      <c r="S208" s="14">
        <f>IF(ISNUMBER('Klisz-Verbräuche'!T43), 'Klisz-Verbräuche'!T43*Emissionsfaktoren!R43/1000, 0)</f>
        <v>0</v>
      </c>
      <c r="T208" s="14">
        <f>IF(ISNUMBER('Klisz-Verbräuche'!U43), 'Klisz-Verbräuche'!U43*Emissionsfaktoren!S43/1000, 0)</f>
        <v>0</v>
      </c>
      <c r="U208" s="14">
        <f>IF(ISNUMBER('Klisz-Verbräuche'!V43), 'Klisz-Verbräuche'!V43*Emissionsfaktoren!T43/1000, 0)</f>
        <v>0</v>
      </c>
      <c r="V208" s="14">
        <f>IF(ISNUMBER('Klisz-Verbräuche'!W43), 'Klisz-Verbräuche'!W43*Emissionsfaktoren!U43/1000, 0)</f>
        <v>0</v>
      </c>
      <c r="W208" s="14">
        <f>IF(ISNUMBER('Klisz-Verbräuche'!X43), 'Klisz-Verbräuche'!X43*Emissionsfaktoren!V43/1000, 0)</f>
        <v>0</v>
      </c>
      <c r="X208" s="14">
        <f>IF(ISNUMBER('Klisz-Verbräuche'!Y43), 'Klisz-Verbräuche'!Y43*Emissionsfaktoren!W43/1000, 0)</f>
        <v>0</v>
      </c>
      <c r="Y208" s="14">
        <f>IF(ISNUMBER('Klisz-Verbräuche'!Z43), 'Klisz-Verbräuche'!Z43*Emissionsfaktoren!X43/1000, 0)</f>
        <v>0</v>
      </c>
    </row>
    <row r="209" spans="2:25" ht="16.5">
      <c r="B209" s="14">
        <v>27</v>
      </c>
      <c r="C209" s="14" t="str">
        <f>'Refsz-Verbräuche'!C44</f>
        <v>Kälte</v>
      </c>
      <c r="D209" s="19" t="str">
        <f>'Refsz-Verbräuche'!D44</f>
        <v>Nachfüllmenge Kältemittel (R134A)</v>
      </c>
      <c r="E209" t="s">
        <v>195</v>
      </c>
      <c r="F209" s="14">
        <f>IF(ISNUMBER('Klisz-Verbräuche'!G44), 'Klisz-Verbräuche'!G44*Emissionsfaktoren!E44/1000, 0)</f>
        <v>0</v>
      </c>
      <c r="G209" s="14">
        <f>IF(ISNUMBER('Klisz-Verbräuche'!H44), 'Klisz-Verbräuche'!H44*Emissionsfaktoren!F44/1000, 0)</f>
        <v>0</v>
      </c>
      <c r="H209" s="14">
        <f>IF(ISNUMBER('Klisz-Verbräuche'!I44), 'Klisz-Verbräuche'!I44*Emissionsfaktoren!G44/1000, 0)</f>
        <v>0</v>
      </c>
      <c r="I209" s="14">
        <f>IF(ISNUMBER('Klisz-Verbräuche'!J44), 'Klisz-Verbräuche'!J44*Emissionsfaktoren!H44/1000, 0)</f>
        <v>0</v>
      </c>
      <c r="J209" s="14">
        <f>IF(ISNUMBER('Klisz-Verbräuche'!K44), 'Klisz-Verbräuche'!K44*Emissionsfaktoren!I44/1000, 0)</f>
        <v>0</v>
      </c>
      <c r="K209" s="14">
        <f>IF(ISNUMBER('Klisz-Verbräuche'!L44), 'Klisz-Verbräuche'!L44*Emissionsfaktoren!J44/1000, 0)</f>
        <v>0</v>
      </c>
      <c r="L209" s="14">
        <f>IF(ISNUMBER('Klisz-Verbräuche'!M44), 'Klisz-Verbräuche'!M44*Emissionsfaktoren!K44/1000, 0)</f>
        <v>0</v>
      </c>
      <c r="M209" s="14">
        <f>IF(ISNUMBER('Klisz-Verbräuche'!N44), 'Klisz-Verbräuche'!N44*Emissionsfaktoren!L44/1000, 0)</f>
        <v>0</v>
      </c>
      <c r="N209" s="14">
        <f>IF(ISNUMBER('Klisz-Verbräuche'!O44), 'Klisz-Verbräuche'!O44*Emissionsfaktoren!M44/1000, 0)</f>
        <v>0</v>
      </c>
      <c r="O209" s="14">
        <f>IF(ISNUMBER('Klisz-Verbräuche'!P44), 'Klisz-Verbräuche'!P44*Emissionsfaktoren!N44/1000, 0)</f>
        <v>0</v>
      </c>
      <c r="P209" s="14">
        <f>IF(ISNUMBER('Klisz-Verbräuche'!Q44), 'Klisz-Verbräuche'!Q44*Emissionsfaktoren!O44/1000, 0)</f>
        <v>0</v>
      </c>
      <c r="Q209" s="14">
        <f>IF(ISNUMBER('Klisz-Verbräuche'!R44), 'Klisz-Verbräuche'!R44*Emissionsfaktoren!P44/1000, 0)</f>
        <v>0</v>
      </c>
      <c r="R209" s="14">
        <f>IF(ISNUMBER('Klisz-Verbräuche'!S44), 'Klisz-Verbräuche'!S44*Emissionsfaktoren!Q44/1000, 0)</f>
        <v>0</v>
      </c>
      <c r="S209" s="14">
        <f>IF(ISNUMBER('Klisz-Verbräuche'!T44), 'Klisz-Verbräuche'!T44*Emissionsfaktoren!R44/1000, 0)</f>
        <v>0</v>
      </c>
      <c r="T209" s="14">
        <f>IF(ISNUMBER('Klisz-Verbräuche'!U44), 'Klisz-Verbräuche'!U44*Emissionsfaktoren!S44/1000, 0)</f>
        <v>0</v>
      </c>
      <c r="U209" s="14">
        <f>IF(ISNUMBER('Klisz-Verbräuche'!V44), 'Klisz-Verbräuche'!V44*Emissionsfaktoren!T44/1000, 0)</f>
        <v>0</v>
      </c>
      <c r="V209" s="14">
        <f>IF(ISNUMBER('Klisz-Verbräuche'!W44), 'Klisz-Verbräuche'!W44*Emissionsfaktoren!U44/1000, 0)</f>
        <v>0</v>
      </c>
      <c r="W209" s="14">
        <f>IF(ISNUMBER('Klisz-Verbräuche'!X44), 'Klisz-Verbräuche'!X44*Emissionsfaktoren!V44/1000, 0)</f>
        <v>0</v>
      </c>
      <c r="X209" s="14">
        <f>IF(ISNUMBER('Klisz-Verbräuche'!Y44), 'Klisz-Verbräuche'!Y44*Emissionsfaktoren!W44/1000, 0)</f>
        <v>0</v>
      </c>
      <c r="Y209" s="14">
        <f>IF(ISNUMBER('Klisz-Verbräuche'!Z44), 'Klisz-Verbräuche'!Z44*Emissionsfaktoren!X44/1000, 0)</f>
        <v>0</v>
      </c>
    </row>
    <row r="210" spans="2:25" ht="16.5">
      <c r="B210" s="14">
        <v>28</v>
      </c>
      <c r="C210" s="14" t="str">
        <f>'Refsz-Verbräuche'!C45</f>
        <v>Kälte</v>
      </c>
      <c r="D210" s="19" t="str">
        <f>'Refsz-Verbräuche'!D45</f>
        <v>Nachfüllmenge Kältemittel (R404A)</v>
      </c>
      <c r="E210" t="s">
        <v>195</v>
      </c>
      <c r="F210" s="14">
        <f>IF(ISNUMBER('Klisz-Verbräuche'!G45), 'Klisz-Verbräuche'!G45*Emissionsfaktoren!E45/1000, 0)</f>
        <v>0</v>
      </c>
      <c r="G210" s="14">
        <f>IF(ISNUMBER('Klisz-Verbräuche'!H45), 'Klisz-Verbräuche'!H45*Emissionsfaktoren!F45/1000, 0)</f>
        <v>0</v>
      </c>
      <c r="H210" s="14">
        <f>IF(ISNUMBER('Klisz-Verbräuche'!I45), 'Klisz-Verbräuche'!I45*Emissionsfaktoren!G45/1000, 0)</f>
        <v>0</v>
      </c>
      <c r="I210" s="14">
        <f>IF(ISNUMBER('Klisz-Verbräuche'!J45), 'Klisz-Verbräuche'!J45*Emissionsfaktoren!H45/1000, 0)</f>
        <v>0</v>
      </c>
      <c r="J210" s="14">
        <f>IF(ISNUMBER('Klisz-Verbräuche'!K45), 'Klisz-Verbräuche'!K45*Emissionsfaktoren!I45/1000, 0)</f>
        <v>0</v>
      </c>
      <c r="K210" s="14">
        <f>IF(ISNUMBER('Klisz-Verbräuche'!L45), 'Klisz-Verbräuche'!L45*Emissionsfaktoren!J45/1000, 0)</f>
        <v>0</v>
      </c>
      <c r="L210" s="14">
        <f>IF(ISNUMBER('Klisz-Verbräuche'!M45), 'Klisz-Verbräuche'!M45*Emissionsfaktoren!K45/1000, 0)</f>
        <v>0</v>
      </c>
      <c r="M210" s="14">
        <f>IF(ISNUMBER('Klisz-Verbräuche'!N45), 'Klisz-Verbräuche'!N45*Emissionsfaktoren!L45/1000, 0)</f>
        <v>0</v>
      </c>
      <c r="N210" s="14">
        <f>IF(ISNUMBER('Klisz-Verbräuche'!O45), 'Klisz-Verbräuche'!O45*Emissionsfaktoren!M45/1000, 0)</f>
        <v>0</v>
      </c>
      <c r="O210" s="14">
        <f>IF(ISNUMBER('Klisz-Verbräuche'!P45), 'Klisz-Verbräuche'!P45*Emissionsfaktoren!N45/1000, 0)</f>
        <v>0</v>
      </c>
      <c r="P210" s="14">
        <f>IF(ISNUMBER('Klisz-Verbräuche'!Q45), 'Klisz-Verbräuche'!Q45*Emissionsfaktoren!O45/1000, 0)</f>
        <v>0</v>
      </c>
      <c r="Q210" s="14">
        <f>IF(ISNUMBER('Klisz-Verbräuche'!R45), 'Klisz-Verbräuche'!R45*Emissionsfaktoren!P45/1000, 0)</f>
        <v>0</v>
      </c>
      <c r="R210" s="14">
        <f>IF(ISNUMBER('Klisz-Verbräuche'!S45), 'Klisz-Verbräuche'!S45*Emissionsfaktoren!Q45/1000, 0)</f>
        <v>0</v>
      </c>
      <c r="S210" s="14">
        <f>IF(ISNUMBER('Klisz-Verbräuche'!T45), 'Klisz-Verbräuche'!T45*Emissionsfaktoren!R45/1000, 0)</f>
        <v>0</v>
      </c>
      <c r="T210" s="14">
        <f>IF(ISNUMBER('Klisz-Verbräuche'!U45), 'Klisz-Verbräuche'!U45*Emissionsfaktoren!S45/1000, 0)</f>
        <v>0</v>
      </c>
      <c r="U210" s="14">
        <f>IF(ISNUMBER('Klisz-Verbräuche'!V45), 'Klisz-Verbräuche'!V45*Emissionsfaktoren!T45/1000, 0)</f>
        <v>0</v>
      </c>
      <c r="V210" s="14">
        <f>IF(ISNUMBER('Klisz-Verbräuche'!W45), 'Klisz-Verbräuche'!W45*Emissionsfaktoren!U45/1000, 0)</f>
        <v>0</v>
      </c>
      <c r="W210" s="14">
        <f>IF(ISNUMBER('Klisz-Verbräuche'!X45), 'Klisz-Verbräuche'!X45*Emissionsfaktoren!V45/1000, 0)</f>
        <v>0</v>
      </c>
      <c r="X210" s="14">
        <f>IF(ISNUMBER('Klisz-Verbräuche'!Y45), 'Klisz-Verbräuche'!Y45*Emissionsfaktoren!W45/1000, 0)</f>
        <v>0</v>
      </c>
      <c r="Y210" s="14">
        <f>IF(ISNUMBER('Klisz-Verbräuche'!Z45), 'Klisz-Verbräuche'!Z45*Emissionsfaktoren!X45/1000, 0)</f>
        <v>0</v>
      </c>
    </row>
    <row r="211" spans="2:25" ht="16.5">
      <c r="B211" s="14">
        <v>29</v>
      </c>
      <c r="C211" s="14" t="str">
        <f>'Refsz-Verbräuche'!C46</f>
        <v>Kälte</v>
      </c>
      <c r="D211" s="19" t="str">
        <f>'Refsz-Verbräuche'!D46</f>
        <v>Nachfüllmenge Kältemittel (R410A)</v>
      </c>
      <c r="E211" t="s">
        <v>195</v>
      </c>
      <c r="F211" s="14">
        <f>IF(ISNUMBER('Klisz-Verbräuche'!G46), 'Klisz-Verbräuche'!G46*Emissionsfaktoren!E46/1000, 0)</f>
        <v>0</v>
      </c>
      <c r="G211" s="14">
        <f>IF(ISNUMBER('Klisz-Verbräuche'!H46), 'Klisz-Verbräuche'!H46*Emissionsfaktoren!F46/1000, 0)</f>
        <v>0</v>
      </c>
      <c r="H211" s="14">
        <f>IF(ISNUMBER('Klisz-Verbräuche'!I46), 'Klisz-Verbräuche'!I46*Emissionsfaktoren!G46/1000, 0)</f>
        <v>0</v>
      </c>
      <c r="I211" s="14">
        <f>IF(ISNUMBER('Klisz-Verbräuche'!J46), 'Klisz-Verbräuche'!J46*Emissionsfaktoren!H46/1000, 0)</f>
        <v>0</v>
      </c>
      <c r="J211" s="14">
        <f>IF(ISNUMBER('Klisz-Verbräuche'!K46), 'Klisz-Verbräuche'!K46*Emissionsfaktoren!I46/1000, 0)</f>
        <v>0</v>
      </c>
      <c r="K211" s="14">
        <f>IF(ISNUMBER('Klisz-Verbräuche'!L46), 'Klisz-Verbräuche'!L46*Emissionsfaktoren!J46/1000, 0)</f>
        <v>0</v>
      </c>
      <c r="L211" s="14">
        <f>IF(ISNUMBER('Klisz-Verbräuche'!M46), 'Klisz-Verbräuche'!M46*Emissionsfaktoren!K46/1000, 0)</f>
        <v>0</v>
      </c>
      <c r="M211" s="14">
        <f>IF(ISNUMBER('Klisz-Verbräuche'!N46), 'Klisz-Verbräuche'!N46*Emissionsfaktoren!L46/1000, 0)</f>
        <v>0</v>
      </c>
      <c r="N211" s="14">
        <f>IF(ISNUMBER('Klisz-Verbräuche'!O46), 'Klisz-Verbräuche'!O46*Emissionsfaktoren!M46/1000, 0)</f>
        <v>0</v>
      </c>
      <c r="O211" s="14">
        <f>IF(ISNUMBER('Klisz-Verbräuche'!P46), 'Klisz-Verbräuche'!P46*Emissionsfaktoren!N46/1000, 0)</f>
        <v>0</v>
      </c>
      <c r="P211" s="14">
        <f>IF(ISNUMBER('Klisz-Verbräuche'!Q46), 'Klisz-Verbräuche'!Q46*Emissionsfaktoren!O46/1000, 0)</f>
        <v>0</v>
      </c>
      <c r="Q211" s="14">
        <f>IF(ISNUMBER('Klisz-Verbräuche'!R46), 'Klisz-Verbräuche'!R46*Emissionsfaktoren!P46/1000, 0)</f>
        <v>0</v>
      </c>
      <c r="R211" s="14">
        <f>IF(ISNUMBER('Klisz-Verbräuche'!S46), 'Klisz-Verbräuche'!S46*Emissionsfaktoren!Q46/1000, 0)</f>
        <v>0</v>
      </c>
      <c r="S211" s="14">
        <f>IF(ISNUMBER('Klisz-Verbräuche'!T46), 'Klisz-Verbräuche'!T46*Emissionsfaktoren!R46/1000, 0)</f>
        <v>0</v>
      </c>
      <c r="T211" s="14">
        <f>IF(ISNUMBER('Klisz-Verbräuche'!U46), 'Klisz-Verbräuche'!U46*Emissionsfaktoren!S46/1000, 0)</f>
        <v>0</v>
      </c>
      <c r="U211" s="14">
        <f>IF(ISNUMBER('Klisz-Verbräuche'!V46), 'Klisz-Verbräuche'!V46*Emissionsfaktoren!T46/1000, 0)</f>
        <v>0</v>
      </c>
      <c r="V211" s="14">
        <f>IF(ISNUMBER('Klisz-Verbräuche'!W46), 'Klisz-Verbräuche'!W46*Emissionsfaktoren!U46/1000, 0)</f>
        <v>0</v>
      </c>
      <c r="W211" s="14">
        <f>IF(ISNUMBER('Klisz-Verbräuche'!X46), 'Klisz-Verbräuche'!X46*Emissionsfaktoren!V46/1000, 0)</f>
        <v>0</v>
      </c>
      <c r="X211" s="14">
        <f>IF(ISNUMBER('Klisz-Verbräuche'!Y46), 'Klisz-Verbräuche'!Y46*Emissionsfaktoren!W46/1000, 0)</f>
        <v>0</v>
      </c>
      <c r="Y211" s="14">
        <f>IF(ISNUMBER('Klisz-Verbräuche'!Z46), 'Klisz-Verbräuche'!Z46*Emissionsfaktoren!X46/1000, 0)</f>
        <v>0</v>
      </c>
    </row>
    <row r="212" spans="2:25" ht="16.5">
      <c r="B212" s="14">
        <v>30</v>
      </c>
      <c r="C212" s="14">
        <f>'Refsz-Verbräuche'!C47</f>
        <v>0</v>
      </c>
      <c r="D212" s="19">
        <f>'Refsz-Verbräuche'!D47</f>
        <v>0</v>
      </c>
      <c r="E212" t="s">
        <v>195</v>
      </c>
      <c r="F212" s="14">
        <f>IF(ISNUMBER('Klisz-Verbräuche'!G47), 'Klisz-Verbräuche'!G47*Emissionsfaktoren!E47/1000, 0)</f>
        <v>0</v>
      </c>
      <c r="G212" s="14">
        <f>IF(ISNUMBER('Klisz-Verbräuche'!H47), 'Klisz-Verbräuche'!H47*Emissionsfaktoren!F47/1000, 0)</f>
        <v>0</v>
      </c>
      <c r="H212" s="14">
        <f>IF(ISNUMBER('Klisz-Verbräuche'!I47), 'Klisz-Verbräuche'!I47*Emissionsfaktoren!G47/1000, 0)</f>
        <v>0</v>
      </c>
      <c r="I212" s="14">
        <f>IF(ISNUMBER('Klisz-Verbräuche'!J47), 'Klisz-Verbräuche'!J47*Emissionsfaktoren!H47/1000, 0)</f>
        <v>0</v>
      </c>
      <c r="J212" s="14">
        <f>IF(ISNUMBER('Klisz-Verbräuche'!K47), 'Klisz-Verbräuche'!K47*Emissionsfaktoren!I47/1000, 0)</f>
        <v>0</v>
      </c>
      <c r="K212" s="14">
        <f>IF(ISNUMBER('Klisz-Verbräuche'!L47), 'Klisz-Verbräuche'!L47*Emissionsfaktoren!J47/1000, 0)</f>
        <v>0</v>
      </c>
      <c r="L212" s="14">
        <f>IF(ISNUMBER('Klisz-Verbräuche'!M47), 'Klisz-Verbräuche'!M47*Emissionsfaktoren!K47/1000, 0)</f>
        <v>0</v>
      </c>
      <c r="M212" s="14">
        <f>IF(ISNUMBER('Klisz-Verbräuche'!N47), 'Klisz-Verbräuche'!N47*Emissionsfaktoren!L47/1000, 0)</f>
        <v>0</v>
      </c>
      <c r="N212" s="14">
        <f>IF(ISNUMBER('Klisz-Verbräuche'!O47), 'Klisz-Verbräuche'!O47*Emissionsfaktoren!M47/1000, 0)</f>
        <v>0</v>
      </c>
      <c r="O212" s="14">
        <f>IF(ISNUMBER('Klisz-Verbräuche'!P47), 'Klisz-Verbräuche'!P47*Emissionsfaktoren!N47/1000, 0)</f>
        <v>0</v>
      </c>
      <c r="P212" s="14">
        <f>IF(ISNUMBER('Klisz-Verbräuche'!Q47), 'Klisz-Verbräuche'!Q47*Emissionsfaktoren!O47/1000, 0)</f>
        <v>0</v>
      </c>
      <c r="Q212" s="14">
        <f>IF(ISNUMBER('Klisz-Verbräuche'!R47), 'Klisz-Verbräuche'!R47*Emissionsfaktoren!P47/1000, 0)</f>
        <v>0</v>
      </c>
      <c r="R212" s="14">
        <f>IF(ISNUMBER('Klisz-Verbräuche'!S47), 'Klisz-Verbräuche'!S47*Emissionsfaktoren!Q47/1000, 0)</f>
        <v>0</v>
      </c>
      <c r="S212" s="14">
        <f>IF(ISNUMBER('Klisz-Verbräuche'!T47), 'Klisz-Verbräuche'!T47*Emissionsfaktoren!R47/1000, 0)</f>
        <v>0</v>
      </c>
      <c r="T212" s="14">
        <f>IF(ISNUMBER('Klisz-Verbräuche'!U47), 'Klisz-Verbräuche'!U47*Emissionsfaktoren!S47/1000, 0)</f>
        <v>0</v>
      </c>
      <c r="U212" s="14">
        <f>IF(ISNUMBER('Klisz-Verbräuche'!V47), 'Klisz-Verbräuche'!V47*Emissionsfaktoren!T47/1000, 0)</f>
        <v>0</v>
      </c>
      <c r="V212" s="14">
        <f>IF(ISNUMBER('Klisz-Verbräuche'!W47), 'Klisz-Verbräuche'!W47*Emissionsfaktoren!U47/1000, 0)</f>
        <v>0</v>
      </c>
      <c r="W212" s="14">
        <f>IF(ISNUMBER('Klisz-Verbräuche'!X47), 'Klisz-Verbräuche'!X47*Emissionsfaktoren!V47/1000, 0)</f>
        <v>0</v>
      </c>
      <c r="X212" s="14">
        <f>IF(ISNUMBER('Klisz-Verbräuche'!Y47), 'Klisz-Verbräuche'!Y47*Emissionsfaktoren!W47/1000, 0)</f>
        <v>0</v>
      </c>
      <c r="Y212" s="14">
        <f>IF(ISNUMBER('Klisz-Verbräuche'!Z47), 'Klisz-Verbräuche'!Z47*Emissionsfaktoren!X47/1000, 0)</f>
        <v>0</v>
      </c>
    </row>
    <row r="213" spans="2:25" ht="16.5">
      <c r="B213" s="14">
        <v>31</v>
      </c>
      <c r="C213" s="14" t="str">
        <f>'Refsz-Verbräuche'!C48</f>
        <v>Mobilität 1</v>
      </c>
      <c r="D213" s="19" t="str">
        <f>'Refsz-Verbräuche'!D48</f>
        <v>Fuhrpark (Diesel)</v>
      </c>
      <c r="E213" t="s">
        <v>195</v>
      </c>
      <c r="F213" s="14">
        <f>IF(ISNUMBER('Klisz-Verbräuche'!G48), 'Klisz-Verbräuche'!G48*Emissionsfaktoren!E48/1000, 0)</f>
        <v>0</v>
      </c>
      <c r="G213" s="14">
        <f>IF(ISNUMBER('Klisz-Verbräuche'!H48), 'Klisz-Verbräuche'!H48*Emissionsfaktoren!F48/1000, 0)</f>
        <v>0</v>
      </c>
      <c r="H213" s="14">
        <f>IF(ISNUMBER('Klisz-Verbräuche'!I48), 'Klisz-Verbräuche'!I48*Emissionsfaktoren!G48/1000, 0)</f>
        <v>0</v>
      </c>
      <c r="I213" s="14">
        <f>IF(ISNUMBER('Klisz-Verbräuche'!J48), 'Klisz-Verbräuche'!J48*Emissionsfaktoren!H48/1000, 0)</f>
        <v>0</v>
      </c>
      <c r="J213" s="14">
        <f>IF(ISNUMBER('Klisz-Verbräuche'!K48), 'Klisz-Verbräuche'!K48*Emissionsfaktoren!I48/1000, 0)</f>
        <v>0</v>
      </c>
      <c r="K213" s="14">
        <f>IF(ISNUMBER('Klisz-Verbräuche'!L48), 'Klisz-Verbräuche'!L48*Emissionsfaktoren!J48/1000, 0)</f>
        <v>0</v>
      </c>
      <c r="L213" s="14">
        <f>IF(ISNUMBER('Klisz-Verbräuche'!M48), 'Klisz-Verbräuche'!M48*Emissionsfaktoren!K48/1000, 0)</f>
        <v>0</v>
      </c>
      <c r="M213" s="14">
        <f>IF(ISNUMBER('Klisz-Verbräuche'!N48), 'Klisz-Verbräuche'!N48*Emissionsfaktoren!L48/1000, 0)</f>
        <v>0</v>
      </c>
      <c r="N213" s="14">
        <f>IF(ISNUMBER('Klisz-Verbräuche'!O48), 'Klisz-Verbräuche'!O48*Emissionsfaktoren!M48/1000, 0)</f>
        <v>0</v>
      </c>
      <c r="O213" s="14">
        <f>IF(ISNUMBER('Klisz-Verbräuche'!P48), 'Klisz-Verbräuche'!P48*Emissionsfaktoren!N48/1000, 0)</f>
        <v>0</v>
      </c>
      <c r="P213" s="14">
        <f>IF(ISNUMBER('Klisz-Verbräuche'!Q48), 'Klisz-Verbräuche'!Q48*Emissionsfaktoren!O48/1000, 0)</f>
        <v>0</v>
      </c>
      <c r="Q213" s="14">
        <f>IF(ISNUMBER('Klisz-Verbräuche'!R48), 'Klisz-Verbräuche'!R48*Emissionsfaktoren!P48/1000, 0)</f>
        <v>0</v>
      </c>
      <c r="R213" s="14">
        <f>IF(ISNUMBER('Klisz-Verbräuche'!S48), 'Klisz-Verbräuche'!S48*Emissionsfaktoren!Q48/1000, 0)</f>
        <v>0</v>
      </c>
      <c r="S213" s="14">
        <f>IF(ISNUMBER('Klisz-Verbräuche'!T48), 'Klisz-Verbräuche'!T48*Emissionsfaktoren!R48/1000, 0)</f>
        <v>0</v>
      </c>
      <c r="T213" s="14">
        <f>IF(ISNUMBER('Klisz-Verbräuche'!U48), 'Klisz-Verbräuche'!U48*Emissionsfaktoren!S48/1000, 0)</f>
        <v>0</v>
      </c>
      <c r="U213" s="14">
        <f>IF(ISNUMBER('Klisz-Verbräuche'!V48), 'Klisz-Verbräuche'!V48*Emissionsfaktoren!T48/1000, 0)</f>
        <v>0</v>
      </c>
      <c r="V213" s="14">
        <f>IF(ISNUMBER('Klisz-Verbräuche'!W48), 'Klisz-Verbräuche'!W48*Emissionsfaktoren!U48/1000, 0)</f>
        <v>0</v>
      </c>
      <c r="W213" s="14">
        <f>IF(ISNUMBER('Klisz-Verbräuche'!X48), 'Klisz-Verbräuche'!X48*Emissionsfaktoren!V48/1000, 0)</f>
        <v>0</v>
      </c>
      <c r="X213" s="14">
        <f>IF(ISNUMBER('Klisz-Verbräuche'!Y48), 'Klisz-Verbräuche'!Y48*Emissionsfaktoren!W48/1000, 0)</f>
        <v>0</v>
      </c>
      <c r="Y213" s="14">
        <f>IF(ISNUMBER('Klisz-Verbräuche'!Z48), 'Klisz-Verbräuche'!Z48*Emissionsfaktoren!X48/1000, 0)</f>
        <v>0</v>
      </c>
    </row>
    <row r="214" spans="2:25" ht="16.5">
      <c r="B214" s="14">
        <v>32</v>
      </c>
      <c r="C214" s="14" t="str">
        <f>'Refsz-Verbräuche'!C49</f>
        <v>Mobilität 1</v>
      </c>
      <c r="D214" s="19" t="str">
        <f>'Refsz-Verbräuche'!D49</f>
        <v>Fuhrpark (Benzin)</v>
      </c>
      <c r="E214" t="s">
        <v>195</v>
      </c>
      <c r="F214" s="14">
        <f>IF(ISNUMBER('Klisz-Verbräuche'!G49), 'Klisz-Verbräuche'!G49*Emissionsfaktoren!E49/1000, 0)</f>
        <v>0</v>
      </c>
      <c r="G214" s="14">
        <f>IF(ISNUMBER('Klisz-Verbräuche'!H49), 'Klisz-Verbräuche'!H49*Emissionsfaktoren!F49/1000, 0)</f>
        <v>0</v>
      </c>
      <c r="H214" s="14">
        <f>IF(ISNUMBER('Klisz-Verbräuche'!I49), 'Klisz-Verbräuche'!I49*Emissionsfaktoren!G49/1000, 0)</f>
        <v>0</v>
      </c>
      <c r="I214" s="14">
        <f>IF(ISNUMBER('Klisz-Verbräuche'!J49), 'Klisz-Verbräuche'!J49*Emissionsfaktoren!H49/1000, 0)</f>
        <v>0</v>
      </c>
      <c r="J214" s="14">
        <f>IF(ISNUMBER('Klisz-Verbräuche'!K49), 'Klisz-Verbräuche'!K49*Emissionsfaktoren!I49/1000, 0)</f>
        <v>0</v>
      </c>
      <c r="K214" s="14">
        <f>IF(ISNUMBER('Klisz-Verbräuche'!L49), 'Klisz-Verbräuche'!L49*Emissionsfaktoren!J49/1000, 0)</f>
        <v>0</v>
      </c>
      <c r="L214" s="14">
        <f>IF(ISNUMBER('Klisz-Verbräuche'!M49), 'Klisz-Verbräuche'!M49*Emissionsfaktoren!K49/1000, 0)</f>
        <v>0</v>
      </c>
      <c r="M214" s="14">
        <f>IF(ISNUMBER('Klisz-Verbräuche'!N49), 'Klisz-Verbräuche'!N49*Emissionsfaktoren!L49/1000, 0)</f>
        <v>0</v>
      </c>
      <c r="N214" s="14">
        <f>IF(ISNUMBER('Klisz-Verbräuche'!O49), 'Klisz-Verbräuche'!O49*Emissionsfaktoren!M49/1000, 0)</f>
        <v>0</v>
      </c>
      <c r="O214" s="14">
        <f>IF(ISNUMBER('Klisz-Verbräuche'!P49), 'Klisz-Verbräuche'!P49*Emissionsfaktoren!N49/1000, 0)</f>
        <v>0</v>
      </c>
      <c r="P214" s="14">
        <f>IF(ISNUMBER('Klisz-Verbräuche'!Q49), 'Klisz-Verbräuche'!Q49*Emissionsfaktoren!O49/1000, 0)</f>
        <v>0</v>
      </c>
      <c r="Q214" s="14">
        <f>IF(ISNUMBER('Klisz-Verbräuche'!R49), 'Klisz-Verbräuche'!R49*Emissionsfaktoren!P49/1000, 0)</f>
        <v>0</v>
      </c>
      <c r="R214" s="14">
        <f>IF(ISNUMBER('Klisz-Verbräuche'!S49), 'Klisz-Verbräuche'!S49*Emissionsfaktoren!Q49/1000, 0)</f>
        <v>0</v>
      </c>
      <c r="S214" s="14">
        <f>IF(ISNUMBER('Klisz-Verbräuche'!T49), 'Klisz-Verbräuche'!T49*Emissionsfaktoren!R49/1000, 0)</f>
        <v>0</v>
      </c>
      <c r="T214" s="14">
        <f>IF(ISNUMBER('Klisz-Verbräuche'!U49), 'Klisz-Verbräuche'!U49*Emissionsfaktoren!S49/1000, 0)</f>
        <v>0</v>
      </c>
      <c r="U214" s="14">
        <f>IF(ISNUMBER('Klisz-Verbräuche'!V49), 'Klisz-Verbräuche'!V49*Emissionsfaktoren!T49/1000, 0)</f>
        <v>0</v>
      </c>
      <c r="V214" s="14">
        <f>IF(ISNUMBER('Klisz-Verbräuche'!W49), 'Klisz-Verbräuche'!W49*Emissionsfaktoren!U49/1000, 0)</f>
        <v>0</v>
      </c>
      <c r="W214" s="14">
        <f>IF(ISNUMBER('Klisz-Verbräuche'!X49), 'Klisz-Verbräuche'!X49*Emissionsfaktoren!V49/1000, 0)</f>
        <v>0</v>
      </c>
      <c r="X214" s="14">
        <f>IF(ISNUMBER('Klisz-Verbräuche'!Y49), 'Klisz-Verbräuche'!Y49*Emissionsfaktoren!W49/1000, 0)</f>
        <v>0</v>
      </c>
      <c r="Y214" s="14">
        <f>IF(ISNUMBER('Klisz-Verbräuche'!Z49), 'Klisz-Verbräuche'!Z49*Emissionsfaktoren!X49/1000, 0)</f>
        <v>0</v>
      </c>
    </row>
    <row r="215" spans="2:25" ht="16.5">
      <c r="B215" s="14">
        <v>33</v>
      </c>
      <c r="C215" s="14" t="str">
        <f>'Refsz-Verbräuche'!C50</f>
        <v>Mobilität 1</v>
      </c>
      <c r="D215" s="19" t="str">
        <f>'Refsz-Verbräuche'!D50</f>
        <v>Fuhrpark (E-Auto/ BEV)</v>
      </c>
      <c r="E215" t="s">
        <v>195</v>
      </c>
      <c r="F215" s="14">
        <f>IF(ISNUMBER('Klisz-Verbräuche'!G50), 'Klisz-Verbräuche'!G50*Emissionsfaktoren!E50/1000, 0)</f>
        <v>0</v>
      </c>
      <c r="G215" s="14">
        <f>IF(ISNUMBER('Klisz-Verbräuche'!H50), 'Klisz-Verbräuche'!H50*Emissionsfaktoren!F50/1000, 0)</f>
        <v>0</v>
      </c>
      <c r="H215" s="14">
        <f>IF(ISNUMBER('Klisz-Verbräuche'!I50), 'Klisz-Verbräuche'!I50*Emissionsfaktoren!G50/1000, 0)</f>
        <v>0</v>
      </c>
      <c r="I215" s="14">
        <f>IF(ISNUMBER('Klisz-Verbräuche'!J50), 'Klisz-Verbräuche'!J50*Emissionsfaktoren!H50/1000, 0)</f>
        <v>0</v>
      </c>
      <c r="J215" s="14">
        <f>IF(ISNUMBER('Klisz-Verbräuche'!K50), 'Klisz-Verbräuche'!K50*Emissionsfaktoren!I50/1000, 0)</f>
        <v>0</v>
      </c>
      <c r="K215" s="14">
        <f>IF(ISNUMBER('Klisz-Verbräuche'!L50), 'Klisz-Verbräuche'!L50*Emissionsfaktoren!J50/1000, 0)</f>
        <v>0</v>
      </c>
      <c r="L215" s="14">
        <f>IF(ISNUMBER('Klisz-Verbräuche'!M50), 'Klisz-Verbräuche'!M50*Emissionsfaktoren!K50/1000, 0)</f>
        <v>0</v>
      </c>
      <c r="M215" s="14">
        <f>IF(ISNUMBER('Klisz-Verbräuche'!N50), 'Klisz-Verbräuche'!N50*Emissionsfaktoren!L50/1000, 0)</f>
        <v>0</v>
      </c>
      <c r="N215" s="14">
        <f>IF(ISNUMBER('Klisz-Verbräuche'!O50), 'Klisz-Verbräuche'!O50*Emissionsfaktoren!M50/1000, 0)</f>
        <v>0</v>
      </c>
      <c r="O215" s="14">
        <f>IF(ISNUMBER('Klisz-Verbräuche'!P50), 'Klisz-Verbräuche'!P50*Emissionsfaktoren!N50/1000, 0)</f>
        <v>0</v>
      </c>
      <c r="P215" s="14">
        <f>IF(ISNUMBER('Klisz-Verbräuche'!Q50), 'Klisz-Verbräuche'!Q50*Emissionsfaktoren!O50/1000, 0)</f>
        <v>0</v>
      </c>
      <c r="Q215" s="14">
        <f>IF(ISNUMBER('Klisz-Verbräuche'!R50), 'Klisz-Verbräuche'!R50*Emissionsfaktoren!P50/1000, 0)</f>
        <v>0</v>
      </c>
      <c r="R215" s="14">
        <f>IF(ISNUMBER('Klisz-Verbräuche'!S50), 'Klisz-Verbräuche'!S50*Emissionsfaktoren!Q50/1000, 0)</f>
        <v>0</v>
      </c>
      <c r="S215" s="14">
        <f>IF(ISNUMBER('Klisz-Verbräuche'!T50), 'Klisz-Verbräuche'!T50*Emissionsfaktoren!R50/1000, 0)</f>
        <v>0</v>
      </c>
      <c r="T215" s="14">
        <f>IF(ISNUMBER('Klisz-Verbräuche'!U50), 'Klisz-Verbräuche'!U50*Emissionsfaktoren!S50/1000, 0)</f>
        <v>0</v>
      </c>
      <c r="U215" s="14">
        <f>IF(ISNUMBER('Klisz-Verbräuche'!V50), 'Klisz-Verbräuche'!V50*Emissionsfaktoren!T50/1000, 0)</f>
        <v>0</v>
      </c>
      <c r="V215" s="14">
        <f>IF(ISNUMBER('Klisz-Verbräuche'!W50), 'Klisz-Verbräuche'!W50*Emissionsfaktoren!U50/1000, 0)</f>
        <v>0</v>
      </c>
      <c r="W215" s="14">
        <f>IF(ISNUMBER('Klisz-Verbräuche'!X50), 'Klisz-Verbräuche'!X50*Emissionsfaktoren!V50/1000, 0)</f>
        <v>0</v>
      </c>
      <c r="X215" s="14">
        <f>IF(ISNUMBER('Klisz-Verbräuche'!Y50), 'Klisz-Verbräuche'!Y50*Emissionsfaktoren!W50/1000, 0)</f>
        <v>0</v>
      </c>
      <c r="Y215" s="14">
        <f>IF(ISNUMBER('Klisz-Verbräuche'!Z50), 'Klisz-Verbräuche'!Z50*Emissionsfaktoren!X50/1000, 0)</f>
        <v>0</v>
      </c>
    </row>
    <row r="216" spans="2:25" ht="16.5">
      <c r="B216" s="14">
        <v>34</v>
      </c>
      <c r="C216" s="14" t="str">
        <f>'Refsz-Verbräuche'!C51</f>
        <v>Mobilität 1</v>
      </c>
      <c r="D216" s="19" t="str">
        <f>'Refsz-Verbräuche'!D51</f>
        <v>Fuhrpark (Wasserstoff/ FCEV)</v>
      </c>
      <c r="E216" t="s">
        <v>195</v>
      </c>
      <c r="F216" s="14">
        <f>IF(ISNUMBER('Klisz-Verbräuche'!G51), 'Klisz-Verbräuche'!G51*Emissionsfaktoren!E51/1000, 0)</f>
        <v>0</v>
      </c>
      <c r="G216" s="14">
        <f>IF(ISNUMBER('Klisz-Verbräuche'!H51), 'Klisz-Verbräuche'!H51*Emissionsfaktoren!F51/1000, 0)</f>
        <v>0</v>
      </c>
      <c r="H216" s="14">
        <f>IF(ISNUMBER('Klisz-Verbräuche'!I51), 'Klisz-Verbräuche'!I51*Emissionsfaktoren!G51/1000, 0)</f>
        <v>0</v>
      </c>
      <c r="I216" s="14">
        <f>IF(ISNUMBER('Klisz-Verbräuche'!J51), 'Klisz-Verbräuche'!J51*Emissionsfaktoren!H51/1000, 0)</f>
        <v>0</v>
      </c>
      <c r="J216" s="14">
        <f>IF(ISNUMBER('Klisz-Verbräuche'!K51), 'Klisz-Verbräuche'!K51*Emissionsfaktoren!I51/1000, 0)</f>
        <v>0</v>
      </c>
      <c r="K216" s="14">
        <f>IF(ISNUMBER('Klisz-Verbräuche'!L51), 'Klisz-Verbräuche'!L51*Emissionsfaktoren!J51/1000, 0)</f>
        <v>0</v>
      </c>
      <c r="L216" s="14">
        <f>IF(ISNUMBER('Klisz-Verbräuche'!M51), 'Klisz-Verbräuche'!M51*Emissionsfaktoren!K51/1000, 0)</f>
        <v>0</v>
      </c>
      <c r="M216" s="14">
        <f>IF(ISNUMBER('Klisz-Verbräuche'!N51), 'Klisz-Verbräuche'!N51*Emissionsfaktoren!L51/1000, 0)</f>
        <v>0</v>
      </c>
      <c r="N216" s="14">
        <f>IF(ISNUMBER('Klisz-Verbräuche'!O51), 'Klisz-Verbräuche'!O51*Emissionsfaktoren!M51/1000, 0)</f>
        <v>0</v>
      </c>
      <c r="O216" s="14">
        <f>IF(ISNUMBER('Klisz-Verbräuche'!P51), 'Klisz-Verbräuche'!P51*Emissionsfaktoren!N51/1000, 0)</f>
        <v>0</v>
      </c>
      <c r="P216" s="14">
        <f>IF(ISNUMBER('Klisz-Verbräuche'!Q51), 'Klisz-Verbräuche'!Q51*Emissionsfaktoren!O51/1000, 0)</f>
        <v>0</v>
      </c>
      <c r="Q216" s="14">
        <f>IF(ISNUMBER('Klisz-Verbräuche'!R51), 'Klisz-Verbräuche'!R51*Emissionsfaktoren!P51/1000, 0)</f>
        <v>0</v>
      </c>
      <c r="R216" s="14">
        <f>IF(ISNUMBER('Klisz-Verbräuche'!S51), 'Klisz-Verbräuche'!S51*Emissionsfaktoren!Q51/1000, 0)</f>
        <v>0</v>
      </c>
      <c r="S216" s="14">
        <f>IF(ISNUMBER('Klisz-Verbräuche'!T51), 'Klisz-Verbräuche'!T51*Emissionsfaktoren!R51/1000, 0)</f>
        <v>0</v>
      </c>
      <c r="T216" s="14">
        <f>IF(ISNUMBER('Klisz-Verbräuche'!U51), 'Klisz-Verbräuche'!U51*Emissionsfaktoren!S51/1000, 0)</f>
        <v>0</v>
      </c>
      <c r="U216" s="14">
        <f>IF(ISNUMBER('Klisz-Verbräuche'!V51), 'Klisz-Verbräuche'!V51*Emissionsfaktoren!T51/1000, 0)</f>
        <v>0</v>
      </c>
      <c r="V216" s="14">
        <f>IF(ISNUMBER('Klisz-Verbräuche'!W51), 'Klisz-Verbräuche'!W51*Emissionsfaktoren!U51/1000, 0)</f>
        <v>0</v>
      </c>
      <c r="W216" s="14">
        <f>IF(ISNUMBER('Klisz-Verbräuche'!X51), 'Klisz-Verbräuche'!X51*Emissionsfaktoren!V51/1000, 0)</f>
        <v>0</v>
      </c>
      <c r="X216" s="14">
        <f>IF(ISNUMBER('Klisz-Verbräuche'!Y51), 'Klisz-Verbräuche'!Y51*Emissionsfaktoren!W51/1000, 0)</f>
        <v>0</v>
      </c>
      <c r="Y216" s="14">
        <f>IF(ISNUMBER('Klisz-Verbräuche'!Z51), 'Klisz-Verbräuche'!Z51*Emissionsfaktoren!X51/1000, 0)</f>
        <v>0</v>
      </c>
    </row>
    <row r="217" spans="2:25" ht="16.5">
      <c r="B217" s="14">
        <v>35</v>
      </c>
      <c r="C217" s="14" t="str">
        <f>'Refsz-Verbräuche'!C52</f>
        <v>Mobilität 1</v>
      </c>
      <c r="D217" s="19" t="str">
        <f>'Refsz-Verbräuche'!D52</f>
        <v>Fuhrpark (CNG)</v>
      </c>
      <c r="E217" t="s">
        <v>195</v>
      </c>
      <c r="F217" s="14">
        <f>IF(ISNUMBER('Klisz-Verbräuche'!G52), 'Klisz-Verbräuche'!G52*Emissionsfaktoren!E52/1000, 0)</f>
        <v>0</v>
      </c>
      <c r="G217" s="14">
        <f>IF(ISNUMBER('Klisz-Verbräuche'!H52), 'Klisz-Verbräuche'!H52*Emissionsfaktoren!F52/1000, 0)</f>
        <v>0</v>
      </c>
      <c r="H217" s="14">
        <f>IF(ISNUMBER('Klisz-Verbräuche'!I52), 'Klisz-Verbräuche'!I52*Emissionsfaktoren!G52/1000, 0)</f>
        <v>0</v>
      </c>
      <c r="I217" s="14">
        <f>IF(ISNUMBER('Klisz-Verbräuche'!J52), 'Klisz-Verbräuche'!J52*Emissionsfaktoren!H52/1000, 0)</f>
        <v>0</v>
      </c>
      <c r="J217" s="14">
        <f>IF(ISNUMBER('Klisz-Verbräuche'!K52), 'Klisz-Verbräuche'!K52*Emissionsfaktoren!I52/1000, 0)</f>
        <v>0</v>
      </c>
      <c r="K217" s="14">
        <f>IF(ISNUMBER('Klisz-Verbräuche'!L52), 'Klisz-Verbräuche'!L52*Emissionsfaktoren!J52/1000, 0)</f>
        <v>0</v>
      </c>
      <c r="L217" s="14">
        <f>IF(ISNUMBER('Klisz-Verbräuche'!M52), 'Klisz-Verbräuche'!M52*Emissionsfaktoren!K52/1000, 0)</f>
        <v>0</v>
      </c>
      <c r="M217" s="14">
        <f>IF(ISNUMBER('Klisz-Verbräuche'!N52), 'Klisz-Verbräuche'!N52*Emissionsfaktoren!L52/1000, 0)</f>
        <v>0</v>
      </c>
      <c r="N217" s="14">
        <f>IF(ISNUMBER('Klisz-Verbräuche'!O52), 'Klisz-Verbräuche'!O52*Emissionsfaktoren!M52/1000, 0)</f>
        <v>0</v>
      </c>
      <c r="O217" s="14">
        <f>IF(ISNUMBER('Klisz-Verbräuche'!P52), 'Klisz-Verbräuche'!P52*Emissionsfaktoren!N52/1000, 0)</f>
        <v>0</v>
      </c>
      <c r="P217" s="14">
        <f>IF(ISNUMBER('Klisz-Verbräuche'!Q52), 'Klisz-Verbräuche'!Q52*Emissionsfaktoren!O52/1000, 0)</f>
        <v>0</v>
      </c>
      <c r="Q217" s="14">
        <f>IF(ISNUMBER('Klisz-Verbräuche'!R52), 'Klisz-Verbräuche'!R52*Emissionsfaktoren!P52/1000, 0)</f>
        <v>0</v>
      </c>
      <c r="R217" s="14">
        <f>IF(ISNUMBER('Klisz-Verbräuche'!S52), 'Klisz-Verbräuche'!S52*Emissionsfaktoren!Q52/1000, 0)</f>
        <v>0</v>
      </c>
      <c r="S217" s="14">
        <f>IF(ISNUMBER('Klisz-Verbräuche'!T52), 'Klisz-Verbräuche'!T52*Emissionsfaktoren!R52/1000, 0)</f>
        <v>0</v>
      </c>
      <c r="T217" s="14">
        <f>IF(ISNUMBER('Klisz-Verbräuche'!U52), 'Klisz-Verbräuche'!U52*Emissionsfaktoren!S52/1000, 0)</f>
        <v>0</v>
      </c>
      <c r="U217" s="14">
        <f>IF(ISNUMBER('Klisz-Verbräuche'!V52), 'Klisz-Verbräuche'!V52*Emissionsfaktoren!T52/1000, 0)</f>
        <v>0</v>
      </c>
      <c r="V217" s="14">
        <f>IF(ISNUMBER('Klisz-Verbräuche'!W52), 'Klisz-Verbräuche'!W52*Emissionsfaktoren!U52/1000, 0)</f>
        <v>0</v>
      </c>
      <c r="W217" s="14">
        <f>IF(ISNUMBER('Klisz-Verbräuche'!X52), 'Klisz-Verbräuche'!X52*Emissionsfaktoren!V52/1000, 0)</f>
        <v>0</v>
      </c>
      <c r="X217" s="14">
        <f>IF(ISNUMBER('Klisz-Verbräuche'!Y52), 'Klisz-Verbräuche'!Y52*Emissionsfaktoren!W52/1000, 0)</f>
        <v>0</v>
      </c>
      <c r="Y217" s="14">
        <f>IF(ISNUMBER('Klisz-Verbräuche'!Z52), 'Klisz-Verbräuche'!Z52*Emissionsfaktoren!X52/1000, 0)</f>
        <v>0</v>
      </c>
    </row>
    <row r="218" spans="2:25" ht="16.5">
      <c r="B218" s="14">
        <v>36</v>
      </c>
      <c r="C218" s="14" t="str">
        <f>'Refsz-Verbräuche'!C53</f>
        <v>Mobilität 1</v>
      </c>
      <c r="D218" s="19" t="str">
        <f>'Refsz-Verbräuche'!D53</f>
        <v>Fuhrpark (Plug-In-Hybrid, PHEV)</v>
      </c>
      <c r="E218" t="s">
        <v>195</v>
      </c>
      <c r="F218" s="14">
        <f>IF(ISNUMBER('Klisz-Verbräuche'!G53), 'Klisz-Verbräuche'!G53*Emissionsfaktoren!E53/1000, 0)</f>
        <v>0</v>
      </c>
      <c r="G218" s="14">
        <f>IF(ISNUMBER('Klisz-Verbräuche'!H53), 'Klisz-Verbräuche'!H53*Emissionsfaktoren!F53/1000, 0)</f>
        <v>0</v>
      </c>
      <c r="H218" s="14">
        <f>IF(ISNUMBER('Klisz-Verbräuche'!I53), 'Klisz-Verbräuche'!I53*Emissionsfaktoren!G53/1000, 0)</f>
        <v>0</v>
      </c>
      <c r="I218" s="14">
        <f>IF(ISNUMBER('Klisz-Verbräuche'!J53), 'Klisz-Verbräuche'!J53*Emissionsfaktoren!H53/1000, 0)</f>
        <v>0</v>
      </c>
      <c r="J218" s="14">
        <f>IF(ISNUMBER('Klisz-Verbräuche'!K53), 'Klisz-Verbräuche'!K53*Emissionsfaktoren!I53/1000, 0)</f>
        <v>0</v>
      </c>
      <c r="K218" s="14">
        <f>IF(ISNUMBER('Klisz-Verbräuche'!L53), 'Klisz-Verbräuche'!L53*Emissionsfaktoren!J53/1000, 0)</f>
        <v>0</v>
      </c>
      <c r="L218" s="14">
        <f>IF(ISNUMBER('Klisz-Verbräuche'!M53), 'Klisz-Verbräuche'!M53*Emissionsfaktoren!K53/1000, 0)</f>
        <v>0</v>
      </c>
      <c r="M218" s="14">
        <f>IF(ISNUMBER('Klisz-Verbräuche'!N53), 'Klisz-Verbräuche'!N53*Emissionsfaktoren!L53/1000, 0)</f>
        <v>0</v>
      </c>
      <c r="N218" s="14">
        <f>IF(ISNUMBER('Klisz-Verbräuche'!O53), 'Klisz-Verbräuche'!O53*Emissionsfaktoren!M53/1000, 0)</f>
        <v>0</v>
      </c>
      <c r="O218" s="14">
        <f>IF(ISNUMBER('Klisz-Verbräuche'!P53), 'Klisz-Verbräuche'!P53*Emissionsfaktoren!N53/1000, 0)</f>
        <v>0</v>
      </c>
      <c r="P218" s="14">
        <f>IF(ISNUMBER('Klisz-Verbräuche'!Q53), 'Klisz-Verbräuche'!Q53*Emissionsfaktoren!O53/1000, 0)</f>
        <v>0</v>
      </c>
      <c r="Q218" s="14">
        <f>IF(ISNUMBER('Klisz-Verbräuche'!R53), 'Klisz-Verbräuche'!R53*Emissionsfaktoren!P53/1000, 0)</f>
        <v>0</v>
      </c>
      <c r="R218" s="14">
        <f>IF(ISNUMBER('Klisz-Verbräuche'!S53), 'Klisz-Verbräuche'!S53*Emissionsfaktoren!Q53/1000, 0)</f>
        <v>0</v>
      </c>
      <c r="S218" s="14">
        <f>IF(ISNUMBER('Klisz-Verbräuche'!T53), 'Klisz-Verbräuche'!T53*Emissionsfaktoren!R53/1000, 0)</f>
        <v>0</v>
      </c>
      <c r="T218" s="14">
        <f>IF(ISNUMBER('Klisz-Verbräuche'!U53), 'Klisz-Verbräuche'!U53*Emissionsfaktoren!S53/1000, 0)</f>
        <v>0</v>
      </c>
      <c r="U218" s="14">
        <f>IF(ISNUMBER('Klisz-Verbräuche'!V53), 'Klisz-Verbräuche'!V53*Emissionsfaktoren!T53/1000, 0)</f>
        <v>0</v>
      </c>
      <c r="V218" s="14">
        <f>IF(ISNUMBER('Klisz-Verbräuche'!W53), 'Klisz-Verbräuche'!W53*Emissionsfaktoren!U53/1000, 0)</f>
        <v>0</v>
      </c>
      <c r="W218" s="14">
        <f>IF(ISNUMBER('Klisz-Verbräuche'!X53), 'Klisz-Verbräuche'!X53*Emissionsfaktoren!V53/1000, 0)</f>
        <v>0</v>
      </c>
      <c r="X218" s="14">
        <f>IF(ISNUMBER('Klisz-Verbräuche'!Y53), 'Klisz-Verbräuche'!Y53*Emissionsfaktoren!W53/1000, 0)</f>
        <v>0</v>
      </c>
      <c r="Y218" s="14">
        <f>IF(ISNUMBER('Klisz-Verbräuche'!Z53), 'Klisz-Verbräuche'!Z53*Emissionsfaktoren!X53/1000, 0)</f>
        <v>0</v>
      </c>
    </row>
    <row r="219" spans="2:25" ht="16.5">
      <c r="B219" s="14">
        <v>37</v>
      </c>
      <c r="C219" s="14">
        <f>'Refsz-Verbräuche'!C54</f>
        <v>0</v>
      </c>
      <c r="D219" s="19">
        <f>'Refsz-Verbräuche'!D54</f>
        <v>0</v>
      </c>
      <c r="E219" t="s">
        <v>195</v>
      </c>
      <c r="F219" s="14">
        <f>IF(ISNUMBER('Klisz-Verbräuche'!G54), 'Klisz-Verbräuche'!G54*Emissionsfaktoren!E54/1000, 0)</f>
        <v>0</v>
      </c>
      <c r="G219" s="14">
        <f>IF(ISNUMBER('Klisz-Verbräuche'!H54), 'Klisz-Verbräuche'!H54*Emissionsfaktoren!F54/1000, 0)</f>
        <v>0</v>
      </c>
      <c r="H219" s="14">
        <f>IF(ISNUMBER('Klisz-Verbräuche'!I54), 'Klisz-Verbräuche'!I54*Emissionsfaktoren!G54/1000, 0)</f>
        <v>0</v>
      </c>
      <c r="I219" s="14">
        <f>IF(ISNUMBER('Klisz-Verbräuche'!J54), 'Klisz-Verbräuche'!J54*Emissionsfaktoren!H54/1000, 0)</f>
        <v>0</v>
      </c>
      <c r="J219" s="14">
        <f>IF(ISNUMBER('Klisz-Verbräuche'!K54), 'Klisz-Verbräuche'!K54*Emissionsfaktoren!I54/1000, 0)</f>
        <v>0</v>
      </c>
      <c r="K219" s="14">
        <f>IF(ISNUMBER('Klisz-Verbräuche'!L54), 'Klisz-Verbräuche'!L54*Emissionsfaktoren!J54/1000, 0)</f>
        <v>0</v>
      </c>
      <c r="L219" s="14">
        <f>IF(ISNUMBER('Klisz-Verbräuche'!M54), 'Klisz-Verbräuche'!M54*Emissionsfaktoren!K54/1000, 0)</f>
        <v>0</v>
      </c>
      <c r="M219" s="14">
        <f>IF(ISNUMBER('Klisz-Verbräuche'!N54), 'Klisz-Verbräuche'!N54*Emissionsfaktoren!L54/1000, 0)</f>
        <v>0</v>
      </c>
      <c r="N219" s="14">
        <f>IF(ISNUMBER('Klisz-Verbräuche'!O54), 'Klisz-Verbräuche'!O54*Emissionsfaktoren!M54/1000, 0)</f>
        <v>0</v>
      </c>
      <c r="O219" s="14">
        <f>IF(ISNUMBER('Klisz-Verbräuche'!P54), 'Klisz-Verbräuche'!P54*Emissionsfaktoren!N54/1000, 0)</f>
        <v>0</v>
      </c>
      <c r="P219" s="14">
        <f>IF(ISNUMBER('Klisz-Verbräuche'!Q54), 'Klisz-Verbräuche'!Q54*Emissionsfaktoren!O54/1000, 0)</f>
        <v>0</v>
      </c>
      <c r="Q219" s="14">
        <f>IF(ISNUMBER('Klisz-Verbräuche'!R54), 'Klisz-Verbräuche'!R54*Emissionsfaktoren!P54/1000, 0)</f>
        <v>0</v>
      </c>
      <c r="R219" s="14">
        <f>IF(ISNUMBER('Klisz-Verbräuche'!S54), 'Klisz-Verbräuche'!S54*Emissionsfaktoren!Q54/1000, 0)</f>
        <v>0</v>
      </c>
      <c r="S219" s="14">
        <f>IF(ISNUMBER('Klisz-Verbräuche'!T54), 'Klisz-Verbräuche'!T54*Emissionsfaktoren!R54/1000, 0)</f>
        <v>0</v>
      </c>
      <c r="T219" s="14">
        <f>IF(ISNUMBER('Klisz-Verbräuche'!U54), 'Klisz-Verbräuche'!U54*Emissionsfaktoren!S54/1000, 0)</f>
        <v>0</v>
      </c>
      <c r="U219" s="14">
        <f>IF(ISNUMBER('Klisz-Verbräuche'!V54), 'Klisz-Verbräuche'!V54*Emissionsfaktoren!T54/1000, 0)</f>
        <v>0</v>
      </c>
      <c r="V219" s="14">
        <f>IF(ISNUMBER('Klisz-Verbräuche'!W54), 'Klisz-Verbräuche'!W54*Emissionsfaktoren!U54/1000, 0)</f>
        <v>0</v>
      </c>
      <c r="W219" s="14">
        <f>IF(ISNUMBER('Klisz-Verbräuche'!X54), 'Klisz-Verbräuche'!X54*Emissionsfaktoren!V54/1000, 0)</f>
        <v>0</v>
      </c>
      <c r="X219" s="14">
        <f>IF(ISNUMBER('Klisz-Verbräuche'!Y54), 'Klisz-Verbräuche'!Y54*Emissionsfaktoren!W54/1000, 0)</f>
        <v>0</v>
      </c>
      <c r="Y219" s="14">
        <f>IF(ISNUMBER('Klisz-Verbräuche'!Z54), 'Klisz-Verbräuche'!Z54*Emissionsfaktoren!X54/1000, 0)</f>
        <v>0</v>
      </c>
    </row>
    <row r="220" spans="2:25" ht="16.5">
      <c r="B220" s="14">
        <v>38</v>
      </c>
      <c r="C220" s="14" t="str">
        <f>'Refsz-Verbräuche'!C55</f>
        <v>Mobilität 1</v>
      </c>
      <c r="D220" s="19" t="str">
        <f>'Refsz-Verbräuche'!D55</f>
        <v>DR - Flugreisen</v>
      </c>
      <c r="E220" t="s">
        <v>195</v>
      </c>
      <c r="F220" s="14">
        <f>IF(ISNUMBER('Klisz-Verbräuche'!G55), 'Klisz-Verbräuche'!G55*Emissionsfaktoren!E55/1000, 0)</f>
        <v>0</v>
      </c>
      <c r="G220" s="14">
        <f>IF(ISNUMBER('Klisz-Verbräuche'!H55), 'Klisz-Verbräuche'!H55*Emissionsfaktoren!F55/1000, 0)</f>
        <v>0</v>
      </c>
      <c r="H220" s="14">
        <f>IF(ISNUMBER('Klisz-Verbräuche'!I55), 'Klisz-Verbräuche'!I55*Emissionsfaktoren!G55/1000, 0)</f>
        <v>0</v>
      </c>
      <c r="I220" s="14">
        <f>IF(ISNUMBER('Klisz-Verbräuche'!J55), 'Klisz-Verbräuche'!J55*Emissionsfaktoren!H55/1000, 0)</f>
        <v>0</v>
      </c>
      <c r="J220" s="14">
        <f>IF(ISNUMBER('Klisz-Verbräuche'!K55), 'Klisz-Verbräuche'!K55*Emissionsfaktoren!I55/1000, 0)</f>
        <v>0</v>
      </c>
      <c r="K220" s="14">
        <f>IF(ISNUMBER('Klisz-Verbräuche'!L55), 'Klisz-Verbräuche'!L55*Emissionsfaktoren!J55/1000, 0)</f>
        <v>0</v>
      </c>
      <c r="L220" s="14">
        <f>IF(ISNUMBER('Klisz-Verbräuche'!M55), 'Klisz-Verbräuche'!M55*Emissionsfaktoren!K55/1000, 0)</f>
        <v>0</v>
      </c>
      <c r="M220" s="14">
        <f>IF(ISNUMBER('Klisz-Verbräuche'!N55), 'Klisz-Verbräuche'!N55*Emissionsfaktoren!L55/1000, 0)</f>
        <v>0</v>
      </c>
      <c r="N220" s="14">
        <f>IF(ISNUMBER('Klisz-Verbräuche'!O55), 'Klisz-Verbräuche'!O55*Emissionsfaktoren!M55/1000, 0)</f>
        <v>0</v>
      </c>
      <c r="O220" s="14">
        <f>IF(ISNUMBER('Klisz-Verbräuche'!P55), 'Klisz-Verbräuche'!P55*Emissionsfaktoren!N55/1000, 0)</f>
        <v>0</v>
      </c>
      <c r="P220" s="14">
        <f>IF(ISNUMBER('Klisz-Verbräuche'!Q55), 'Klisz-Verbräuche'!Q55*Emissionsfaktoren!O55/1000, 0)</f>
        <v>0</v>
      </c>
      <c r="Q220" s="14">
        <f>IF(ISNUMBER('Klisz-Verbräuche'!R55), 'Klisz-Verbräuche'!R55*Emissionsfaktoren!P55/1000, 0)</f>
        <v>0</v>
      </c>
      <c r="R220" s="14">
        <f>IF(ISNUMBER('Klisz-Verbräuche'!S55), 'Klisz-Verbräuche'!S55*Emissionsfaktoren!Q55/1000, 0)</f>
        <v>0</v>
      </c>
      <c r="S220" s="14">
        <f>IF(ISNUMBER('Klisz-Verbräuche'!T55), 'Klisz-Verbräuche'!T55*Emissionsfaktoren!R55/1000, 0)</f>
        <v>0</v>
      </c>
      <c r="T220" s="14">
        <f>IF(ISNUMBER('Klisz-Verbräuche'!U55), 'Klisz-Verbräuche'!U55*Emissionsfaktoren!S55/1000, 0)</f>
        <v>0</v>
      </c>
      <c r="U220" s="14">
        <f>IF(ISNUMBER('Klisz-Verbräuche'!V55), 'Klisz-Verbräuche'!V55*Emissionsfaktoren!T55/1000, 0)</f>
        <v>0</v>
      </c>
      <c r="V220" s="14">
        <f>IF(ISNUMBER('Klisz-Verbräuche'!W55), 'Klisz-Verbräuche'!W55*Emissionsfaktoren!U55/1000, 0)</f>
        <v>0</v>
      </c>
      <c r="W220" s="14">
        <f>IF(ISNUMBER('Klisz-Verbräuche'!X55), 'Klisz-Verbräuche'!X55*Emissionsfaktoren!V55/1000, 0)</f>
        <v>0</v>
      </c>
      <c r="X220" s="14">
        <f>IF(ISNUMBER('Klisz-Verbräuche'!Y55), 'Klisz-Verbräuche'!Y55*Emissionsfaktoren!W55/1000, 0)</f>
        <v>0</v>
      </c>
      <c r="Y220" s="14">
        <f>IF(ISNUMBER('Klisz-Verbräuche'!Z55), 'Klisz-Verbräuche'!Z55*Emissionsfaktoren!X55/1000, 0)</f>
        <v>0</v>
      </c>
    </row>
    <row r="221" spans="2:25" ht="16.5">
      <c r="B221" s="14">
        <v>39</v>
      </c>
      <c r="C221" s="14" t="str">
        <f>'Refsz-Verbräuche'!C56</f>
        <v>Mobilität 1</v>
      </c>
      <c r="D221" s="19" t="str">
        <f>'Refsz-Verbräuche'!D56</f>
        <v>DR - Eisenbahn (Fernverkehr)</v>
      </c>
      <c r="E221" t="s">
        <v>195</v>
      </c>
      <c r="F221" s="14">
        <f>IF(ISNUMBER('Klisz-Verbräuche'!G56), 'Klisz-Verbräuche'!G56*Emissionsfaktoren!E56/1000, 0)</f>
        <v>0</v>
      </c>
      <c r="G221" s="14">
        <f>IF(ISNUMBER('Klisz-Verbräuche'!H56), 'Klisz-Verbräuche'!H56*Emissionsfaktoren!F56/1000, 0)</f>
        <v>0</v>
      </c>
      <c r="H221" s="14">
        <f>IF(ISNUMBER('Klisz-Verbräuche'!I56), 'Klisz-Verbräuche'!I56*Emissionsfaktoren!G56/1000, 0)</f>
        <v>0</v>
      </c>
      <c r="I221" s="14">
        <f>IF(ISNUMBER('Klisz-Verbräuche'!J56), 'Klisz-Verbräuche'!J56*Emissionsfaktoren!H56/1000, 0)</f>
        <v>0</v>
      </c>
      <c r="J221" s="14">
        <f>IF(ISNUMBER('Klisz-Verbräuche'!K56), 'Klisz-Verbräuche'!K56*Emissionsfaktoren!I56/1000, 0)</f>
        <v>0</v>
      </c>
      <c r="K221" s="14">
        <f>IF(ISNUMBER('Klisz-Verbräuche'!L56), 'Klisz-Verbräuche'!L56*Emissionsfaktoren!J56/1000, 0)</f>
        <v>0</v>
      </c>
      <c r="L221" s="14">
        <f>IF(ISNUMBER('Klisz-Verbräuche'!M56), 'Klisz-Verbräuche'!M56*Emissionsfaktoren!K56/1000, 0)</f>
        <v>0</v>
      </c>
      <c r="M221" s="14">
        <f>IF(ISNUMBER('Klisz-Verbräuche'!N56), 'Klisz-Verbräuche'!N56*Emissionsfaktoren!L56/1000, 0)</f>
        <v>0</v>
      </c>
      <c r="N221" s="14">
        <f>IF(ISNUMBER('Klisz-Verbräuche'!O56), 'Klisz-Verbräuche'!O56*Emissionsfaktoren!M56/1000, 0)</f>
        <v>0</v>
      </c>
      <c r="O221" s="14">
        <f>IF(ISNUMBER('Klisz-Verbräuche'!P56), 'Klisz-Verbräuche'!P56*Emissionsfaktoren!N56/1000, 0)</f>
        <v>0</v>
      </c>
      <c r="P221" s="14">
        <f>IF(ISNUMBER('Klisz-Verbräuche'!Q56), 'Klisz-Verbräuche'!Q56*Emissionsfaktoren!O56/1000, 0)</f>
        <v>0</v>
      </c>
      <c r="Q221" s="14">
        <f>IF(ISNUMBER('Klisz-Verbräuche'!R56), 'Klisz-Verbräuche'!R56*Emissionsfaktoren!P56/1000, 0)</f>
        <v>0</v>
      </c>
      <c r="R221" s="14">
        <f>IF(ISNUMBER('Klisz-Verbräuche'!S56), 'Klisz-Verbräuche'!S56*Emissionsfaktoren!Q56/1000, 0)</f>
        <v>0</v>
      </c>
      <c r="S221" s="14">
        <f>IF(ISNUMBER('Klisz-Verbräuche'!T56), 'Klisz-Verbräuche'!T56*Emissionsfaktoren!R56/1000, 0)</f>
        <v>0</v>
      </c>
      <c r="T221" s="14">
        <f>IF(ISNUMBER('Klisz-Verbräuche'!U56), 'Klisz-Verbräuche'!U56*Emissionsfaktoren!S56/1000, 0)</f>
        <v>0</v>
      </c>
      <c r="U221" s="14">
        <f>IF(ISNUMBER('Klisz-Verbräuche'!V56), 'Klisz-Verbräuche'!V56*Emissionsfaktoren!T56/1000, 0)</f>
        <v>0</v>
      </c>
      <c r="V221" s="14">
        <f>IF(ISNUMBER('Klisz-Verbräuche'!W56), 'Klisz-Verbräuche'!W56*Emissionsfaktoren!U56/1000, 0)</f>
        <v>0</v>
      </c>
      <c r="W221" s="14">
        <f>IF(ISNUMBER('Klisz-Verbräuche'!X56), 'Klisz-Verbräuche'!X56*Emissionsfaktoren!V56/1000, 0)</f>
        <v>0</v>
      </c>
      <c r="X221" s="14">
        <f>IF(ISNUMBER('Klisz-Verbräuche'!Y56), 'Klisz-Verbräuche'!Y56*Emissionsfaktoren!W56/1000, 0)</f>
        <v>0</v>
      </c>
      <c r="Y221" s="14">
        <f>IF(ISNUMBER('Klisz-Verbräuche'!Z56), 'Klisz-Verbräuche'!Z56*Emissionsfaktoren!X56/1000, 0)</f>
        <v>0</v>
      </c>
    </row>
    <row r="222" spans="2:25" ht="16.5">
      <c r="B222" s="14">
        <v>40</v>
      </c>
      <c r="C222" s="14" t="str">
        <f>'Refsz-Verbräuche'!C57</f>
        <v>Mobilität 1</v>
      </c>
      <c r="D222" s="19" t="str">
        <f>'Refsz-Verbräuche'!D57</f>
        <v>DR - Eisenbahn (Nahverkehr)</v>
      </c>
      <c r="E222" t="s">
        <v>195</v>
      </c>
      <c r="F222" s="14">
        <f>IF(ISNUMBER('Klisz-Verbräuche'!G57), 'Klisz-Verbräuche'!G57*Emissionsfaktoren!E57/1000, 0)</f>
        <v>0</v>
      </c>
      <c r="G222" s="14">
        <f>IF(ISNUMBER('Klisz-Verbräuche'!H57), 'Klisz-Verbräuche'!H57*Emissionsfaktoren!F57/1000, 0)</f>
        <v>0</v>
      </c>
      <c r="H222" s="14">
        <f>IF(ISNUMBER('Klisz-Verbräuche'!I57), 'Klisz-Verbräuche'!I57*Emissionsfaktoren!G57/1000, 0)</f>
        <v>0</v>
      </c>
      <c r="I222" s="14">
        <f>IF(ISNUMBER('Klisz-Verbräuche'!J57), 'Klisz-Verbräuche'!J57*Emissionsfaktoren!H57/1000, 0)</f>
        <v>0</v>
      </c>
      <c r="J222" s="14">
        <f>IF(ISNUMBER('Klisz-Verbräuche'!K57), 'Klisz-Verbräuche'!K57*Emissionsfaktoren!I57/1000, 0)</f>
        <v>0</v>
      </c>
      <c r="K222" s="14">
        <f>IF(ISNUMBER('Klisz-Verbräuche'!L57), 'Klisz-Verbräuche'!L57*Emissionsfaktoren!J57/1000, 0)</f>
        <v>0</v>
      </c>
      <c r="L222" s="14">
        <f>IF(ISNUMBER('Klisz-Verbräuche'!M57), 'Klisz-Verbräuche'!M57*Emissionsfaktoren!K57/1000, 0)</f>
        <v>0</v>
      </c>
      <c r="M222" s="14">
        <f>IF(ISNUMBER('Klisz-Verbräuche'!N57), 'Klisz-Verbräuche'!N57*Emissionsfaktoren!L57/1000, 0)</f>
        <v>0</v>
      </c>
      <c r="N222" s="14">
        <f>IF(ISNUMBER('Klisz-Verbräuche'!O57), 'Klisz-Verbräuche'!O57*Emissionsfaktoren!M57/1000, 0)</f>
        <v>0</v>
      </c>
      <c r="O222" s="14">
        <f>IF(ISNUMBER('Klisz-Verbräuche'!P57), 'Klisz-Verbräuche'!P57*Emissionsfaktoren!N57/1000, 0)</f>
        <v>0</v>
      </c>
      <c r="P222" s="14">
        <f>IF(ISNUMBER('Klisz-Verbräuche'!Q57), 'Klisz-Verbräuche'!Q57*Emissionsfaktoren!O57/1000, 0)</f>
        <v>0</v>
      </c>
      <c r="Q222" s="14">
        <f>IF(ISNUMBER('Klisz-Verbräuche'!R57), 'Klisz-Verbräuche'!R57*Emissionsfaktoren!P57/1000, 0)</f>
        <v>0</v>
      </c>
      <c r="R222" s="14">
        <f>IF(ISNUMBER('Klisz-Verbräuche'!S57), 'Klisz-Verbräuche'!S57*Emissionsfaktoren!Q57/1000, 0)</f>
        <v>0</v>
      </c>
      <c r="S222" s="14">
        <f>IF(ISNUMBER('Klisz-Verbräuche'!T57), 'Klisz-Verbräuche'!T57*Emissionsfaktoren!R57/1000, 0)</f>
        <v>0</v>
      </c>
      <c r="T222" s="14">
        <f>IF(ISNUMBER('Klisz-Verbräuche'!U57), 'Klisz-Verbräuche'!U57*Emissionsfaktoren!S57/1000, 0)</f>
        <v>0</v>
      </c>
      <c r="U222" s="14">
        <f>IF(ISNUMBER('Klisz-Verbräuche'!V57), 'Klisz-Verbräuche'!V57*Emissionsfaktoren!T57/1000, 0)</f>
        <v>0</v>
      </c>
      <c r="V222" s="14">
        <f>IF(ISNUMBER('Klisz-Verbräuche'!W57), 'Klisz-Verbräuche'!W57*Emissionsfaktoren!U57/1000, 0)</f>
        <v>0</v>
      </c>
      <c r="W222" s="14">
        <f>IF(ISNUMBER('Klisz-Verbräuche'!X57), 'Klisz-Verbräuche'!X57*Emissionsfaktoren!V57/1000, 0)</f>
        <v>0</v>
      </c>
      <c r="X222" s="14">
        <f>IF(ISNUMBER('Klisz-Verbräuche'!Y57), 'Klisz-Verbräuche'!Y57*Emissionsfaktoren!W57/1000, 0)</f>
        <v>0</v>
      </c>
      <c r="Y222" s="14">
        <f>IF(ISNUMBER('Klisz-Verbräuche'!Z57), 'Klisz-Verbräuche'!Z57*Emissionsfaktoren!X57/1000, 0)</f>
        <v>0</v>
      </c>
    </row>
    <row r="223" spans="2:25" ht="16.5">
      <c r="B223" s="14">
        <v>41</v>
      </c>
      <c r="C223" s="14" t="str">
        <f>'Refsz-Verbräuche'!C58</f>
        <v>Mobilität 1</v>
      </c>
      <c r="D223" s="19" t="str">
        <f>'Refsz-Verbräuche'!D58</f>
        <v>DR - Reisebus, Linienbus (Fernverkehr)</v>
      </c>
      <c r="E223" t="s">
        <v>195</v>
      </c>
      <c r="F223" s="14">
        <f>IF(ISNUMBER('Klisz-Verbräuche'!G58), 'Klisz-Verbräuche'!G58*Emissionsfaktoren!E58/1000, 0)</f>
        <v>0</v>
      </c>
      <c r="G223" s="14">
        <f>IF(ISNUMBER('Klisz-Verbräuche'!H58), 'Klisz-Verbräuche'!H58*Emissionsfaktoren!F58/1000, 0)</f>
        <v>0</v>
      </c>
      <c r="H223" s="14">
        <f>IF(ISNUMBER('Klisz-Verbräuche'!I58), 'Klisz-Verbräuche'!I58*Emissionsfaktoren!G58/1000, 0)</f>
        <v>0</v>
      </c>
      <c r="I223" s="14">
        <f>IF(ISNUMBER('Klisz-Verbräuche'!J58), 'Klisz-Verbräuche'!J58*Emissionsfaktoren!H58/1000, 0)</f>
        <v>0</v>
      </c>
      <c r="J223" s="14">
        <f>IF(ISNUMBER('Klisz-Verbräuche'!K58), 'Klisz-Verbräuche'!K58*Emissionsfaktoren!I58/1000, 0)</f>
        <v>0</v>
      </c>
      <c r="K223" s="14">
        <f>IF(ISNUMBER('Klisz-Verbräuche'!L58), 'Klisz-Verbräuche'!L58*Emissionsfaktoren!J58/1000, 0)</f>
        <v>0</v>
      </c>
      <c r="L223" s="14">
        <f>IF(ISNUMBER('Klisz-Verbräuche'!M58), 'Klisz-Verbräuche'!M58*Emissionsfaktoren!K58/1000, 0)</f>
        <v>0</v>
      </c>
      <c r="M223" s="14">
        <f>IF(ISNUMBER('Klisz-Verbräuche'!N58), 'Klisz-Verbräuche'!N58*Emissionsfaktoren!L58/1000, 0)</f>
        <v>0</v>
      </c>
      <c r="N223" s="14">
        <f>IF(ISNUMBER('Klisz-Verbräuche'!O58), 'Klisz-Verbräuche'!O58*Emissionsfaktoren!M58/1000, 0)</f>
        <v>0</v>
      </c>
      <c r="O223" s="14">
        <f>IF(ISNUMBER('Klisz-Verbräuche'!P58), 'Klisz-Verbräuche'!P58*Emissionsfaktoren!N58/1000, 0)</f>
        <v>0</v>
      </c>
      <c r="P223" s="14">
        <f>IF(ISNUMBER('Klisz-Verbräuche'!Q58), 'Klisz-Verbräuche'!Q58*Emissionsfaktoren!O58/1000, 0)</f>
        <v>0</v>
      </c>
      <c r="Q223" s="14">
        <f>IF(ISNUMBER('Klisz-Verbräuche'!R58), 'Klisz-Verbräuche'!R58*Emissionsfaktoren!P58/1000, 0)</f>
        <v>0</v>
      </c>
      <c r="R223" s="14">
        <f>IF(ISNUMBER('Klisz-Verbräuche'!S58), 'Klisz-Verbräuche'!S58*Emissionsfaktoren!Q58/1000, 0)</f>
        <v>0</v>
      </c>
      <c r="S223" s="14">
        <f>IF(ISNUMBER('Klisz-Verbräuche'!T58), 'Klisz-Verbräuche'!T58*Emissionsfaktoren!R58/1000, 0)</f>
        <v>0</v>
      </c>
      <c r="T223" s="14">
        <f>IF(ISNUMBER('Klisz-Verbräuche'!U58), 'Klisz-Verbräuche'!U58*Emissionsfaktoren!S58/1000, 0)</f>
        <v>0</v>
      </c>
      <c r="U223" s="14">
        <f>IF(ISNUMBER('Klisz-Verbräuche'!V58), 'Klisz-Verbräuche'!V58*Emissionsfaktoren!T58/1000, 0)</f>
        <v>0</v>
      </c>
      <c r="V223" s="14">
        <f>IF(ISNUMBER('Klisz-Verbräuche'!W58), 'Klisz-Verbräuche'!W58*Emissionsfaktoren!U58/1000, 0)</f>
        <v>0</v>
      </c>
      <c r="W223" s="14">
        <f>IF(ISNUMBER('Klisz-Verbräuche'!X58), 'Klisz-Verbräuche'!X58*Emissionsfaktoren!V58/1000, 0)</f>
        <v>0</v>
      </c>
      <c r="X223" s="14">
        <f>IF(ISNUMBER('Klisz-Verbräuche'!Y58), 'Klisz-Verbräuche'!Y58*Emissionsfaktoren!W58/1000, 0)</f>
        <v>0</v>
      </c>
      <c r="Y223" s="14">
        <f>IF(ISNUMBER('Klisz-Verbräuche'!Z58), 'Klisz-Verbräuche'!Z58*Emissionsfaktoren!X58/1000, 0)</f>
        <v>0</v>
      </c>
    </row>
    <row r="224" spans="2:25" ht="16.5">
      <c r="B224" s="14">
        <v>42</v>
      </c>
      <c r="C224" s="14" t="str">
        <f>'Refsz-Verbräuche'!C59</f>
        <v>Mobilität 1</v>
      </c>
      <c r="D224" s="19" t="str">
        <f>'Refsz-Verbräuche'!D59</f>
        <v>DR - Linienbus (Nahverkehr)</v>
      </c>
      <c r="E224" t="s">
        <v>195</v>
      </c>
      <c r="F224" s="14">
        <f>IF(ISNUMBER('Klisz-Verbräuche'!G59), 'Klisz-Verbräuche'!G59*Emissionsfaktoren!E59/1000, 0)</f>
        <v>0</v>
      </c>
      <c r="G224" s="14">
        <f>IF(ISNUMBER('Klisz-Verbräuche'!H59), 'Klisz-Verbräuche'!H59*Emissionsfaktoren!F59/1000, 0)</f>
        <v>0</v>
      </c>
      <c r="H224" s="14">
        <f>IF(ISNUMBER('Klisz-Verbräuche'!I59), 'Klisz-Verbräuche'!I59*Emissionsfaktoren!G59/1000, 0)</f>
        <v>0</v>
      </c>
      <c r="I224" s="14">
        <f>IF(ISNUMBER('Klisz-Verbräuche'!J59), 'Klisz-Verbräuche'!J59*Emissionsfaktoren!H59/1000, 0)</f>
        <v>0</v>
      </c>
      <c r="J224" s="14">
        <f>IF(ISNUMBER('Klisz-Verbräuche'!K59), 'Klisz-Verbräuche'!K59*Emissionsfaktoren!I59/1000, 0)</f>
        <v>0</v>
      </c>
      <c r="K224" s="14">
        <f>IF(ISNUMBER('Klisz-Verbräuche'!L59), 'Klisz-Verbräuche'!L59*Emissionsfaktoren!J59/1000, 0)</f>
        <v>0</v>
      </c>
      <c r="L224" s="14">
        <f>IF(ISNUMBER('Klisz-Verbräuche'!M59), 'Klisz-Verbräuche'!M59*Emissionsfaktoren!K59/1000, 0)</f>
        <v>0</v>
      </c>
      <c r="M224" s="14">
        <f>IF(ISNUMBER('Klisz-Verbräuche'!N59), 'Klisz-Verbräuche'!N59*Emissionsfaktoren!L59/1000, 0)</f>
        <v>0</v>
      </c>
      <c r="N224" s="14">
        <f>IF(ISNUMBER('Klisz-Verbräuche'!O59), 'Klisz-Verbräuche'!O59*Emissionsfaktoren!M59/1000, 0)</f>
        <v>0</v>
      </c>
      <c r="O224" s="14">
        <f>IF(ISNUMBER('Klisz-Verbräuche'!P59), 'Klisz-Verbräuche'!P59*Emissionsfaktoren!N59/1000, 0)</f>
        <v>0</v>
      </c>
      <c r="P224" s="14">
        <f>IF(ISNUMBER('Klisz-Verbräuche'!Q59), 'Klisz-Verbräuche'!Q59*Emissionsfaktoren!O59/1000, 0)</f>
        <v>0</v>
      </c>
      <c r="Q224" s="14">
        <f>IF(ISNUMBER('Klisz-Verbräuche'!R59), 'Klisz-Verbräuche'!R59*Emissionsfaktoren!P59/1000, 0)</f>
        <v>0</v>
      </c>
      <c r="R224" s="14">
        <f>IF(ISNUMBER('Klisz-Verbräuche'!S59), 'Klisz-Verbräuche'!S59*Emissionsfaktoren!Q59/1000, 0)</f>
        <v>0</v>
      </c>
      <c r="S224" s="14">
        <f>IF(ISNUMBER('Klisz-Verbräuche'!T59), 'Klisz-Verbräuche'!T59*Emissionsfaktoren!R59/1000, 0)</f>
        <v>0</v>
      </c>
      <c r="T224" s="14">
        <f>IF(ISNUMBER('Klisz-Verbräuche'!U59), 'Klisz-Verbräuche'!U59*Emissionsfaktoren!S59/1000, 0)</f>
        <v>0</v>
      </c>
      <c r="U224" s="14">
        <f>IF(ISNUMBER('Klisz-Verbräuche'!V59), 'Klisz-Verbräuche'!V59*Emissionsfaktoren!T59/1000, 0)</f>
        <v>0</v>
      </c>
      <c r="V224" s="14">
        <f>IF(ISNUMBER('Klisz-Verbräuche'!W59), 'Klisz-Verbräuche'!W59*Emissionsfaktoren!U59/1000, 0)</f>
        <v>0</v>
      </c>
      <c r="W224" s="14">
        <f>IF(ISNUMBER('Klisz-Verbräuche'!X59), 'Klisz-Verbräuche'!X59*Emissionsfaktoren!V59/1000, 0)</f>
        <v>0</v>
      </c>
      <c r="X224" s="14">
        <f>IF(ISNUMBER('Klisz-Verbräuche'!Y59), 'Klisz-Verbräuche'!Y59*Emissionsfaktoren!W59/1000, 0)</f>
        <v>0</v>
      </c>
      <c r="Y224" s="14">
        <f>IF(ISNUMBER('Klisz-Verbräuche'!Z59), 'Klisz-Verbräuche'!Z59*Emissionsfaktoren!X59/1000, 0)</f>
        <v>0</v>
      </c>
    </row>
    <row r="225" spans="2:25" ht="16.5">
      <c r="B225" s="14">
        <v>43</v>
      </c>
      <c r="C225" s="14" t="str">
        <f>'Refsz-Verbräuche'!C60</f>
        <v>Mobilität 1</v>
      </c>
      <c r="D225" s="19" t="str">
        <f>'Refsz-Verbräuche'!D60</f>
        <v>DR - Privater PKW (alle Antriebsarten)</v>
      </c>
      <c r="E225" t="s">
        <v>195</v>
      </c>
      <c r="F225" s="14">
        <f>IF(ISNUMBER('Klisz-Verbräuche'!G60), 'Klisz-Verbräuche'!G60*Emissionsfaktoren!E60/1000, 0)</f>
        <v>0</v>
      </c>
      <c r="G225" s="14">
        <f>IF(ISNUMBER('Klisz-Verbräuche'!H60), 'Klisz-Verbräuche'!H60*Emissionsfaktoren!F60/1000, 0)</f>
        <v>0</v>
      </c>
      <c r="H225" s="14">
        <f>IF(ISNUMBER('Klisz-Verbräuche'!I60), 'Klisz-Verbräuche'!I60*Emissionsfaktoren!G60/1000, 0)</f>
        <v>0</v>
      </c>
      <c r="I225" s="14">
        <f>IF(ISNUMBER('Klisz-Verbräuche'!J60), 'Klisz-Verbräuche'!J60*Emissionsfaktoren!H60/1000, 0)</f>
        <v>0</v>
      </c>
      <c r="J225" s="14">
        <f>IF(ISNUMBER('Klisz-Verbräuche'!K60), 'Klisz-Verbräuche'!K60*Emissionsfaktoren!I60/1000, 0)</f>
        <v>0</v>
      </c>
      <c r="K225" s="14">
        <f>IF(ISNUMBER('Klisz-Verbräuche'!L60), 'Klisz-Verbräuche'!L60*Emissionsfaktoren!J60/1000, 0)</f>
        <v>0</v>
      </c>
      <c r="L225" s="14">
        <f>IF(ISNUMBER('Klisz-Verbräuche'!M60), 'Klisz-Verbräuche'!M60*Emissionsfaktoren!K60/1000, 0)</f>
        <v>0</v>
      </c>
      <c r="M225" s="14">
        <f>IF(ISNUMBER('Klisz-Verbräuche'!N60), 'Klisz-Verbräuche'!N60*Emissionsfaktoren!L60/1000, 0)</f>
        <v>0</v>
      </c>
      <c r="N225" s="14">
        <f>IF(ISNUMBER('Klisz-Verbräuche'!O60), 'Klisz-Verbräuche'!O60*Emissionsfaktoren!M60/1000, 0)</f>
        <v>0</v>
      </c>
      <c r="O225" s="14">
        <f>IF(ISNUMBER('Klisz-Verbräuche'!P60), 'Klisz-Verbräuche'!P60*Emissionsfaktoren!N60/1000, 0)</f>
        <v>0</v>
      </c>
      <c r="P225" s="14">
        <f>IF(ISNUMBER('Klisz-Verbräuche'!Q60), 'Klisz-Verbräuche'!Q60*Emissionsfaktoren!O60/1000, 0)</f>
        <v>0</v>
      </c>
      <c r="Q225" s="14">
        <f>IF(ISNUMBER('Klisz-Verbräuche'!R60), 'Klisz-Verbräuche'!R60*Emissionsfaktoren!P60/1000, 0)</f>
        <v>0</v>
      </c>
      <c r="R225" s="14">
        <f>IF(ISNUMBER('Klisz-Verbräuche'!S60), 'Klisz-Verbräuche'!S60*Emissionsfaktoren!Q60/1000, 0)</f>
        <v>0</v>
      </c>
      <c r="S225" s="14">
        <f>IF(ISNUMBER('Klisz-Verbräuche'!T60), 'Klisz-Verbräuche'!T60*Emissionsfaktoren!R60/1000, 0)</f>
        <v>0</v>
      </c>
      <c r="T225" s="14">
        <f>IF(ISNUMBER('Klisz-Verbräuche'!U60), 'Klisz-Verbräuche'!U60*Emissionsfaktoren!S60/1000, 0)</f>
        <v>0</v>
      </c>
      <c r="U225" s="14">
        <f>IF(ISNUMBER('Klisz-Verbräuche'!V60), 'Klisz-Verbräuche'!V60*Emissionsfaktoren!T60/1000, 0)</f>
        <v>0</v>
      </c>
      <c r="V225" s="14">
        <f>IF(ISNUMBER('Klisz-Verbräuche'!W60), 'Klisz-Verbräuche'!W60*Emissionsfaktoren!U60/1000, 0)</f>
        <v>0</v>
      </c>
      <c r="W225" s="14">
        <f>IF(ISNUMBER('Klisz-Verbräuche'!X60), 'Klisz-Verbräuche'!X60*Emissionsfaktoren!V60/1000, 0)</f>
        <v>0</v>
      </c>
      <c r="X225" s="14">
        <f>IF(ISNUMBER('Klisz-Verbräuche'!Y60), 'Klisz-Verbräuche'!Y60*Emissionsfaktoren!W60/1000, 0)</f>
        <v>0</v>
      </c>
      <c r="Y225" s="14">
        <f>IF(ISNUMBER('Klisz-Verbräuche'!Z60), 'Klisz-Verbräuche'!Z60*Emissionsfaktoren!X60/1000, 0)</f>
        <v>0</v>
      </c>
    </row>
    <row r="226" spans="2:25" ht="16.5">
      <c r="B226" s="14">
        <v>44</v>
      </c>
      <c r="C226" s="14" t="str">
        <f>'Refsz-Verbräuche'!C61</f>
        <v>Mobilität 1</v>
      </c>
      <c r="D226" s="19" t="str">
        <f>'Refsz-Verbräuche'!D61</f>
        <v>DR - Privater PKW (Diesel)</v>
      </c>
      <c r="E226" t="s">
        <v>195</v>
      </c>
      <c r="F226" s="14">
        <f>IF(ISNUMBER('Klisz-Verbräuche'!G61), 'Klisz-Verbräuche'!G61*Emissionsfaktoren!E61/1000, 0)</f>
        <v>0</v>
      </c>
      <c r="G226" s="14">
        <f>IF(ISNUMBER('Klisz-Verbräuche'!H61), 'Klisz-Verbräuche'!H61*Emissionsfaktoren!F61/1000, 0)</f>
        <v>0</v>
      </c>
      <c r="H226" s="14">
        <f>IF(ISNUMBER('Klisz-Verbräuche'!I61), 'Klisz-Verbräuche'!I61*Emissionsfaktoren!G61/1000, 0)</f>
        <v>0</v>
      </c>
      <c r="I226" s="14">
        <f>IF(ISNUMBER('Klisz-Verbräuche'!J61), 'Klisz-Verbräuche'!J61*Emissionsfaktoren!H61/1000, 0)</f>
        <v>0</v>
      </c>
      <c r="J226" s="14">
        <f>IF(ISNUMBER('Klisz-Verbräuche'!K61), 'Klisz-Verbräuche'!K61*Emissionsfaktoren!I61/1000, 0)</f>
        <v>0</v>
      </c>
      <c r="K226" s="14">
        <f>IF(ISNUMBER('Klisz-Verbräuche'!L61), 'Klisz-Verbräuche'!L61*Emissionsfaktoren!J61/1000, 0)</f>
        <v>0</v>
      </c>
      <c r="L226" s="14">
        <f>IF(ISNUMBER('Klisz-Verbräuche'!M61), 'Klisz-Verbräuche'!M61*Emissionsfaktoren!K61/1000, 0)</f>
        <v>0</v>
      </c>
      <c r="M226" s="14">
        <f>IF(ISNUMBER('Klisz-Verbräuche'!N61), 'Klisz-Verbräuche'!N61*Emissionsfaktoren!L61/1000, 0)</f>
        <v>0</v>
      </c>
      <c r="N226" s="14">
        <f>IF(ISNUMBER('Klisz-Verbräuche'!O61), 'Klisz-Verbräuche'!O61*Emissionsfaktoren!M61/1000, 0)</f>
        <v>0</v>
      </c>
      <c r="O226" s="14">
        <f>IF(ISNUMBER('Klisz-Verbräuche'!P61), 'Klisz-Verbräuche'!P61*Emissionsfaktoren!N61/1000, 0)</f>
        <v>0</v>
      </c>
      <c r="P226" s="14">
        <f>IF(ISNUMBER('Klisz-Verbräuche'!Q61), 'Klisz-Verbräuche'!Q61*Emissionsfaktoren!O61/1000, 0)</f>
        <v>0</v>
      </c>
      <c r="Q226" s="14">
        <f>IF(ISNUMBER('Klisz-Verbräuche'!R61), 'Klisz-Verbräuche'!R61*Emissionsfaktoren!P61/1000, 0)</f>
        <v>0</v>
      </c>
      <c r="R226" s="14">
        <f>IF(ISNUMBER('Klisz-Verbräuche'!S61), 'Klisz-Verbräuche'!S61*Emissionsfaktoren!Q61/1000, 0)</f>
        <v>0</v>
      </c>
      <c r="S226" s="14">
        <f>IF(ISNUMBER('Klisz-Verbräuche'!T61), 'Klisz-Verbräuche'!T61*Emissionsfaktoren!R61/1000, 0)</f>
        <v>0</v>
      </c>
      <c r="T226" s="14">
        <f>IF(ISNUMBER('Klisz-Verbräuche'!U61), 'Klisz-Verbräuche'!U61*Emissionsfaktoren!S61/1000, 0)</f>
        <v>0</v>
      </c>
      <c r="U226" s="14">
        <f>IF(ISNUMBER('Klisz-Verbräuche'!V61), 'Klisz-Verbräuche'!V61*Emissionsfaktoren!T61/1000, 0)</f>
        <v>0</v>
      </c>
      <c r="V226" s="14">
        <f>IF(ISNUMBER('Klisz-Verbräuche'!W61), 'Klisz-Verbräuche'!W61*Emissionsfaktoren!U61/1000, 0)</f>
        <v>0</v>
      </c>
      <c r="W226" s="14">
        <f>IF(ISNUMBER('Klisz-Verbräuche'!X61), 'Klisz-Verbräuche'!X61*Emissionsfaktoren!V61/1000, 0)</f>
        <v>0</v>
      </c>
      <c r="X226" s="14">
        <f>IF(ISNUMBER('Klisz-Verbräuche'!Y61), 'Klisz-Verbräuche'!Y61*Emissionsfaktoren!W61/1000, 0)</f>
        <v>0</v>
      </c>
      <c r="Y226" s="14">
        <f>IF(ISNUMBER('Klisz-Verbräuche'!Z61), 'Klisz-Verbräuche'!Z61*Emissionsfaktoren!X61/1000, 0)</f>
        <v>0</v>
      </c>
    </row>
    <row r="227" spans="2:25" ht="16.5">
      <c r="B227" s="14">
        <v>45</v>
      </c>
      <c r="C227" s="14" t="str">
        <f>'Refsz-Verbräuche'!C62</f>
        <v>Mobilität 1</v>
      </c>
      <c r="D227" s="19" t="str">
        <f>'Refsz-Verbräuche'!D62</f>
        <v>DR - Privater PKW (Benzin)</v>
      </c>
      <c r="E227" t="s">
        <v>195</v>
      </c>
      <c r="F227" s="14">
        <f>IF(ISNUMBER('Klisz-Verbräuche'!G62), 'Klisz-Verbräuche'!G62*Emissionsfaktoren!E62/1000, 0)</f>
        <v>0</v>
      </c>
      <c r="G227" s="14">
        <f>IF(ISNUMBER('Klisz-Verbräuche'!H62), 'Klisz-Verbräuche'!H62*Emissionsfaktoren!F62/1000, 0)</f>
        <v>0</v>
      </c>
      <c r="H227" s="14">
        <f>IF(ISNUMBER('Klisz-Verbräuche'!I62), 'Klisz-Verbräuche'!I62*Emissionsfaktoren!G62/1000, 0)</f>
        <v>0</v>
      </c>
      <c r="I227" s="14">
        <f>IF(ISNUMBER('Klisz-Verbräuche'!J62), 'Klisz-Verbräuche'!J62*Emissionsfaktoren!H62/1000, 0)</f>
        <v>0</v>
      </c>
      <c r="J227" s="14">
        <f>IF(ISNUMBER('Klisz-Verbräuche'!K62), 'Klisz-Verbräuche'!K62*Emissionsfaktoren!I62/1000, 0)</f>
        <v>0</v>
      </c>
      <c r="K227" s="14">
        <f>IF(ISNUMBER('Klisz-Verbräuche'!L62), 'Klisz-Verbräuche'!L62*Emissionsfaktoren!J62/1000, 0)</f>
        <v>0</v>
      </c>
      <c r="L227" s="14">
        <f>IF(ISNUMBER('Klisz-Verbräuche'!M62), 'Klisz-Verbräuche'!M62*Emissionsfaktoren!K62/1000, 0)</f>
        <v>0</v>
      </c>
      <c r="M227" s="14">
        <f>IF(ISNUMBER('Klisz-Verbräuche'!N62), 'Klisz-Verbräuche'!N62*Emissionsfaktoren!L62/1000, 0)</f>
        <v>0</v>
      </c>
      <c r="N227" s="14">
        <f>IF(ISNUMBER('Klisz-Verbräuche'!O62), 'Klisz-Verbräuche'!O62*Emissionsfaktoren!M62/1000, 0)</f>
        <v>0</v>
      </c>
      <c r="O227" s="14">
        <f>IF(ISNUMBER('Klisz-Verbräuche'!P62), 'Klisz-Verbräuche'!P62*Emissionsfaktoren!N62/1000, 0)</f>
        <v>0</v>
      </c>
      <c r="P227" s="14">
        <f>IF(ISNUMBER('Klisz-Verbräuche'!Q62), 'Klisz-Verbräuche'!Q62*Emissionsfaktoren!O62/1000, 0)</f>
        <v>0</v>
      </c>
      <c r="Q227" s="14">
        <f>IF(ISNUMBER('Klisz-Verbräuche'!R62), 'Klisz-Verbräuche'!R62*Emissionsfaktoren!P62/1000, 0)</f>
        <v>0</v>
      </c>
      <c r="R227" s="14">
        <f>IF(ISNUMBER('Klisz-Verbräuche'!S62), 'Klisz-Verbräuche'!S62*Emissionsfaktoren!Q62/1000, 0)</f>
        <v>0</v>
      </c>
      <c r="S227" s="14">
        <f>IF(ISNUMBER('Klisz-Verbräuche'!T62), 'Klisz-Verbräuche'!T62*Emissionsfaktoren!R62/1000, 0)</f>
        <v>0</v>
      </c>
      <c r="T227" s="14">
        <f>IF(ISNUMBER('Klisz-Verbräuche'!U62), 'Klisz-Verbräuche'!U62*Emissionsfaktoren!S62/1000, 0)</f>
        <v>0</v>
      </c>
      <c r="U227" s="14">
        <f>IF(ISNUMBER('Klisz-Verbräuche'!V62), 'Klisz-Verbräuche'!V62*Emissionsfaktoren!T62/1000, 0)</f>
        <v>0</v>
      </c>
      <c r="V227" s="14">
        <f>IF(ISNUMBER('Klisz-Verbräuche'!W62), 'Klisz-Verbräuche'!W62*Emissionsfaktoren!U62/1000, 0)</f>
        <v>0</v>
      </c>
      <c r="W227" s="14">
        <f>IF(ISNUMBER('Klisz-Verbräuche'!X62), 'Klisz-Verbräuche'!X62*Emissionsfaktoren!V62/1000, 0)</f>
        <v>0</v>
      </c>
      <c r="X227" s="14">
        <f>IF(ISNUMBER('Klisz-Verbräuche'!Y62), 'Klisz-Verbräuche'!Y62*Emissionsfaktoren!W62/1000, 0)</f>
        <v>0</v>
      </c>
      <c r="Y227" s="14">
        <f>IF(ISNUMBER('Klisz-Verbräuche'!Z62), 'Klisz-Verbräuche'!Z62*Emissionsfaktoren!X62/1000, 0)</f>
        <v>0</v>
      </c>
    </row>
    <row r="228" spans="2:25" ht="16.5">
      <c r="B228" s="14">
        <v>46</v>
      </c>
      <c r="C228" s="14" t="str">
        <f>'Refsz-Verbräuche'!C63</f>
        <v>Mobilität 1</v>
      </c>
      <c r="D228" s="19" t="str">
        <f>'Refsz-Verbräuche'!D63</f>
        <v>DR - Mietwägen (Diesel)</v>
      </c>
      <c r="E228" t="s">
        <v>195</v>
      </c>
      <c r="F228" s="14">
        <f>IF(ISNUMBER('Klisz-Verbräuche'!G63), 'Klisz-Verbräuche'!G63*Emissionsfaktoren!E63/1000, 0)</f>
        <v>0</v>
      </c>
      <c r="G228" s="14">
        <f>IF(ISNUMBER('Klisz-Verbräuche'!H63), 'Klisz-Verbräuche'!H63*Emissionsfaktoren!F63/1000, 0)</f>
        <v>0</v>
      </c>
      <c r="H228" s="14">
        <f>IF(ISNUMBER('Klisz-Verbräuche'!I63), 'Klisz-Verbräuche'!I63*Emissionsfaktoren!G63/1000, 0)</f>
        <v>0</v>
      </c>
      <c r="I228" s="14">
        <f>IF(ISNUMBER('Klisz-Verbräuche'!J63), 'Klisz-Verbräuche'!J63*Emissionsfaktoren!H63/1000, 0)</f>
        <v>0</v>
      </c>
      <c r="J228" s="14">
        <f>IF(ISNUMBER('Klisz-Verbräuche'!K63), 'Klisz-Verbräuche'!K63*Emissionsfaktoren!I63/1000, 0)</f>
        <v>0</v>
      </c>
      <c r="K228" s="14">
        <f>IF(ISNUMBER('Klisz-Verbräuche'!L63), 'Klisz-Verbräuche'!L63*Emissionsfaktoren!J63/1000, 0)</f>
        <v>0</v>
      </c>
      <c r="L228" s="14">
        <f>IF(ISNUMBER('Klisz-Verbräuche'!M63), 'Klisz-Verbräuche'!M63*Emissionsfaktoren!K63/1000, 0)</f>
        <v>0</v>
      </c>
      <c r="M228" s="14">
        <f>IF(ISNUMBER('Klisz-Verbräuche'!N63), 'Klisz-Verbräuche'!N63*Emissionsfaktoren!L63/1000, 0)</f>
        <v>0</v>
      </c>
      <c r="N228" s="14">
        <f>IF(ISNUMBER('Klisz-Verbräuche'!O63), 'Klisz-Verbräuche'!O63*Emissionsfaktoren!M63/1000, 0)</f>
        <v>0</v>
      </c>
      <c r="O228" s="14">
        <f>IF(ISNUMBER('Klisz-Verbräuche'!P63), 'Klisz-Verbräuche'!P63*Emissionsfaktoren!N63/1000, 0)</f>
        <v>0</v>
      </c>
      <c r="P228" s="14">
        <f>IF(ISNUMBER('Klisz-Verbräuche'!Q63), 'Klisz-Verbräuche'!Q63*Emissionsfaktoren!O63/1000, 0)</f>
        <v>0</v>
      </c>
      <c r="Q228" s="14">
        <f>IF(ISNUMBER('Klisz-Verbräuche'!R63), 'Klisz-Verbräuche'!R63*Emissionsfaktoren!P63/1000, 0)</f>
        <v>0</v>
      </c>
      <c r="R228" s="14">
        <f>IF(ISNUMBER('Klisz-Verbräuche'!S63), 'Klisz-Verbräuche'!S63*Emissionsfaktoren!Q63/1000, 0)</f>
        <v>0</v>
      </c>
      <c r="S228" s="14">
        <f>IF(ISNUMBER('Klisz-Verbräuche'!T63), 'Klisz-Verbräuche'!T63*Emissionsfaktoren!R63/1000, 0)</f>
        <v>0</v>
      </c>
      <c r="T228" s="14">
        <f>IF(ISNUMBER('Klisz-Verbräuche'!U63), 'Klisz-Verbräuche'!U63*Emissionsfaktoren!S63/1000, 0)</f>
        <v>0</v>
      </c>
      <c r="U228" s="14">
        <f>IF(ISNUMBER('Klisz-Verbräuche'!V63), 'Klisz-Verbräuche'!V63*Emissionsfaktoren!T63/1000, 0)</f>
        <v>0</v>
      </c>
      <c r="V228" s="14">
        <f>IF(ISNUMBER('Klisz-Verbräuche'!W63), 'Klisz-Verbräuche'!W63*Emissionsfaktoren!U63/1000, 0)</f>
        <v>0</v>
      </c>
      <c r="W228" s="14">
        <f>IF(ISNUMBER('Klisz-Verbräuche'!X63), 'Klisz-Verbräuche'!X63*Emissionsfaktoren!V63/1000, 0)</f>
        <v>0</v>
      </c>
      <c r="X228" s="14">
        <f>IF(ISNUMBER('Klisz-Verbräuche'!Y63), 'Klisz-Verbräuche'!Y63*Emissionsfaktoren!W63/1000, 0)</f>
        <v>0</v>
      </c>
      <c r="Y228" s="14">
        <f>IF(ISNUMBER('Klisz-Verbräuche'!Z63), 'Klisz-Verbräuche'!Z63*Emissionsfaktoren!X63/1000, 0)</f>
        <v>0</v>
      </c>
    </row>
    <row r="229" spans="2:25" ht="16.5">
      <c r="B229" s="14">
        <v>47</v>
      </c>
      <c r="C229" s="14" t="str">
        <f>'Refsz-Verbräuche'!C64</f>
        <v>Mobilität 1</v>
      </c>
      <c r="D229" s="19" t="str">
        <f>'Refsz-Verbräuche'!D64</f>
        <v>DR - Mietwägen (Benzin)</v>
      </c>
      <c r="E229" t="s">
        <v>195</v>
      </c>
      <c r="F229" s="14">
        <f>IF(ISNUMBER('Klisz-Verbräuche'!G64), 'Klisz-Verbräuche'!G64*Emissionsfaktoren!E64/1000, 0)</f>
        <v>0</v>
      </c>
      <c r="G229" s="14">
        <f>IF(ISNUMBER('Klisz-Verbräuche'!H64), 'Klisz-Verbräuche'!H64*Emissionsfaktoren!F64/1000, 0)</f>
        <v>0</v>
      </c>
      <c r="H229" s="14">
        <f>IF(ISNUMBER('Klisz-Verbräuche'!I64), 'Klisz-Verbräuche'!I64*Emissionsfaktoren!G64/1000, 0)</f>
        <v>0</v>
      </c>
      <c r="I229" s="14">
        <f>IF(ISNUMBER('Klisz-Verbräuche'!J64), 'Klisz-Verbräuche'!J64*Emissionsfaktoren!H64/1000, 0)</f>
        <v>0</v>
      </c>
      <c r="J229" s="14">
        <f>IF(ISNUMBER('Klisz-Verbräuche'!K64), 'Klisz-Verbräuche'!K64*Emissionsfaktoren!I64/1000, 0)</f>
        <v>0</v>
      </c>
      <c r="K229" s="14">
        <f>IF(ISNUMBER('Klisz-Verbräuche'!L64), 'Klisz-Verbräuche'!L64*Emissionsfaktoren!J64/1000, 0)</f>
        <v>0</v>
      </c>
      <c r="L229" s="14">
        <f>IF(ISNUMBER('Klisz-Verbräuche'!M64), 'Klisz-Verbräuche'!M64*Emissionsfaktoren!K64/1000, 0)</f>
        <v>0</v>
      </c>
      <c r="M229" s="14">
        <f>IF(ISNUMBER('Klisz-Verbräuche'!N64), 'Klisz-Verbräuche'!N64*Emissionsfaktoren!L64/1000, 0)</f>
        <v>0</v>
      </c>
      <c r="N229" s="14">
        <f>IF(ISNUMBER('Klisz-Verbräuche'!O64), 'Klisz-Verbräuche'!O64*Emissionsfaktoren!M64/1000, 0)</f>
        <v>0</v>
      </c>
      <c r="O229" s="14">
        <f>IF(ISNUMBER('Klisz-Verbräuche'!P64), 'Klisz-Verbräuche'!P64*Emissionsfaktoren!N64/1000, 0)</f>
        <v>0</v>
      </c>
      <c r="P229" s="14">
        <f>IF(ISNUMBER('Klisz-Verbräuche'!Q64), 'Klisz-Verbräuche'!Q64*Emissionsfaktoren!O64/1000, 0)</f>
        <v>0</v>
      </c>
      <c r="Q229" s="14">
        <f>IF(ISNUMBER('Klisz-Verbräuche'!R64), 'Klisz-Verbräuche'!R64*Emissionsfaktoren!P64/1000, 0)</f>
        <v>0</v>
      </c>
      <c r="R229" s="14">
        <f>IF(ISNUMBER('Klisz-Verbräuche'!S64), 'Klisz-Verbräuche'!S64*Emissionsfaktoren!Q64/1000, 0)</f>
        <v>0</v>
      </c>
      <c r="S229" s="14">
        <f>IF(ISNUMBER('Klisz-Verbräuche'!T64), 'Klisz-Verbräuche'!T64*Emissionsfaktoren!R64/1000, 0)</f>
        <v>0</v>
      </c>
      <c r="T229" s="14">
        <f>IF(ISNUMBER('Klisz-Verbräuche'!U64), 'Klisz-Verbräuche'!U64*Emissionsfaktoren!S64/1000, 0)</f>
        <v>0</v>
      </c>
      <c r="U229" s="14">
        <f>IF(ISNUMBER('Klisz-Verbräuche'!V64), 'Klisz-Verbräuche'!V64*Emissionsfaktoren!T64/1000, 0)</f>
        <v>0</v>
      </c>
      <c r="V229" s="14">
        <f>IF(ISNUMBER('Klisz-Verbräuche'!W64), 'Klisz-Verbräuche'!W64*Emissionsfaktoren!U64/1000, 0)</f>
        <v>0</v>
      </c>
      <c r="W229" s="14">
        <f>IF(ISNUMBER('Klisz-Verbräuche'!X64), 'Klisz-Verbräuche'!X64*Emissionsfaktoren!V64/1000, 0)</f>
        <v>0</v>
      </c>
      <c r="X229" s="14">
        <f>IF(ISNUMBER('Klisz-Verbräuche'!Y64), 'Klisz-Verbräuche'!Y64*Emissionsfaktoren!W64/1000, 0)</f>
        <v>0</v>
      </c>
      <c r="Y229" s="14">
        <f>IF(ISNUMBER('Klisz-Verbräuche'!Z64), 'Klisz-Verbräuche'!Z64*Emissionsfaktoren!X64/1000, 0)</f>
        <v>0</v>
      </c>
    </row>
    <row r="230" spans="2:25" ht="16.5">
      <c r="B230" s="14">
        <v>48</v>
      </c>
      <c r="C230" s="14" t="str">
        <f>'Refsz-Verbräuche'!C65</f>
        <v>Mobilität 1</v>
      </c>
      <c r="D230" s="19" t="str">
        <f>'Refsz-Verbräuche'!D65</f>
        <v>DR - Mietwägen (E-Auto/ BEV)</v>
      </c>
      <c r="E230" t="s">
        <v>195</v>
      </c>
      <c r="F230" s="14">
        <f>IF(ISNUMBER('Klisz-Verbräuche'!G65), 'Klisz-Verbräuche'!G65*Emissionsfaktoren!E65/1000, 0)</f>
        <v>0</v>
      </c>
      <c r="G230" s="14">
        <f>IF(ISNUMBER('Klisz-Verbräuche'!H65), 'Klisz-Verbräuche'!H65*Emissionsfaktoren!F65/1000, 0)</f>
        <v>0</v>
      </c>
      <c r="H230" s="14">
        <f>IF(ISNUMBER('Klisz-Verbräuche'!I65), 'Klisz-Verbräuche'!I65*Emissionsfaktoren!G65/1000, 0)</f>
        <v>0</v>
      </c>
      <c r="I230" s="14">
        <f>IF(ISNUMBER('Klisz-Verbräuche'!J65), 'Klisz-Verbräuche'!J65*Emissionsfaktoren!H65/1000, 0)</f>
        <v>0</v>
      </c>
      <c r="J230" s="14">
        <f>IF(ISNUMBER('Klisz-Verbräuche'!K65), 'Klisz-Verbräuche'!K65*Emissionsfaktoren!I65/1000, 0)</f>
        <v>0</v>
      </c>
      <c r="K230" s="14">
        <f>IF(ISNUMBER('Klisz-Verbräuche'!L65), 'Klisz-Verbräuche'!L65*Emissionsfaktoren!J65/1000, 0)</f>
        <v>0</v>
      </c>
      <c r="L230" s="14">
        <f>IF(ISNUMBER('Klisz-Verbräuche'!M65), 'Klisz-Verbräuche'!M65*Emissionsfaktoren!K65/1000, 0)</f>
        <v>0</v>
      </c>
      <c r="M230" s="14">
        <f>IF(ISNUMBER('Klisz-Verbräuche'!N65), 'Klisz-Verbräuche'!N65*Emissionsfaktoren!L65/1000, 0)</f>
        <v>0</v>
      </c>
      <c r="N230" s="14">
        <f>IF(ISNUMBER('Klisz-Verbräuche'!O65), 'Klisz-Verbräuche'!O65*Emissionsfaktoren!M65/1000, 0)</f>
        <v>0</v>
      </c>
      <c r="O230" s="14">
        <f>IF(ISNUMBER('Klisz-Verbräuche'!P65), 'Klisz-Verbräuche'!P65*Emissionsfaktoren!N65/1000, 0)</f>
        <v>0</v>
      </c>
      <c r="P230" s="14">
        <f>IF(ISNUMBER('Klisz-Verbräuche'!Q65), 'Klisz-Verbräuche'!Q65*Emissionsfaktoren!O65/1000, 0)</f>
        <v>0</v>
      </c>
      <c r="Q230" s="14">
        <f>IF(ISNUMBER('Klisz-Verbräuche'!R65), 'Klisz-Verbräuche'!R65*Emissionsfaktoren!P65/1000, 0)</f>
        <v>0</v>
      </c>
      <c r="R230" s="14">
        <f>IF(ISNUMBER('Klisz-Verbräuche'!S65), 'Klisz-Verbräuche'!S65*Emissionsfaktoren!Q65/1000, 0)</f>
        <v>0</v>
      </c>
      <c r="S230" s="14">
        <f>IF(ISNUMBER('Klisz-Verbräuche'!T65), 'Klisz-Verbräuche'!T65*Emissionsfaktoren!R65/1000, 0)</f>
        <v>0</v>
      </c>
      <c r="T230" s="14">
        <f>IF(ISNUMBER('Klisz-Verbräuche'!U65), 'Klisz-Verbräuche'!U65*Emissionsfaktoren!S65/1000, 0)</f>
        <v>0</v>
      </c>
      <c r="U230" s="14">
        <f>IF(ISNUMBER('Klisz-Verbräuche'!V65), 'Klisz-Verbräuche'!V65*Emissionsfaktoren!T65/1000, 0)</f>
        <v>0</v>
      </c>
      <c r="V230" s="14">
        <f>IF(ISNUMBER('Klisz-Verbräuche'!W65), 'Klisz-Verbräuche'!W65*Emissionsfaktoren!U65/1000, 0)</f>
        <v>0</v>
      </c>
      <c r="W230" s="14">
        <f>IF(ISNUMBER('Klisz-Verbräuche'!X65), 'Klisz-Verbräuche'!X65*Emissionsfaktoren!V65/1000, 0)</f>
        <v>0</v>
      </c>
      <c r="X230" s="14">
        <f>IF(ISNUMBER('Klisz-Verbräuche'!Y65), 'Klisz-Verbräuche'!Y65*Emissionsfaktoren!W65/1000, 0)</f>
        <v>0</v>
      </c>
      <c r="Y230" s="14">
        <f>IF(ISNUMBER('Klisz-Verbräuche'!Z65), 'Klisz-Verbräuche'!Z65*Emissionsfaktoren!X65/1000, 0)</f>
        <v>0</v>
      </c>
    </row>
    <row r="231" spans="2:25" ht="16.5">
      <c r="B231" s="14">
        <v>49</v>
      </c>
      <c r="C231" s="14" t="str">
        <f>'Refsz-Verbräuche'!C66</f>
        <v>Mobilität 1</v>
      </c>
      <c r="D231" s="19" t="str">
        <f>'Refsz-Verbräuche'!D66</f>
        <v>DR - Mietwägen (Wasserstoff/ FCEV)</v>
      </c>
      <c r="E231" t="s">
        <v>195</v>
      </c>
      <c r="F231" s="14">
        <f>IF(ISNUMBER('Klisz-Verbräuche'!G66), 'Klisz-Verbräuche'!G66*Emissionsfaktoren!E66/1000, 0)</f>
        <v>0</v>
      </c>
      <c r="G231" s="14">
        <f>IF(ISNUMBER('Klisz-Verbräuche'!H66), 'Klisz-Verbräuche'!H66*Emissionsfaktoren!F66/1000, 0)</f>
        <v>0</v>
      </c>
      <c r="H231" s="14">
        <f>IF(ISNUMBER('Klisz-Verbräuche'!I66), 'Klisz-Verbräuche'!I66*Emissionsfaktoren!G66/1000, 0)</f>
        <v>0</v>
      </c>
      <c r="I231" s="14">
        <f>IF(ISNUMBER('Klisz-Verbräuche'!J66), 'Klisz-Verbräuche'!J66*Emissionsfaktoren!H66/1000, 0)</f>
        <v>0</v>
      </c>
      <c r="J231" s="14">
        <f>IF(ISNUMBER('Klisz-Verbräuche'!K66), 'Klisz-Verbräuche'!K66*Emissionsfaktoren!I66/1000, 0)</f>
        <v>0</v>
      </c>
      <c r="K231" s="14">
        <f>IF(ISNUMBER('Klisz-Verbräuche'!L66), 'Klisz-Verbräuche'!L66*Emissionsfaktoren!J66/1000, 0)</f>
        <v>0</v>
      </c>
      <c r="L231" s="14">
        <f>IF(ISNUMBER('Klisz-Verbräuche'!M66), 'Klisz-Verbräuche'!M66*Emissionsfaktoren!K66/1000, 0)</f>
        <v>0</v>
      </c>
      <c r="M231" s="14">
        <f>IF(ISNUMBER('Klisz-Verbräuche'!N66), 'Klisz-Verbräuche'!N66*Emissionsfaktoren!L66/1000, 0)</f>
        <v>0</v>
      </c>
      <c r="N231" s="14">
        <f>IF(ISNUMBER('Klisz-Verbräuche'!O66), 'Klisz-Verbräuche'!O66*Emissionsfaktoren!M66/1000, 0)</f>
        <v>0</v>
      </c>
      <c r="O231" s="14">
        <f>IF(ISNUMBER('Klisz-Verbräuche'!P66), 'Klisz-Verbräuche'!P66*Emissionsfaktoren!N66/1000, 0)</f>
        <v>0</v>
      </c>
      <c r="P231" s="14">
        <f>IF(ISNUMBER('Klisz-Verbräuche'!Q66), 'Klisz-Verbräuche'!Q66*Emissionsfaktoren!O66/1000, 0)</f>
        <v>0</v>
      </c>
      <c r="Q231" s="14">
        <f>IF(ISNUMBER('Klisz-Verbräuche'!R66), 'Klisz-Verbräuche'!R66*Emissionsfaktoren!P66/1000, 0)</f>
        <v>0</v>
      </c>
      <c r="R231" s="14">
        <f>IF(ISNUMBER('Klisz-Verbräuche'!S66), 'Klisz-Verbräuche'!S66*Emissionsfaktoren!Q66/1000, 0)</f>
        <v>0</v>
      </c>
      <c r="S231" s="14">
        <f>IF(ISNUMBER('Klisz-Verbräuche'!T66), 'Klisz-Verbräuche'!T66*Emissionsfaktoren!R66/1000, 0)</f>
        <v>0</v>
      </c>
      <c r="T231" s="14">
        <f>IF(ISNUMBER('Klisz-Verbräuche'!U66), 'Klisz-Verbräuche'!U66*Emissionsfaktoren!S66/1000, 0)</f>
        <v>0</v>
      </c>
      <c r="U231" s="14">
        <f>IF(ISNUMBER('Klisz-Verbräuche'!V66), 'Klisz-Verbräuche'!V66*Emissionsfaktoren!T66/1000, 0)</f>
        <v>0</v>
      </c>
      <c r="V231" s="14">
        <f>IF(ISNUMBER('Klisz-Verbräuche'!W66), 'Klisz-Verbräuche'!W66*Emissionsfaktoren!U66/1000, 0)</f>
        <v>0</v>
      </c>
      <c r="W231" s="14">
        <f>IF(ISNUMBER('Klisz-Verbräuche'!X66), 'Klisz-Verbräuche'!X66*Emissionsfaktoren!V66/1000, 0)</f>
        <v>0</v>
      </c>
      <c r="X231" s="14">
        <f>IF(ISNUMBER('Klisz-Verbräuche'!Y66), 'Klisz-Verbräuche'!Y66*Emissionsfaktoren!W66/1000, 0)</f>
        <v>0</v>
      </c>
      <c r="Y231" s="14">
        <f>IF(ISNUMBER('Klisz-Verbräuche'!Z66), 'Klisz-Verbräuche'!Z66*Emissionsfaktoren!X66/1000, 0)</f>
        <v>0</v>
      </c>
    </row>
    <row r="232" spans="2:25" ht="16.5">
      <c r="B232" s="14">
        <v>50</v>
      </c>
      <c r="C232" s="14" t="str">
        <f>'Refsz-Verbräuche'!C67</f>
        <v>Mobilität 1</v>
      </c>
      <c r="D232" s="19" t="str">
        <f>'Refsz-Verbräuche'!D67</f>
        <v>DR - Mietwägen (CNG)</v>
      </c>
      <c r="E232" t="s">
        <v>195</v>
      </c>
      <c r="F232" s="14">
        <f>IF(ISNUMBER('Klisz-Verbräuche'!G67), 'Klisz-Verbräuche'!G67*Emissionsfaktoren!E67/1000, 0)</f>
        <v>0</v>
      </c>
      <c r="G232" s="14">
        <f>IF(ISNUMBER('Klisz-Verbräuche'!H67), 'Klisz-Verbräuche'!H67*Emissionsfaktoren!F67/1000, 0)</f>
        <v>0</v>
      </c>
      <c r="H232" s="14">
        <f>IF(ISNUMBER('Klisz-Verbräuche'!I67), 'Klisz-Verbräuche'!I67*Emissionsfaktoren!G67/1000, 0)</f>
        <v>0</v>
      </c>
      <c r="I232" s="14">
        <f>IF(ISNUMBER('Klisz-Verbräuche'!J67), 'Klisz-Verbräuche'!J67*Emissionsfaktoren!H67/1000, 0)</f>
        <v>0</v>
      </c>
      <c r="J232" s="14">
        <f>IF(ISNUMBER('Klisz-Verbräuche'!K67), 'Klisz-Verbräuche'!K67*Emissionsfaktoren!I67/1000, 0)</f>
        <v>0</v>
      </c>
      <c r="K232" s="14">
        <f>IF(ISNUMBER('Klisz-Verbräuche'!L67), 'Klisz-Verbräuche'!L67*Emissionsfaktoren!J67/1000, 0)</f>
        <v>0</v>
      </c>
      <c r="L232" s="14">
        <f>IF(ISNUMBER('Klisz-Verbräuche'!M67), 'Klisz-Verbräuche'!M67*Emissionsfaktoren!K67/1000, 0)</f>
        <v>0</v>
      </c>
      <c r="M232" s="14">
        <f>IF(ISNUMBER('Klisz-Verbräuche'!N67), 'Klisz-Verbräuche'!N67*Emissionsfaktoren!L67/1000, 0)</f>
        <v>0</v>
      </c>
      <c r="N232" s="14">
        <f>IF(ISNUMBER('Klisz-Verbräuche'!O67), 'Klisz-Verbräuche'!O67*Emissionsfaktoren!M67/1000, 0)</f>
        <v>0</v>
      </c>
      <c r="O232" s="14">
        <f>IF(ISNUMBER('Klisz-Verbräuche'!P67), 'Klisz-Verbräuche'!P67*Emissionsfaktoren!N67/1000, 0)</f>
        <v>0</v>
      </c>
      <c r="P232" s="14">
        <f>IF(ISNUMBER('Klisz-Verbräuche'!Q67), 'Klisz-Verbräuche'!Q67*Emissionsfaktoren!O67/1000, 0)</f>
        <v>0</v>
      </c>
      <c r="Q232" s="14">
        <f>IF(ISNUMBER('Klisz-Verbräuche'!R67), 'Klisz-Verbräuche'!R67*Emissionsfaktoren!P67/1000, 0)</f>
        <v>0</v>
      </c>
      <c r="R232" s="14">
        <f>IF(ISNUMBER('Klisz-Verbräuche'!S67), 'Klisz-Verbräuche'!S67*Emissionsfaktoren!Q67/1000, 0)</f>
        <v>0</v>
      </c>
      <c r="S232" s="14">
        <f>IF(ISNUMBER('Klisz-Verbräuche'!T67), 'Klisz-Verbräuche'!T67*Emissionsfaktoren!R67/1000, 0)</f>
        <v>0</v>
      </c>
      <c r="T232" s="14">
        <f>IF(ISNUMBER('Klisz-Verbräuche'!U67), 'Klisz-Verbräuche'!U67*Emissionsfaktoren!S67/1000, 0)</f>
        <v>0</v>
      </c>
      <c r="U232" s="14">
        <f>IF(ISNUMBER('Klisz-Verbräuche'!V67), 'Klisz-Verbräuche'!V67*Emissionsfaktoren!T67/1000, 0)</f>
        <v>0</v>
      </c>
      <c r="V232" s="14">
        <f>IF(ISNUMBER('Klisz-Verbräuche'!W67), 'Klisz-Verbräuche'!W67*Emissionsfaktoren!U67/1000, 0)</f>
        <v>0</v>
      </c>
      <c r="W232" s="14">
        <f>IF(ISNUMBER('Klisz-Verbräuche'!X67), 'Klisz-Verbräuche'!X67*Emissionsfaktoren!V67/1000, 0)</f>
        <v>0</v>
      </c>
      <c r="X232" s="14">
        <f>IF(ISNUMBER('Klisz-Verbräuche'!Y67), 'Klisz-Verbräuche'!Y67*Emissionsfaktoren!W67/1000, 0)</f>
        <v>0</v>
      </c>
      <c r="Y232" s="14">
        <f>IF(ISNUMBER('Klisz-Verbräuche'!Z67), 'Klisz-Verbräuche'!Z67*Emissionsfaktoren!X67/1000, 0)</f>
        <v>0</v>
      </c>
    </row>
    <row r="233" spans="2:25" ht="16.5">
      <c r="B233" s="14">
        <v>51</v>
      </c>
      <c r="C233" s="14" t="str">
        <f>'Refsz-Verbräuche'!C68</f>
        <v>Mobilität 1</v>
      </c>
      <c r="D233" s="19" t="str">
        <f>'Refsz-Verbräuche'!D68</f>
        <v>DR - Mietwägen (Plug-In-Hybrid/ PHEV)</v>
      </c>
      <c r="E233" t="s">
        <v>195</v>
      </c>
      <c r="F233" s="14">
        <f>IF(ISNUMBER('Klisz-Verbräuche'!G68), 'Klisz-Verbräuche'!G68*Emissionsfaktoren!E68/1000, 0)</f>
        <v>0</v>
      </c>
      <c r="G233" s="14">
        <f>IF(ISNUMBER('Klisz-Verbräuche'!H68), 'Klisz-Verbräuche'!H68*Emissionsfaktoren!F68/1000, 0)</f>
        <v>0</v>
      </c>
      <c r="H233" s="14">
        <f>IF(ISNUMBER('Klisz-Verbräuche'!I68), 'Klisz-Verbräuche'!I68*Emissionsfaktoren!G68/1000, 0)</f>
        <v>0</v>
      </c>
      <c r="I233" s="14">
        <f>IF(ISNUMBER('Klisz-Verbräuche'!J68), 'Klisz-Verbräuche'!J68*Emissionsfaktoren!H68/1000, 0)</f>
        <v>0</v>
      </c>
      <c r="J233" s="14">
        <f>IF(ISNUMBER('Klisz-Verbräuche'!K68), 'Klisz-Verbräuche'!K68*Emissionsfaktoren!I68/1000, 0)</f>
        <v>0</v>
      </c>
      <c r="K233" s="14">
        <f>IF(ISNUMBER('Klisz-Verbräuche'!L68), 'Klisz-Verbräuche'!L68*Emissionsfaktoren!J68/1000, 0)</f>
        <v>0</v>
      </c>
      <c r="L233" s="14">
        <f>IF(ISNUMBER('Klisz-Verbräuche'!M68), 'Klisz-Verbräuche'!M68*Emissionsfaktoren!K68/1000, 0)</f>
        <v>0</v>
      </c>
      <c r="M233" s="14">
        <f>IF(ISNUMBER('Klisz-Verbräuche'!N68), 'Klisz-Verbräuche'!N68*Emissionsfaktoren!L68/1000, 0)</f>
        <v>0</v>
      </c>
      <c r="N233" s="14">
        <f>IF(ISNUMBER('Klisz-Verbräuche'!O68), 'Klisz-Verbräuche'!O68*Emissionsfaktoren!M68/1000, 0)</f>
        <v>0</v>
      </c>
      <c r="O233" s="14">
        <f>IF(ISNUMBER('Klisz-Verbräuche'!P68), 'Klisz-Verbräuche'!P68*Emissionsfaktoren!N68/1000, 0)</f>
        <v>0</v>
      </c>
      <c r="P233" s="14">
        <f>IF(ISNUMBER('Klisz-Verbräuche'!Q68), 'Klisz-Verbräuche'!Q68*Emissionsfaktoren!O68/1000, 0)</f>
        <v>0</v>
      </c>
      <c r="Q233" s="14">
        <f>IF(ISNUMBER('Klisz-Verbräuche'!R68), 'Klisz-Verbräuche'!R68*Emissionsfaktoren!P68/1000, 0)</f>
        <v>0</v>
      </c>
      <c r="R233" s="14">
        <f>IF(ISNUMBER('Klisz-Verbräuche'!S68), 'Klisz-Verbräuche'!S68*Emissionsfaktoren!Q68/1000, 0)</f>
        <v>0</v>
      </c>
      <c r="S233" s="14">
        <f>IF(ISNUMBER('Klisz-Verbräuche'!T68), 'Klisz-Verbräuche'!T68*Emissionsfaktoren!R68/1000, 0)</f>
        <v>0</v>
      </c>
      <c r="T233" s="14">
        <f>IF(ISNUMBER('Klisz-Verbräuche'!U68), 'Klisz-Verbräuche'!U68*Emissionsfaktoren!S68/1000, 0)</f>
        <v>0</v>
      </c>
      <c r="U233" s="14">
        <f>IF(ISNUMBER('Klisz-Verbräuche'!V68), 'Klisz-Verbräuche'!V68*Emissionsfaktoren!T68/1000, 0)</f>
        <v>0</v>
      </c>
      <c r="V233" s="14">
        <f>IF(ISNUMBER('Klisz-Verbräuche'!W68), 'Klisz-Verbräuche'!W68*Emissionsfaktoren!U68/1000, 0)</f>
        <v>0</v>
      </c>
      <c r="W233" s="14">
        <f>IF(ISNUMBER('Klisz-Verbräuche'!X68), 'Klisz-Verbräuche'!X68*Emissionsfaktoren!V68/1000, 0)</f>
        <v>0</v>
      </c>
      <c r="X233" s="14">
        <f>IF(ISNUMBER('Klisz-Verbräuche'!Y68), 'Klisz-Verbräuche'!Y68*Emissionsfaktoren!W68/1000, 0)</f>
        <v>0</v>
      </c>
      <c r="Y233" s="14">
        <f>IF(ISNUMBER('Klisz-Verbräuche'!Z68), 'Klisz-Verbräuche'!Z68*Emissionsfaktoren!X68/1000, 0)</f>
        <v>0</v>
      </c>
    </row>
    <row r="234" spans="2:25" ht="16.5">
      <c r="B234" s="14">
        <v>52</v>
      </c>
      <c r="C234" s="14" t="str">
        <f>'Refsz-Verbräuche'!C69</f>
        <v>Mobilität 1</v>
      </c>
      <c r="D234" s="19" t="str">
        <f>'Refsz-Verbräuche'!D69</f>
        <v>DR - E-Bike</v>
      </c>
      <c r="E234" t="s">
        <v>195</v>
      </c>
      <c r="F234" s="14">
        <f>IF(ISNUMBER('Klisz-Verbräuche'!G69), 'Klisz-Verbräuche'!G69*Emissionsfaktoren!E69/1000, 0)</f>
        <v>0</v>
      </c>
      <c r="G234" s="14">
        <f>IF(ISNUMBER('Klisz-Verbräuche'!H69), 'Klisz-Verbräuche'!H69*Emissionsfaktoren!F69/1000, 0)</f>
        <v>0</v>
      </c>
      <c r="H234" s="14">
        <f>IF(ISNUMBER('Klisz-Verbräuche'!I69), 'Klisz-Verbräuche'!I69*Emissionsfaktoren!G69/1000, 0)</f>
        <v>0</v>
      </c>
      <c r="I234" s="14">
        <f>IF(ISNUMBER('Klisz-Verbräuche'!J69), 'Klisz-Verbräuche'!J69*Emissionsfaktoren!H69/1000, 0)</f>
        <v>0</v>
      </c>
      <c r="J234" s="14">
        <f>IF(ISNUMBER('Klisz-Verbräuche'!K69), 'Klisz-Verbräuche'!K69*Emissionsfaktoren!I69/1000, 0)</f>
        <v>0</v>
      </c>
      <c r="K234" s="14">
        <f>IF(ISNUMBER('Klisz-Verbräuche'!L69), 'Klisz-Verbräuche'!L69*Emissionsfaktoren!J69/1000, 0)</f>
        <v>0</v>
      </c>
      <c r="L234" s="14">
        <f>IF(ISNUMBER('Klisz-Verbräuche'!M69), 'Klisz-Verbräuche'!M69*Emissionsfaktoren!K69/1000, 0)</f>
        <v>0</v>
      </c>
      <c r="M234" s="14">
        <f>IF(ISNUMBER('Klisz-Verbräuche'!N69), 'Klisz-Verbräuche'!N69*Emissionsfaktoren!L69/1000, 0)</f>
        <v>0</v>
      </c>
      <c r="N234" s="14">
        <f>IF(ISNUMBER('Klisz-Verbräuche'!O69), 'Klisz-Verbräuche'!O69*Emissionsfaktoren!M69/1000, 0)</f>
        <v>0</v>
      </c>
      <c r="O234" s="14">
        <f>IF(ISNUMBER('Klisz-Verbräuche'!P69), 'Klisz-Verbräuche'!P69*Emissionsfaktoren!N69/1000, 0)</f>
        <v>0</v>
      </c>
      <c r="P234" s="14">
        <f>IF(ISNUMBER('Klisz-Verbräuche'!Q69), 'Klisz-Verbräuche'!Q69*Emissionsfaktoren!O69/1000, 0)</f>
        <v>0</v>
      </c>
      <c r="Q234" s="14">
        <f>IF(ISNUMBER('Klisz-Verbräuche'!R69), 'Klisz-Verbräuche'!R69*Emissionsfaktoren!P69/1000, 0)</f>
        <v>0</v>
      </c>
      <c r="R234" s="14">
        <f>IF(ISNUMBER('Klisz-Verbräuche'!S69), 'Klisz-Verbräuche'!S69*Emissionsfaktoren!Q69/1000, 0)</f>
        <v>0</v>
      </c>
      <c r="S234" s="14">
        <f>IF(ISNUMBER('Klisz-Verbräuche'!T69), 'Klisz-Verbräuche'!T69*Emissionsfaktoren!R69/1000, 0)</f>
        <v>0</v>
      </c>
      <c r="T234" s="14">
        <f>IF(ISNUMBER('Klisz-Verbräuche'!U69), 'Klisz-Verbräuche'!U69*Emissionsfaktoren!S69/1000, 0)</f>
        <v>0</v>
      </c>
      <c r="U234" s="14">
        <f>IF(ISNUMBER('Klisz-Verbräuche'!V69), 'Klisz-Verbräuche'!V69*Emissionsfaktoren!T69/1000, 0)</f>
        <v>0</v>
      </c>
      <c r="V234" s="14">
        <f>IF(ISNUMBER('Klisz-Verbräuche'!W69), 'Klisz-Verbräuche'!W69*Emissionsfaktoren!U69/1000, 0)</f>
        <v>0</v>
      </c>
      <c r="W234" s="14">
        <f>IF(ISNUMBER('Klisz-Verbräuche'!X69), 'Klisz-Verbräuche'!X69*Emissionsfaktoren!V69/1000, 0)</f>
        <v>0</v>
      </c>
      <c r="X234" s="14">
        <f>IF(ISNUMBER('Klisz-Verbräuche'!Y69), 'Klisz-Verbräuche'!Y69*Emissionsfaktoren!W69/1000, 0)</f>
        <v>0</v>
      </c>
      <c r="Y234" s="14">
        <f>IF(ISNUMBER('Klisz-Verbräuche'!Z69), 'Klisz-Verbräuche'!Z69*Emissionsfaktoren!X69/1000, 0)</f>
        <v>0</v>
      </c>
    </row>
    <row r="235" spans="2:25" ht="16.5">
      <c r="B235" s="14">
        <v>53</v>
      </c>
      <c r="C235" s="14" t="str">
        <f>'Refsz-Verbräuche'!C70</f>
        <v>Mobilität 1</v>
      </c>
      <c r="D235" s="19" t="str">
        <f>'Refsz-Verbräuche'!D70</f>
        <v>DR - Fahrrad</v>
      </c>
      <c r="E235" t="s">
        <v>195</v>
      </c>
      <c r="F235" s="14">
        <f>IF(ISNUMBER('Klisz-Verbräuche'!G70), 'Klisz-Verbräuche'!G70*Emissionsfaktoren!E70/1000, 0)</f>
        <v>0</v>
      </c>
      <c r="G235" s="14">
        <f>IF(ISNUMBER('Klisz-Verbräuche'!H70), 'Klisz-Verbräuche'!H70*Emissionsfaktoren!F70/1000, 0)</f>
        <v>0</v>
      </c>
      <c r="H235" s="14">
        <f>IF(ISNUMBER('Klisz-Verbräuche'!I70), 'Klisz-Verbräuche'!I70*Emissionsfaktoren!G70/1000, 0)</f>
        <v>0</v>
      </c>
      <c r="I235" s="14">
        <f>IF(ISNUMBER('Klisz-Verbräuche'!J70), 'Klisz-Verbräuche'!J70*Emissionsfaktoren!H70/1000, 0)</f>
        <v>0</v>
      </c>
      <c r="J235" s="14">
        <f>IF(ISNUMBER('Klisz-Verbräuche'!K70), 'Klisz-Verbräuche'!K70*Emissionsfaktoren!I70/1000, 0)</f>
        <v>0</v>
      </c>
      <c r="K235" s="14">
        <f>IF(ISNUMBER('Klisz-Verbräuche'!L70), 'Klisz-Verbräuche'!L70*Emissionsfaktoren!J70/1000, 0)</f>
        <v>0</v>
      </c>
      <c r="L235" s="14">
        <f>IF(ISNUMBER('Klisz-Verbräuche'!M70), 'Klisz-Verbräuche'!M70*Emissionsfaktoren!K70/1000, 0)</f>
        <v>0</v>
      </c>
      <c r="M235" s="14">
        <f>IF(ISNUMBER('Klisz-Verbräuche'!N70), 'Klisz-Verbräuche'!N70*Emissionsfaktoren!L70/1000, 0)</f>
        <v>0</v>
      </c>
      <c r="N235" s="14">
        <f>IF(ISNUMBER('Klisz-Verbräuche'!O70), 'Klisz-Verbräuche'!O70*Emissionsfaktoren!M70/1000, 0)</f>
        <v>0</v>
      </c>
      <c r="O235" s="14">
        <f>IF(ISNUMBER('Klisz-Verbräuche'!P70), 'Klisz-Verbräuche'!P70*Emissionsfaktoren!N70/1000, 0)</f>
        <v>0</v>
      </c>
      <c r="P235" s="14">
        <f>IF(ISNUMBER('Klisz-Verbräuche'!Q70), 'Klisz-Verbräuche'!Q70*Emissionsfaktoren!O70/1000, 0)</f>
        <v>0</v>
      </c>
      <c r="Q235" s="14">
        <f>IF(ISNUMBER('Klisz-Verbräuche'!R70), 'Klisz-Verbräuche'!R70*Emissionsfaktoren!P70/1000, 0)</f>
        <v>0</v>
      </c>
      <c r="R235" s="14">
        <f>IF(ISNUMBER('Klisz-Verbräuche'!S70), 'Klisz-Verbräuche'!S70*Emissionsfaktoren!Q70/1000, 0)</f>
        <v>0</v>
      </c>
      <c r="S235" s="14">
        <f>IF(ISNUMBER('Klisz-Verbräuche'!T70), 'Klisz-Verbräuche'!T70*Emissionsfaktoren!R70/1000, 0)</f>
        <v>0</v>
      </c>
      <c r="T235" s="14">
        <f>IF(ISNUMBER('Klisz-Verbräuche'!U70), 'Klisz-Verbräuche'!U70*Emissionsfaktoren!S70/1000, 0)</f>
        <v>0</v>
      </c>
      <c r="U235" s="14">
        <f>IF(ISNUMBER('Klisz-Verbräuche'!V70), 'Klisz-Verbräuche'!V70*Emissionsfaktoren!T70/1000, 0)</f>
        <v>0</v>
      </c>
      <c r="V235" s="14">
        <f>IF(ISNUMBER('Klisz-Verbräuche'!W70), 'Klisz-Verbräuche'!W70*Emissionsfaktoren!U70/1000, 0)</f>
        <v>0</v>
      </c>
      <c r="W235" s="14">
        <f>IF(ISNUMBER('Klisz-Verbräuche'!X70), 'Klisz-Verbräuche'!X70*Emissionsfaktoren!V70/1000, 0)</f>
        <v>0</v>
      </c>
      <c r="X235" s="14">
        <f>IF(ISNUMBER('Klisz-Verbräuche'!Y70), 'Klisz-Verbräuche'!Y70*Emissionsfaktoren!W70/1000, 0)</f>
        <v>0</v>
      </c>
      <c r="Y235" s="14">
        <f>IF(ISNUMBER('Klisz-Verbräuche'!Z70), 'Klisz-Verbräuche'!Z70*Emissionsfaktoren!X70/1000, 0)</f>
        <v>0</v>
      </c>
    </row>
    <row r="236" spans="2:25" ht="16.5">
      <c r="B236" s="14">
        <v>54</v>
      </c>
      <c r="C236" s="14">
        <f>'Refsz-Verbräuche'!C71</f>
        <v>0</v>
      </c>
      <c r="D236" s="19">
        <f>'Refsz-Verbräuche'!D71</f>
        <v>0</v>
      </c>
      <c r="E236" t="s">
        <v>195</v>
      </c>
      <c r="F236" s="14">
        <f>IF(ISNUMBER('Klisz-Verbräuche'!G71), 'Klisz-Verbräuche'!G71*Emissionsfaktoren!E71/1000, 0)</f>
        <v>0</v>
      </c>
      <c r="G236" s="14">
        <f>IF(ISNUMBER('Klisz-Verbräuche'!H71), 'Klisz-Verbräuche'!H71*Emissionsfaktoren!F71/1000, 0)</f>
        <v>0</v>
      </c>
      <c r="H236" s="14">
        <f>IF(ISNUMBER('Klisz-Verbräuche'!I71), 'Klisz-Verbräuche'!I71*Emissionsfaktoren!G71/1000, 0)</f>
        <v>0</v>
      </c>
      <c r="I236" s="14">
        <f>IF(ISNUMBER('Klisz-Verbräuche'!J71), 'Klisz-Verbräuche'!J71*Emissionsfaktoren!H71/1000, 0)</f>
        <v>0</v>
      </c>
      <c r="J236" s="14">
        <f>IF(ISNUMBER('Klisz-Verbräuche'!K71), 'Klisz-Verbräuche'!K71*Emissionsfaktoren!I71/1000, 0)</f>
        <v>0</v>
      </c>
      <c r="K236" s="14">
        <f>IF(ISNUMBER('Klisz-Verbräuche'!L71), 'Klisz-Verbräuche'!L71*Emissionsfaktoren!J71/1000, 0)</f>
        <v>0</v>
      </c>
      <c r="L236" s="14">
        <f>IF(ISNUMBER('Klisz-Verbräuche'!M71), 'Klisz-Verbräuche'!M71*Emissionsfaktoren!K71/1000, 0)</f>
        <v>0</v>
      </c>
      <c r="M236" s="14">
        <f>IF(ISNUMBER('Klisz-Verbräuche'!N71), 'Klisz-Verbräuche'!N71*Emissionsfaktoren!L71/1000, 0)</f>
        <v>0</v>
      </c>
      <c r="N236" s="14">
        <f>IF(ISNUMBER('Klisz-Verbräuche'!O71), 'Klisz-Verbräuche'!O71*Emissionsfaktoren!M71/1000, 0)</f>
        <v>0</v>
      </c>
      <c r="O236" s="14">
        <f>IF(ISNUMBER('Klisz-Verbräuche'!P71), 'Klisz-Verbräuche'!P71*Emissionsfaktoren!N71/1000, 0)</f>
        <v>0</v>
      </c>
      <c r="P236" s="14">
        <f>IF(ISNUMBER('Klisz-Verbräuche'!Q71), 'Klisz-Verbräuche'!Q71*Emissionsfaktoren!O71/1000, 0)</f>
        <v>0</v>
      </c>
      <c r="Q236" s="14">
        <f>IF(ISNUMBER('Klisz-Verbräuche'!R71), 'Klisz-Verbräuche'!R71*Emissionsfaktoren!P71/1000, 0)</f>
        <v>0</v>
      </c>
      <c r="R236" s="14">
        <f>IF(ISNUMBER('Klisz-Verbräuche'!S71), 'Klisz-Verbräuche'!S71*Emissionsfaktoren!Q71/1000, 0)</f>
        <v>0</v>
      </c>
      <c r="S236" s="14">
        <f>IF(ISNUMBER('Klisz-Verbräuche'!T71), 'Klisz-Verbräuche'!T71*Emissionsfaktoren!R71/1000, 0)</f>
        <v>0</v>
      </c>
      <c r="T236" s="14">
        <f>IF(ISNUMBER('Klisz-Verbräuche'!U71), 'Klisz-Verbräuche'!U71*Emissionsfaktoren!S71/1000, 0)</f>
        <v>0</v>
      </c>
      <c r="U236" s="14">
        <f>IF(ISNUMBER('Klisz-Verbräuche'!V71), 'Klisz-Verbräuche'!V71*Emissionsfaktoren!T71/1000, 0)</f>
        <v>0</v>
      </c>
      <c r="V236" s="14">
        <f>IF(ISNUMBER('Klisz-Verbräuche'!W71), 'Klisz-Verbräuche'!W71*Emissionsfaktoren!U71/1000, 0)</f>
        <v>0</v>
      </c>
      <c r="W236" s="14">
        <f>IF(ISNUMBER('Klisz-Verbräuche'!X71), 'Klisz-Verbräuche'!X71*Emissionsfaktoren!V71/1000, 0)</f>
        <v>0</v>
      </c>
      <c r="X236" s="14">
        <f>IF(ISNUMBER('Klisz-Verbräuche'!Y71), 'Klisz-Verbräuche'!Y71*Emissionsfaktoren!W71/1000, 0)</f>
        <v>0</v>
      </c>
      <c r="Y236" s="14">
        <f>IF(ISNUMBER('Klisz-Verbräuche'!Z71), 'Klisz-Verbräuche'!Z71*Emissionsfaktoren!X71/1000, 0)</f>
        <v>0</v>
      </c>
    </row>
    <row r="237" spans="2:25" ht="16.5">
      <c r="B237" s="14">
        <v>55</v>
      </c>
      <c r="C237" s="14" t="str">
        <f>'Refsz-Verbräuche'!C72</f>
        <v>Mobilität 1</v>
      </c>
      <c r="D237" s="19" t="str">
        <f>'Refsz-Verbräuche'!D72</f>
        <v>Studierendenreisen (Outgoing) - Flugreisen</v>
      </c>
      <c r="E237" t="s">
        <v>195</v>
      </c>
      <c r="F237" s="14">
        <f>IF(ISNUMBER('Klisz-Verbräuche'!G72), 'Klisz-Verbräuche'!G72*Emissionsfaktoren!E72/1000, 0)</f>
        <v>0</v>
      </c>
      <c r="G237" s="14">
        <f>IF(ISNUMBER('Klisz-Verbräuche'!H72), 'Klisz-Verbräuche'!H72*Emissionsfaktoren!F72/1000, 0)</f>
        <v>0</v>
      </c>
      <c r="H237" s="14">
        <f>IF(ISNUMBER('Klisz-Verbräuche'!I72), 'Klisz-Verbräuche'!I72*Emissionsfaktoren!G72/1000, 0)</f>
        <v>0</v>
      </c>
      <c r="I237" s="14">
        <f>IF(ISNUMBER('Klisz-Verbräuche'!J72), 'Klisz-Verbräuche'!J72*Emissionsfaktoren!H72/1000, 0)</f>
        <v>0</v>
      </c>
      <c r="J237" s="14">
        <f>IF(ISNUMBER('Klisz-Verbräuche'!K72), 'Klisz-Verbräuche'!K72*Emissionsfaktoren!I72/1000, 0)</f>
        <v>0</v>
      </c>
      <c r="K237" s="14">
        <f>IF(ISNUMBER('Klisz-Verbräuche'!L72), 'Klisz-Verbräuche'!L72*Emissionsfaktoren!J72/1000, 0)</f>
        <v>0</v>
      </c>
      <c r="L237" s="14">
        <f>IF(ISNUMBER('Klisz-Verbräuche'!M72), 'Klisz-Verbräuche'!M72*Emissionsfaktoren!K72/1000, 0)</f>
        <v>0</v>
      </c>
      <c r="M237" s="14">
        <f>IF(ISNUMBER('Klisz-Verbräuche'!N72), 'Klisz-Verbräuche'!N72*Emissionsfaktoren!L72/1000, 0)</f>
        <v>0</v>
      </c>
      <c r="N237" s="14">
        <f>IF(ISNUMBER('Klisz-Verbräuche'!O72), 'Klisz-Verbräuche'!O72*Emissionsfaktoren!M72/1000, 0)</f>
        <v>0</v>
      </c>
      <c r="O237" s="14">
        <f>IF(ISNUMBER('Klisz-Verbräuche'!P72), 'Klisz-Verbräuche'!P72*Emissionsfaktoren!N72/1000, 0)</f>
        <v>0</v>
      </c>
      <c r="P237" s="14">
        <f>IF(ISNUMBER('Klisz-Verbräuche'!Q72), 'Klisz-Verbräuche'!Q72*Emissionsfaktoren!O72/1000, 0)</f>
        <v>0</v>
      </c>
      <c r="Q237" s="14">
        <f>IF(ISNUMBER('Klisz-Verbräuche'!R72), 'Klisz-Verbräuche'!R72*Emissionsfaktoren!P72/1000, 0)</f>
        <v>0</v>
      </c>
      <c r="R237" s="14">
        <f>IF(ISNUMBER('Klisz-Verbräuche'!S72), 'Klisz-Verbräuche'!S72*Emissionsfaktoren!Q72/1000, 0)</f>
        <v>0</v>
      </c>
      <c r="S237" s="14">
        <f>IF(ISNUMBER('Klisz-Verbräuche'!T72), 'Klisz-Verbräuche'!T72*Emissionsfaktoren!R72/1000, 0)</f>
        <v>0</v>
      </c>
      <c r="T237" s="14">
        <f>IF(ISNUMBER('Klisz-Verbräuche'!U72), 'Klisz-Verbräuche'!U72*Emissionsfaktoren!S72/1000, 0)</f>
        <v>0</v>
      </c>
      <c r="U237" s="14">
        <f>IF(ISNUMBER('Klisz-Verbräuche'!V72), 'Klisz-Verbräuche'!V72*Emissionsfaktoren!T72/1000, 0)</f>
        <v>0</v>
      </c>
      <c r="V237" s="14">
        <f>IF(ISNUMBER('Klisz-Verbräuche'!W72), 'Klisz-Verbräuche'!W72*Emissionsfaktoren!U72/1000, 0)</f>
        <v>0</v>
      </c>
      <c r="W237" s="14">
        <f>IF(ISNUMBER('Klisz-Verbräuche'!X72), 'Klisz-Verbräuche'!X72*Emissionsfaktoren!V72/1000, 0)</f>
        <v>0</v>
      </c>
      <c r="X237" s="14">
        <f>IF(ISNUMBER('Klisz-Verbräuche'!Y72), 'Klisz-Verbräuche'!Y72*Emissionsfaktoren!W72/1000, 0)</f>
        <v>0</v>
      </c>
      <c r="Y237" s="14">
        <f>IF(ISNUMBER('Klisz-Verbräuche'!Z72), 'Klisz-Verbräuche'!Z72*Emissionsfaktoren!X72/1000, 0)</f>
        <v>0</v>
      </c>
    </row>
    <row r="238" spans="2:25" ht="16.5">
      <c r="B238" s="14">
        <v>56</v>
      </c>
      <c r="C238" s="14" t="str">
        <f>'Refsz-Verbräuche'!C73</f>
        <v>Mobilität 1</v>
      </c>
      <c r="D238" s="19" t="str">
        <f>'Refsz-Verbräuche'!D73</f>
        <v>Studierendenreisen (Outgoing) - Eisenbahn (Nahverkehr)</v>
      </c>
      <c r="E238" t="s">
        <v>195</v>
      </c>
      <c r="F238" s="14">
        <f>IF(ISNUMBER('Klisz-Verbräuche'!G73), 'Klisz-Verbräuche'!G73*Emissionsfaktoren!E73/1000, 0)</f>
        <v>0</v>
      </c>
      <c r="G238" s="14">
        <f>IF(ISNUMBER('Klisz-Verbräuche'!H73), 'Klisz-Verbräuche'!H73*Emissionsfaktoren!F73/1000, 0)</f>
        <v>0</v>
      </c>
      <c r="H238" s="14">
        <f>IF(ISNUMBER('Klisz-Verbräuche'!I73), 'Klisz-Verbräuche'!I73*Emissionsfaktoren!G73/1000, 0)</f>
        <v>0</v>
      </c>
      <c r="I238" s="14">
        <f>IF(ISNUMBER('Klisz-Verbräuche'!J73), 'Klisz-Verbräuche'!J73*Emissionsfaktoren!H73/1000, 0)</f>
        <v>0</v>
      </c>
      <c r="J238" s="14">
        <f>IF(ISNUMBER('Klisz-Verbräuche'!K73), 'Klisz-Verbräuche'!K73*Emissionsfaktoren!I73/1000, 0)</f>
        <v>0</v>
      </c>
      <c r="K238" s="14">
        <f>IF(ISNUMBER('Klisz-Verbräuche'!L73), 'Klisz-Verbräuche'!L73*Emissionsfaktoren!J73/1000, 0)</f>
        <v>0</v>
      </c>
      <c r="L238" s="14">
        <f>IF(ISNUMBER('Klisz-Verbräuche'!M73), 'Klisz-Verbräuche'!M73*Emissionsfaktoren!K73/1000, 0)</f>
        <v>0</v>
      </c>
      <c r="M238" s="14">
        <f>IF(ISNUMBER('Klisz-Verbräuche'!N73), 'Klisz-Verbräuche'!N73*Emissionsfaktoren!L73/1000, 0)</f>
        <v>0</v>
      </c>
      <c r="N238" s="14">
        <f>IF(ISNUMBER('Klisz-Verbräuche'!O73), 'Klisz-Verbräuche'!O73*Emissionsfaktoren!M73/1000, 0)</f>
        <v>0</v>
      </c>
      <c r="O238" s="14">
        <f>IF(ISNUMBER('Klisz-Verbräuche'!P73), 'Klisz-Verbräuche'!P73*Emissionsfaktoren!N73/1000, 0)</f>
        <v>0</v>
      </c>
      <c r="P238" s="14">
        <f>IF(ISNUMBER('Klisz-Verbräuche'!Q73), 'Klisz-Verbräuche'!Q73*Emissionsfaktoren!O73/1000, 0)</f>
        <v>0</v>
      </c>
      <c r="Q238" s="14">
        <f>IF(ISNUMBER('Klisz-Verbräuche'!R73), 'Klisz-Verbräuche'!R73*Emissionsfaktoren!P73/1000, 0)</f>
        <v>0</v>
      </c>
      <c r="R238" s="14">
        <f>IF(ISNUMBER('Klisz-Verbräuche'!S73), 'Klisz-Verbräuche'!S73*Emissionsfaktoren!Q73/1000, 0)</f>
        <v>0</v>
      </c>
      <c r="S238" s="14">
        <f>IF(ISNUMBER('Klisz-Verbräuche'!T73), 'Klisz-Verbräuche'!T73*Emissionsfaktoren!R73/1000, 0)</f>
        <v>0</v>
      </c>
      <c r="T238" s="14">
        <f>IF(ISNUMBER('Klisz-Verbräuche'!U73), 'Klisz-Verbräuche'!U73*Emissionsfaktoren!S73/1000, 0)</f>
        <v>0</v>
      </c>
      <c r="U238" s="14">
        <f>IF(ISNUMBER('Klisz-Verbräuche'!V73), 'Klisz-Verbräuche'!V73*Emissionsfaktoren!T73/1000, 0)</f>
        <v>0</v>
      </c>
      <c r="V238" s="14">
        <f>IF(ISNUMBER('Klisz-Verbräuche'!W73), 'Klisz-Verbräuche'!W73*Emissionsfaktoren!U73/1000, 0)</f>
        <v>0</v>
      </c>
      <c r="W238" s="14">
        <f>IF(ISNUMBER('Klisz-Verbräuche'!X73), 'Klisz-Verbräuche'!X73*Emissionsfaktoren!V73/1000, 0)</f>
        <v>0</v>
      </c>
      <c r="X238" s="14">
        <f>IF(ISNUMBER('Klisz-Verbräuche'!Y73), 'Klisz-Verbräuche'!Y73*Emissionsfaktoren!W73/1000, 0)</f>
        <v>0</v>
      </c>
      <c r="Y238" s="14">
        <f>IF(ISNUMBER('Klisz-Verbräuche'!Z73), 'Klisz-Verbräuche'!Z73*Emissionsfaktoren!X73/1000, 0)</f>
        <v>0</v>
      </c>
    </row>
    <row r="239" spans="2:25" ht="16.5">
      <c r="B239" s="14">
        <v>57</v>
      </c>
      <c r="C239" s="14" t="str">
        <f>'Refsz-Verbräuche'!C74</f>
        <v>Mobilität 1</v>
      </c>
      <c r="D239" s="19" t="str">
        <f>'Refsz-Verbräuche'!D74</f>
        <v>Studierendenreisen (Outgoing) - Privater PKW (alle Antriebsarten)</v>
      </c>
      <c r="E239" t="s">
        <v>195</v>
      </c>
      <c r="F239" s="14">
        <f>IF(ISNUMBER('Klisz-Verbräuche'!G74), 'Klisz-Verbräuche'!G74*Emissionsfaktoren!E74/1000, 0)</f>
        <v>0</v>
      </c>
      <c r="G239" s="14">
        <f>IF(ISNUMBER('Klisz-Verbräuche'!H74), 'Klisz-Verbräuche'!H74*Emissionsfaktoren!F74/1000, 0)</f>
        <v>0</v>
      </c>
      <c r="H239" s="14">
        <f>IF(ISNUMBER('Klisz-Verbräuche'!I74), 'Klisz-Verbräuche'!I74*Emissionsfaktoren!G74/1000, 0)</f>
        <v>0</v>
      </c>
      <c r="I239" s="14">
        <f>IF(ISNUMBER('Klisz-Verbräuche'!J74), 'Klisz-Verbräuche'!J74*Emissionsfaktoren!H74/1000, 0)</f>
        <v>0</v>
      </c>
      <c r="J239" s="14">
        <f>IF(ISNUMBER('Klisz-Verbräuche'!K74), 'Klisz-Verbräuche'!K74*Emissionsfaktoren!I74/1000, 0)</f>
        <v>0</v>
      </c>
      <c r="K239" s="14">
        <f>IF(ISNUMBER('Klisz-Verbräuche'!L74), 'Klisz-Verbräuche'!L74*Emissionsfaktoren!J74/1000, 0)</f>
        <v>0</v>
      </c>
      <c r="L239" s="14">
        <f>IF(ISNUMBER('Klisz-Verbräuche'!M74), 'Klisz-Verbräuche'!M74*Emissionsfaktoren!K74/1000, 0)</f>
        <v>0</v>
      </c>
      <c r="M239" s="14">
        <f>IF(ISNUMBER('Klisz-Verbräuche'!N74), 'Klisz-Verbräuche'!N74*Emissionsfaktoren!L74/1000, 0)</f>
        <v>0</v>
      </c>
      <c r="N239" s="14">
        <f>IF(ISNUMBER('Klisz-Verbräuche'!O74), 'Klisz-Verbräuche'!O74*Emissionsfaktoren!M74/1000, 0)</f>
        <v>0</v>
      </c>
      <c r="O239" s="14">
        <f>IF(ISNUMBER('Klisz-Verbräuche'!P74), 'Klisz-Verbräuche'!P74*Emissionsfaktoren!N74/1000, 0)</f>
        <v>0</v>
      </c>
      <c r="P239" s="14">
        <f>IF(ISNUMBER('Klisz-Verbräuche'!Q74), 'Klisz-Verbräuche'!Q74*Emissionsfaktoren!O74/1000, 0)</f>
        <v>0</v>
      </c>
      <c r="Q239" s="14">
        <f>IF(ISNUMBER('Klisz-Verbräuche'!R74), 'Klisz-Verbräuche'!R74*Emissionsfaktoren!P74/1000, 0)</f>
        <v>0</v>
      </c>
      <c r="R239" s="14">
        <f>IF(ISNUMBER('Klisz-Verbräuche'!S74), 'Klisz-Verbräuche'!S74*Emissionsfaktoren!Q74/1000, 0)</f>
        <v>0</v>
      </c>
      <c r="S239" s="14">
        <f>IF(ISNUMBER('Klisz-Verbräuche'!T74), 'Klisz-Verbräuche'!T74*Emissionsfaktoren!R74/1000, 0)</f>
        <v>0</v>
      </c>
      <c r="T239" s="14">
        <f>IF(ISNUMBER('Klisz-Verbräuche'!U74), 'Klisz-Verbräuche'!U74*Emissionsfaktoren!S74/1000, 0)</f>
        <v>0</v>
      </c>
      <c r="U239" s="14">
        <f>IF(ISNUMBER('Klisz-Verbräuche'!V74), 'Klisz-Verbräuche'!V74*Emissionsfaktoren!T74/1000, 0)</f>
        <v>0</v>
      </c>
      <c r="V239" s="14">
        <f>IF(ISNUMBER('Klisz-Verbräuche'!W74), 'Klisz-Verbräuche'!W74*Emissionsfaktoren!U74/1000, 0)</f>
        <v>0</v>
      </c>
      <c r="W239" s="14">
        <f>IF(ISNUMBER('Klisz-Verbräuche'!X74), 'Klisz-Verbräuche'!X74*Emissionsfaktoren!V74/1000, 0)</f>
        <v>0</v>
      </c>
      <c r="X239" s="14">
        <f>IF(ISNUMBER('Klisz-Verbräuche'!Y74), 'Klisz-Verbräuche'!Y74*Emissionsfaktoren!W74/1000, 0)</f>
        <v>0</v>
      </c>
      <c r="Y239" s="14">
        <f>IF(ISNUMBER('Klisz-Verbräuche'!Z74), 'Klisz-Verbräuche'!Z74*Emissionsfaktoren!X74/1000, 0)</f>
        <v>0</v>
      </c>
    </row>
    <row r="240" spans="2:25" ht="16.5">
      <c r="B240" s="14">
        <v>58</v>
      </c>
      <c r="C240" s="14">
        <f>'Refsz-Verbräuche'!C75</f>
        <v>0</v>
      </c>
      <c r="D240" s="19">
        <f>'Refsz-Verbräuche'!D75</f>
        <v>0</v>
      </c>
      <c r="E240" t="s">
        <v>195</v>
      </c>
      <c r="F240" s="14">
        <f>IF(ISNUMBER('Klisz-Verbräuche'!G75), 'Klisz-Verbräuche'!G75*Emissionsfaktoren!E75/1000, 0)</f>
        <v>0</v>
      </c>
      <c r="G240" s="14">
        <f>IF(ISNUMBER('Klisz-Verbräuche'!H75), 'Klisz-Verbräuche'!H75*Emissionsfaktoren!F75/1000, 0)</f>
        <v>0</v>
      </c>
      <c r="H240" s="14">
        <f>IF(ISNUMBER('Klisz-Verbräuche'!I75), 'Klisz-Verbräuche'!I75*Emissionsfaktoren!G75/1000, 0)</f>
        <v>0</v>
      </c>
      <c r="I240" s="14">
        <f>IF(ISNUMBER('Klisz-Verbräuche'!J75), 'Klisz-Verbräuche'!J75*Emissionsfaktoren!H75/1000, 0)</f>
        <v>0</v>
      </c>
      <c r="J240" s="14">
        <f>IF(ISNUMBER('Klisz-Verbräuche'!K75), 'Klisz-Verbräuche'!K75*Emissionsfaktoren!I75/1000, 0)</f>
        <v>0</v>
      </c>
      <c r="K240" s="14">
        <f>IF(ISNUMBER('Klisz-Verbräuche'!L75), 'Klisz-Verbräuche'!L75*Emissionsfaktoren!J75/1000, 0)</f>
        <v>0</v>
      </c>
      <c r="L240" s="14">
        <f>IF(ISNUMBER('Klisz-Verbräuche'!M75), 'Klisz-Verbräuche'!M75*Emissionsfaktoren!K75/1000, 0)</f>
        <v>0</v>
      </c>
      <c r="M240" s="14">
        <f>IF(ISNUMBER('Klisz-Verbräuche'!N75), 'Klisz-Verbräuche'!N75*Emissionsfaktoren!L75/1000, 0)</f>
        <v>0</v>
      </c>
      <c r="N240" s="14">
        <f>IF(ISNUMBER('Klisz-Verbräuche'!O75), 'Klisz-Verbräuche'!O75*Emissionsfaktoren!M75/1000, 0)</f>
        <v>0</v>
      </c>
      <c r="O240" s="14">
        <f>IF(ISNUMBER('Klisz-Verbräuche'!P75), 'Klisz-Verbräuche'!P75*Emissionsfaktoren!N75/1000, 0)</f>
        <v>0</v>
      </c>
      <c r="P240" s="14">
        <f>IF(ISNUMBER('Klisz-Verbräuche'!Q75), 'Klisz-Verbräuche'!Q75*Emissionsfaktoren!O75/1000, 0)</f>
        <v>0</v>
      </c>
      <c r="Q240" s="14">
        <f>IF(ISNUMBER('Klisz-Verbräuche'!R75), 'Klisz-Verbräuche'!R75*Emissionsfaktoren!P75/1000, 0)</f>
        <v>0</v>
      </c>
      <c r="R240" s="14">
        <f>IF(ISNUMBER('Klisz-Verbräuche'!S75), 'Klisz-Verbräuche'!S75*Emissionsfaktoren!Q75/1000, 0)</f>
        <v>0</v>
      </c>
      <c r="S240" s="14">
        <f>IF(ISNUMBER('Klisz-Verbräuche'!T75), 'Klisz-Verbräuche'!T75*Emissionsfaktoren!R75/1000, 0)</f>
        <v>0</v>
      </c>
      <c r="T240" s="14">
        <f>IF(ISNUMBER('Klisz-Verbräuche'!U75), 'Klisz-Verbräuche'!U75*Emissionsfaktoren!S75/1000, 0)</f>
        <v>0</v>
      </c>
      <c r="U240" s="14">
        <f>IF(ISNUMBER('Klisz-Verbräuche'!V75), 'Klisz-Verbräuche'!V75*Emissionsfaktoren!T75/1000, 0)</f>
        <v>0</v>
      </c>
      <c r="V240" s="14">
        <f>IF(ISNUMBER('Klisz-Verbräuche'!W75), 'Klisz-Verbräuche'!W75*Emissionsfaktoren!U75/1000, 0)</f>
        <v>0</v>
      </c>
      <c r="W240" s="14">
        <f>IF(ISNUMBER('Klisz-Verbräuche'!X75), 'Klisz-Verbräuche'!X75*Emissionsfaktoren!V75/1000, 0)</f>
        <v>0</v>
      </c>
      <c r="X240" s="14">
        <f>IF(ISNUMBER('Klisz-Verbräuche'!Y75), 'Klisz-Verbräuche'!Y75*Emissionsfaktoren!W75/1000, 0)</f>
        <v>0</v>
      </c>
      <c r="Y240" s="14">
        <f>IF(ISNUMBER('Klisz-Verbräuche'!Z75), 'Klisz-Verbräuche'!Z75*Emissionsfaktoren!X75/1000, 0)</f>
        <v>0</v>
      </c>
    </row>
    <row r="241" spans="2:25" ht="16.5">
      <c r="B241" s="14">
        <v>59</v>
      </c>
      <c r="C241" s="14" t="str">
        <f>'Refsz-Verbräuche'!C76</f>
        <v>Mobilität 1</v>
      </c>
      <c r="D241" s="19" t="str">
        <f>'Refsz-Verbräuche'!D76</f>
        <v>Exkursionen - Flugreisen</v>
      </c>
      <c r="E241" t="s">
        <v>195</v>
      </c>
      <c r="F241" s="14">
        <f>IF(ISNUMBER('Klisz-Verbräuche'!G76), 'Klisz-Verbräuche'!G76*Emissionsfaktoren!E76/1000, 0)</f>
        <v>0</v>
      </c>
      <c r="G241" s="14">
        <f>IF(ISNUMBER('Klisz-Verbräuche'!H76), 'Klisz-Verbräuche'!H76*Emissionsfaktoren!F76/1000, 0)</f>
        <v>0</v>
      </c>
      <c r="H241" s="14">
        <f>IF(ISNUMBER('Klisz-Verbräuche'!I76), 'Klisz-Verbräuche'!I76*Emissionsfaktoren!G76/1000, 0)</f>
        <v>0</v>
      </c>
      <c r="I241" s="14">
        <f>IF(ISNUMBER('Klisz-Verbräuche'!J76), 'Klisz-Verbräuche'!J76*Emissionsfaktoren!H76/1000, 0)</f>
        <v>0</v>
      </c>
      <c r="J241" s="14">
        <f>IF(ISNUMBER('Klisz-Verbräuche'!K76), 'Klisz-Verbräuche'!K76*Emissionsfaktoren!I76/1000, 0)</f>
        <v>0</v>
      </c>
      <c r="K241" s="14">
        <f>IF(ISNUMBER('Klisz-Verbräuche'!L76), 'Klisz-Verbräuche'!L76*Emissionsfaktoren!J76/1000, 0)</f>
        <v>0</v>
      </c>
      <c r="L241" s="14">
        <f>IF(ISNUMBER('Klisz-Verbräuche'!M76), 'Klisz-Verbräuche'!M76*Emissionsfaktoren!K76/1000, 0)</f>
        <v>0</v>
      </c>
      <c r="M241" s="14">
        <f>IF(ISNUMBER('Klisz-Verbräuche'!N76), 'Klisz-Verbräuche'!N76*Emissionsfaktoren!L76/1000, 0)</f>
        <v>0</v>
      </c>
      <c r="N241" s="14">
        <f>IF(ISNUMBER('Klisz-Verbräuche'!O76), 'Klisz-Verbräuche'!O76*Emissionsfaktoren!M76/1000, 0)</f>
        <v>0</v>
      </c>
      <c r="O241" s="14">
        <f>IF(ISNUMBER('Klisz-Verbräuche'!P76), 'Klisz-Verbräuche'!P76*Emissionsfaktoren!N76/1000, 0)</f>
        <v>0</v>
      </c>
      <c r="P241" s="14">
        <f>IF(ISNUMBER('Klisz-Verbräuche'!Q76), 'Klisz-Verbräuche'!Q76*Emissionsfaktoren!O76/1000, 0)</f>
        <v>0</v>
      </c>
      <c r="Q241" s="14">
        <f>IF(ISNUMBER('Klisz-Verbräuche'!R76), 'Klisz-Verbräuche'!R76*Emissionsfaktoren!P76/1000, 0)</f>
        <v>0</v>
      </c>
      <c r="R241" s="14">
        <f>IF(ISNUMBER('Klisz-Verbräuche'!S76), 'Klisz-Verbräuche'!S76*Emissionsfaktoren!Q76/1000, 0)</f>
        <v>0</v>
      </c>
      <c r="S241" s="14">
        <f>IF(ISNUMBER('Klisz-Verbräuche'!T76), 'Klisz-Verbräuche'!T76*Emissionsfaktoren!R76/1000, 0)</f>
        <v>0</v>
      </c>
      <c r="T241" s="14">
        <f>IF(ISNUMBER('Klisz-Verbräuche'!U76), 'Klisz-Verbräuche'!U76*Emissionsfaktoren!S76/1000, 0)</f>
        <v>0</v>
      </c>
      <c r="U241" s="14">
        <f>IF(ISNUMBER('Klisz-Verbräuche'!V76), 'Klisz-Verbräuche'!V76*Emissionsfaktoren!T76/1000, 0)</f>
        <v>0</v>
      </c>
      <c r="V241" s="14">
        <f>IF(ISNUMBER('Klisz-Verbräuche'!W76), 'Klisz-Verbräuche'!W76*Emissionsfaktoren!U76/1000, 0)</f>
        <v>0</v>
      </c>
      <c r="W241" s="14">
        <f>IF(ISNUMBER('Klisz-Verbräuche'!X76), 'Klisz-Verbräuche'!X76*Emissionsfaktoren!V76/1000, 0)</f>
        <v>0</v>
      </c>
      <c r="X241" s="14">
        <f>IF(ISNUMBER('Klisz-Verbräuche'!Y76), 'Klisz-Verbräuche'!Y76*Emissionsfaktoren!W76/1000, 0)</f>
        <v>0</v>
      </c>
      <c r="Y241" s="14">
        <f>IF(ISNUMBER('Klisz-Verbräuche'!Z76), 'Klisz-Verbräuche'!Z76*Emissionsfaktoren!X76/1000, 0)</f>
        <v>0</v>
      </c>
    </row>
    <row r="242" spans="2:25" ht="16.5">
      <c r="B242" s="14">
        <v>60</v>
      </c>
      <c r="C242" s="14" t="str">
        <f>'Refsz-Verbräuche'!C77</f>
        <v>Mobilität 1</v>
      </c>
      <c r="D242" s="19" t="str">
        <f>'Refsz-Verbräuche'!D77</f>
        <v>Exkursionen - Eisenbahn (Nahverkehr)</v>
      </c>
      <c r="E242" t="s">
        <v>195</v>
      </c>
      <c r="F242" s="14">
        <f>IF(ISNUMBER('Klisz-Verbräuche'!G77), 'Klisz-Verbräuche'!G77*Emissionsfaktoren!E77/1000, 0)</f>
        <v>0</v>
      </c>
      <c r="G242" s="14">
        <f>IF(ISNUMBER('Klisz-Verbräuche'!H77), 'Klisz-Verbräuche'!H77*Emissionsfaktoren!F77/1000, 0)</f>
        <v>0</v>
      </c>
      <c r="H242" s="14">
        <f>IF(ISNUMBER('Klisz-Verbräuche'!I77), 'Klisz-Verbräuche'!I77*Emissionsfaktoren!G77/1000, 0)</f>
        <v>0</v>
      </c>
      <c r="I242" s="14">
        <f>IF(ISNUMBER('Klisz-Verbräuche'!J77), 'Klisz-Verbräuche'!J77*Emissionsfaktoren!H77/1000, 0)</f>
        <v>0</v>
      </c>
      <c r="J242" s="14">
        <f>IF(ISNUMBER('Klisz-Verbräuche'!K77), 'Klisz-Verbräuche'!K77*Emissionsfaktoren!I77/1000, 0)</f>
        <v>0</v>
      </c>
      <c r="K242" s="14">
        <f>IF(ISNUMBER('Klisz-Verbräuche'!L77), 'Klisz-Verbräuche'!L77*Emissionsfaktoren!J77/1000, 0)</f>
        <v>0</v>
      </c>
      <c r="L242" s="14">
        <f>IF(ISNUMBER('Klisz-Verbräuche'!M77), 'Klisz-Verbräuche'!M77*Emissionsfaktoren!K77/1000, 0)</f>
        <v>0</v>
      </c>
      <c r="M242" s="14">
        <f>IF(ISNUMBER('Klisz-Verbräuche'!N77), 'Klisz-Verbräuche'!N77*Emissionsfaktoren!L77/1000, 0)</f>
        <v>0</v>
      </c>
      <c r="N242" s="14">
        <f>IF(ISNUMBER('Klisz-Verbräuche'!O77), 'Klisz-Verbräuche'!O77*Emissionsfaktoren!M77/1000, 0)</f>
        <v>0</v>
      </c>
      <c r="O242" s="14">
        <f>IF(ISNUMBER('Klisz-Verbräuche'!P77), 'Klisz-Verbräuche'!P77*Emissionsfaktoren!N77/1000, 0)</f>
        <v>0</v>
      </c>
      <c r="P242" s="14">
        <f>IF(ISNUMBER('Klisz-Verbräuche'!Q77), 'Klisz-Verbräuche'!Q77*Emissionsfaktoren!O77/1000, 0)</f>
        <v>0</v>
      </c>
      <c r="Q242" s="14">
        <f>IF(ISNUMBER('Klisz-Verbräuche'!R77), 'Klisz-Verbräuche'!R77*Emissionsfaktoren!P77/1000, 0)</f>
        <v>0</v>
      </c>
      <c r="R242" s="14">
        <f>IF(ISNUMBER('Klisz-Verbräuche'!S77), 'Klisz-Verbräuche'!S77*Emissionsfaktoren!Q77/1000, 0)</f>
        <v>0</v>
      </c>
      <c r="S242" s="14">
        <f>IF(ISNUMBER('Klisz-Verbräuche'!T77), 'Klisz-Verbräuche'!T77*Emissionsfaktoren!R77/1000, 0)</f>
        <v>0</v>
      </c>
      <c r="T242" s="14">
        <f>IF(ISNUMBER('Klisz-Verbräuche'!U77), 'Klisz-Verbräuche'!U77*Emissionsfaktoren!S77/1000, 0)</f>
        <v>0</v>
      </c>
      <c r="U242" s="14">
        <f>IF(ISNUMBER('Klisz-Verbräuche'!V77), 'Klisz-Verbräuche'!V77*Emissionsfaktoren!T77/1000, 0)</f>
        <v>0</v>
      </c>
      <c r="V242" s="14">
        <f>IF(ISNUMBER('Klisz-Verbräuche'!W77), 'Klisz-Verbräuche'!W77*Emissionsfaktoren!U77/1000, 0)</f>
        <v>0</v>
      </c>
      <c r="W242" s="14">
        <f>IF(ISNUMBER('Klisz-Verbräuche'!X77), 'Klisz-Verbräuche'!X77*Emissionsfaktoren!V77/1000, 0)</f>
        <v>0</v>
      </c>
      <c r="X242" s="14">
        <f>IF(ISNUMBER('Klisz-Verbräuche'!Y77), 'Klisz-Verbräuche'!Y77*Emissionsfaktoren!W77/1000, 0)</f>
        <v>0</v>
      </c>
      <c r="Y242" s="14">
        <f>IF(ISNUMBER('Klisz-Verbräuche'!Z77), 'Klisz-Verbräuche'!Z77*Emissionsfaktoren!X77/1000, 0)</f>
        <v>0</v>
      </c>
    </row>
    <row r="243" spans="2:25" ht="16.5">
      <c r="B243" s="14">
        <v>61</v>
      </c>
      <c r="C243" s="14" t="str">
        <f>'Refsz-Verbräuche'!C78</f>
        <v>Mobilität 1</v>
      </c>
      <c r="D243" s="19" t="str">
        <f>'Refsz-Verbräuche'!D78</f>
        <v>Exkursionen - Privater PKW (alle Antriebsarten)</v>
      </c>
      <c r="E243" t="s">
        <v>195</v>
      </c>
      <c r="F243" s="14">
        <f>IF(ISNUMBER('Klisz-Verbräuche'!G78), 'Klisz-Verbräuche'!G78*Emissionsfaktoren!E78/1000, 0)</f>
        <v>0</v>
      </c>
      <c r="G243" s="14">
        <f>IF(ISNUMBER('Klisz-Verbräuche'!H78), 'Klisz-Verbräuche'!H78*Emissionsfaktoren!F78/1000, 0)</f>
        <v>0</v>
      </c>
      <c r="H243" s="14">
        <f>IF(ISNUMBER('Klisz-Verbräuche'!I78), 'Klisz-Verbräuche'!I78*Emissionsfaktoren!G78/1000, 0)</f>
        <v>0</v>
      </c>
      <c r="I243" s="14">
        <f>IF(ISNUMBER('Klisz-Verbräuche'!J78), 'Klisz-Verbräuche'!J78*Emissionsfaktoren!H78/1000, 0)</f>
        <v>0</v>
      </c>
      <c r="J243" s="14">
        <f>IF(ISNUMBER('Klisz-Verbräuche'!K78), 'Klisz-Verbräuche'!K78*Emissionsfaktoren!I78/1000, 0)</f>
        <v>0</v>
      </c>
      <c r="K243" s="14">
        <f>IF(ISNUMBER('Klisz-Verbräuche'!L78), 'Klisz-Verbräuche'!L78*Emissionsfaktoren!J78/1000, 0)</f>
        <v>0</v>
      </c>
      <c r="L243" s="14">
        <f>IF(ISNUMBER('Klisz-Verbräuche'!M78), 'Klisz-Verbräuche'!M78*Emissionsfaktoren!K78/1000, 0)</f>
        <v>0</v>
      </c>
      <c r="M243" s="14">
        <f>IF(ISNUMBER('Klisz-Verbräuche'!N78), 'Klisz-Verbräuche'!N78*Emissionsfaktoren!L78/1000, 0)</f>
        <v>0</v>
      </c>
      <c r="N243" s="14">
        <f>IF(ISNUMBER('Klisz-Verbräuche'!O78), 'Klisz-Verbräuche'!O78*Emissionsfaktoren!M78/1000, 0)</f>
        <v>0</v>
      </c>
      <c r="O243" s="14">
        <f>IF(ISNUMBER('Klisz-Verbräuche'!P78), 'Klisz-Verbräuche'!P78*Emissionsfaktoren!N78/1000, 0)</f>
        <v>0</v>
      </c>
      <c r="P243" s="14">
        <f>IF(ISNUMBER('Klisz-Verbräuche'!Q78), 'Klisz-Verbräuche'!Q78*Emissionsfaktoren!O78/1000, 0)</f>
        <v>0</v>
      </c>
      <c r="Q243" s="14">
        <f>IF(ISNUMBER('Klisz-Verbräuche'!R78), 'Klisz-Verbräuche'!R78*Emissionsfaktoren!P78/1000, 0)</f>
        <v>0</v>
      </c>
      <c r="R243" s="14">
        <f>IF(ISNUMBER('Klisz-Verbräuche'!S78), 'Klisz-Verbräuche'!S78*Emissionsfaktoren!Q78/1000, 0)</f>
        <v>0</v>
      </c>
      <c r="S243" s="14">
        <f>IF(ISNUMBER('Klisz-Verbräuche'!T78), 'Klisz-Verbräuche'!T78*Emissionsfaktoren!R78/1000, 0)</f>
        <v>0</v>
      </c>
      <c r="T243" s="14">
        <f>IF(ISNUMBER('Klisz-Verbräuche'!U78), 'Klisz-Verbräuche'!U78*Emissionsfaktoren!S78/1000, 0)</f>
        <v>0</v>
      </c>
      <c r="U243" s="14">
        <f>IF(ISNUMBER('Klisz-Verbräuche'!V78), 'Klisz-Verbräuche'!V78*Emissionsfaktoren!T78/1000, 0)</f>
        <v>0</v>
      </c>
      <c r="V243" s="14">
        <f>IF(ISNUMBER('Klisz-Verbräuche'!W78), 'Klisz-Verbräuche'!W78*Emissionsfaktoren!U78/1000, 0)</f>
        <v>0</v>
      </c>
      <c r="W243" s="14">
        <f>IF(ISNUMBER('Klisz-Verbräuche'!X78), 'Klisz-Verbräuche'!X78*Emissionsfaktoren!V78/1000, 0)</f>
        <v>0</v>
      </c>
      <c r="X243" s="14">
        <f>IF(ISNUMBER('Klisz-Verbräuche'!Y78), 'Klisz-Verbräuche'!Y78*Emissionsfaktoren!W78/1000, 0)</f>
        <v>0</v>
      </c>
      <c r="Y243" s="14">
        <f>IF(ISNUMBER('Klisz-Verbräuche'!Z78), 'Klisz-Verbräuche'!Z78*Emissionsfaktoren!X78/1000, 0)</f>
        <v>0</v>
      </c>
    </row>
    <row r="244" spans="2:25" ht="16.5">
      <c r="B244" s="14">
        <v>62</v>
      </c>
      <c r="C244" s="14">
        <f>'Refsz-Verbräuche'!C79</f>
        <v>0</v>
      </c>
      <c r="D244" s="19">
        <f>'Refsz-Verbräuche'!D79</f>
        <v>0</v>
      </c>
      <c r="E244" t="s">
        <v>195</v>
      </c>
      <c r="F244" s="14">
        <f>IF(ISNUMBER('Klisz-Verbräuche'!G79), 'Klisz-Verbräuche'!G79*Emissionsfaktoren!E79/1000, 0)</f>
        <v>0</v>
      </c>
      <c r="G244" s="14">
        <f>IF(ISNUMBER('Klisz-Verbräuche'!H79), 'Klisz-Verbräuche'!H79*Emissionsfaktoren!F79/1000, 0)</f>
        <v>0</v>
      </c>
      <c r="H244" s="14">
        <f>IF(ISNUMBER('Klisz-Verbräuche'!I79), 'Klisz-Verbräuche'!I79*Emissionsfaktoren!G79/1000, 0)</f>
        <v>0</v>
      </c>
      <c r="I244" s="14">
        <f>IF(ISNUMBER('Klisz-Verbräuche'!J79), 'Klisz-Verbräuche'!J79*Emissionsfaktoren!H79/1000, 0)</f>
        <v>0</v>
      </c>
      <c r="J244" s="14">
        <f>IF(ISNUMBER('Klisz-Verbräuche'!K79), 'Klisz-Verbräuche'!K79*Emissionsfaktoren!I79/1000, 0)</f>
        <v>0</v>
      </c>
      <c r="K244" s="14">
        <f>IF(ISNUMBER('Klisz-Verbräuche'!L79), 'Klisz-Verbräuche'!L79*Emissionsfaktoren!J79/1000, 0)</f>
        <v>0</v>
      </c>
      <c r="L244" s="14">
        <f>IF(ISNUMBER('Klisz-Verbräuche'!M79), 'Klisz-Verbräuche'!M79*Emissionsfaktoren!K79/1000, 0)</f>
        <v>0</v>
      </c>
      <c r="M244" s="14">
        <f>IF(ISNUMBER('Klisz-Verbräuche'!N79), 'Klisz-Verbräuche'!N79*Emissionsfaktoren!L79/1000, 0)</f>
        <v>0</v>
      </c>
      <c r="N244" s="14">
        <f>IF(ISNUMBER('Klisz-Verbräuche'!O79), 'Klisz-Verbräuche'!O79*Emissionsfaktoren!M79/1000, 0)</f>
        <v>0</v>
      </c>
      <c r="O244" s="14">
        <f>IF(ISNUMBER('Klisz-Verbräuche'!P79), 'Klisz-Verbräuche'!P79*Emissionsfaktoren!N79/1000, 0)</f>
        <v>0</v>
      </c>
      <c r="P244" s="14">
        <f>IF(ISNUMBER('Klisz-Verbräuche'!Q79), 'Klisz-Verbräuche'!Q79*Emissionsfaktoren!O79/1000, 0)</f>
        <v>0</v>
      </c>
      <c r="Q244" s="14">
        <f>IF(ISNUMBER('Klisz-Verbräuche'!R79), 'Klisz-Verbräuche'!R79*Emissionsfaktoren!P79/1000, 0)</f>
        <v>0</v>
      </c>
      <c r="R244" s="14">
        <f>IF(ISNUMBER('Klisz-Verbräuche'!S79), 'Klisz-Verbräuche'!S79*Emissionsfaktoren!Q79/1000, 0)</f>
        <v>0</v>
      </c>
      <c r="S244" s="14">
        <f>IF(ISNUMBER('Klisz-Verbräuche'!T79), 'Klisz-Verbräuche'!T79*Emissionsfaktoren!R79/1000, 0)</f>
        <v>0</v>
      </c>
      <c r="T244" s="14">
        <f>IF(ISNUMBER('Klisz-Verbräuche'!U79), 'Klisz-Verbräuche'!U79*Emissionsfaktoren!S79/1000, 0)</f>
        <v>0</v>
      </c>
      <c r="U244" s="14">
        <f>IF(ISNUMBER('Klisz-Verbräuche'!V79), 'Klisz-Verbräuche'!V79*Emissionsfaktoren!T79/1000, 0)</f>
        <v>0</v>
      </c>
      <c r="V244" s="14">
        <f>IF(ISNUMBER('Klisz-Verbräuche'!W79), 'Klisz-Verbräuche'!W79*Emissionsfaktoren!U79/1000, 0)</f>
        <v>0</v>
      </c>
      <c r="W244" s="14">
        <f>IF(ISNUMBER('Klisz-Verbräuche'!X79), 'Klisz-Verbräuche'!X79*Emissionsfaktoren!V79/1000, 0)</f>
        <v>0</v>
      </c>
      <c r="X244" s="14">
        <f>IF(ISNUMBER('Klisz-Verbräuche'!Y79), 'Klisz-Verbräuche'!Y79*Emissionsfaktoren!W79/1000, 0)</f>
        <v>0</v>
      </c>
      <c r="Y244" s="14">
        <f>IF(ISNUMBER('Klisz-Verbräuche'!Z79), 'Klisz-Verbräuche'!Z79*Emissionsfaktoren!X79/1000, 0)</f>
        <v>0</v>
      </c>
    </row>
    <row r="245" spans="2:25" ht="16.5">
      <c r="B245" s="14">
        <v>63</v>
      </c>
      <c r="C245" s="14" t="str">
        <f>'Refsz-Verbräuche'!C80</f>
        <v>Mobilität 2</v>
      </c>
      <c r="D245" s="19" t="str">
        <f>'Refsz-Verbräuche'!D80</f>
        <v>Pendeln - Eisenbahn (Fernverkehr)</v>
      </c>
      <c r="E245" t="s">
        <v>195</v>
      </c>
      <c r="F245" s="14">
        <f>IF(ISNUMBER('Klisz-Verbräuche'!G80), 'Klisz-Verbräuche'!G80*Emissionsfaktoren!E80/1000, 0)</f>
        <v>0</v>
      </c>
      <c r="G245" s="14">
        <f>IF(ISNUMBER('Klisz-Verbräuche'!H80), 'Klisz-Verbräuche'!H80*Emissionsfaktoren!F80/1000, 0)</f>
        <v>0</v>
      </c>
      <c r="H245" s="14">
        <f>IF(ISNUMBER('Klisz-Verbräuche'!I80), 'Klisz-Verbräuche'!I80*Emissionsfaktoren!G80/1000, 0)</f>
        <v>0</v>
      </c>
      <c r="I245" s="14">
        <f>IF(ISNUMBER('Klisz-Verbräuche'!J80), 'Klisz-Verbräuche'!J80*Emissionsfaktoren!H80/1000, 0)</f>
        <v>0</v>
      </c>
      <c r="J245" s="14">
        <f>IF(ISNUMBER('Klisz-Verbräuche'!K80), 'Klisz-Verbräuche'!K80*Emissionsfaktoren!I80/1000, 0)</f>
        <v>0</v>
      </c>
      <c r="K245" s="14">
        <f>IF(ISNUMBER('Klisz-Verbräuche'!L80), 'Klisz-Verbräuche'!L80*Emissionsfaktoren!J80/1000, 0)</f>
        <v>0</v>
      </c>
      <c r="L245" s="14">
        <f>IF(ISNUMBER('Klisz-Verbräuche'!M80), 'Klisz-Verbräuche'!M80*Emissionsfaktoren!K80/1000, 0)</f>
        <v>0</v>
      </c>
      <c r="M245" s="14">
        <f>IF(ISNUMBER('Klisz-Verbräuche'!N80), 'Klisz-Verbräuche'!N80*Emissionsfaktoren!L80/1000, 0)</f>
        <v>0</v>
      </c>
      <c r="N245" s="14">
        <f>IF(ISNUMBER('Klisz-Verbräuche'!O80), 'Klisz-Verbräuche'!O80*Emissionsfaktoren!M80/1000, 0)</f>
        <v>0</v>
      </c>
      <c r="O245" s="14">
        <f>IF(ISNUMBER('Klisz-Verbräuche'!P80), 'Klisz-Verbräuche'!P80*Emissionsfaktoren!N80/1000, 0)</f>
        <v>0</v>
      </c>
      <c r="P245" s="14">
        <f>IF(ISNUMBER('Klisz-Verbräuche'!Q80), 'Klisz-Verbräuche'!Q80*Emissionsfaktoren!O80/1000, 0)</f>
        <v>0</v>
      </c>
      <c r="Q245" s="14">
        <f>IF(ISNUMBER('Klisz-Verbräuche'!R80), 'Klisz-Verbräuche'!R80*Emissionsfaktoren!P80/1000, 0)</f>
        <v>0</v>
      </c>
      <c r="R245" s="14">
        <f>IF(ISNUMBER('Klisz-Verbräuche'!S80), 'Klisz-Verbräuche'!S80*Emissionsfaktoren!Q80/1000, 0)</f>
        <v>0</v>
      </c>
      <c r="S245" s="14">
        <f>IF(ISNUMBER('Klisz-Verbräuche'!T80), 'Klisz-Verbräuche'!T80*Emissionsfaktoren!R80/1000, 0)</f>
        <v>0</v>
      </c>
      <c r="T245" s="14">
        <f>IF(ISNUMBER('Klisz-Verbräuche'!U80), 'Klisz-Verbräuche'!U80*Emissionsfaktoren!S80/1000, 0)</f>
        <v>0</v>
      </c>
      <c r="U245" s="14">
        <f>IF(ISNUMBER('Klisz-Verbräuche'!V80), 'Klisz-Verbräuche'!V80*Emissionsfaktoren!T80/1000, 0)</f>
        <v>0</v>
      </c>
      <c r="V245" s="14">
        <f>IF(ISNUMBER('Klisz-Verbräuche'!W80), 'Klisz-Verbräuche'!W80*Emissionsfaktoren!U80/1000, 0)</f>
        <v>0</v>
      </c>
      <c r="W245" s="14">
        <f>IF(ISNUMBER('Klisz-Verbräuche'!X80), 'Klisz-Verbräuche'!X80*Emissionsfaktoren!V80/1000, 0)</f>
        <v>0</v>
      </c>
      <c r="X245" s="14">
        <f>IF(ISNUMBER('Klisz-Verbräuche'!Y80), 'Klisz-Verbräuche'!Y80*Emissionsfaktoren!W80/1000, 0)</f>
        <v>0</v>
      </c>
      <c r="Y245" s="14">
        <f>IF(ISNUMBER('Klisz-Verbräuche'!Z80), 'Klisz-Verbräuche'!Z80*Emissionsfaktoren!X80/1000, 0)</f>
        <v>0</v>
      </c>
    </row>
    <row r="246" spans="2:25" ht="16.5">
      <c r="B246" s="14">
        <v>64</v>
      </c>
      <c r="C246" s="14" t="str">
        <f>'Refsz-Verbräuche'!C81</f>
        <v>Mobilität 2</v>
      </c>
      <c r="D246" s="19" t="str">
        <f>'Refsz-Verbräuche'!D81</f>
        <v>Pendeln - Eisenbahn (Nahverkehr)</v>
      </c>
      <c r="E246" t="s">
        <v>195</v>
      </c>
      <c r="F246" s="14">
        <f>IF(ISNUMBER('Klisz-Verbräuche'!G81), 'Klisz-Verbräuche'!G81*Emissionsfaktoren!E81/1000, 0)</f>
        <v>0</v>
      </c>
      <c r="G246" s="14">
        <f>IF(ISNUMBER('Klisz-Verbräuche'!H81), 'Klisz-Verbräuche'!H81*Emissionsfaktoren!F81/1000, 0)</f>
        <v>0</v>
      </c>
      <c r="H246" s="14">
        <f>IF(ISNUMBER('Klisz-Verbräuche'!I81), 'Klisz-Verbräuche'!I81*Emissionsfaktoren!G81/1000, 0)</f>
        <v>0</v>
      </c>
      <c r="I246" s="14">
        <f>IF(ISNUMBER('Klisz-Verbräuche'!J81), 'Klisz-Verbräuche'!J81*Emissionsfaktoren!H81/1000, 0)</f>
        <v>0</v>
      </c>
      <c r="J246" s="14">
        <f>IF(ISNUMBER('Klisz-Verbräuche'!K81), 'Klisz-Verbräuche'!K81*Emissionsfaktoren!I81/1000, 0)</f>
        <v>0</v>
      </c>
      <c r="K246" s="14">
        <f>IF(ISNUMBER('Klisz-Verbräuche'!L81), 'Klisz-Verbräuche'!L81*Emissionsfaktoren!J81/1000, 0)</f>
        <v>0</v>
      </c>
      <c r="L246" s="14">
        <f>IF(ISNUMBER('Klisz-Verbräuche'!M81), 'Klisz-Verbräuche'!M81*Emissionsfaktoren!K81/1000, 0)</f>
        <v>0</v>
      </c>
      <c r="M246" s="14">
        <f>IF(ISNUMBER('Klisz-Verbräuche'!N81), 'Klisz-Verbräuche'!N81*Emissionsfaktoren!L81/1000, 0)</f>
        <v>0</v>
      </c>
      <c r="N246" s="14">
        <f>IF(ISNUMBER('Klisz-Verbräuche'!O81), 'Klisz-Verbräuche'!O81*Emissionsfaktoren!M81/1000, 0)</f>
        <v>0</v>
      </c>
      <c r="O246" s="14">
        <f>IF(ISNUMBER('Klisz-Verbräuche'!P81), 'Klisz-Verbräuche'!P81*Emissionsfaktoren!N81/1000, 0)</f>
        <v>0</v>
      </c>
      <c r="P246" s="14">
        <f>IF(ISNUMBER('Klisz-Verbräuche'!Q81), 'Klisz-Verbräuche'!Q81*Emissionsfaktoren!O81/1000, 0)</f>
        <v>0</v>
      </c>
      <c r="Q246" s="14">
        <f>IF(ISNUMBER('Klisz-Verbräuche'!R81), 'Klisz-Verbräuche'!R81*Emissionsfaktoren!P81/1000, 0)</f>
        <v>0</v>
      </c>
      <c r="R246" s="14">
        <f>IF(ISNUMBER('Klisz-Verbräuche'!S81), 'Klisz-Verbräuche'!S81*Emissionsfaktoren!Q81/1000, 0)</f>
        <v>0</v>
      </c>
      <c r="S246" s="14">
        <f>IF(ISNUMBER('Klisz-Verbräuche'!T81), 'Klisz-Verbräuche'!T81*Emissionsfaktoren!R81/1000, 0)</f>
        <v>0</v>
      </c>
      <c r="T246" s="14">
        <f>IF(ISNUMBER('Klisz-Verbräuche'!U81), 'Klisz-Verbräuche'!U81*Emissionsfaktoren!S81/1000, 0)</f>
        <v>0</v>
      </c>
      <c r="U246" s="14">
        <f>IF(ISNUMBER('Klisz-Verbräuche'!V81), 'Klisz-Verbräuche'!V81*Emissionsfaktoren!T81/1000, 0)</f>
        <v>0</v>
      </c>
      <c r="V246" s="14">
        <f>IF(ISNUMBER('Klisz-Verbräuche'!W81), 'Klisz-Verbräuche'!W81*Emissionsfaktoren!U81/1000, 0)</f>
        <v>0</v>
      </c>
      <c r="W246" s="14">
        <f>IF(ISNUMBER('Klisz-Verbräuche'!X81), 'Klisz-Verbräuche'!X81*Emissionsfaktoren!V81/1000, 0)</f>
        <v>0</v>
      </c>
      <c r="X246" s="14">
        <f>IF(ISNUMBER('Klisz-Verbräuche'!Y81), 'Klisz-Verbräuche'!Y81*Emissionsfaktoren!W81/1000, 0)</f>
        <v>0</v>
      </c>
      <c r="Y246" s="14">
        <f>IF(ISNUMBER('Klisz-Verbräuche'!Z81), 'Klisz-Verbräuche'!Z81*Emissionsfaktoren!X81/1000, 0)</f>
        <v>0</v>
      </c>
    </row>
    <row r="247" spans="2:25" ht="16.5">
      <c r="B247" s="14">
        <v>65</v>
      </c>
      <c r="C247" s="14" t="str">
        <f>'Refsz-Verbräuche'!C82</f>
        <v>Mobilität 2</v>
      </c>
      <c r="D247" s="19" t="str">
        <f>'Refsz-Verbräuche'!D82</f>
        <v>Pendeln - Linienbus (Nahverkehr)</v>
      </c>
      <c r="E247" t="s">
        <v>195</v>
      </c>
      <c r="F247" s="14">
        <f>IF(ISNUMBER('Klisz-Verbräuche'!G82), 'Klisz-Verbräuche'!G82*Emissionsfaktoren!E82/1000, 0)</f>
        <v>0</v>
      </c>
      <c r="G247" s="14">
        <f>IF(ISNUMBER('Klisz-Verbräuche'!H82), 'Klisz-Verbräuche'!H82*Emissionsfaktoren!F82/1000, 0)</f>
        <v>0</v>
      </c>
      <c r="H247" s="14">
        <f>IF(ISNUMBER('Klisz-Verbräuche'!I82), 'Klisz-Verbräuche'!I82*Emissionsfaktoren!G82/1000, 0)</f>
        <v>0</v>
      </c>
      <c r="I247" s="14">
        <f>IF(ISNUMBER('Klisz-Verbräuche'!J82), 'Klisz-Verbräuche'!J82*Emissionsfaktoren!H82/1000, 0)</f>
        <v>0</v>
      </c>
      <c r="J247" s="14">
        <f>IF(ISNUMBER('Klisz-Verbräuche'!K82), 'Klisz-Verbräuche'!K82*Emissionsfaktoren!I82/1000, 0)</f>
        <v>0</v>
      </c>
      <c r="K247" s="14">
        <f>IF(ISNUMBER('Klisz-Verbräuche'!L82), 'Klisz-Verbräuche'!L82*Emissionsfaktoren!J82/1000, 0)</f>
        <v>0</v>
      </c>
      <c r="L247" s="14">
        <f>IF(ISNUMBER('Klisz-Verbräuche'!M82), 'Klisz-Verbräuche'!M82*Emissionsfaktoren!K82/1000, 0)</f>
        <v>0</v>
      </c>
      <c r="M247" s="14">
        <f>IF(ISNUMBER('Klisz-Verbräuche'!N82), 'Klisz-Verbräuche'!N82*Emissionsfaktoren!L82/1000, 0)</f>
        <v>0</v>
      </c>
      <c r="N247" s="14">
        <f>IF(ISNUMBER('Klisz-Verbräuche'!O82), 'Klisz-Verbräuche'!O82*Emissionsfaktoren!M82/1000, 0)</f>
        <v>0</v>
      </c>
      <c r="O247" s="14">
        <f>IF(ISNUMBER('Klisz-Verbräuche'!P82), 'Klisz-Verbräuche'!P82*Emissionsfaktoren!N82/1000, 0)</f>
        <v>0</v>
      </c>
      <c r="P247" s="14">
        <f>IF(ISNUMBER('Klisz-Verbräuche'!Q82), 'Klisz-Verbräuche'!Q82*Emissionsfaktoren!O82/1000, 0)</f>
        <v>0</v>
      </c>
      <c r="Q247" s="14">
        <f>IF(ISNUMBER('Klisz-Verbräuche'!R82), 'Klisz-Verbräuche'!R82*Emissionsfaktoren!P82/1000, 0)</f>
        <v>0</v>
      </c>
      <c r="R247" s="14">
        <f>IF(ISNUMBER('Klisz-Verbräuche'!S82), 'Klisz-Verbräuche'!S82*Emissionsfaktoren!Q82/1000, 0)</f>
        <v>0</v>
      </c>
      <c r="S247" s="14">
        <f>IF(ISNUMBER('Klisz-Verbräuche'!T82), 'Klisz-Verbräuche'!T82*Emissionsfaktoren!R82/1000, 0)</f>
        <v>0</v>
      </c>
      <c r="T247" s="14">
        <f>IF(ISNUMBER('Klisz-Verbräuche'!U82), 'Klisz-Verbräuche'!U82*Emissionsfaktoren!S82/1000, 0)</f>
        <v>0</v>
      </c>
      <c r="U247" s="14">
        <f>IF(ISNUMBER('Klisz-Verbräuche'!V82), 'Klisz-Verbräuche'!V82*Emissionsfaktoren!T82/1000, 0)</f>
        <v>0</v>
      </c>
      <c r="V247" s="14">
        <f>IF(ISNUMBER('Klisz-Verbräuche'!W82), 'Klisz-Verbräuche'!W82*Emissionsfaktoren!U82/1000, 0)</f>
        <v>0</v>
      </c>
      <c r="W247" s="14">
        <f>IF(ISNUMBER('Klisz-Verbräuche'!X82), 'Klisz-Verbräuche'!X82*Emissionsfaktoren!V82/1000, 0)</f>
        <v>0</v>
      </c>
      <c r="X247" s="14">
        <f>IF(ISNUMBER('Klisz-Verbräuche'!Y82), 'Klisz-Verbräuche'!Y82*Emissionsfaktoren!W82/1000, 0)</f>
        <v>0</v>
      </c>
      <c r="Y247" s="14">
        <f>IF(ISNUMBER('Klisz-Verbräuche'!Z82), 'Klisz-Verbräuche'!Z82*Emissionsfaktoren!X82/1000, 0)</f>
        <v>0</v>
      </c>
    </row>
    <row r="248" spans="2:25" ht="16.5">
      <c r="B248" s="14">
        <v>66</v>
      </c>
      <c r="C248" s="14" t="str">
        <f>'Refsz-Verbräuche'!C83</f>
        <v>Mobilität 2</v>
      </c>
      <c r="D248" s="19" t="str">
        <f>'Refsz-Verbräuche'!D83</f>
        <v>Pendeln - PKW (alle Antriebsarten)</v>
      </c>
      <c r="E248" t="s">
        <v>195</v>
      </c>
      <c r="F248" s="14">
        <f>IF(ISNUMBER('Klisz-Verbräuche'!G83), 'Klisz-Verbräuche'!G83*Emissionsfaktoren!E83/1000, 0)</f>
        <v>0</v>
      </c>
      <c r="G248" s="14">
        <f>IF(ISNUMBER('Klisz-Verbräuche'!H83), 'Klisz-Verbräuche'!H83*Emissionsfaktoren!F83/1000, 0)</f>
        <v>0</v>
      </c>
      <c r="H248" s="14">
        <f>IF(ISNUMBER('Klisz-Verbräuche'!I83), 'Klisz-Verbräuche'!I83*Emissionsfaktoren!G83/1000, 0)</f>
        <v>0</v>
      </c>
      <c r="I248" s="14">
        <f>IF(ISNUMBER('Klisz-Verbräuche'!J83), 'Klisz-Verbräuche'!J83*Emissionsfaktoren!H83/1000, 0)</f>
        <v>0</v>
      </c>
      <c r="J248" s="14">
        <f>IF(ISNUMBER('Klisz-Verbräuche'!K83), 'Klisz-Verbräuche'!K83*Emissionsfaktoren!I83/1000, 0)</f>
        <v>0</v>
      </c>
      <c r="K248" s="14">
        <f>IF(ISNUMBER('Klisz-Verbräuche'!L83), 'Klisz-Verbräuche'!L83*Emissionsfaktoren!J83/1000, 0)</f>
        <v>0</v>
      </c>
      <c r="L248" s="14">
        <f>IF(ISNUMBER('Klisz-Verbräuche'!M83), 'Klisz-Verbräuche'!M83*Emissionsfaktoren!K83/1000, 0)</f>
        <v>0</v>
      </c>
      <c r="M248" s="14">
        <f>IF(ISNUMBER('Klisz-Verbräuche'!N83), 'Klisz-Verbräuche'!N83*Emissionsfaktoren!L83/1000, 0)</f>
        <v>0</v>
      </c>
      <c r="N248" s="14">
        <f>IF(ISNUMBER('Klisz-Verbräuche'!O83), 'Klisz-Verbräuche'!O83*Emissionsfaktoren!M83/1000, 0)</f>
        <v>0</v>
      </c>
      <c r="O248" s="14">
        <f>IF(ISNUMBER('Klisz-Verbräuche'!P83), 'Klisz-Verbräuche'!P83*Emissionsfaktoren!N83/1000, 0)</f>
        <v>0</v>
      </c>
      <c r="P248" s="14">
        <f>IF(ISNUMBER('Klisz-Verbräuche'!Q83), 'Klisz-Verbräuche'!Q83*Emissionsfaktoren!O83/1000, 0)</f>
        <v>0</v>
      </c>
      <c r="Q248" s="14">
        <f>IF(ISNUMBER('Klisz-Verbräuche'!R83), 'Klisz-Verbräuche'!R83*Emissionsfaktoren!P83/1000, 0)</f>
        <v>0</v>
      </c>
      <c r="R248" s="14">
        <f>IF(ISNUMBER('Klisz-Verbräuche'!S83), 'Klisz-Verbräuche'!S83*Emissionsfaktoren!Q83/1000, 0)</f>
        <v>0</v>
      </c>
      <c r="S248" s="14">
        <f>IF(ISNUMBER('Klisz-Verbräuche'!T83), 'Klisz-Verbräuche'!T83*Emissionsfaktoren!R83/1000, 0)</f>
        <v>0</v>
      </c>
      <c r="T248" s="14">
        <f>IF(ISNUMBER('Klisz-Verbräuche'!U83), 'Klisz-Verbräuche'!U83*Emissionsfaktoren!S83/1000, 0)</f>
        <v>0</v>
      </c>
      <c r="U248" s="14">
        <f>IF(ISNUMBER('Klisz-Verbräuche'!V83), 'Klisz-Verbräuche'!V83*Emissionsfaktoren!T83/1000, 0)</f>
        <v>0</v>
      </c>
      <c r="V248" s="14">
        <f>IF(ISNUMBER('Klisz-Verbräuche'!W83), 'Klisz-Verbräuche'!W83*Emissionsfaktoren!U83/1000, 0)</f>
        <v>0</v>
      </c>
      <c r="W248" s="14">
        <f>IF(ISNUMBER('Klisz-Verbräuche'!X83), 'Klisz-Verbräuche'!X83*Emissionsfaktoren!V83/1000, 0)</f>
        <v>0</v>
      </c>
      <c r="X248" s="14">
        <f>IF(ISNUMBER('Klisz-Verbräuche'!Y83), 'Klisz-Verbräuche'!Y83*Emissionsfaktoren!W83/1000, 0)</f>
        <v>0</v>
      </c>
      <c r="Y248" s="14">
        <f>IF(ISNUMBER('Klisz-Verbräuche'!Z83), 'Klisz-Verbräuche'!Z83*Emissionsfaktoren!X83/1000, 0)</f>
        <v>0</v>
      </c>
    </row>
    <row r="249" spans="2:25" ht="16.5">
      <c r="B249" s="14">
        <v>67</v>
      </c>
      <c r="C249" s="14" t="str">
        <f>'Refsz-Verbräuche'!C84</f>
        <v>Mobilität 2</v>
      </c>
      <c r="D249" s="19" t="str">
        <f>'Refsz-Verbräuche'!D84</f>
        <v>Pendeln - PKW (Diesel)</v>
      </c>
      <c r="E249" t="s">
        <v>195</v>
      </c>
      <c r="F249" s="14">
        <f>IF(ISNUMBER('Klisz-Verbräuche'!G84), 'Klisz-Verbräuche'!G84*Emissionsfaktoren!E84/1000, 0)</f>
        <v>0</v>
      </c>
      <c r="G249" s="14">
        <f>IF(ISNUMBER('Klisz-Verbräuche'!H84), 'Klisz-Verbräuche'!H84*Emissionsfaktoren!F84/1000, 0)</f>
        <v>0</v>
      </c>
      <c r="H249" s="14">
        <f>IF(ISNUMBER('Klisz-Verbräuche'!I84), 'Klisz-Verbräuche'!I84*Emissionsfaktoren!G84/1000, 0)</f>
        <v>0</v>
      </c>
      <c r="I249" s="14">
        <f>IF(ISNUMBER('Klisz-Verbräuche'!J84), 'Klisz-Verbräuche'!J84*Emissionsfaktoren!H84/1000, 0)</f>
        <v>0</v>
      </c>
      <c r="J249" s="14">
        <f>IF(ISNUMBER('Klisz-Verbräuche'!K84), 'Klisz-Verbräuche'!K84*Emissionsfaktoren!I84/1000, 0)</f>
        <v>0</v>
      </c>
      <c r="K249" s="14">
        <f>IF(ISNUMBER('Klisz-Verbräuche'!L84), 'Klisz-Verbräuche'!L84*Emissionsfaktoren!J84/1000, 0)</f>
        <v>0</v>
      </c>
      <c r="L249" s="14">
        <f>IF(ISNUMBER('Klisz-Verbräuche'!M84), 'Klisz-Verbräuche'!M84*Emissionsfaktoren!K84/1000, 0)</f>
        <v>0</v>
      </c>
      <c r="M249" s="14">
        <f>IF(ISNUMBER('Klisz-Verbräuche'!N84), 'Klisz-Verbräuche'!N84*Emissionsfaktoren!L84/1000, 0)</f>
        <v>0</v>
      </c>
      <c r="N249" s="14">
        <f>IF(ISNUMBER('Klisz-Verbräuche'!O84), 'Klisz-Verbräuche'!O84*Emissionsfaktoren!M84/1000, 0)</f>
        <v>0</v>
      </c>
      <c r="O249" s="14">
        <f>IF(ISNUMBER('Klisz-Verbräuche'!P84), 'Klisz-Verbräuche'!P84*Emissionsfaktoren!N84/1000, 0)</f>
        <v>0</v>
      </c>
      <c r="P249" s="14">
        <f>IF(ISNUMBER('Klisz-Verbräuche'!Q84), 'Klisz-Verbräuche'!Q84*Emissionsfaktoren!O84/1000, 0)</f>
        <v>0</v>
      </c>
      <c r="Q249" s="14">
        <f>IF(ISNUMBER('Klisz-Verbräuche'!R84), 'Klisz-Verbräuche'!R84*Emissionsfaktoren!P84/1000, 0)</f>
        <v>0</v>
      </c>
      <c r="R249" s="14">
        <f>IF(ISNUMBER('Klisz-Verbräuche'!S84), 'Klisz-Verbräuche'!S84*Emissionsfaktoren!Q84/1000, 0)</f>
        <v>0</v>
      </c>
      <c r="S249" s="14">
        <f>IF(ISNUMBER('Klisz-Verbräuche'!T84), 'Klisz-Verbräuche'!T84*Emissionsfaktoren!R84/1000, 0)</f>
        <v>0</v>
      </c>
      <c r="T249" s="14">
        <f>IF(ISNUMBER('Klisz-Verbräuche'!U84), 'Klisz-Verbräuche'!U84*Emissionsfaktoren!S84/1000, 0)</f>
        <v>0</v>
      </c>
      <c r="U249" s="14">
        <f>IF(ISNUMBER('Klisz-Verbräuche'!V84), 'Klisz-Verbräuche'!V84*Emissionsfaktoren!T84/1000, 0)</f>
        <v>0</v>
      </c>
      <c r="V249" s="14">
        <f>IF(ISNUMBER('Klisz-Verbräuche'!W84), 'Klisz-Verbräuche'!W84*Emissionsfaktoren!U84/1000, 0)</f>
        <v>0</v>
      </c>
      <c r="W249" s="14">
        <f>IF(ISNUMBER('Klisz-Verbräuche'!X84), 'Klisz-Verbräuche'!X84*Emissionsfaktoren!V84/1000, 0)</f>
        <v>0</v>
      </c>
      <c r="X249" s="14">
        <f>IF(ISNUMBER('Klisz-Verbräuche'!Y84), 'Klisz-Verbräuche'!Y84*Emissionsfaktoren!W84/1000, 0)</f>
        <v>0</v>
      </c>
      <c r="Y249" s="14">
        <f>IF(ISNUMBER('Klisz-Verbräuche'!Z84), 'Klisz-Verbräuche'!Z84*Emissionsfaktoren!X84/1000, 0)</f>
        <v>0</v>
      </c>
    </row>
    <row r="250" spans="2:25" ht="16.5">
      <c r="B250" s="14">
        <v>68</v>
      </c>
      <c r="C250" s="14" t="str">
        <f>'Refsz-Verbräuche'!C85</f>
        <v>Mobilität 2</v>
      </c>
      <c r="D250" s="19" t="str">
        <f>'Refsz-Verbräuche'!D85</f>
        <v>Pendeln - PKW (Benzin)</v>
      </c>
      <c r="E250" t="s">
        <v>195</v>
      </c>
      <c r="F250" s="14">
        <f>IF(ISNUMBER('Klisz-Verbräuche'!G85), 'Klisz-Verbräuche'!G85*Emissionsfaktoren!E85/1000, 0)</f>
        <v>0</v>
      </c>
      <c r="G250" s="14">
        <f>IF(ISNUMBER('Klisz-Verbräuche'!H85), 'Klisz-Verbräuche'!H85*Emissionsfaktoren!F85/1000, 0)</f>
        <v>0</v>
      </c>
      <c r="H250" s="14">
        <f>IF(ISNUMBER('Klisz-Verbräuche'!I85), 'Klisz-Verbräuche'!I85*Emissionsfaktoren!G85/1000, 0)</f>
        <v>0</v>
      </c>
      <c r="I250" s="14">
        <f>IF(ISNUMBER('Klisz-Verbräuche'!J85), 'Klisz-Verbräuche'!J85*Emissionsfaktoren!H85/1000, 0)</f>
        <v>0</v>
      </c>
      <c r="J250" s="14">
        <f>IF(ISNUMBER('Klisz-Verbräuche'!K85), 'Klisz-Verbräuche'!K85*Emissionsfaktoren!I85/1000, 0)</f>
        <v>0</v>
      </c>
      <c r="K250" s="14">
        <f>IF(ISNUMBER('Klisz-Verbräuche'!L85), 'Klisz-Verbräuche'!L85*Emissionsfaktoren!J85/1000, 0)</f>
        <v>0</v>
      </c>
      <c r="L250" s="14">
        <f>IF(ISNUMBER('Klisz-Verbräuche'!M85), 'Klisz-Verbräuche'!M85*Emissionsfaktoren!K85/1000, 0)</f>
        <v>0</v>
      </c>
      <c r="M250" s="14">
        <f>IF(ISNUMBER('Klisz-Verbräuche'!N85), 'Klisz-Verbräuche'!N85*Emissionsfaktoren!L85/1000, 0)</f>
        <v>0</v>
      </c>
      <c r="N250" s="14">
        <f>IF(ISNUMBER('Klisz-Verbräuche'!O85), 'Klisz-Verbräuche'!O85*Emissionsfaktoren!M85/1000, 0)</f>
        <v>0</v>
      </c>
      <c r="O250" s="14">
        <f>IF(ISNUMBER('Klisz-Verbräuche'!P85), 'Klisz-Verbräuche'!P85*Emissionsfaktoren!N85/1000, 0)</f>
        <v>0</v>
      </c>
      <c r="P250" s="14">
        <f>IF(ISNUMBER('Klisz-Verbräuche'!Q85), 'Klisz-Verbräuche'!Q85*Emissionsfaktoren!O85/1000, 0)</f>
        <v>0</v>
      </c>
      <c r="Q250" s="14">
        <f>IF(ISNUMBER('Klisz-Verbräuche'!R85), 'Klisz-Verbräuche'!R85*Emissionsfaktoren!P85/1000, 0)</f>
        <v>0</v>
      </c>
      <c r="R250" s="14">
        <f>IF(ISNUMBER('Klisz-Verbräuche'!S85), 'Klisz-Verbräuche'!S85*Emissionsfaktoren!Q85/1000, 0)</f>
        <v>0</v>
      </c>
      <c r="S250" s="14">
        <f>IF(ISNUMBER('Klisz-Verbräuche'!T85), 'Klisz-Verbräuche'!T85*Emissionsfaktoren!R85/1000, 0)</f>
        <v>0</v>
      </c>
      <c r="T250" s="14">
        <f>IF(ISNUMBER('Klisz-Verbräuche'!U85), 'Klisz-Verbräuche'!U85*Emissionsfaktoren!S85/1000, 0)</f>
        <v>0</v>
      </c>
      <c r="U250" s="14">
        <f>IF(ISNUMBER('Klisz-Verbräuche'!V85), 'Klisz-Verbräuche'!V85*Emissionsfaktoren!T85/1000, 0)</f>
        <v>0</v>
      </c>
      <c r="V250" s="14">
        <f>IF(ISNUMBER('Klisz-Verbräuche'!W85), 'Klisz-Verbräuche'!W85*Emissionsfaktoren!U85/1000, 0)</f>
        <v>0</v>
      </c>
      <c r="W250" s="14">
        <f>IF(ISNUMBER('Klisz-Verbräuche'!X85), 'Klisz-Verbräuche'!X85*Emissionsfaktoren!V85/1000, 0)</f>
        <v>0</v>
      </c>
      <c r="X250" s="14">
        <f>IF(ISNUMBER('Klisz-Verbräuche'!Y85), 'Klisz-Verbräuche'!Y85*Emissionsfaktoren!W85/1000, 0)</f>
        <v>0</v>
      </c>
      <c r="Y250" s="14">
        <f>IF(ISNUMBER('Klisz-Verbräuche'!Z85), 'Klisz-Verbräuche'!Z85*Emissionsfaktoren!X85/1000, 0)</f>
        <v>0</v>
      </c>
    </row>
    <row r="251" spans="2:25" ht="16.5">
      <c r="B251" s="14">
        <v>69</v>
      </c>
      <c r="C251" s="14" t="str">
        <f>'Refsz-Verbräuche'!C86</f>
        <v>Mobilität 2</v>
      </c>
      <c r="D251" s="19" t="str">
        <f>'Refsz-Verbräuche'!D86</f>
        <v>Pendeln - PKW (E-Auto/ BEV)</v>
      </c>
      <c r="E251" t="s">
        <v>195</v>
      </c>
      <c r="F251" s="14">
        <f>IF(ISNUMBER('Klisz-Verbräuche'!G86), 'Klisz-Verbräuche'!G86*Emissionsfaktoren!E86/1000, 0)</f>
        <v>0</v>
      </c>
      <c r="G251" s="14">
        <f>IF(ISNUMBER('Klisz-Verbräuche'!H86), 'Klisz-Verbräuche'!H86*Emissionsfaktoren!F86/1000, 0)</f>
        <v>0</v>
      </c>
      <c r="H251" s="14">
        <f>IF(ISNUMBER('Klisz-Verbräuche'!I86), 'Klisz-Verbräuche'!I86*Emissionsfaktoren!G86/1000, 0)</f>
        <v>0</v>
      </c>
      <c r="I251" s="14">
        <f>IF(ISNUMBER('Klisz-Verbräuche'!J86), 'Klisz-Verbräuche'!J86*Emissionsfaktoren!H86/1000, 0)</f>
        <v>0</v>
      </c>
      <c r="J251" s="14">
        <f>IF(ISNUMBER('Klisz-Verbräuche'!K86), 'Klisz-Verbräuche'!K86*Emissionsfaktoren!I86/1000, 0)</f>
        <v>0</v>
      </c>
      <c r="K251" s="14">
        <f>IF(ISNUMBER('Klisz-Verbräuche'!L86), 'Klisz-Verbräuche'!L86*Emissionsfaktoren!J86/1000, 0)</f>
        <v>0</v>
      </c>
      <c r="L251" s="14">
        <f>IF(ISNUMBER('Klisz-Verbräuche'!M86), 'Klisz-Verbräuche'!M86*Emissionsfaktoren!K86/1000, 0)</f>
        <v>0</v>
      </c>
      <c r="M251" s="14">
        <f>IF(ISNUMBER('Klisz-Verbräuche'!N86), 'Klisz-Verbräuche'!N86*Emissionsfaktoren!L86/1000, 0)</f>
        <v>0</v>
      </c>
      <c r="N251" s="14">
        <f>IF(ISNUMBER('Klisz-Verbräuche'!O86), 'Klisz-Verbräuche'!O86*Emissionsfaktoren!M86/1000, 0)</f>
        <v>0</v>
      </c>
      <c r="O251" s="14">
        <f>IF(ISNUMBER('Klisz-Verbräuche'!P86), 'Klisz-Verbräuche'!P86*Emissionsfaktoren!N86/1000, 0)</f>
        <v>0</v>
      </c>
      <c r="P251" s="14">
        <f>IF(ISNUMBER('Klisz-Verbräuche'!Q86), 'Klisz-Verbräuche'!Q86*Emissionsfaktoren!O86/1000, 0)</f>
        <v>0</v>
      </c>
      <c r="Q251" s="14">
        <f>IF(ISNUMBER('Klisz-Verbräuche'!R86), 'Klisz-Verbräuche'!R86*Emissionsfaktoren!P86/1000, 0)</f>
        <v>0</v>
      </c>
      <c r="R251" s="14">
        <f>IF(ISNUMBER('Klisz-Verbräuche'!S86), 'Klisz-Verbräuche'!S86*Emissionsfaktoren!Q86/1000, 0)</f>
        <v>0</v>
      </c>
      <c r="S251" s="14">
        <f>IF(ISNUMBER('Klisz-Verbräuche'!T86), 'Klisz-Verbräuche'!T86*Emissionsfaktoren!R86/1000, 0)</f>
        <v>0</v>
      </c>
      <c r="T251" s="14">
        <f>IF(ISNUMBER('Klisz-Verbräuche'!U86), 'Klisz-Verbräuche'!U86*Emissionsfaktoren!S86/1000, 0)</f>
        <v>0</v>
      </c>
      <c r="U251" s="14">
        <f>IF(ISNUMBER('Klisz-Verbräuche'!V86), 'Klisz-Verbräuche'!V86*Emissionsfaktoren!T86/1000, 0)</f>
        <v>0</v>
      </c>
      <c r="V251" s="14">
        <f>IF(ISNUMBER('Klisz-Verbräuche'!W86), 'Klisz-Verbräuche'!W86*Emissionsfaktoren!U86/1000, 0)</f>
        <v>0</v>
      </c>
      <c r="W251" s="14">
        <f>IF(ISNUMBER('Klisz-Verbräuche'!X86), 'Klisz-Verbräuche'!X86*Emissionsfaktoren!V86/1000, 0)</f>
        <v>0</v>
      </c>
      <c r="X251" s="14">
        <f>IF(ISNUMBER('Klisz-Verbräuche'!Y86), 'Klisz-Verbräuche'!Y86*Emissionsfaktoren!W86/1000, 0)</f>
        <v>0</v>
      </c>
      <c r="Y251" s="14">
        <f>IF(ISNUMBER('Klisz-Verbräuche'!Z86), 'Klisz-Verbräuche'!Z86*Emissionsfaktoren!X86/1000, 0)</f>
        <v>0</v>
      </c>
    </row>
    <row r="252" spans="2:25" ht="16.5">
      <c r="B252" s="14">
        <v>70</v>
      </c>
      <c r="C252" s="14" t="str">
        <f>'Refsz-Verbräuche'!C87</f>
        <v>Mobilität 2</v>
      </c>
      <c r="D252" s="19" t="str">
        <f>'Refsz-Verbräuche'!D87</f>
        <v>Pendeln - PKW (Wasserstoff/ FCEV)</v>
      </c>
      <c r="E252" t="s">
        <v>195</v>
      </c>
      <c r="F252" s="14">
        <f>IF(ISNUMBER('Klisz-Verbräuche'!G87), 'Klisz-Verbräuche'!G87*Emissionsfaktoren!E87/1000, 0)</f>
        <v>0</v>
      </c>
      <c r="G252" s="14">
        <f>IF(ISNUMBER('Klisz-Verbräuche'!H87), 'Klisz-Verbräuche'!H87*Emissionsfaktoren!F87/1000, 0)</f>
        <v>0</v>
      </c>
      <c r="H252" s="14">
        <f>IF(ISNUMBER('Klisz-Verbräuche'!I87), 'Klisz-Verbräuche'!I87*Emissionsfaktoren!G87/1000, 0)</f>
        <v>0</v>
      </c>
      <c r="I252" s="14">
        <f>IF(ISNUMBER('Klisz-Verbräuche'!J87), 'Klisz-Verbräuche'!J87*Emissionsfaktoren!H87/1000, 0)</f>
        <v>0</v>
      </c>
      <c r="J252" s="14">
        <f>IF(ISNUMBER('Klisz-Verbräuche'!K87), 'Klisz-Verbräuche'!K87*Emissionsfaktoren!I87/1000, 0)</f>
        <v>0</v>
      </c>
      <c r="K252" s="14">
        <f>IF(ISNUMBER('Klisz-Verbräuche'!L87), 'Klisz-Verbräuche'!L87*Emissionsfaktoren!J87/1000, 0)</f>
        <v>0</v>
      </c>
      <c r="L252" s="14">
        <f>IF(ISNUMBER('Klisz-Verbräuche'!M87), 'Klisz-Verbräuche'!M87*Emissionsfaktoren!K87/1000, 0)</f>
        <v>0</v>
      </c>
      <c r="M252" s="14">
        <f>IF(ISNUMBER('Klisz-Verbräuche'!N87), 'Klisz-Verbräuche'!N87*Emissionsfaktoren!L87/1000, 0)</f>
        <v>0</v>
      </c>
      <c r="N252" s="14">
        <f>IF(ISNUMBER('Klisz-Verbräuche'!O87), 'Klisz-Verbräuche'!O87*Emissionsfaktoren!M87/1000, 0)</f>
        <v>0</v>
      </c>
      <c r="O252" s="14">
        <f>IF(ISNUMBER('Klisz-Verbräuche'!P87), 'Klisz-Verbräuche'!P87*Emissionsfaktoren!N87/1000, 0)</f>
        <v>0</v>
      </c>
      <c r="P252" s="14">
        <f>IF(ISNUMBER('Klisz-Verbräuche'!Q87), 'Klisz-Verbräuche'!Q87*Emissionsfaktoren!O87/1000, 0)</f>
        <v>0</v>
      </c>
      <c r="Q252" s="14">
        <f>IF(ISNUMBER('Klisz-Verbräuche'!R87), 'Klisz-Verbräuche'!R87*Emissionsfaktoren!P87/1000, 0)</f>
        <v>0</v>
      </c>
      <c r="R252" s="14">
        <f>IF(ISNUMBER('Klisz-Verbräuche'!S87), 'Klisz-Verbräuche'!S87*Emissionsfaktoren!Q87/1000, 0)</f>
        <v>0</v>
      </c>
      <c r="S252" s="14">
        <f>IF(ISNUMBER('Klisz-Verbräuche'!T87), 'Klisz-Verbräuche'!T87*Emissionsfaktoren!R87/1000, 0)</f>
        <v>0</v>
      </c>
      <c r="T252" s="14">
        <f>IF(ISNUMBER('Klisz-Verbräuche'!U87), 'Klisz-Verbräuche'!U87*Emissionsfaktoren!S87/1000, 0)</f>
        <v>0</v>
      </c>
      <c r="U252" s="14">
        <f>IF(ISNUMBER('Klisz-Verbräuche'!V87), 'Klisz-Verbräuche'!V87*Emissionsfaktoren!T87/1000, 0)</f>
        <v>0</v>
      </c>
      <c r="V252" s="14">
        <f>IF(ISNUMBER('Klisz-Verbräuche'!W87), 'Klisz-Verbräuche'!W87*Emissionsfaktoren!U87/1000, 0)</f>
        <v>0</v>
      </c>
      <c r="W252" s="14">
        <f>IF(ISNUMBER('Klisz-Verbräuche'!X87), 'Klisz-Verbräuche'!X87*Emissionsfaktoren!V87/1000, 0)</f>
        <v>0</v>
      </c>
      <c r="X252" s="14">
        <f>IF(ISNUMBER('Klisz-Verbräuche'!Y87), 'Klisz-Verbräuche'!Y87*Emissionsfaktoren!W87/1000, 0)</f>
        <v>0</v>
      </c>
      <c r="Y252" s="14">
        <f>IF(ISNUMBER('Klisz-Verbräuche'!Z87), 'Klisz-Verbräuche'!Z87*Emissionsfaktoren!X87/1000, 0)</f>
        <v>0</v>
      </c>
    </row>
    <row r="253" spans="2:25" ht="16.5">
      <c r="B253" s="14">
        <v>71</v>
      </c>
      <c r="C253" s="14" t="str">
        <f>'Refsz-Verbräuche'!C88</f>
        <v>Mobilität 2</v>
      </c>
      <c r="D253" s="19" t="str">
        <f>'Refsz-Verbräuche'!D88</f>
        <v>Pendeln - PKW (CNG)</v>
      </c>
      <c r="E253" t="s">
        <v>195</v>
      </c>
      <c r="F253" s="14">
        <f>IF(ISNUMBER('Klisz-Verbräuche'!G88), 'Klisz-Verbräuche'!G88*Emissionsfaktoren!E88/1000, 0)</f>
        <v>0</v>
      </c>
      <c r="G253" s="14">
        <f>IF(ISNUMBER('Klisz-Verbräuche'!H88), 'Klisz-Verbräuche'!H88*Emissionsfaktoren!F88/1000, 0)</f>
        <v>0</v>
      </c>
      <c r="H253" s="14">
        <f>IF(ISNUMBER('Klisz-Verbräuche'!I88), 'Klisz-Verbräuche'!I88*Emissionsfaktoren!G88/1000, 0)</f>
        <v>0</v>
      </c>
      <c r="I253" s="14">
        <f>IF(ISNUMBER('Klisz-Verbräuche'!J88), 'Klisz-Verbräuche'!J88*Emissionsfaktoren!H88/1000, 0)</f>
        <v>0</v>
      </c>
      <c r="J253" s="14">
        <f>IF(ISNUMBER('Klisz-Verbräuche'!K88), 'Klisz-Verbräuche'!K88*Emissionsfaktoren!I88/1000, 0)</f>
        <v>0</v>
      </c>
      <c r="K253" s="14">
        <f>IF(ISNUMBER('Klisz-Verbräuche'!L88), 'Klisz-Verbräuche'!L88*Emissionsfaktoren!J88/1000, 0)</f>
        <v>0</v>
      </c>
      <c r="L253" s="14">
        <f>IF(ISNUMBER('Klisz-Verbräuche'!M88), 'Klisz-Verbräuche'!M88*Emissionsfaktoren!K88/1000, 0)</f>
        <v>0</v>
      </c>
      <c r="M253" s="14">
        <f>IF(ISNUMBER('Klisz-Verbräuche'!N88), 'Klisz-Verbräuche'!N88*Emissionsfaktoren!L88/1000, 0)</f>
        <v>0</v>
      </c>
      <c r="N253" s="14">
        <f>IF(ISNUMBER('Klisz-Verbräuche'!O88), 'Klisz-Verbräuche'!O88*Emissionsfaktoren!M88/1000, 0)</f>
        <v>0</v>
      </c>
      <c r="O253" s="14">
        <f>IF(ISNUMBER('Klisz-Verbräuche'!P88), 'Klisz-Verbräuche'!P88*Emissionsfaktoren!N88/1000, 0)</f>
        <v>0</v>
      </c>
      <c r="P253" s="14">
        <f>IF(ISNUMBER('Klisz-Verbräuche'!Q88), 'Klisz-Verbräuche'!Q88*Emissionsfaktoren!O88/1000, 0)</f>
        <v>0</v>
      </c>
      <c r="Q253" s="14">
        <f>IF(ISNUMBER('Klisz-Verbräuche'!R88), 'Klisz-Verbräuche'!R88*Emissionsfaktoren!P88/1000, 0)</f>
        <v>0</v>
      </c>
      <c r="R253" s="14">
        <f>IF(ISNUMBER('Klisz-Verbräuche'!S88), 'Klisz-Verbräuche'!S88*Emissionsfaktoren!Q88/1000, 0)</f>
        <v>0</v>
      </c>
      <c r="S253" s="14">
        <f>IF(ISNUMBER('Klisz-Verbräuche'!T88), 'Klisz-Verbräuche'!T88*Emissionsfaktoren!R88/1000, 0)</f>
        <v>0</v>
      </c>
      <c r="T253" s="14">
        <f>IF(ISNUMBER('Klisz-Verbräuche'!U88), 'Klisz-Verbräuche'!U88*Emissionsfaktoren!S88/1000, 0)</f>
        <v>0</v>
      </c>
      <c r="U253" s="14">
        <f>IF(ISNUMBER('Klisz-Verbräuche'!V88), 'Klisz-Verbräuche'!V88*Emissionsfaktoren!T88/1000, 0)</f>
        <v>0</v>
      </c>
      <c r="V253" s="14">
        <f>IF(ISNUMBER('Klisz-Verbräuche'!W88), 'Klisz-Verbräuche'!W88*Emissionsfaktoren!U88/1000, 0)</f>
        <v>0</v>
      </c>
      <c r="W253" s="14">
        <f>IF(ISNUMBER('Klisz-Verbräuche'!X88), 'Klisz-Verbräuche'!X88*Emissionsfaktoren!V88/1000, 0)</f>
        <v>0</v>
      </c>
      <c r="X253" s="14">
        <f>IF(ISNUMBER('Klisz-Verbräuche'!Y88), 'Klisz-Verbräuche'!Y88*Emissionsfaktoren!W88/1000, 0)</f>
        <v>0</v>
      </c>
      <c r="Y253" s="14">
        <f>IF(ISNUMBER('Klisz-Verbräuche'!Z88), 'Klisz-Verbräuche'!Z88*Emissionsfaktoren!X88/1000, 0)</f>
        <v>0</v>
      </c>
    </row>
    <row r="254" spans="2:25" ht="16.5">
      <c r="B254" s="14">
        <v>72</v>
      </c>
      <c r="C254" s="14" t="str">
        <f>'Refsz-Verbräuche'!C89</f>
        <v>Mobilität 2</v>
      </c>
      <c r="D254" s="19" t="str">
        <f>'Refsz-Verbräuche'!D89</f>
        <v>Pendeln - PKW (Plug-In-Hybrid/PHEV)</v>
      </c>
      <c r="E254" t="s">
        <v>195</v>
      </c>
      <c r="F254" s="14">
        <f>IF(ISNUMBER('Klisz-Verbräuche'!G89), 'Klisz-Verbräuche'!G89*Emissionsfaktoren!E89/1000, 0)</f>
        <v>0</v>
      </c>
      <c r="G254" s="14">
        <f>IF(ISNUMBER('Klisz-Verbräuche'!H89), 'Klisz-Verbräuche'!H89*Emissionsfaktoren!F89/1000, 0)</f>
        <v>0</v>
      </c>
      <c r="H254" s="14">
        <f>IF(ISNUMBER('Klisz-Verbräuche'!I89), 'Klisz-Verbräuche'!I89*Emissionsfaktoren!G89/1000, 0)</f>
        <v>0</v>
      </c>
      <c r="I254" s="14">
        <f>IF(ISNUMBER('Klisz-Verbräuche'!J89), 'Klisz-Verbräuche'!J89*Emissionsfaktoren!H89/1000, 0)</f>
        <v>0</v>
      </c>
      <c r="J254" s="14">
        <f>IF(ISNUMBER('Klisz-Verbräuche'!K89), 'Klisz-Verbräuche'!K89*Emissionsfaktoren!I89/1000, 0)</f>
        <v>0</v>
      </c>
      <c r="K254" s="14">
        <f>IF(ISNUMBER('Klisz-Verbräuche'!L89), 'Klisz-Verbräuche'!L89*Emissionsfaktoren!J89/1000, 0)</f>
        <v>0</v>
      </c>
      <c r="L254" s="14">
        <f>IF(ISNUMBER('Klisz-Verbräuche'!M89), 'Klisz-Verbräuche'!M89*Emissionsfaktoren!K89/1000, 0)</f>
        <v>0</v>
      </c>
      <c r="M254" s="14">
        <f>IF(ISNUMBER('Klisz-Verbräuche'!N89), 'Klisz-Verbräuche'!N89*Emissionsfaktoren!L89/1000, 0)</f>
        <v>0</v>
      </c>
      <c r="N254" s="14">
        <f>IF(ISNUMBER('Klisz-Verbräuche'!O89), 'Klisz-Verbräuche'!O89*Emissionsfaktoren!M89/1000, 0)</f>
        <v>0</v>
      </c>
      <c r="O254" s="14">
        <f>IF(ISNUMBER('Klisz-Verbräuche'!P89), 'Klisz-Verbräuche'!P89*Emissionsfaktoren!N89/1000, 0)</f>
        <v>0</v>
      </c>
      <c r="P254" s="14">
        <f>IF(ISNUMBER('Klisz-Verbräuche'!Q89), 'Klisz-Verbräuche'!Q89*Emissionsfaktoren!O89/1000, 0)</f>
        <v>0</v>
      </c>
      <c r="Q254" s="14">
        <f>IF(ISNUMBER('Klisz-Verbräuche'!R89), 'Klisz-Verbräuche'!R89*Emissionsfaktoren!P89/1000, 0)</f>
        <v>0</v>
      </c>
      <c r="R254" s="14">
        <f>IF(ISNUMBER('Klisz-Verbräuche'!S89), 'Klisz-Verbräuche'!S89*Emissionsfaktoren!Q89/1000, 0)</f>
        <v>0</v>
      </c>
      <c r="S254" s="14">
        <f>IF(ISNUMBER('Klisz-Verbräuche'!T89), 'Klisz-Verbräuche'!T89*Emissionsfaktoren!R89/1000, 0)</f>
        <v>0</v>
      </c>
      <c r="T254" s="14">
        <f>IF(ISNUMBER('Klisz-Verbräuche'!U89), 'Klisz-Verbräuche'!U89*Emissionsfaktoren!S89/1000, 0)</f>
        <v>0</v>
      </c>
      <c r="U254" s="14">
        <f>IF(ISNUMBER('Klisz-Verbräuche'!V89), 'Klisz-Verbräuche'!V89*Emissionsfaktoren!T89/1000, 0)</f>
        <v>0</v>
      </c>
      <c r="V254" s="14">
        <f>IF(ISNUMBER('Klisz-Verbräuche'!W89), 'Klisz-Verbräuche'!W89*Emissionsfaktoren!U89/1000, 0)</f>
        <v>0</v>
      </c>
      <c r="W254" s="14">
        <f>IF(ISNUMBER('Klisz-Verbräuche'!X89), 'Klisz-Verbräuche'!X89*Emissionsfaktoren!V89/1000, 0)</f>
        <v>0</v>
      </c>
      <c r="X254" s="14">
        <f>IF(ISNUMBER('Klisz-Verbräuche'!Y89), 'Klisz-Verbräuche'!Y89*Emissionsfaktoren!W89/1000, 0)</f>
        <v>0</v>
      </c>
      <c r="Y254" s="14">
        <f>IF(ISNUMBER('Klisz-Verbräuche'!Z89), 'Klisz-Verbräuche'!Z89*Emissionsfaktoren!X89/1000, 0)</f>
        <v>0</v>
      </c>
    </row>
    <row r="255" spans="2:25" ht="16.5">
      <c r="B255" s="14">
        <v>73</v>
      </c>
      <c r="C255" s="14" t="str">
        <f>'Refsz-Verbräuche'!C90</f>
        <v>Mobilität 2</v>
      </c>
      <c r="D255" s="19" t="str">
        <f>'Refsz-Verbräuche'!D90</f>
        <v>Pendeln - Motorisierte Zweiräder</v>
      </c>
      <c r="E255" t="s">
        <v>195</v>
      </c>
      <c r="F255" s="14">
        <f>IF(ISNUMBER('Klisz-Verbräuche'!G90), 'Klisz-Verbräuche'!G90*Emissionsfaktoren!E90/1000, 0)</f>
        <v>0</v>
      </c>
      <c r="G255" s="14">
        <f>IF(ISNUMBER('Klisz-Verbräuche'!H90), 'Klisz-Verbräuche'!H90*Emissionsfaktoren!F90/1000, 0)</f>
        <v>0</v>
      </c>
      <c r="H255" s="14">
        <f>IF(ISNUMBER('Klisz-Verbräuche'!I90), 'Klisz-Verbräuche'!I90*Emissionsfaktoren!G90/1000, 0)</f>
        <v>0</v>
      </c>
      <c r="I255" s="14">
        <f>IF(ISNUMBER('Klisz-Verbräuche'!J90), 'Klisz-Verbräuche'!J90*Emissionsfaktoren!H90/1000, 0)</f>
        <v>0</v>
      </c>
      <c r="J255" s="14">
        <f>IF(ISNUMBER('Klisz-Verbräuche'!K90), 'Klisz-Verbräuche'!K90*Emissionsfaktoren!I90/1000, 0)</f>
        <v>0</v>
      </c>
      <c r="K255" s="14">
        <f>IF(ISNUMBER('Klisz-Verbräuche'!L90), 'Klisz-Verbräuche'!L90*Emissionsfaktoren!J90/1000, 0)</f>
        <v>0</v>
      </c>
      <c r="L255" s="14">
        <f>IF(ISNUMBER('Klisz-Verbräuche'!M90), 'Klisz-Verbräuche'!M90*Emissionsfaktoren!K90/1000, 0)</f>
        <v>0</v>
      </c>
      <c r="M255" s="14">
        <f>IF(ISNUMBER('Klisz-Verbräuche'!N90), 'Klisz-Verbräuche'!N90*Emissionsfaktoren!L90/1000, 0)</f>
        <v>0</v>
      </c>
      <c r="N255" s="14">
        <f>IF(ISNUMBER('Klisz-Verbräuche'!O90), 'Klisz-Verbräuche'!O90*Emissionsfaktoren!M90/1000, 0)</f>
        <v>0</v>
      </c>
      <c r="O255" s="14">
        <f>IF(ISNUMBER('Klisz-Verbräuche'!P90), 'Klisz-Verbräuche'!P90*Emissionsfaktoren!N90/1000, 0)</f>
        <v>0</v>
      </c>
      <c r="P255" s="14">
        <f>IF(ISNUMBER('Klisz-Verbräuche'!Q90), 'Klisz-Verbräuche'!Q90*Emissionsfaktoren!O90/1000, 0)</f>
        <v>0</v>
      </c>
      <c r="Q255" s="14">
        <f>IF(ISNUMBER('Klisz-Verbräuche'!R90), 'Klisz-Verbräuche'!R90*Emissionsfaktoren!P90/1000, 0)</f>
        <v>0</v>
      </c>
      <c r="R255" s="14">
        <f>IF(ISNUMBER('Klisz-Verbräuche'!S90), 'Klisz-Verbräuche'!S90*Emissionsfaktoren!Q90/1000, 0)</f>
        <v>0</v>
      </c>
      <c r="S255" s="14">
        <f>IF(ISNUMBER('Klisz-Verbräuche'!T90), 'Klisz-Verbräuche'!T90*Emissionsfaktoren!R90/1000, 0)</f>
        <v>0</v>
      </c>
      <c r="T255" s="14">
        <f>IF(ISNUMBER('Klisz-Verbräuche'!U90), 'Klisz-Verbräuche'!U90*Emissionsfaktoren!S90/1000, 0)</f>
        <v>0</v>
      </c>
      <c r="U255" s="14">
        <f>IF(ISNUMBER('Klisz-Verbräuche'!V90), 'Klisz-Verbräuche'!V90*Emissionsfaktoren!T90/1000, 0)</f>
        <v>0</v>
      </c>
      <c r="V255" s="14">
        <f>IF(ISNUMBER('Klisz-Verbräuche'!W90), 'Klisz-Verbräuche'!W90*Emissionsfaktoren!U90/1000, 0)</f>
        <v>0</v>
      </c>
      <c r="W255" s="14">
        <f>IF(ISNUMBER('Klisz-Verbräuche'!X90), 'Klisz-Verbräuche'!X90*Emissionsfaktoren!V90/1000, 0)</f>
        <v>0</v>
      </c>
      <c r="X255" s="14">
        <f>IF(ISNUMBER('Klisz-Verbräuche'!Y90), 'Klisz-Verbräuche'!Y90*Emissionsfaktoren!W90/1000, 0)</f>
        <v>0</v>
      </c>
      <c r="Y255" s="14">
        <f>IF(ISNUMBER('Klisz-Verbräuche'!Z90), 'Klisz-Verbräuche'!Z90*Emissionsfaktoren!X90/1000, 0)</f>
        <v>0</v>
      </c>
    </row>
    <row r="256" spans="2:25" ht="16.5">
      <c r="B256" s="14">
        <v>74</v>
      </c>
      <c r="C256" s="14" t="str">
        <f>'Refsz-Verbräuche'!C91</f>
        <v>Mobilität 2</v>
      </c>
      <c r="D256" s="19" t="str">
        <f>'Refsz-Verbräuche'!D91</f>
        <v>Pendeln - Fahrrad</v>
      </c>
      <c r="E256" t="s">
        <v>195</v>
      </c>
      <c r="F256" s="14">
        <f>IF(ISNUMBER('Klisz-Verbräuche'!G91), 'Klisz-Verbräuche'!G91*Emissionsfaktoren!E91/1000, 0)</f>
        <v>0</v>
      </c>
      <c r="G256" s="14">
        <f>IF(ISNUMBER('Klisz-Verbräuche'!H91), 'Klisz-Verbräuche'!H91*Emissionsfaktoren!F91/1000, 0)</f>
        <v>0</v>
      </c>
      <c r="H256" s="14">
        <f>IF(ISNUMBER('Klisz-Verbräuche'!I91), 'Klisz-Verbräuche'!I91*Emissionsfaktoren!G91/1000, 0)</f>
        <v>0</v>
      </c>
      <c r="I256" s="14">
        <f>IF(ISNUMBER('Klisz-Verbräuche'!J91), 'Klisz-Verbräuche'!J91*Emissionsfaktoren!H91/1000, 0)</f>
        <v>0</v>
      </c>
      <c r="J256" s="14">
        <f>IF(ISNUMBER('Klisz-Verbräuche'!K91), 'Klisz-Verbräuche'!K91*Emissionsfaktoren!I91/1000, 0)</f>
        <v>0</v>
      </c>
      <c r="K256" s="14">
        <f>IF(ISNUMBER('Klisz-Verbräuche'!L91), 'Klisz-Verbräuche'!L91*Emissionsfaktoren!J91/1000, 0)</f>
        <v>0</v>
      </c>
      <c r="L256" s="14">
        <f>IF(ISNUMBER('Klisz-Verbräuche'!M91), 'Klisz-Verbräuche'!M91*Emissionsfaktoren!K91/1000, 0)</f>
        <v>0</v>
      </c>
      <c r="M256" s="14">
        <f>IF(ISNUMBER('Klisz-Verbräuche'!N91), 'Klisz-Verbräuche'!N91*Emissionsfaktoren!L91/1000, 0)</f>
        <v>0</v>
      </c>
      <c r="N256" s="14">
        <f>IF(ISNUMBER('Klisz-Verbräuche'!O91), 'Klisz-Verbräuche'!O91*Emissionsfaktoren!M91/1000, 0)</f>
        <v>0</v>
      </c>
      <c r="O256" s="14">
        <f>IF(ISNUMBER('Klisz-Verbräuche'!P91), 'Klisz-Verbräuche'!P91*Emissionsfaktoren!N91/1000, 0)</f>
        <v>0</v>
      </c>
      <c r="P256" s="14">
        <f>IF(ISNUMBER('Klisz-Verbräuche'!Q91), 'Klisz-Verbräuche'!Q91*Emissionsfaktoren!O91/1000, 0)</f>
        <v>0</v>
      </c>
      <c r="Q256" s="14">
        <f>IF(ISNUMBER('Klisz-Verbräuche'!R91), 'Klisz-Verbräuche'!R91*Emissionsfaktoren!P91/1000, 0)</f>
        <v>0</v>
      </c>
      <c r="R256" s="14">
        <f>IF(ISNUMBER('Klisz-Verbräuche'!S91), 'Klisz-Verbräuche'!S91*Emissionsfaktoren!Q91/1000, 0)</f>
        <v>0</v>
      </c>
      <c r="S256" s="14">
        <f>IF(ISNUMBER('Klisz-Verbräuche'!T91), 'Klisz-Verbräuche'!T91*Emissionsfaktoren!R91/1000, 0)</f>
        <v>0</v>
      </c>
      <c r="T256" s="14">
        <f>IF(ISNUMBER('Klisz-Verbräuche'!U91), 'Klisz-Verbräuche'!U91*Emissionsfaktoren!S91/1000, 0)</f>
        <v>0</v>
      </c>
      <c r="U256" s="14">
        <f>IF(ISNUMBER('Klisz-Verbräuche'!V91), 'Klisz-Verbräuche'!V91*Emissionsfaktoren!T91/1000, 0)</f>
        <v>0</v>
      </c>
      <c r="V256" s="14">
        <f>IF(ISNUMBER('Klisz-Verbräuche'!W91), 'Klisz-Verbräuche'!W91*Emissionsfaktoren!U91/1000, 0)</f>
        <v>0</v>
      </c>
      <c r="W256" s="14">
        <f>IF(ISNUMBER('Klisz-Verbräuche'!X91), 'Klisz-Verbräuche'!X91*Emissionsfaktoren!V91/1000, 0)</f>
        <v>0</v>
      </c>
      <c r="X256" s="14">
        <f>IF(ISNUMBER('Klisz-Verbräuche'!Y91), 'Klisz-Verbräuche'!Y91*Emissionsfaktoren!W91/1000, 0)</f>
        <v>0</v>
      </c>
      <c r="Y256" s="14">
        <f>IF(ISNUMBER('Klisz-Verbräuche'!Z91), 'Klisz-Verbräuche'!Z91*Emissionsfaktoren!X91/1000, 0)</f>
        <v>0</v>
      </c>
    </row>
    <row r="257" spans="2:25" ht="16.5">
      <c r="B257" s="14">
        <v>75</v>
      </c>
      <c r="C257" s="14" t="str">
        <f>'Refsz-Verbräuche'!C92</f>
        <v>Mobilität 2</v>
      </c>
      <c r="D257" s="19" t="str">
        <f>'Refsz-Verbräuche'!D92</f>
        <v>Pendeln - E-Bike</v>
      </c>
      <c r="E257" t="s">
        <v>195</v>
      </c>
      <c r="F257" s="14">
        <f>IF(ISNUMBER('Klisz-Verbräuche'!G92), 'Klisz-Verbräuche'!G92*Emissionsfaktoren!E93/1000, 0)</f>
        <v>0</v>
      </c>
      <c r="G257" s="14">
        <f>IF(ISNUMBER('Klisz-Verbräuche'!H92), 'Klisz-Verbräuche'!H92*Emissionsfaktoren!F93/1000, 0)</f>
        <v>0</v>
      </c>
      <c r="H257" s="14">
        <f>IF(ISNUMBER('Klisz-Verbräuche'!I92), 'Klisz-Verbräuche'!I92*Emissionsfaktoren!G93/1000, 0)</f>
        <v>0</v>
      </c>
      <c r="I257" s="14">
        <f>IF(ISNUMBER('Klisz-Verbräuche'!J92), 'Klisz-Verbräuche'!J92*Emissionsfaktoren!H93/1000, 0)</f>
        <v>0</v>
      </c>
      <c r="J257" s="14">
        <f>IF(ISNUMBER('Klisz-Verbräuche'!K92), 'Klisz-Verbräuche'!K92*Emissionsfaktoren!I93/1000, 0)</f>
        <v>0</v>
      </c>
      <c r="K257" s="14">
        <f>IF(ISNUMBER('Klisz-Verbräuche'!L92), 'Klisz-Verbräuche'!L92*Emissionsfaktoren!J93/1000, 0)</f>
        <v>0</v>
      </c>
      <c r="L257" s="14">
        <f>IF(ISNUMBER('Klisz-Verbräuche'!M92), 'Klisz-Verbräuche'!M92*Emissionsfaktoren!K93/1000, 0)</f>
        <v>0</v>
      </c>
      <c r="M257" s="14">
        <f>IF(ISNUMBER('Klisz-Verbräuche'!N92), 'Klisz-Verbräuche'!N92*Emissionsfaktoren!L93/1000, 0)</f>
        <v>0</v>
      </c>
      <c r="N257" s="14">
        <f>IF(ISNUMBER('Klisz-Verbräuche'!O92), 'Klisz-Verbräuche'!O92*Emissionsfaktoren!M93/1000, 0)</f>
        <v>0</v>
      </c>
      <c r="O257" s="14">
        <f>IF(ISNUMBER('Klisz-Verbräuche'!P92), 'Klisz-Verbräuche'!P92*Emissionsfaktoren!N93/1000, 0)</f>
        <v>0</v>
      </c>
      <c r="P257" s="14">
        <f>IF(ISNUMBER('Klisz-Verbräuche'!Q92), 'Klisz-Verbräuche'!Q92*Emissionsfaktoren!O93/1000, 0)</f>
        <v>0</v>
      </c>
      <c r="Q257" s="14">
        <f>IF(ISNUMBER('Klisz-Verbräuche'!R92), 'Klisz-Verbräuche'!R92*Emissionsfaktoren!P93/1000, 0)</f>
        <v>0</v>
      </c>
      <c r="R257" s="14">
        <f>IF(ISNUMBER('Klisz-Verbräuche'!S92), 'Klisz-Verbräuche'!S92*Emissionsfaktoren!Q93/1000, 0)</f>
        <v>0</v>
      </c>
      <c r="S257" s="14">
        <f>IF(ISNUMBER('Klisz-Verbräuche'!T92), 'Klisz-Verbräuche'!T92*Emissionsfaktoren!R93/1000, 0)</f>
        <v>0</v>
      </c>
      <c r="T257" s="14">
        <f>IF(ISNUMBER('Klisz-Verbräuche'!U92), 'Klisz-Verbräuche'!U92*Emissionsfaktoren!S93/1000, 0)</f>
        <v>0</v>
      </c>
      <c r="U257" s="14">
        <f>IF(ISNUMBER('Klisz-Verbräuche'!V92), 'Klisz-Verbräuche'!V92*Emissionsfaktoren!T93/1000, 0)</f>
        <v>0</v>
      </c>
      <c r="V257" s="14">
        <f>IF(ISNUMBER('Klisz-Verbräuche'!W92), 'Klisz-Verbräuche'!W92*Emissionsfaktoren!U93/1000, 0)</f>
        <v>0</v>
      </c>
      <c r="W257" s="14">
        <f>IF(ISNUMBER('Klisz-Verbräuche'!X92), 'Klisz-Verbräuche'!X92*Emissionsfaktoren!V93/1000, 0)</f>
        <v>0</v>
      </c>
      <c r="X257" s="14">
        <f>IF(ISNUMBER('Klisz-Verbräuche'!Y92), 'Klisz-Verbräuche'!Y92*Emissionsfaktoren!W93/1000, 0)</f>
        <v>0</v>
      </c>
      <c r="Y257" s="14">
        <f>IF(ISNUMBER('Klisz-Verbräuche'!Z92), 'Klisz-Verbräuche'!Z92*Emissionsfaktoren!X93/1000, 0)</f>
        <v>0</v>
      </c>
    </row>
    <row r="258" spans="2:25" ht="16.5">
      <c r="B258" s="14">
        <v>76</v>
      </c>
      <c r="C258" s="14" t="str">
        <f>'Refsz-Verbräuche'!C93</f>
        <v>Mobilität 2</v>
      </c>
      <c r="D258" s="19" t="str">
        <f>'Refsz-Verbräuche'!D93</f>
        <v>Pendeln - zu Fuß</v>
      </c>
      <c r="E258" t="s">
        <v>195</v>
      </c>
      <c r="F258" s="14">
        <f>IF(ISNUMBER('Klisz-Verbräuche'!G93), 'Klisz-Verbräuche'!G93*Emissionsfaktoren!E93/1000, 0)</f>
        <v>0</v>
      </c>
      <c r="G258" s="14">
        <f>IF(ISNUMBER('Klisz-Verbräuche'!H93), 'Klisz-Verbräuche'!H93*Emissionsfaktoren!F93/1000, 0)</f>
        <v>0</v>
      </c>
      <c r="H258" s="14">
        <f>IF(ISNUMBER('Klisz-Verbräuche'!I93), 'Klisz-Verbräuche'!I93*Emissionsfaktoren!G93/1000, 0)</f>
        <v>0</v>
      </c>
      <c r="I258" s="14">
        <f>IF(ISNUMBER('Klisz-Verbräuche'!J93), 'Klisz-Verbräuche'!J93*Emissionsfaktoren!H93/1000, 0)</f>
        <v>0</v>
      </c>
      <c r="J258" s="14">
        <f>IF(ISNUMBER('Klisz-Verbräuche'!K93), 'Klisz-Verbräuche'!K93*Emissionsfaktoren!I93/1000, 0)</f>
        <v>0</v>
      </c>
      <c r="K258" s="14">
        <f>IF(ISNUMBER('Klisz-Verbräuche'!L93), 'Klisz-Verbräuche'!L93*Emissionsfaktoren!J93/1000, 0)</f>
        <v>0</v>
      </c>
      <c r="L258" s="14">
        <f>IF(ISNUMBER('Klisz-Verbräuche'!M93), 'Klisz-Verbräuche'!M93*Emissionsfaktoren!K93/1000, 0)</f>
        <v>0</v>
      </c>
      <c r="M258" s="14">
        <f>IF(ISNUMBER('Klisz-Verbräuche'!N93), 'Klisz-Verbräuche'!N93*Emissionsfaktoren!L93/1000, 0)</f>
        <v>0</v>
      </c>
      <c r="N258" s="14">
        <f>IF(ISNUMBER('Klisz-Verbräuche'!O93), 'Klisz-Verbräuche'!O93*Emissionsfaktoren!M93/1000, 0)</f>
        <v>0</v>
      </c>
      <c r="O258" s="14">
        <f>IF(ISNUMBER('Klisz-Verbräuche'!P93), 'Klisz-Verbräuche'!P93*Emissionsfaktoren!N93/1000, 0)</f>
        <v>0</v>
      </c>
      <c r="P258" s="14">
        <f>IF(ISNUMBER('Klisz-Verbräuche'!Q93), 'Klisz-Verbräuche'!Q93*Emissionsfaktoren!O93/1000, 0)</f>
        <v>0</v>
      </c>
      <c r="Q258" s="14">
        <f>IF(ISNUMBER('Klisz-Verbräuche'!R93), 'Klisz-Verbräuche'!R93*Emissionsfaktoren!P93/1000, 0)</f>
        <v>0</v>
      </c>
      <c r="R258" s="14">
        <f>IF(ISNUMBER('Klisz-Verbräuche'!S93), 'Klisz-Verbräuche'!S93*Emissionsfaktoren!Q93/1000, 0)</f>
        <v>0</v>
      </c>
      <c r="S258" s="14">
        <f>IF(ISNUMBER('Klisz-Verbräuche'!T93), 'Klisz-Verbräuche'!T93*Emissionsfaktoren!R93/1000, 0)</f>
        <v>0</v>
      </c>
      <c r="T258" s="14">
        <f>IF(ISNUMBER('Klisz-Verbräuche'!U93), 'Klisz-Verbräuche'!U93*Emissionsfaktoren!S93/1000, 0)</f>
        <v>0</v>
      </c>
      <c r="U258" s="14">
        <f>IF(ISNUMBER('Klisz-Verbräuche'!V93), 'Klisz-Verbräuche'!V93*Emissionsfaktoren!T93/1000, 0)</f>
        <v>0</v>
      </c>
      <c r="V258" s="14">
        <f>IF(ISNUMBER('Klisz-Verbräuche'!W93), 'Klisz-Verbräuche'!W93*Emissionsfaktoren!U93/1000, 0)</f>
        <v>0</v>
      </c>
      <c r="W258" s="14">
        <f>IF(ISNUMBER('Klisz-Verbräuche'!X93), 'Klisz-Verbräuche'!X93*Emissionsfaktoren!V93/1000, 0)</f>
        <v>0</v>
      </c>
      <c r="X258" s="14">
        <f>IF(ISNUMBER('Klisz-Verbräuche'!Y93), 'Klisz-Verbräuche'!Y93*Emissionsfaktoren!W93/1000, 0)</f>
        <v>0</v>
      </c>
      <c r="Y258" s="14">
        <f>IF(ISNUMBER('Klisz-Verbräuche'!Z93), 'Klisz-Verbräuche'!Z93*Emissionsfaktoren!X93/1000, 0)</f>
        <v>0</v>
      </c>
    </row>
    <row r="259" spans="2:25" ht="16.5">
      <c r="B259" s="14">
        <v>77</v>
      </c>
      <c r="C259" s="14">
        <f>'Refsz-Verbräuche'!C94</f>
        <v>0</v>
      </c>
      <c r="D259" s="19">
        <f>'Refsz-Verbräuche'!D94</f>
        <v>0</v>
      </c>
      <c r="E259" t="s">
        <v>195</v>
      </c>
      <c r="F259" s="14">
        <f>IF(ISNUMBER('Klisz-Verbräuche'!G94), 'Klisz-Verbräuche'!G94*Emissionsfaktoren!E94/1000, 0)</f>
        <v>0</v>
      </c>
      <c r="G259" s="14">
        <f>IF(ISNUMBER('Klisz-Verbräuche'!H94), 'Klisz-Verbräuche'!H94*Emissionsfaktoren!F94/1000, 0)</f>
        <v>0</v>
      </c>
      <c r="H259" s="14">
        <f>IF(ISNUMBER('Klisz-Verbräuche'!I94), 'Klisz-Verbräuche'!I94*Emissionsfaktoren!G94/1000, 0)</f>
        <v>0</v>
      </c>
      <c r="I259" s="14">
        <f>IF(ISNUMBER('Klisz-Verbräuche'!J94), 'Klisz-Verbräuche'!J94*Emissionsfaktoren!H94/1000, 0)</f>
        <v>0</v>
      </c>
      <c r="J259" s="14">
        <f>IF(ISNUMBER('Klisz-Verbräuche'!K94), 'Klisz-Verbräuche'!K94*Emissionsfaktoren!I94/1000, 0)</f>
        <v>0</v>
      </c>
      <c r="K259" s="14">
        <f>IF(ISNUMBER('Klisz-Verbräuche'!L94), 'Klisz-Verbräuche'!L94*Emissionsfaktoren!J94/1000, 0)</f>
        <v>0</v>
      </c>
      <c r="L259" s="14">
        <f>IF(ISNUMBER('Klisz-Verbräuche'!M94), 'Klisz-Verbräuche'!M94*Emissionsfaktoren!K94/1000, 0)</f>
        <v>0</v>
      </c>
      <c r="M259" s="14">
        <f>IF(ISNUMBER('Klisz-Verbräuche'!N94), 'Klisz-Verbräuche'!N94*Emissionsfaktoren!L94/1000, 0)</f>
        <v>0</v>
      </c>
      <c r="N259" s="14">
        <f>IF(ISNUMBER('Klisz-Verbräuche'!O94), 'Klisz-Verbräuche'!O94*Emissionsfaktoren!M94/1000, 0)</f>
        <v>0</v>
      </c>
      <c r="O259" s="14">
        <f>IF(ISNUMBER('Klisz-Verbräuche'!P94), 'Klisz-Verbräuche'!P94*Emissionsfaktoren!N94/1000, 0)</f>
        <v>0</v>
      </c>
      <c r="P259" s="14">
        <f>IF(ISNUMBER('Klisz-Verbräuche'!Q94), 'Klisz-Verbräuche'!Q94*Emissionsfaktoren!O94/1000, 0)</f>
        <v>0</v>
      </c>
      <c r="Q259" s="14">
        <f>IF(ISNUMBER('Klisz-Verbräuche'!R94), 'Klisz-Verbräuche'!R94*Emissionsfaktoren!P94/1000, 0)</f>
        <v>0</v>
      </c>
      <c r="R259" s="14">
        <f>IF(ISNUMBER('Klisz-Verbräuche'!S94), 'Klisz-Verbräuche'!S94*Emissionsfaktoren!Q94/1000, 0)</f>
        <v>0</v>
      </c>
      <c r="S259" s="14">
        <f>IF(ISNUMBER('Klisz-Verbräuche'!T94), 'Klisz-Verbräuche'!T94*Emissionsfaktoren!R94/1000, 0)</f>
        <v>0</v>
      </c>
      <c r="T259" s="14">
        <f>IF(ISNUMBER('Klisz-Verbräuche'!U94), 'Klisz-Verbräuche'!U94*Emissionsfaktoren!S94/1000, 0)</f>
        <v>0</v>
      </c>
      <c r="U259" s="14">
        <f>IF(ISNUMBER('Klisz-Verbräuche'!V94), 'Klisz-Verbräuche'!V94*Emissionsfaktoren!T94/1000, 0)</f>
        <v>0</v>
      </c>
      <c r="V259" s="14">
        <f>IF(ISNUMBER('Klisz-Verbräuche'!W94), 'Klisz-Verbräuche'!W94*Emissionsfaktoren!U94/1000, 0)</f>
        <v>0</v>
      </c>
      <c r="W259" s="14">
        <f>IF(ISNUMBER('Klisz-Verbräuche'!X94), 'Klisz-Verbräuche'!X94*Emissionsfaktoren!V94/1000, 0)</f>
        <v>0</v>
      </c>
      <c r="X259" s="14">
        <f>IF(ISNUMBER('Klisz-Verbräuche'!Y94), 'Klisz-Verbräuche'!Y94*Emissionsfaktoren!W94/1000, 0)</f>
        <v>0</v>
      </c>
      <c r="Y259" s="14">
        <f>IF(ISNUMBER('Klisz-Verbräuche'!Z94), 'Klisz-Verbräuche'!Z94*Emissionsfaktoren!X94/1000, 0)</f>
        <v>0</v>
      </c>
    </row>
    <row r="260" spans="2:25" ht="16.5">
      <c r="B260" s="14">
        <v>78</v>
      </c>
      <c r="C260" s="14" t="str">
        <f>'Refsz-Verbräuche'!C95</f>
        <v>Mobilität 2</v>
      </c>
      <c r="D260" s="19" t="str">
        <f>'Refsz-Verbräuche'!D95</f>
        <v>Studierendenreisen (Incoming) - Flugreisen</v>
      </c>
      <c r="E260" t="s">
        <v>195</v>
      </c>
      <c r="F260" s="14">
        <f>IF(ISNUMBER('Klisz-Verbräuche'!G95), 'Klisz-Verbräuche'!G95*Emissionsfaktoren!E95/1000, 0)</f>
        <v>0</v>
      </c>
      <c r="G260" s="14">
        <f>IF(ISNUMBER('Klisz-Verbräuche'!H95), 'Klisz-Verbräuche'!H95*Emissionsfaktoren!F95/1000, 0)</f>
        <v>0</v>
      </c>
      <c r="H260" s="14">
        <f>IF(ISNUMBER('Klisz-Verbräuche'!I95), 'Klisz-Verbräuche'!I95*Emissionsfaktoren!G95/1000, 0)</f>
        <v>0</v>
      </c>
      <c r="I260" s="14">
        <f>IF(ISNUMBER('Klisz-Verbräuche'!J95), 'Klisz-Verbräuche'!J95*Emissionsfaktoren!H95/1000, 0)</f>
        <v>0</v>
      </c>
      <c r="J260" s="14">
        <f>IF(ISNUMBER('Klisz-Verbräuche'!K95), 'Klisz-Verbräuche'!K95*Emissionsfaktoren!I95/1000, 0)</f>
        <v>0</v>
      </c>
      <c r="K260" s="14">
        <f>IF(ISNUMBER('Klisz-Verbräuche'!L95), 'Klisz-Verbräuche'!L95*Emissionsfaktoren!J95/1000, 0)</f>
        <v>0</v>
      </c>
      <c r="L260" s="14">
        <f>IF(ISNUMBER('Klisz-Verbräuche'!M95), 'Klisz-Verbräuche'!M95*Emissionsfaktoren!K95/1000, 0)</f>
        <v>0</v>
      </c>
      <c r="M260" s="14">
        <f>IF(ISNUMBER('Klisz-Verbräuche'!N95), 'Klisz-Verbräuche'!N95*Emissionsfaktoren!L95/1000, 0)</f>
        <v>0</v>
      </c>
      <c r="N260" s="14">
        <f>IF(ISNUMBER('Klisz-Verbräuche'!O95), 'Klisz-Verbräuche'!O95*Emissionsfaktoren!M95/1000, 0)</f>
        <v>0</v>
      </c>
      <c r="O260" s="14">
        <f>IF(ISNUMBER('Klisz-Verbräuche'!P95), 'Klisz-Verbräuche'!P95*Emissionsfaktoren!N95/1000, 0)</f>
        <v>0</v>
      </c>
      <c r="P260" s="14">
        <f>IF(ISNUMBER('Klisz-Verbräuche'!Q95), 'Klisz-Verbräuche'!Q95*Emissionsfaktoren!O95/1000, 0)</f>
        <v>0</v>
      </c>
      <c r="Q260" s="14">
        <f>IF(ISNUMBER('Klisz-Verbräuche'!R95), 'Klisz-Verbräuche'!R95*Emissionsfaktoren!P95/1000, 0)</f>
        <v>0</v>
      </c>
      <c r="R260" s="14">
        <f>IF(ISNUMBER('Klisz-Verbräuche'!S95), 'Klisz-Verbräuche'!S95*Emissionsfaktoren!Q95/1000, 0)</f>
        <v>0</v>
      </c>
      <c r="S260" s="14">
        <f>IF(ISNUMBER('Klisz-Verbräuche'!T95), 'Klisz-Verbräuche'!T95*Emissionsfaktoren!R95/1000, 0)</f>
        <v>0</v>
      </c>
      <c r="T260" s="14">
        <f>IF(ISNUMBER('Klisz-Verbräuche'!U95), 'Klisz-Verbräuche'!U95*Emissionsfaktoren!S95/1000, 0)</f>
        <v>0</v>
      </c>
      <c r="U260" s="14">
        <f>IF(ISNUMBER('Klisz-Verbräuche'!V95), 'Klisz-Verbräuche'!V95*Emissionsfaktoren!T95/1000, 0)</f>
        <v>0</v>
      </c>
      <c r="V260" s="14">
        <f>IF(ISNUMBER('Klisz-Verbräuche'!W95), 'Klisz-Verbräuche'!W95*Emissionsfaktoren!U95/1000, 0)</f>
        <v>0</v>
      </c>
      <c r="W260" s="14">
        <f>IF(ISNUMBER('Klisz-Verbräuche'!X95), 'Klisz-Verbräuche'!X95*Emissionsfaktoren!V95/1000, 0)</f>
        <v>0</v>
      </c>
      <c r="X260" s="14">
        <f>IF(ISNUMBER('Klisz-Verbräuche'!Y95), 'Klisz-Verbräuche'!Y95*Emissionsfaktoren!W95/1000, 0)</f>
        <v>0</v>
      </c>
      <c r="Y260" s="14">
        <f>IF(ISNUMBER('Klisz-Verbräuche'!Z95), 'Klisz-Verbräuche'!Z95*Emissionsfaktoren!X95/1000, 0)</f>
        <v>0</v>
      </c>
    </row>
    <row r="261" spans="2:25" ht="16.5">
      <c r="B261" s="14">
        <v>79</v>
      </c>
      <c r="C261" s="14" t="str">
        <f>'Refsz-Verbräuche'!C96</f>
        <v>Mobilität 2</v>
      </c>
      <c r="D261" s="19" t="str">
        <f>'Refsz-Verbräuche'!D96</f>
        <v>Studierendenreisen (Incoming) - Eisenbahn (Nahverkehr)</v>
      </c>
      <c r="E261" t="s">
        <v>195</v>
      </c>
      <c r="F261" s="14">
        <f>IF(ISNUMBER('Klisz-Verbräuche'!G96), 'Klisz-Verbräuche'!G96*Emissionsfaktoren!E96/1000, 0)</f>
        <v>0</v>
      </c>
      <c r="G261" s="14">
        <f>IF(ISNUMBER('Klisz-Verbräuche'!H96), 'Klisz-Verbräuche'!H96*Emissionsfaktoren!F96/1000, 0)</f>
        <v>0</v>
      </c>
      <c r="H261" s="14">
        <f>IF(ISNUMBER('Klisz-Verbräuche'!I96), 'Klisz-Verbräuche'!I96*Emissionsfaktoren!G96/1000, 0)</f>
        <v>0</v>
      </c>
      <c r="I261" s="14">
        <f>IF(ISNUMBER('Klisz-Verbräuche'!J96), 'Klisz-Verbräuche'!J96*Emissionsfaktoren!H96/1000, 0)</f>
        <v>0</v>
      </c>
      <c r="J261" s="14">
        <f>IF(ISNUMBER('Klisz-Verbräuche'!K96), 'Klisz-Verbräuche'!K96*Emissionsfaktoren!I96/1000, 0)</f>
        <v>0</v>
      </c>
      <c r="K261" s="14">
        <f>IF(ISNUMBER('Klisz-Verbräuche'!L96), 'Klisz-Verbräuche'!L96*Emissionsfaktoren!J96/1000, 0)</f>
        <v>0</v>
      </c>
      <c r="L261" s="14">
        <f>IF(ISNUMBER('Klisz-Verbräuche'!M96), 'Klisz-Verbräuche'!M96*Emissionsfaktoren!K96/1000, 0)</f>
        <v>0</v>
      </c>
      <c r="M261" s="14">
        <f>IF(ISNUMBER('Klisz-Verbräuche'!N96), 'Klisz-Verbräuche'!N96*Emissionsfaktoren!L96/1000, 0)</f>
        <v>0</v>
      </c>
      <c r="N261" s="14">
        <f>IF(ISNUMBER('Klisz-Verbräuche'!O96), 'Klisz-Verbräuche'!O96*Emissionsfaktoren!M96/1000, 0)</f>
        <v>0</v>
      </c>
      <c r="O261" s="14">
        <f>IF(ISNUMBER('Klisz-Verbräuche'!P96), 'Klisz-Verbräuche'!P96*Emissionsfaktoren!N96/1000, 0)</f>
        <v>0</v>
      </c>
      <c r="P261" s="14">
        <f>IF(ISNUMBER('Klisz-Verbräuche'!Q96), 'Klisz-Verbräuche'!Q96*Emissionsfaktoren!O96/1000, 0)</f>
        <v>0</v>
      </c>
      <c r="Q261" s="14">
        <f>IF(ISNUMBER('Klisz-Verbräuche'!R96), 'Klisz-Verbräuche'!R96*Emissionsfaktoren!P96/1000, 0)</f>
        <v>0</v>
      </c>
      <c r="R261" s="14">
        <f>IF(ISNUMBER('Klisz-Verbräuche'!S96), 'Klisz-Verbräuche'!S96*Emissionsfaktoren!Q96/1000, 0)</f>
        <v>0</v>
      </c>
      <c r="S261" s="14">
        <f>IF(ISNUMBER('Klisz-Verbräuche'!T96), 'Klisz-Verbräuche'!T96*Emissionsfaktoren!R96/1000, 0)</f>
        <v>0</v>
      </c>
      <c r="T261" s="14">
        <f>IF(ISNUMBER('Klisz-Verbräuche'!U96), 'Klisz-Verbräuche'!U96*Emissionsfaktoren!S96/1000, 0)</f>
        <v>0</v>
      </c>
      <c r="U261" s="14">
        <f>IF(ISNUMBER('Klisz-Verbräuche'!V96), 'Klisz-Verbräuche'!V96*Emissionsfaktoren!T96/1000, 0)</f>
        <v>0</v>
      </c>
      <c r="V261" s="14">
        <f>IF(ISNUMBER('Klisz-Verbräuche'!W96), 'Klisz-Verbräuche'!W96*Emissionsfaktoren!U96/1000, 0)</f>
        <v>0</v>
      </c>
      <c r="W261" s="14">
        <f>IF(ISNUMBER('Klisz-Verbräuche'!X96), 'Klisz-Verbräuche'!X96*Emissionsfaktoren!V96/1000, 0)</f>
        <v>0</v>
      </c>
      <c r="X261" s="14">
        <f>IF(ISNUMBER('Klisz-Verbräuche'!Y96), 'Klisz-Verbräuche'!Y96*Emissionsfaktoren!W96/1000, 0)</f>
        <v>0</v>
      </c>
      <c r="Y261" s="14">
        <f>IF(ISNUMBER('Klisz-Verbräuche'!Z96), 'Klisz-Verbräuche'!Z96*Emissionsfaktoren!X96/1000, 0)</f>
        <v>0</v>
      </c>
    </row>
    <row r="262" spans="2:25" ht="16.5">
      <c r="B262" s="14">
        <v>80</v>
      </c>
      <c r="C262" s="14" t="str">
        <f>'Refsz-Verbräuche'!C97</f>
        <v>Mobilität 2</v>
      </c>
      <c r="D262" s="19" t="str">
        <f>'Refsz-Verbräuche'!D97</f>
        <v>Studierendenreisen (Incoming) - Privater PKW (alle Antriebsarten)</v>
      </c>
      <c r="E262" t="s">
        <v>195</v>
      </c>
      <c r="F262" s="14">
        <f>IF(ISNUMBER('Klisz-Verbräuche'!G97), 'Klisz-Verbräuche'!G97*Emissionsfaktoren!E97/1000, 0)</f>
        <v>0</v>
      </c>
      <c r="G262" s="14">
        <f>IF(ISNUMBER('Klisz-Verbräuche'!H97), 'Klisz-Verbräuche'!H97*Emissionsfaktoren!F97/1000, 0)</f>
        <v>0</v>
      </c>
      <c r="H262" s="14">
        <f>IF(ISNUMBER('Klisz-Verbräuche'!I97), 'Klisz-Verbräuche'!I97*Emissionsfaktoren!G97/1000, 0)</f>
        <v>0</v>
      </c>
      <c r="I262" s="14">
        <f>IF(ISNUMBER('Klisz-Verbräuche'!J97), 'Klisz-Verbräuche'!J97*Emissionsfaktoren!H97/1000, 0)</f>
        <v>0</v>
      </c>
      <c r="J262" s="14">
        <f>IF(ISNUMBER('Klisz-Verbräuche'!K97), 'Klisz-Verbräuche'!K97*Emissionsfaktoren!I97/1000, 0)</f>
        <v>0</v>
      </c>
      <c r="K262" s="14">
        <f>IF(ISNUMBER('Klisz-Verbräuche'!L97), 'Klisz-Verbräuche'!L97*Emissionsfaktoren!J97/1000, 0)</f>
        <v>0</v>
      </c>
      <c r="L262" s="14">
        <f>IF(ISNUMBER('Klisz-Verbräuche'!M97), 'Klisz-Verbräuche'!M97*Emissionsfaktoren!K97/1000, 0)</f>
        <v>0</v>
      </c>
      <c r="M262" s="14">
        <f>IF(ISNUMBER('Klisz-Verbräuche'!N97), 'Klisz-Verbräuche'!N97*Emissionsfaktoren!L97/1000, 0)</f>
        <v>0</v>
      </c>
      <c r="N262" s="14">
        <f>IF(ISNUMBER('Klisz-Verbräuche'!O97), 'Klisz-Verbräuche'!O97*Emissionsfaktoren!M97/1000, 0)</f>
        <v>0</v>
      </c>
      <c r="O262" s="14">
        <f>IF(ISNUMBER('Klisz-Verbräuche'!P97), 'Klisz-Verbräuche'!P97*Emissionsfaktoren!N97/1000, 0)</f>
        <v>0</v>
      </c>
      <c r="P262" s="14">
        <f>IF(ISNUMBER('Klisz-Verbräuche'!Q97), 'Klisz-Verbräuche'!Q97*Emissionsfaktoren!O97/1000, 0)</f>
        <v>0</v>
      </c>
      <c r="Q262" s="14">
        <f>IF(ISNUMBER('Klisz-Verbräuche'!R97), 'Klisz-Verbräuche'!R97*Emissionsfaktoren!P97/1000, 0)</f>
        <v>0</v>
      </c>
      <c r="R262" s="14">
        <f>IF(ISNUMBER('Klisz-Verbräuche'!S97), 'Klisz-Verbräuche'!S97*Emissionsfaktoren!Q97/1000, 0)</f>
        <v>0</v>
      </c>
      <c r="S262" s="14">
        <f>IF(ISNUMBER('Klisz-Verbräuche'!T97), 'Klisz-Verbräuche'!T97*Emissionsfaktoren!R97/1000, 0)</f>
        <v>0</v>
      </c>
      <c r="T262" s="14">
        <f>IF(ISNUMBER('Klisz-Verbräuche'!U97), 'Klisz-Verbräuche'!U97*Emissionsfaktoren!S97/1000, 0)</f>
        <v>0</v>
      </c>
      <c r="U262" s="14">
        <f>IF(ISNUMBER('Klisz-Verbräuche'!V97), 'Klisz-Verbräuche'!V97*Emissionsfaktoren!T97/1000, 0)</f>
        <v>0</v>
      </c>
      <c r="V262" s="14">
        <f>IF(ISNUMBER('Klisz-Verbräuche'!W97), 'Klisz-Verbräuche'!W97*Emissionsfaktoren!U97/1000, 0)</f>
        <v>0</v>
      </c>
      <c r="W262" s="14">
        <f>IF(ISNUMBER('Klisz-Verbräuche'!X97), 'Klisz-Verbräuche'!X97*Emissionsfaktoren!V97/1000, 0)</f>
        <v>0</v>
      </c>
      <c r="X262" s="14">
        <f>IF(ISNUMBER('Klisz-Verbräuche'!Y97), 'Klisz-Verbräuche'!Y97*Emissionsfaktoren!W97/1000, 0)</f>
        <v>0</v>
      </c>
      <c r="Y262" s="14">
        <f>IF(ISNUMBER('Klisz-Verbräuche'!Z97), 'Klisz-Verbräuche'!Z97*Emissionsfaktoren!X97/1000, 0)</f>
        <v>0</v>
      </c>
    </row>
    <row r="263" spans="2:25" ht="16.5">
      <c r="B263" s="14">
        <v>81</v>
      </c>
      <c r="C263" s="14">
        <f>'Refsz-Verbräuche'!C98</f>
        <v>0</v>
      </c>
      <c r="D263" s="19">
        <f>'Refsz-Verbräuche'!D98</f>
        <v>0</v>
      </c>
      <c r="E263" t="s">
        <v>195</v>
      </c>
      <c r="F263" s="14">
        <f>IF(ISNUMBER('Klisz-Verbräuche'!G98), 'Klisz-Verbräuche'!G98*Emissionsfaktoren!E98/1000, 0)</f>
        <v>0</v>
      </c>
      <c r="G263" s="14">
        <f>IF(ISNUMBER('Klisz-Verbräuche'!H98), 'Klisz-Verbräuche'!H98*Emissionsfaktoren!F98/1000, 0)</f>
        <v>0</v>
      </c>
      <c r="H263" s="14">
        <f>IF(ISNUMBER('Klisz-Verbräuche'!I98), 'Klisz-Verbräuche'!I98*Emissionsfaktoren!G98/1000, 0)</f>
        <v>0</v>
      </c>
      <c r="I263" s="14">
        <f>IF(ISNUMBER('Klisz-Verbräuche'!J98), 'Klisz-Verbräuche'!J98*Emissionsfaktoren!H98/1000, 0)</f>
        <v>0</v>
      </c>
      <c r="J263" s="14">
        <f>IF(ISNUMBER('Klisz-Verbräuche'!K98), 'Klisz-Verbräuche'!K98*Emissionsfaktoren!I98/1000, 0)</f>
        <v>0</v>
      </c>
      <c r="K263" s="14">
        <f>IF(ISNUMBER('Klisz-Verbräuche'!L98), 'Klisz-Verbräuche'!L98*Emissionsfaktoren!J98/1000, 0)</f>
        <v>0</v>
      </c>
      <c r="L263" s="14">
        <f>IF(ISNUMBER('Klisz-Verbräuche'!M98), 'Klisz-Verbräuche'!M98*Emissionsfaktoren!K98/1000, 0)</f>
        <v>0</v>
      </c>
      <c r="M263" s="14">
        <f>IF(ISNUMBER('Klisz-Verbräuche'!N98), 'Klisz-Verbräuche'!N98*Emissionsfaktoren!L98/1000, 0)</f>
        <v>0</v>
      </c>
      <c r="N263" s="14">
        <f>IF(ISNUMBER('Klisz-Verbräuche'!O98), 'Klisz-Verbräuche'!O98*Emissionsfaktoren!M98/1000, 0)</f>
        <v>0</v>
      </c>
      <c r="O263" s="14">
        <f>IF(ISNUMBER('Klisz-Verbräuche'!P98), 'Klisz-Verbräuche'!P98*Emissionsfaktoren!N98/1000, 0)</f>
        <v>0</v>
      </c>
      <c r="P263" s="14">
        <f>IF(ISNUMBER('Klisz-Verbräuche'!Q98), 'Klisz-Verbräuche'!Q98*Emissionsfaktoren!O98/1000, 0)</f>
        <v>0</v>
      </c>
      <c r="Q263" s="14">
        <f>IF(ISNUMBER('Klisz-Verbräuche'!R98), 'Klisz-Verbräuche'!R98*Emissionsfaktoren!P98/1000, 0)</f>
        <v>0</v>
      </c>
      <c r="R263" s="14">
        <f>IF(ISNUMBER('Klisz-Verbräuche'!S98), 'Klisz-Verbräuche'!S98*Emissionsfaktoren!Q98/1000, 0)</f>
        <v>0</v>
      </c>
      <c r="S263" s="14">
        <f>IF(ISNUMBER('Klisz-Verbräuche'!T98), 'Klisz-Verbräuche'!T98*Emissionsfaktoren!R98/1000, 0)</f>
        <v>0</v>
      </c>
      <c r="T263" s="14">
        <f>IF(ISNUMBER('Klisz-Verbräuche'!U98), 'Klisz-Verbräuche'!U98*Emissionsfaktoren!S98/1000, 0)</f>
        <v>0</v>
      </c>
      <c r="U263" s="14">
        <f>IF(ISNUMBER('Klisz-Verbräuche'!V98), 'Klisz-Verbräuche'!V98*Emissionsfaktoren!T98/1000, 0)</f>
        <v>0</v>
      </c>
      <c r="V263" s="14">
        <f>IF(ISNUMBER('Klisz-Verbräuche'!W98), 'Klisz-Verbräuche'!W98*Emissionsfaktoren!U98/1000, 0)</f>
        <v>0</v>
      </c>
      <c r="W263" s="14">
        <f>IF(ISNUMBER('Klisz-Verbräuche'!X98), 'Klisz-Verbräuche'!X98*Emissionsfaktoren!V98/1000, 0)</f>
        <v>0</v>
      </c>
      <c r="X263" s="14">
        <f>IF(ISNUMBER('Klisz-Verbräuche'!Y98), 'Klisz-Verbräuche'!Y98*Emissionsfaktoren!W98/1000, 0)</f>
        <v>0</v>
      </c>
      <c r="Y263" s="14">
        <f>IF(ISNUMBER('Klisz-Verbräuche'!Z98), 'Klisz-Verbräuche'!Z98*Emissionsfaktoren!X98/1000, 0)</f>
        <v>0</v>
      </c>
    </row>
    <row r="264" spans="2:25" ht="16.5">
      <c r="B264" s="14">
        <v>82</v>
      </c>
      <c r="C264" s="14" t="str">
        <f>'Refsz-Verbräuche'!C99</f>
        <v>Mobilität 2</v>
      </c>
      <c r="D264" s="19" t="str">
        <f>'Refsz-Verbräuche'!D99</f>
        <v>An- und Abreise von Gästen - Flugreisen</v>
      </c>
      <c r="E264" t="s">
        <v>195</v>
      </c>
      <c r="F264" s="14">
        <f>IF(ISNUMBER('Klisz-Verbräuche'!G99), 'Klisz-Verbräuche'!G99*Emissionsfaktoren!E99/1000, 0)</f>
        <v>0</v>
      </c>
      <c r="G264" s="14">
        <f>IF(ISNUMBER('Klisz-Verbräuche'!H99), 'Klisz-Verbräuche'!H99*Emissionsfaktoren!F99/1000, 0)</f>
        <v>0</v>
      </c>
      <c r="H264" s="14">
        <f>IF(ISNUMBER('Klisz-Verbräuche'!I99), 'Klisz-Verbräuche'!I99*Emissionsfaktoren!G99/1000, 0)</f>
        <v>0</v>
      </c>
      <c r="I264" s="14">
        <f>IF(ISNUMBER('Klisz-Verbräuche'!J99), 'Klisz-Verbräuche'!J99*Emissionsfaktoren!H99/1000, 0)</f>
        <v>0</v>
      </c>
      <c r="J264" s="14">
        <f>IF(ISNUMBER('Klisz-Verbräuche'!K99), 'Klisz-Verbräuche'!K99*Emissionsfaktoren!I99/1000, 0)</f>
        <v>0</v>
      </c>
      <c r="K264" s="14">
        <f>IF(ISNUMBER('Klisz-Verbräuche'!L99), 'Klisz-Verbräuche'!L99*Emissionsfaktoren!J99/1000, 0)</f>
        <v>0</v>
      </c>
      <c r="L264" s="14">
        <f>IF(ISNUMBER('Klisz-Verbräuche'!M99), 'Klisz-Verbräuche'!M99*Emissionsfaktoren!K99/1000, 0)</f>
        <v>0</v>
      </c>
      <c r="M264" s="14">
        <f>IF(ISNUMBER('Klisz-Verbräuche'!N99), 'Klisz-Verbräuche'!N99*Emissionsfaktoren!L99/1000, 0)</f>
        <v>0</v>
      </c>
      <c r="N264" s="14">
        <f>IF(ISNUMBER('Klisz-Verbräuche'!O99), 'Klisz-Verbräuche'!O99*Emissionsfaktoren!M99/1000, 0)</f>
        <v>0</v>
      </c>
      <c r="O264" s="14">
        <f>IF(ISNUMBER('Klisz-Verbräuche'!P99), 'Klisz-Verbräuche'!P99*Emissionsfaktoren!N99/1000, 0)</f>
        <v>0</v>
      </c>
      <c r="P264" s="14">
        <f>IF(ISNUMBER('Klisz-Verbräuche'!Q99), 'Klisz-Verbräuche'!Q99*Emissionsfaktoren!O99/1000, 0)</f>
        <v>0</v>
      </c>
      <c r="Q264" s="14">
        <f>IF(ISNUMBER('Klisz-Verbräuche'!R99), 'Klisz-Verbräuche'!R99*Emissionsfaktoren!P99/1000, 0)</f>
        <v>0</v>
      </c>
      <c r="R264" s="14">
        <f>IF(ISNUMBER('Klisz-Verbräuche'!S99), 'Klisz-Verbräuche'!S99*Emissionsfaktoren!Q99/1000, 0)</f>
        <v>0</v>
      </c>
      <c r="S264" s="14">
        <f>IF(ISNUMBER('Klisz-Verbräuche'!T99), 'Klisz-Verbräuche'!T99*Emissionsfaktoren!R99/1000, 0)</f>
        <v>0</v>
      </c>
      <c r="T264" s="14">
        <f>IF(ISNUMBER('Klisz-Verbräuche'!U99), 'Klisz-Verbräuche'!U99*Emissionsfaktoren!S99/1000, 0)</f>
        <v>0</v>
      </c>
      <c r="U264" s="14">
        <f>IF(ISNUMBER('Klisz-Verbräuche'!V99), 'Klisz-Verbräuche'!V99*Emissionsfaktoren!T99/1000, 0)</f>
        <v>0</v>
      </c>
      <c r="V264" s="14">
        <f>IF(ISNUMBER('Klisz-Verbräuche'!W99), 'Klisz-Verbräuche'!W99*Emissionsfaktoren!U99/1000, 0)</f>
        <v>0</v>
      </c>
      <c r="W264" s="14">
        <f>IF(ISNUMBER('Klisz-Verbräuche'!X99), 'Klisz-Verbräuche'!X99*Emissionsfaktoren!V99/1000, 0)</f>
        <v>0</v>
      </c>
      <c r="X264" s="14">
        <f>IF(ISNUMBER('Klisz-Verbräuche'!Y99), 'Klisz-Verbräuche'!Y99*Emissionsfaktoren!W99/1000, 0)</f>
        <v>0</v>
      </c>
      <c r="Y264" s="14">
        <f>IF(ISNUMBER('Klisz-Verbräuche'!Z99), 'Klisz-Verbräuche'!Z99*Emissionsfaktoren!X99/1000, 0)</f>
        <v>0</v>
      </c>
    </row>
    <row r="265" spans="2:25" ht="16.5">
      <c r="B265" s="14">
        <v>83</v>
      </c>
      <c r="C265" s="14" t="str">
        <f>'Refsz-Verbräuche'!C100</f>
        <v>Mobilität 2</v>
      </c>
      <c r="D265" s="19" t="str">
        <f>'Refsz-Verbräuche'!D100</f>
        <v>An- und Abreise von Gästen - Eisenbahn (Nahverkehr)</v>
      </c>
      <c r="E265" t="s">
        <v>195</v>
      </c>
      <c r="F265" s="14">
        <f>IF(ISNUMBER('Klisz-Verbräuche'!G100), 'Klisz-Verbräuche'!G100*Emissionsfaktoren!E100/1000, 0)</f>
        <v>0</v>
      </c>
      <c r="G265" s="14">
        <f>IF(ISNUMBER('Klisz-Verbräuche'!H100), 'Klisz-Verbräuche'!H100*Emissionsfaktoren!F100/1000, 0)</f>
        <v>0</v>
      </c>
      <c r="H265" s="14">
        <f>IF(ISNUMBER('Klisz-Verbräuche'!I100), 'Klisz-Verbräuche'!I100*Emissionsfaktoren!G100/1000, 0)</f>
        <v>0</v>
      </c>
      <c r="I265" s="14">
        <f>IF(ISNUMBER('Klisz-Verbräuche'!J100), 'Klisz-Verbräuche'!J100*Emissionsfaktoren!H100/1000, 0)</f>
        <v>0</v>
      </c>
      <c r="J265" s="14">
        <f>IF(ISNUMBER('Klisz-Verbräuche'!K100), 'Klisz-Verbräuche'!K100*Emissionsfaktoren!I100/1000, 0)</f>
        <v>0</v>
      </c>
      <c r="K265" s="14">
        <f>IF(ISNUMBER('Klisz-Verbräuche'!L100), 'Klisz-Verbräuche'!L100*Emissionsfaktoren!J100/1000, 0)</f>
        <v>0</v>
      </c>
      <c r="L265" s="14">
        <f>IF(ISNUMBER('Klisz-Verbräuche'!M100), 'Klisz-Verbräuche'!M100*Emissionsfaktoren!K100/1000, 0)</f>
        <v>0</v>
      </c>
      <c r="M265" s="14">
        <f>IF(ISNUMBER('Klisz-Verbräuche'!N100), 'Klisz-Verbräuche'!N100*Emissionsfaktoren!L100/1000, 0)</f>
        <v>0</v>
      </c>
      <c r="N265" s="14">
        <f>IF(ISNUMBER('Klisz-Verbräuche'!O100), 'Klisz-Verbräuche'!O100*Emissionsfaktoren!M100/1000, 0)</f>
        <v>0</v>
      </c>
      <c r="O265" s="14">
        <f>IF(ISNUMBER('Klisz-Verbräuche'!P100), 'Klisz-Verbräuche'!P100*Emissionsfaktoren!N100/1000, 0)</f>
        <v>0</v>
      </c>
      <c r="P265" s="14">
        <f>IF(ISNUMBER('Klisz-Verbräuche'!Q100), 'Klisz-Verbräuche'!Q100*Emissionsfaktoren!O100/1000, 0)</f>
        <v>0</v>
      </c>
      <c r="Q265" s="14">
        <f>IF(ISNUMBER('Klisz-Verbräuche'!R100), 'Klisz-Verbräuche'!R100*Emissionsfaktoren!P100/1000, 0)</f>
        <v>0</v>
      </c>
      <c r="R265" s="14">
        <f>IF(ISNUMBER('Klisz-Verbräuche'!S100), 'Klisz-Verbräuche'!S100*Emissionsfaktoren!Q100/1000, 0)</f>
        <v>0</v>
      </c>
      <c r="S265" s="14">
        <f>IF(ISNUMBER('Klisz-Verbräuche'!T100), 'Klisz-Verbräuche'!T100*Emissionsfaktoren!R100/1000, 0)</f>
        <v>0</v>
      </c>
      <c r="T265" s="14">
        <f>IF(ISNUMBER('Klisz-Verbräuche'!U100), 'Klisz-Verbräuche'!U100*Emissionsfaktoren!S100/1000, 0)</f>
        <v>0</v>
      </c>
      <c r="U265" s="14">
        <f>IF(ISNUMBER('Klisz-Verbräuche'!V100), 'Klisz-Verbräuche'!V100*Emissionsfaktoren!T100/1000, 0)</f>
        <v>0</v>
      </c>
      <c r="V265" s="14">
        <f>IF(ISNUMBER('Klisz-Verbräuche'!W100), 'Klisz-Verbräuche'!W100*Emissionsfaktoren!U100/1000, 0)</f>
        <v>0</v>
      </c>
      <c r="W265" s="14">
        <f>IF(ISNUMBER('Klisz-Verbräuche'!X100), 'Klisz-Verbräuche'!X100*Emissionsfaktoren!V100/1000, 0)</f>
        <v>0</v>
      </c>
      <c r="X265" s="14">
        <f>IF(ISNUMBER('Klisz-Verbräuche'!Y100), 'Klisz-Verbräuche'!Y100*Emissionsfaktoren!W100/1000, 0)</f>
        <v>0</v>
      </c>
      <c r="Y265" s="14">
        <f>IF(ISNUMBER('Klisz-Verbräuche'!Z100), 'Klisz-Verbräuche'!Z100*Emissionsfaktoren!X100/1000, 0)</f>
        <v>0</v>
      </c>
    </row>
    <row r="266" spans="2:25" ht="16.5">
      <c r="B266" s="14">
        <v>84</v>
      </c>
      <c r="C266" s="14" t="str">
        <f>'Refsz-Verbräuche'!C101</f>
        <v>Mobilität 2</v>
      </c>
      <c r="D266" s="19" t="str">
        <f>'Refsz-Verbräuche'!D101</f>
        <v>An- und Abreise von Gästen - Privater PKW (alle Antriebsarten)</v>
      </c>
      <c r="E266" t="s">
        <v>195</v>
      </c>
      <c r="F266" s="14">
        <f>IF(ISNUMBER('Klisz-Verbräuche'!G101), 'Klisz-Verbräuche'!G101*Emissionsfaktoren!E101/1000, 0)</f>
        <v>0</v>
      </c>
      <c r="G266" s="14">
        <f>IF(ISNUMBER('Klisz-Verbräuche'!H101), 'Klisz-Verbräuche'!H101*Emissionsfaktoren!F101/1000, 0)</f>
        <v>0</v>
      </c>
      <c r="H266" s="14">
        <f>IF(ISNUMBER('Klisz-Verbräuche'!I101), 'Klisz-Verbräuche'!I101*Emissionsfaktoren!G101/1000, 0)</f>
        <v>0</v>
      </c>
      <c r="I266" s="14">
        <f>IF(ISNUMBER('Klisz-Verbräuche'!J101), 'Klisz-Verbräuche'!J101*Emissionsfaktoren!H101/1000, 0)</f>
        <v>0</v>
      </c>
      <c r="J266" s="14">
        <f>IF(ISNUMBER('Klisz-Verbräuche'!K101), 'Klisz-Verbräuche'!K101*Emissionsfaktoren!I101/1000, 0)</f>
        <v>0</v>
      </c>
      <c r="K266" s="14">
        <f>IF(ISNUMBER('Klisz-Verbräuche'!L101), 'Klisz-Verbräuche'!L101*Emissionsfaktoren!J101/1000, 0)</f>
        <v>0</v>
      </c>
      <c r="L266" s="14">
        <f>IF(ISNUMBER('Klisz-Verbräuche'!M101), 'Klisz-Verbräuche'!M101*Emissionsfaktoren!K101/1000, 0)</f>
        <v>0</v>
      </c>
      <c r="M266" s="14">
        <f>IF(ISNUMBER('Klisz-Verbräuche'!N101), 'Klisz-Verbräuche'!N101*Emissionsfaktoren!L101/1000, 0)</f>
        <v>0</v>
      </c>
      <c r="N266" s="14">
        <f>IF(ISNUMBER('Klisz-Verbräuche'!O101), 'Klisz-Verbräuche'!O101*Emissionsfaktoren!M101/1000, 0)</f>
        <v>0</v>
      </c>
      <c r="O266" s="14">
        <f>IF(ISNUMBER('Klisz-Verbräuche'!P101), 'Klisz-Verbräuche'!P101*Emissionsfaktoren!N101/1000, 0)</f>
        <v>0</v>
      </c>
      <c r="P266" s="14">
        <f>IF(ISNUMBER('Klisz-Verbräuche'!Q101), 'Klisz-Verbräuche'!Q101*Emissionsfaktoren!O101/1000, 0)</f>
        <v>0</v>
      </c>
      <c r="Q266" s="14">
        <f>IF(ISNUMBER('Klisz-Verbräuche'!R101), 'Klisz-Verbräuche'!R101*Emissionsfaktoren!P101/1000, 0)</f>
        <v>0</v>
      </c>
      <c r="R266" s="14">
        <f>IF(ISNUMBER('Klisz-Verbräuche'!S101), 'Klisz-Verbräuche'!S101*Emissionsfaktoren!Q101/1000, 0)</f>
        <v>0</v>
      </c>
      <c r="S266" s="14">
        <f>IF(ISNUMBER('Klisz-Verbräuche'!T101), 'Klisz-Verbräuche'!T101*Emissionsfaktoren!R101/1000, 0)</f>
        <v>0</v>
      </c>
      <c r="T266" s="14">
        <f>IF(ISNUMBER('Klisz-Verbräuche'!U101), 'Klisz-Verbräuche'!U101*Emissionsfaktoren!S101/1000, 0)</f>
        <v>0</v>
      </c>
      <c r="U266" s="14">
        <f>IF(ISNUMBER('Klisz-Verbräuche'!V101), 'Klisz-Verbräuche'!V101*Emissionsfaktoren!T101/1000, 0)</f>
        <v>0</v>
      </c>
      <c r="V266" s="14">
        <f>IF(ISNUMBER('Klisz-Verbräuche'!W101), 'Klisz-Verbräuche'!W101*Emissionsfaktoren!U101/1000, 0)</f>
        <v>0</v>
      </c>
      <c r="W266" s="14">
        <f>IF(ISNUMBER('Klisz-Verbräuche'!X101), 'Klisz-Verbräuche'!X101*Emissionsfaktoren!V101/1000, 0)</f>
        <v>0</v>
      </c>
      <c r="X266" s="14">
        <f>IF(ISNUMBER('Klisz-Verbräuche'!Y101), 'Klisz-Verbräuche'!Y101*Emissionsfaktoren!W101/1000, 0)</f>
        <v>0</v>
      </c>
      <c r="Y266" s="14">
        <f>IF(ISNUMBER('Klisz-Verbräuche'!Z101), 'Klisz-Verbräuche'!Z101*Emissionsfaktoren!X101/1000, 0)</f>
        <v>0</v>
      </c>
    </row>
    <row r="267" spans="2:25" ht="16.5">
      <c r="B267" s="14">
        <v>85</v>
      </c>
      <c r="C267" s="14">
        <f>'Refsz-Verbräuche'!C102</f>
        <v>0</v>
      </c>
      <c r="D267" s="19">
        <f>'Refsz-Verbräuche'!D102</f>
        <v>0</v>
      </c>
      <c r="E267" t="s">
        <v>195</v>
      </c>
      <c r="F267" s="14">
        <f>IF(ISNUMBER('Klisz-Verbräuche'!G102), 'Klisz-Verbräuche'!G102*Emissionsfaktoren!E102/1000, 0)</f>
        <v>0</v>
      </c>
      <c r="G267" s="14">
        <f>IF(ISNUMBER('Klisz-Verbräuche'!H102), 'Klisz-Verbräuche'!H102*Emissionsfaktoren!F102/1000, 0)</f>
        <v>0</v>
      </c>
      <c r="H267" s="14">
        <f>IF(ISNUMBER('Klisz-Verbräuche'!I102), 'Klisz-Verbräuche'!I102*Emissionsfaktoren!G102/1000, 0)</f>
        <v>0</v>
      </c>
      <c r="I267" s="14">
        <f>IF(ISNUMBER('Klisz-Verbräuche'!J102), 'Klisz-Verbräuche'!J102*Emissionsfaktoren!H102/1000, 0)</f>
        <v>0</v>
      </c>
      <c r="J267" s="14">
        <f>IF(ISNUMBER('Klisz-Verbräuche'!K102), 'Klisz-Verbräuche'!K102*Emissionsfaktoren!I102/1000, 0)</f>
        <v>0</v>
      </c>
      <c r="K267" s="14">
        <f>IF(ISNUMBER('Klisz-Verbräuche'!L102), 'Klisz-Verbräuche'!L102*Emissionsfaktoren!J102/1000, 0)</f>
        <v>0</v>
      </c>
      <c r="L267" s="14">
        <f>IF(ISNUMBER('Klisz-Verbräuche'!M102), 'Klisz-Verbräuche'!M102*Emissionsfaktoren!K102/1000, 0)</f>
        <v>0</v>
      </c>
      <c r="M267" s="14">
        <f>IF(ISNUMBER('Klisz-Verbräuche'!N102), 'Klisz-Verbräuche'!N102*Emissionsfaktoren!L102/1000, 0)</f>
        <v>0</v>
      </c>
      <c r="N267" s="14">
        <f>IF(ISNUMBER('Klisz-Verbräuche'!O102), 'Klisz-Verbräuche'!O102*Emissionsfaktoren!M102/1000, 0)</f>
        <v>0</v>
      </c>
      <c r="O267" s="14">
        <f>IF(ISNUMBER('Klisz-Verbräuche'!P102), 'Klisz-Verbräuche'!P102*Emissionsfaktoren!N102/1000, 0)</f>
        <v>0</v>
      </c>
      <c r="P267" s="14">
        <f>IF(ISNUMBER('Klisz-Verbräuche'!Q102), 'Klisz-Verbräuche'!Q102*Emissionsfaktoren!O102/1000, 0)</f>
        <v>0</v>
      </c>
      <c r="Q267" s="14">
        <f>IF(ISNUMBER('Klisz-Verbräuche'!R102), 'Klisz-Verbräuche'!R102*Emissionsfaktoren!P102/1000, 0)</f>
        <v>0</v>
      </c>
      <c r="R267" s="14">
        <f>IF(ISNUMBER('Klisz-Verbräuche'!S102), 'Klisz-Verbräuche'!S102*Emissionsfaktoren!Q102/1000, 0)</f>
        <v>0</v>
      </c>
      <c r="S267" s="14">
        <f>IF(ISNUMBER('Klisz-Verbräuche'!T102), 'Klisz-Verbräuche'!T102*Emissionsfaktoren!R102/1000, 0)</f>
        <v>0</v>
      </c>
      <c r="T267" s="14">
        <f>IF(ISNUMBER('Klisz-Verbräuche'!U102), 'Klisz-Verbräuche'!U102*Emissionsfaktoren!S102/1000, 0)</f>
        <v>0</v>
      </c>
      <c r="U267" s="14">
        <f>IF(ISNUMBER('Klisz-Verbräuche'!V102), 'Klisz-Verbräuche'!V102*Emissionsfaktoren!T102/1000, 0)</f>
        <v>0</v>
      </c>
      <c r="V267" s="14">
        <f>IF(ISNUMBER('Klisz-Verbräuche'!W102), 'Klisz-Verbräuche'!W102*Emissionsfaktoren!U102/1000, 0)</f>
        <v>0</v>
      </c>
      <c r="W267" s="14">
        <f>IF(ISNUMBER('Klisz-Verbräuche'!X102), 'Klisz-Verbräuche'!X102*Emissionsfaktoren!V102/1000, 0)</f>
        <v>0</v>
      </c>
      <c r="X267" s="14">
        <f>IF(ISNUMBER('Klisz-Verbräuche'!Y102), 'Klisz-Verbräuche'!Y102*Emissionsfaktoren!W102/1000, 0)</f>
        <v>0</v>
      </c>
      <c r="Y267" s="14">
        <f>IF(ISNUMBER('Klisz-Verbräuche'!Z102), 'Klisz-Verbräuche'!Z102*Emissionsfaktoren!X102/1000, 0)</f>
        <v>0</v>
      </c>
    </row>
    <row r="268" spans="2:25" ht="16.5">
      <c r="B268" s="14">
        <v>86</v>
      </c>
      <c r="C268" s="14" t="str">
        <f>'Refsz-Verbräuche'!C103</f>
        <v>Wasser</v>
      </c>
      <c r="D268" s="19" t="str">
        <f>'Refsz-Verbräuche'!D103</f>
        <v>Abwasser</v>
      </c>
      <c r="E268" t="s">
        <v>195</v>
      </c>
      <c r="F268" s="14">
        <f>IF(ISNUMBER('Klisz-Verbräuche'!G103), 'Klisz-Verbräuche'!G103*Emissionsfaktoren!E103/1000, 0)</f>
        <v>0</v>
      </c>
      <c r="G268" s="14">
        <f>IF(ISNUMBER('Klisz-Verbräuche'!H103), 'Klisz-Verbräuche'!H103*Emissionsfaktoren!F103/1000, 0)</f>
        <v>0</v>
      </c>
      <c r="H268" s="14">
        <f>IF(ISNUMBER('Klisz-Verbräuche'!I103), 'Klisz-Verbräuche'!I103*Emissionsfaktoren!G103/1000, 0)</f>
        <v>0</v>
      </c>
      <c r="I268" s="14">
        <f>IF(ISNUMBER('Klisz-Verbräuche'!J103), 'Klisz-Verbräuche'!J103*Emissionsfaktoren!H103/1000, 0)</f>
        <v>0</v>
      </c>
      <c r="J268" s="14">
        <f>IF(ISNUMBER('Klisz-Verbräuche'!K103), 'Klisz-Verbräuche'!K103*Emissionsfaktoren!I103/1000, 0)</f>
        <v>0</v>
      </c>
      <c r="K268" s="14">
        <f>IF(ISNUMBER('Klisz-Verbräuche'!L103), 'Klisz-Verbräuche'!L103*Emissionsfaktoren!J103/1000, 0)</f>
        <v>0</v>
      </c>
      <c r="L268" s="14">
        <f>IF(ISNUMBER('Klisz-Verbräuche'!M103), 'Klisz-Verbräuche'!M103*Emissionsfaktoren!K103/1000, 0)</f>
        <v>0</v>
      </c>
      <c r="M268" s="14">
        <f>IF(ISNUMBER('Klisz-Verbräuche'!N103), 'Klisz-Verbräuche'!N103*Emissionsfaktoren!L103/1000, 0)</f>
        <v>0</v>
      </c>
      <c r="N268" s="14">
        <f>IF(ISNUMBER('Klisz-Verbräuche'!O103), 'Klisz-Verbräuche'!O103*Emissionsfaktoren!M103/1000, 0)</f>
        <v>0</v>
      </c>
      <c r="O268" s="14">
        <f>IF(ISNUMBER('Klisz-Verbräuche'!P103), 'Klisz-Verbräuche'!P103*Emissionsfaktoren!N103/1000, 0)</f>
        <v>0</v>
      </c>
      <c r="P268" s="14">
        <f>IF(ISNUMBER('Klisz-Verbräuche'!Q103), 'Klisz-Verbräuche'!Q103*Emissionsfaktoren!O103/1000, 0)</f>
        <v>0</v>
      </c>
      <c r="Q268" s="14">
        <f>IF(ISNUMBER('Klisz-Verbräuche'!R103), 'Klisz-Verbräuche'!R103*Emissionsfaktoren!P103/1000, 0)</f>
        <v>0</v>
      </c>
      <c r="R268" s="14">
        <f>IF(ISNUMBER('Klisz-Verbräuche'!S103), 'Klisz-Verbräuche'!S103*Emissionsfaktoren!Q103/1000, 0)</f>
        <v>0</v>
      </c>
      <c r="S268" s="14">
        <f>IF(ISNUMBER('Klisz-Verbräuche'!T103), 'Klisz-Verbräuche'!T103*Emissionsfaktoren!R103/1000, 0)</f>
        <v>0</v>
      </c>
      <c r="T268" s="14">
        <f>IF(ISNUMBER('Klisz-Verbräuche'!U103), 'Klisz-Verbräuche'!U103*Emissionsfaktoren!S103/1000, 0)</f>
        <v>0</v>
      </c>
      <c r="U268" s="14">
        <f>IF(ISNUMBER('Klisz-Verbräuche'!V103), 'Klisz-Verbräuche'!V103*Emissionsfaktoren!T103/1000, 0)</f>
        <v>0</v>
      </c>
      <c r="V268" s="14">
        <f>IF(ISNUMBER('Klisz-Verbräuche'!W103), 'Klisz-Verbräuche'!W103*Emissionsfaktoren!U103/1000, 0)</f>
        <v>0</v>
      </c>
      <c r="W268" s="14">
        <f>IF(ISNUMBER('Klisz-Verbräuche'!X103), 'Klisz-Verbräuche'!X103*Emissionsfaktoren!V103/1000, 0)</f>
        <v>0</v>
      </c>
      <c r="X268" s="14">
        <f>IF(ISNUMBER('Klisz-Verbräuche'!Y103), 'Klisz-Verbräuche'!Y103*Emissionsfaktoren!W103/1000, 0)</f>
        <v>0</v>
      </c>
      <c r="Y268" s="14">
        <f>IF(ISNUMBER('Klisz-Verbräuche'!Z103), 'Klisz-Verbräuche'!Z103*Emissionsfaktoren!X103/1000, 0)</f>
        <v>0</v>
      </c>
    </row>
    <row r="269" spans="2:25" ht="16.5">
      <c r="B269" s="14">
        <v>87</v>
      </c>
      <c r="C269" s="14" t="str">
        <f>'Refsz-Verbräuche'!C104</f>
        <v>Wasser</v>
      </c>
      <c r="D269" s="19" t="str">
        <f>'Refsz-Verbräuche'!D104</f>
        <v>Trinkwasser</v>
      </c>
      <c r="E269" t="s">
        <v>195</v>
      </c>
      <c r="F269" s="14">
        <f>IF(ISNUMBER('Klisz-Verbräuche'!G104), 'Klisz-Verbräuche'!G104*Emissionsfaktoren!E104/1000, 0)</f>
        <v>0</v>
      </c>
      <c r="G269" s="14">
        <f>IF(ISNUMBER('Klisz-Verbräuche'!H104), 'Klisz-Verbräuche'!H104*Emissionsfaktoren!F104/1000, 0)</f>
        <v>0</v>
      </c>
      <c r="H269" s="14">
        <f>IF(ISNUMBER('Klisz-Verbräuche'!I104), 'Klisz-Verbräuche'!I104*Emissionsfaktoren!G104/1000, 0)</f>
        <v>0</v>
      </c>
      <c r="I269" s="14">
        <f>IF(ISNUMBER('Klisz-Verbräuche'!J104), 'Klisz-Verbräuche'!J104*Emissionsfaktoren!H104/1000, 0)</f>
        <v>0</v>
      </c>
      <c r="J269" s="14">
        <f>IF(ISNUMBER('Klisz-Verbräuche'!K104), 'Klisz-Verbräuche'!K104*Emissionsfaktoren!I104/1000, 0)</f>
        <v>0</v>
      </c>
      <c r="K269" s="14">
        <f>IF(ISNUMBER('Klisz-Verbräuche'!L104), 'Klisz-Verbräuche'!L104*Emissionsfaktoren!J104/1000, 0)</f>
        <v>0</v>
      </c>
      <c r="L269" s="14">
        <f>IF(ISNUMBER('Klisz-Verbräuche'!M104), 'Klisz-Verbräuche'!M104*Emissionsfaktoren!K104/1000, 0)</f>
        <v>0</v>
      </c>
      <c r="M269" s="14">
        <f>IF(ISNUMBER('Klisz-Verbräuche'!N104), 'Klisz-Verbräuche'!N104*Emissionsfaktoren!L104/1000, 0)</f>
        <v>0</v>
      </c>
      <c r="N269" s="14">
        <f>IF(ISNUMBER('Klisz-Verbräuche'!O104), 'Klisz-Verbräuche'!O104*Emissionsfaktoren!M104/1000, 0)</f>
        <v>0</v>
      </c>
      <c r="O269" s="14">
        <f>IF(ISNUMBER('Klisz-Verbräuche'!P104), 'Klisz-Verbräuche'!P104*Emissionsfaktoren!N104/1000, 0)</f>
        <v>0</v>
      </c>
      <c r="P269" s="14">
        <f>IF(ISNUMBER('Klisz-Verbräuche'!Q104), 'Klisz-Verbräuche'!Q104*Emissionsfaktoren!O104/1000, 0)</f>
        <v>0</v>
      </c>
      <c r="Q269" s="14">
        <f>IF(ISNUMBER('Klisz-Verbräuche'!R104), 'Klisz-Verbräuche'!R104*Emissionsfaktoren!P104/1000, 0)</f>
        <v>0</v>
      </c>
      <c r="R269" s="14">
        <f>IF(ISNUMBER('Klisz-Verbräuche'!S104), 'Klisz-Verbräuche'!S104*Emissionsfaktoren!Q104/1000, 0)</f>
        <v>0</v>
      </c>
      <c r="S269" s="14">
        <f>IF(ISNUMBER('Klisz-Verbräuche'!T104), 'Klisz-Verbräuche'!T104*Emissionsfaktoren!R104/1000, 0)</f>
        <v>0</v>
      </c>
      <c r="T269" s="14">
        <f>IF(ISNUMBER('Klisz-Verbräuche'!U104), 'Klisz-Verbräuche'!U104*Emissionsfaktoren!S104/1000, 0)</f>
        <v>0</v>
      </c>
      <c r="U269" s="14">
        <f>IF(ISNUMBER('Klisz-Verbräuche'!V104), 'Klisz-Verbräuche'!V104*Emissionsfaktoren!T104/1000, 0)</f>
        <v>0</v>
      </c>
      <c r="V269" s="14">
        <f>IF(ISNUMBER('Klisz-Verbräuche'!W104), 'Klisz-Verbräuche'!W104*Emissionsfaktoren!U104/1000, 0)</f>
        <v>0</v>
      </c>
      <c r="W269" s="14">
        <f>IF(ISNUMBER('Klisz-Verbräuche'!X104), 'Klisz-Verbräuche'!X104*Emissionsfaktoren!V104/1000, 0)</f>
        <v>0</v>
      </c>
      <c r="X269" s="14">
        <f>IF(ISNUMBER('Klisz-Verbräuche'!Y104), 'Klisz-Verbräuche'!Y104*Emissionsfaktoren!W104/1000, 0)</f>
        <v>0</v>
      </c>
      <c r="Y269" s="14">
        <f>IF(ISNUMBER('Klisz-Verbräuche'!Z104), 'Klisz-Verbräuche'!Z104*Emissionsfaktoren!X104/1000, 0)</f>
        <v>0</v>
      </c>
    </row>
    <row r="270" spans="2:25" ht="16.5">
      <c r="B270" s="14">
        <v>88</v>
      </c>
      <c r="C270" s="14">
        <f>'Refsz-Verbräuche'!C105</f>
        <v>0</v>
      </c>
      <c r="D270" s="19">
        <f>'Refsz-Verbräuche'!D105</f>
        <v>0</v>
      </c>
      <c r="E270" t="s">
        <v>195</v>
      </c>
      <c r="F270" s="14">
        <f>IF(ISNUMBER('Klisz-Verbräuche'!G105), 'Klisz-Verbräuche'!G105*Emissionsfaktoren!E105/1000, 0)</f>
        <v>0</v>
      </c>
      <c r="G270" s="14">
        <f>IF(ISNUMBER('Klisz-Verbräuche'!H105), 'Klisz-Verbräuche'!H105*Emissionsfaktoren!F105/1000, 0)</f>
        <v>0</v>
      </c>
      <c r="H270" s="14">
        <f>IF(ISNUMBER('Klisz-Verbräuche'!I105), 'Klisz-Verbräuche'!I105*Emissionsfaktoren!G105/1000, 0)</f>
        <v>0</v>
      </c>
      <c r="I270" s="14">
        <f>IF(ISNUMBER('Klisz-Verbräuche'!J105), 'Klisz-Verbräuche'!J105*Emissionsfaktoren!H105/1000, 0)</f>
        <v>0</v>
      </c>
      <c r="J270" s="14">
        <f>IF(ISNUMBER('Klisz-Verbräuche'!K105), 'Klisz-Verbräuche'!K105*Emissionsfaktoren!I105/1000, 0)</f>
        <v>0</v>
      </c>
      <c r="K270" s="14">
        <f>IF(ISNUMBER('Klisz-Verbräuche'!L105), 'Klisz-Verbräuche'!L105*Emissionsfaktoren!J105/1000, 0)</f>
        <v>0</v>
      </c>
      <c r="L270" s="14">
        <f>IF(ISNUMBER('Klisz-Verbräuche'!M105), 'Klisz-Verbräuche'!M105*Emissionsfaktoren!K105/1000, 0)</f>
        <v>0</v>
      </c>
      <c r="M270" s="14">
        <f>IF(ISNUMBER('Klisz-Verbräuche'!N105), 'Klisz-Verbräuche'!N105*Emissionsfaktoren!L105/1000, 0)</f>
        <v>0</v>
      </c>
      <c r="N270" s="14">
        <f>IF(ISNUMBER('Klisz-Verbräuche'!O105), 'Klisz-Verbräuche'!O105*Emissionsfaktoren!M105/1000, 0)</f>
        <v>0</v>
      </c>
      <c r="O270" s="14">
        <f>IF(ISNUMBER('Klisz-Verbräuche'!P105), 'Klisz-Verbräuche'!P105*Emissionsfaktoren!N105/1000, 0)</f>
        <v>0</v>
      </c>
      <c r="P270" s="14">
        <f>IF(ISNUMBER('Klisz-Verbräuche'!Q105), 'Klisz-Verbräuche'!Q105*Emissionsfaktoren!O105/1000, 0)</f>
        <v>0</v>
      </c>
      <c r="Q270" s="14">
        <f>IF(ISNUMBER('Klisz-Verbräuche'!R105), 'Klisz-Verbräuche'!R105*Emissionsfaktoren!P105/1000, 0)</f>
        <v>0</v>
      </c>
      <c r="R270" s="14">
        <f>IF(ISNUMBER('Klisz-Verbräuche'!S105), 'Klisz-Verbräuche'!S105*Emissionsfaktoren!Q105/1000, 0)</f>
        <v>0</v>
      </c>
      <c r="S270" s="14">
        <f>IF(ISNUMBER('Klisz-Verbräuche'!T105), 'Klisz-Verbräuche'!T105*Emissionsfaktoren!R105/1000, 0)</f>
        <v>0</v>
      </c>
      <c r="T270" s="14">
        <f>IF(ISNUMBER('Klisz-Verbräuche'!U105), 'Klisz-Verbräuche'!U105*Emissionsfaktoren!S105/1000, 0)</f>
        <v>0</v>
      </c>
      <c r="U270" s="14">
        <f>IF(ISNUMBER('Klisz-Verbräuche'!V105), 'Klisz-Verbräuche'!V105*Emissionsfaktoren!T105/1000, 0)</f>
        <v>0</v>
      </c>
      <c r="V270" s="14">
        <f>IF(ISNUMBER('Klisz-Verbräuche'!W105), 'Klisz-Verbräuche'!W105*Emissionsfaktoren!U105/1000, 0)</f>
        <v>0</v>
      </c>
      <c r="W270" s="14">
        <f>IF(ISNUMBER('Klisz-Verbräuche'!X105), 'Klisz-Verbräuche'!X105*Emissionsfaktoren!V105/1000, 0)</f>
        <v>0</v>
      </c>
      <c r="X270" s="14">
        <f>IF(ISNUMBER('Klisz-Verbräuche'!Y105), 'Klisz-Verbräuche'!Y105*Emissionsfaktoren!W105/1000, 0)</f>
        <v>0</v>
      </c>
      <c r="Y270" s="14">
        <f>IF(ISNUMBER('Klisz-Verbräuche'!Z105), 'Klisz-Verbräuche'!Z105*Emissionsfaktoren!X105/1000, 0)</f>
        <v>0</v>
      </c>
    </row>
    <row r="271" spans="2:25" ht="16.5">
      <c r="B271" s="14">
        <v>89</v>
      </c>
      <c r="C271" s="14" t="str">
        <f>'Refsz-Verbräuche'!C106</f>
        <v>Waren und Dienstleistungen</v>
      </c>
      <c r="D271" s="19" t="str">
        <f>'Refsz-Verbräuche'!D106</f>
        <v>Recyclingpapier</v>
      </c>
      <c r="E271" t="s">
        <v>195</v>
      </c>
      <c r="F271" s="14">
        <f>IF(ISNUMBER('Klisz-Verbräuche'!G106), 'Klisz-Verbräuche'!G106*Emissionsfaktoren!E106/1000, 0)</f>
        <v>0</v>
      </c>
      <c r="G271" s="14">
        <f>IF(ISNUMBER('Klisz-Verbräuche'!H106), 'Klisz-Verbräuche'!H106*Emissionsfaktoren!F106/1000, 0)</f>
        <v>0</v>
      </c>
      <c r="H271" s="14">
        <f>IF(ISNUMBER('Klisz-Verbräuche'!I106), 'Klisz-Verbräuche'!I106*Emissionsfaktoren!G106/1000, 0)</f>
        <v>0</v>
      </c>
      <c r="I271" s="14">
        <f>IF(ISNUMBER('Klisz-Verbräuche'!J106), 'Klisz-Verbräuche'!J106*Emissionsfaktoren!H106/1000, 0)</f>
        <v>0</v>
      </c>
      <c r="J271" s="14">
        <f>IF(ISNUMBER('Klisz-Verbräuche'!K106), 'Klisz-Verbräuche'!K106*Emissionsfaktoren!I106/1000, 0)</f>
        <v>0</v>
      </c>
      <c r="K271" s="14">
        <f>IF(ISNUMBER('Klisz-Verbräuche'!L106), 'Klisz-Verbräuche'!L106*Emissionsfaktoren!J106/1000, 0)</f>
        <v>0</v>
      </c>
      <c r="L271" s="14">
        <f>IF(ISNUMBER('Klisz-Verbräuche'!M106), 'Klisz-Verbräuche'!M106*Emissionsfaktoren!K106/1000, 0)</f>
        <v>0</v>
      </c>
      <c r="M271" s="14">
        <f>IF(ISNUMBER('Klisz-Verbräuche'!N106), 'Klisz-Verbräuche'!N106*Emissionsfaktoren!L106/1000, 0)</f>
        <v>0</v>
      </c>
      <c r="N271" s="14">
        <f>IF(ISNUMBER('Klisz-Verbräuche'!O106), 'Klisz-Verbräuche'!O106*Emissionsfaktoren!M106/1000, 0)</f>
        <v>0</v>
      </c>
      <c r="O271" s="14">
        <f>IF(ISNUMBER('Klisz-Verbräuche'!P106), 'Klisz-Verbräuche'!P106*Emissionsfaktoren!N106/1000, 0)</f>
        <v>0</v>
      </c>
      <c r="P271" s="14">
        <f>IF(ISNUMBER('Klisz-Verbräuche'!Q106), 'Klisz-Verbräuche'!Q106*Emissionsfaktoren!O106/1000, 0)</f>
        <v>0</v>
      </c>
      <c r="Q271" s="14">
        <f>IF(ISNUMBER('Klisz-Verbräuche'!R106), 'Klisz-Verbräuche'!R106*Emissionsfaktoren!P106/1000, 0)</f>
        <v>0</v>
      </c>
      <c r="R271" s="14">
        <f>IF(ISNUMBER('Klisz-Verbräuche'!S106), 'Klisz-Verbräuche'!S106*Emissionsfaktoren!Q106/1000, 0)</f>
        <v>0</v>
      </c>
      <c r="S271" s="14">
        <f>IF(ISNUMBER('Klisz-Verbräuche'!T106), 'Klisz-Verbräuche'!T106*Emissionsfaktoren!R106/1000, 0)</f>
        <v>0</v>
      </c>
      <c r="T271" s="14">
        <f>IF(ISNUMBER('Klisz-Verbräuche'!U106), 'Klisz-Verbräuche'!U106*Emissionsfaktoren!S106/1000, 0)</f>
        <v>0</v>
      </c>
      <c r="U271" s="14">
        <f>IF(ISNUMBER('Klisz-Verbräuche'!V106), 'Klisz-Verbräuche'!V106*Emissionsfaktoren!T106/1000, 0)</f>
        <v>0</v>
      </c>
      <c r="V271" s="14">
        <f>IF(ISNUMBER('Klisz-Verbräuche'!W106), 'Klisz-Verbräuche'!W106*Emissionsfaktoren!U106/1000, 0)</f>
        <v>0</v>
      </c>
      <c r="W271" s="14">
        <f>IF(ISNUMBER('Klisz-Verbräuche'!X106), 'Klisz-Verbräuche'!X106*Emissionsfaktoren!V106/1000, 0)</f>
        <v>0</v>
      </c>
      <c r="X271" s="14">
        <f>IF(ISNUMBER('Klisz-Verbräuche'!Y106), 'Klisz-Verbräuche'!Y106*Emissionsfaktoren!W106/1000, 0)</f>
        <v>0</v>
      </c>
      <c r="Y271" s="14">
        <f>IF(ISNUMBER('Klisz-Verbräuche'!Z106), 'Klisz-Verbräuche'!Z106*Emissionsfaktoren!X106/1000, 0)</f>
        <v>0</v>
      </c>
    </row>
    <row r="272" spans="2:25" ht="16.5">
      <c r="B272" s="14">
        <v>90</v>
      </c>
      <c r="C272" s="14" t="str">
        <f>'Refsz-Verbräuche'!C107</f>
        <v>Waren und Dienstleistungen</v>
      </c>
      <c r="D272" s="19" t="str">
        <f>'Refsz-Verbräuche'!D107</f>
        <v>Frischfaserpapier</v>
      </c>
      <c r="E272" t="s">
        <v>195</v>
      </c>
      <c r="F272" s="14">
        <f>IF(ISNUMBER('Klisz-Verbräuche'!G107), 'Klisz-Verbräuche'!G107*Emissionsfaktoren!E107/1000, 0)</f>
        <v>0</v>
      </c>
      <c r="G272" s="14">
        <f>IF(ISNUMBER('Klisz-Verbräuche'!H107), 'Klisz-Verbräuche'!H107*Emissionsfaktoren!F107/1000, 0)</f>
        <v>0</v>
      </c>
      <c r="H272" s="14">
        <f>IF(ISNUMBER('Klisz-Verbräuche'!I107), 'Klisz-Verbräuche'!I107*Emissionsfaktoren!G107/1000, 0)</f>
        <v>0</v>
      </c>
      <c r="I272" s="14">
        <f>IF(ISNUMBER('Klisz-Verbräuche'!J107), 'Klisz-Verbräuche'!J107*Emissionsfaktoren!H107/1000, 0)</f>
        <v>0</v>
      </c>
      <c r="J272" s="14">
        <f>IF(ISNUMBER('Klisz-Verbräuche'!K107), 'Klisz-Verbräuche'!K107*Emissionsfaktoren!I107/1000, 0)</f>
        <v>0</v>
      </c>
      <c r="K272" s="14">
        <f>IF(ISNUMBER('Klisz-Verbräuche'!L107), 'Klisz-Verbräuche'!L107*Emissionsfaktoren!J107/1000, 0)</f>
        <v>0</v>
      </c>
      <c r="L272" s="14">
        <f>IF(ISNUMBER('Klisz-Verbräuche'!M107), 'Klisz-Verbräuche'!M107*Emissionsfaktoren!K107/1000, 0)</f>
        <v>0</v>
      </c>
      <c r="M272" s="14">
        <f>IF(ISNUMBER('Klisz-Verbräuche'!N107), 'Klisz-Verbräuche'!N107*Emissionsfaktoren!L107/1000, 0)</f>
        <v>0</v>
      </c>
      <c r="N272" s="14">
        <f>IF(ISNUMBER('Klisz-Verbräuche'!O107), 'Klisz-Verbräuche'!O107*Emissionsfaktoren!M107/1000, 0)</f>
        <v>0</v>
      </c>
      <c r="O272" s="14">
        <f>IF(ISNUMBER('Klisz-Verbräuche'!P107), 'Klisz-Verbräuche'!P107*Emissionsfaktoren!N107/1000, 0)</f>
        <v>0</v>
      </c>
      <c r="P272" s="14">
        <f>IF(ISNUMBER('Klisz-Verbräuche'!Q107), 'Klisz-Verbräuche'!Q107*Emissionsfaktoren!O107/1000, 0)</f>
        <v>0</v>
      </c>
      <c r="Q272" s="14">
        <f>IF(ISNUMBER('Klisz-Verbräuche'!R107), 'Klisz-Verbräuche'!R107*Emissionsfaktoren!P107/1000, 0)</f>
        <v>0</v>
      </c>
      <c r="R272" s="14">
        <f>IF(ISNUMBER('Klisz-Verbräuche'!S107), 'Klisz-Verbräuche'!S107*Emissionsfaktoren!Q107/1000, 0)</f>
        <v>0</v>
      </c>
      <c r="S272" s="14">
        <f>IF(ISNUMBER('Klisz-Verbräuche'!T107), 'Klisz-Verbräuche'!T107*Emissionsfaktoren!R107/1000, 0)</f>
        <v>0</v>
      </c>
      <c r="T272" s="14">
        <f>IF(ISNUMBER('Klisz-Verbräuche'!U107), 'Klisz-Verbräuche'!U107*Emissionsfaktoren!S107/1000, 0)</f>
        <v>0</v>
      </c>
      <c r="U272" s="14">
        <f>IF(ISNUMBER('Klisz-Verbräuche'!V107), 'Klisz-Verbräuche'!V107*Emissionsfaktoren!T107/1000, 0)</f>
        <v>0</v>
      </c>
      <c r="V272" s="14">
        <f>IF(ISNUMBER('Klisz-Verbräuche'!W107), 'Klisz-Verbräuche'!W107*Emissionsfaktoren!U107/1000, 0)</f>
        <v>0</v>
      </c>
      <c r="W272" s="14">
        <f>IF(ISNUMBER('Klisz-Verbräuche'!X107), 'Klisz-Verbräuche'!X107*Emissionsfaktoren!V107/1000, 0)</f>
        <v>0</v>
      </c>
      <c r="X272" s="14">
        <f>IF(ISNUMBER('Klisz-Verbräuche'!Y107), 'Klisz-Verbräuche'!Y107*Emissionsfaktoren!W107/1000, 0)</f>
        <v>0</v>
      </c>
      <c r="Y272" s="14">
        <f>IF(ISNUMBER('Klisz-Verbräuche'!Z107), 'Klisz-Verbräuche'!Z107*Emissionsfaktoren!X107/1000, 0)</f>
        <v>0</v>
      </c>
    </row>
    <row r="273" spans="2:25" ht="16.5">
      <c r="B273" s="14">
        <v>91</v>
      </c>
      <c r="C273" s="14" t="str">
        <f>'Refsz-Verbräuche'!C108</f>
        <v>Waren und Dienstleistungen</v>
      </c>
      <c r="D273" s="19" t="str">
        <f>'Refsz-Verbräuche'!D108</f>
        <v>Toilettenpapier (Recycling)</v>
      </c>
      <c r="E273" t="s">
        <v>195</v>
      </c>
      <c r="F273" s="14">
        <f>IF(ISNUMBER('Klisz-Verbräuche'!G108), 'Klisz-Verbräuche'!G108*Emissionsfaktoren!E108/1000, 0)</f>
        <v>0</v>
      </c>
      <c r="G273" s="14">
        <f>IF(ISNUMBER('Klisz-Verbräuche'!H108), 'Klisz-Verbräuche'!H108*Emissionsfaktoren!F108/1000, 0)</f>
        <v>0</v>
      </c>
      <c r="H273" s="14">
        <f>IF(ISNUMBER('Klisz-Verbräuche'!I108), 'Klisz-Verbräuche'!I108*Emissionsfaktoren!G108/1000, 0)</f>
        <v>0</v>
      </c>
      <c r="I273" s="14">
        <f>IF(ISNUMBER('Klisz-Verbräuche'!J108), 'Klisz-Verbräuche'!J108*Emissionsfaktoren!H108/1000, 0)</f>
        <v>0</v>
      </c>
      <c r="J273" s="14">
        <f>IF(ISNUMBER('Klisz-Verbräuche'!K108), 'Klisz-Verbräuche'!K108*Emissionsfaktoren!I108/1000, 0)</f>
        <v>0</v>
      </c>
      <c r="K273" s="14">
        <f>IF(ISNUMBER('Klisz-Verbräuche'!L108), 'Klisz-Verbräuche'!L108*Emissionsfaktoren!J108/1000, 0)</f>
        <v>0</v>
      </c>
      <c r="L273" s="14">
        <f>IF(ISNUMBER('Klisz-Verbräuche'!M108), 'Klisz-Verbräuche'!M108*Emissionsfaktoren!K108/1000, 0)</f>
        <v>0</v>
      </c>
      <c r="M273" s="14">
        <f>IF(ISNUMBER('Klisz-Verbräuche'!N108), 'Klisz-Verbräuche'!N108*Emissionsfaktoren!L108/1000, 0)</f>
        <v>0</v>
      </c>
      <c r="N273" s="14">
        <f>IF(ISNUMBER('Klisz-Verbräuche'!O108), 'Klisz-Verbräuche'!O108*Emissionsfaktoren!M108/1000, 0)</f>
        <v>0</v>
      </c>
      <c r="O273" s="14">
        <f>IF(ISNUMBER('Klisz-Verbräuche'!P108), 'Klisz-Verbräuche'!P108*Emissionsfaktoren!N108/1000, 0)</f>
        <v>0</v>
      </c>
      <c r="P273" s="14">
        <f>IF(ISNUMBER('Klisz-Verbräuche'!Q108), 'Klisz-Verbräuche'!Q108*Emissionsfaktoren!O108/1000, 0)</f>
        <v>0</v>
      </c>
      <c r="Q273" s="14">
        <f>IF(ISNUMBER('Klisz-Verbräuche'!R108), 'Klisz-Verbräuche'!R108*Emissionsfaktoren!P108/1000, 0)</f>
        <v>0</v>
      </c>
      <c r="R273" s="14">
        <f>IF(ISNUMBER('Klisz-Verbräuche'!S108), 'Klisz-Verbräuche'!S108*Emissionsfaktoren!Q108/1000, 0)</f>
        <v>0</v>
      </c>
      <c r="S273" s="14">
        <f>IF(ISNUMBER('Klisz-Verbräuche'!T108), 'Klisz-Verbräuche'!T108*Emissionsfaktoren!R108/1000, 0)</f>
        <v>0</v>
      </c>
      <c r="T273" s="14">
        <f>IF(ISNUMBER('Klisz-Verbräuche'!U108), 'Klisz-Verbräuche'!U108*Emissionsfaktoren!S108/1000, 0)</f>
        <v>0</v>
      </c>
      <c r="U273" s="14">
        <f>IF(ISNUMBER('Klisz-Verbräuche'!V108), 'Klisz-Verbräuche'!V108*Emissionsfaktoren!T108/1000, 0)</f>
        <v>0</v>
      </c>
      <c r="V273" s="14">
        <f>IF(ISNUMBER('Klisz-Verbräuche'!W108), 'Klisz-Verbräuche'!W108*Emissionsfaktoren!U108/1000, 0)</f>
        <v>0</v>
      </c>
      <c r="W273" s="14">
        <f>IF(ISNUMBER('Klisz-Verbräuche'!X108), 'Klisz-Verbräuche'!X108*Emissionsfaktoren!V108/1000, 0)</f>
        <v>0</v>
      </c>
      <c r="X273" s="14">
        <f>IF(ISNUMBER('Klisz-Verbräuche'!Y108), 'Klisz-Verbräuche'!Y108*Emissionsfaktoren!W108/1000, 0)</f>
        <v>0</v>
      </c>
      <c r="Y273" s="14">
        <f>IF(ISNUMBER('Klisz-Verbräuche'!Z108), 'Klisz-Verbräuche'!Z108*Emissionsfaktoren!X108/1000, 0)</f>
        <v>0</v>
      </c>
    </row>
    <row r="274" spans="2:25" ht="16.5">
      <c r="B274" s="14">
        <v>92</v>
      </c>
      <c r="C274" s="14" t="str">
        <f>'Refsz-Verbräuche'!C109</f>
        <v>Waren und Dienstleistungen</v>
      </c>
      <c r="D274" s="19" t="str">
        <f>'Refsz-Verbräuche'!D109</f>
        <v>Papierhandtücher (Recycling)</v>
      </c>
      <c r="E274" t="s">
        <v>195</v>
      </c>
      <c r="F274" s="14">
        <f>IF(ISNUMBER('Klisz-Verbräuche'!G109), 'Klisz-Verbräuche'!G109*Emissionsfaktoren!E109/1000, 0)</f>
        <v>0</v>
      </c>
      <c r="G274" s="14">
        <f>IF(ISNUMBER('Klisz-Verbräuche'!H109), 'Klisz-Verbräuche'!H109*Emissionsfaktoren!F109/1000, 0)</f>
        <v>0</v>
      </c>
      <c r="H274" s="14">
        <f>IF(ISNUMBER('Klisz-Verbräuche'!I109), 'Klisz-Verbräuche'!I109*Emissionsfaktoren!G109/1000, 0)</f>
        <v>0</v>
      </c>
      <c r="I274" s="14">
        <f>IF(ISNUMBER('Klisz-Verbräuche'!J109), 'Klisz-Verbräuche'!J109*Emissionsfaktoren!H109/1000, 0)</f>
        <v>0</v>
      </c>
      <c r="J274" s="14">
        <f>IF(ISNUMBER('Klisz-Verbräuche'!K109), 'Klisz-Verbräuche'!K109*Emissionsfaktoren!I109/1000, 0)</f>
        <v>0</v>
      </c>
      <c r="K274" s="14">
        <f>IF(ISNUMBER('Klisz-Verbräuche'!L109), 'Klisz-Verbräuche'!L109*Emissionsfaktoren!J109/1000, 0)</f>
        <v>0</v>
      </c>
      <c r="L274" s="14">
        <f>IF(ISNUMBER('Klisz-Verbräuche'!M109), 'Klisz-Verbräuche'!M109*Emissionsfaktoren!K109/1000, 0)</f>
        <v>0</v>
      </c>
      <c r="M274" s="14">
        <f>IF(ISNUMBER('Klisz-Verbräuche'!N109), 'Klisz-Verbräuche'!N109*Emissionsfaktoren!L109/1000, 0)</f>
        <v>0</v>
      </c>
      <c r="N274" s="14">
        <f>IF(ISNUMBER('Klisz-Verbräuche'!O109), 'Klisz-Verbräuche'!O109*Emissionsfaktoren!M109/1000, 0)</f>
        <v>0</v>
      </c>
      <c r="O274" s="14">
        <f>IF(ISNUMBER('Klisz-Verbräuche'!P109), 'Klisz-Verbräuche'!P109*Emissionsfaktoren!N109/1000, 0)</f>
        <v>0</v>
      </c>
      <c r="P274" s="14">
        <f>IF(ISNUMBER('Klisz-Verbräuche'!Q109), 'Klisz-Verbräuche'!Q109*Emissionsfaktoren!O109/1000, 0)</f>
        <v>0</v>
      </c>
      <c r="Q274" s="14">
        <f>IF(ISNUMBER('Klisz-Verbräuche'!R109), 'Klisz-Verbräuche'!R109*Emissionsfaktoren!P109/1000, 0)</f>
        <v>0</v>
      </c>
      <c r="R274" s="14">
        <f>IF(ISNUMBER('Klisz-Verbräuche'!S109), 'Klisz-Verbräuche'!S109*Emissionsfaktoren!Q109/1000, 0)</f>
        <v>0</v>
      </c>
      <c r="S274" s="14">
        <f>IF(ISNUMBER('Klisz-Verbräuche'!T109), 'Klisz-Verbräuche'!T109*Emissionsfaktoren!R109/1000, 0)</f>
        <v>0</v>
      </c>
      <c r="T274" s="14">
        <f>IF(ISNUMBER('Klisz-Verbräuche'!U109), 'Klisz-Verbräuche'!U109*Emissionsfaktoren!S109/1000, 0)</f>
        <v>0</v>
      </c>
      <c r="U274" s="14">
        <f>IF(ISNUMBER('Klisz-Verbräuche'!V109), 'Klisz-Verbräuche'!V109*Emissionsfaktoren!T109/1000, 0)</f>
        <v>0</v>
      </c>
      <c r="V274" s="14">
        <f>IF(ISNUMBER('Klisz-Verbräuche'!W109), 'Klisz-Verbräuche'!W109*Emissionsfaktoren!U109/1000, 0)</f>
        <v>0</v>
      </c>
      <c r="W274" s="14">
        <f>IF(ISNUMBER('Klisz-Verbräuche'!X109), 'Klisz-Verbräuche'!X109*Emissionsfaktoren!V109/1000, 0)</f>
        <v>0</v>
      </c>
      <c r="X274" s="14">
        <f>IF(ISNUMBER('Klisz-Verbräuche'!Y109), 'Klisz-Verbräuche'!Y109*Emissionsfaktoren!W109/1000, 0)</f>
        <v>0</v>
      </c>
      <c r="Y274" s="14">
        <f>IF(ISNUMBER('Klisz-Verbräuche'!Z109), 'Klisz-Verbräuche'!Z109*Emissionsfaktoren!X109/1000, 0)</f>
        <v>0</v>
      </c>
    </row>
    <row r="275" spans="2:25" ht="16.5">
      <c r="B275" s="14">
        <v>93</v>
      </c>
      <c r="C275" s="14">
        <f>'Refsz-Verbräuche'!C110</f>
        <v>0</v>
      </c>
      <c r="D275" s="19">
        <f>'Refsz-Verbräuche'!D110</f>
        <v>0</v>
      </c>
      <c r="E275" t="s">
        <v>195</v>
      </c>
      <c r="F275" s="14">
        <f>IF(ISNUMBER('Klisz-Verbräuche'!G110), 'Klisz-Verbräuche'!G110*Emissionsfaktoren!E110/1000, 0)</f>
        <v>0</v>
      </c>
      <c r="G275" s="14">
        <f>IF(ISNUMBER('Klisz-Verbräuche'!H110), 'Klisz-Verbräuche'!H110*Emissionsfaktoren!F110/1000, 0)</f>
        <v>0</v>
      </c>
      <c r="H275" s="14">
        <f>IF(ISNUMBER('Klisz-Verbräuche'!I110), 'Klisz-Verbräuche'!I110*Emissionsfaktoren!G110/1000, 0)</f>
        <v>0</v>
      </c>
      <c r="I275" s="14">
        <f>IF(ISNUMBER('Klisz-Verbräuche'!J110), 'Klisz-Verbräuche'!J110*Emissionsfaktoren!H110/1000, 0)</f>
        <v>0</v>
      </c>
      <c r="J275" s="14">
        <f>IF(ISNUMBER('Klisz-Verbräuche'!K110), 'Klisz-Verbräuche'!K110*Emissionsfaktoren!I110/1000, 0)</f>
        <v>0</v>
      </c>
      <c r="K275" s="14">
        <f>IF(ISNUMBER('Klisz-Verbräuche'!L110), 'Klisz-Verbräuche'!L110*Emissionsfaktoren!J110/1000, 0)</f>
        <v>0</v>
      </c>
      <c r="L275" s="14">
        <f>IF(ISNUMBER('Klisz-Verbräuche'!M110), 'Klisz-Verbräuche'!M110*Emissionsfaktoren!K110/1000, 0)</f>
        <v>0</v>
      </c>
      <c r="M275" s="14">
        <f>IF(ISNUMBER('Klisz-Verbräuche'!N110), 'Klisz-Verbräuche'!N110*Emissionsfaktoren!L110/1000, 0)</f>
        <v>0</v>
      </c>
      <c r="N275" s="14">
        <f>IF(ISNUMBER('Klisz-Verbräuche'!O110), 'Klisz-Verbräuche'!O110*Emissionsfaktoren!M110/1000, 0)</f>
        <v>0</v>
      </c>
      <c r="O275" s="14">
        <f>IF(ISNUMBER('Klisz-Verbräuche'!P110), 'Klisz-Verbräuche'!P110*Emissionsfaktoren!N110/1000, 0)</f>
        <v>0</v>
      </c>
      <c r="P275" s="14">
        <f>IF(ISNUMBER('Klisz-Verbräuche'!Q110), 'Klisz-Verbräuche'!Q110*Emissionsfaktoren!O110/1000, 0)</f>
        <v>0</v>
      </c>
      <c r="Q275" s="14">
        <f>IF(ISNUMBER('Klisz-Verbräuche'!R110), 'Klisz-Verbräuche'!R110*Emissionsfaktoren!P110/1000, 0)</f>
        <v>0</v>
      </c>
      <c r="R275" s="14">
        <f>IF(ISNUMBER('Klisz-Verbräuche'!S110), 'Klisz-Verbräuche'!S110*Emissionsfaktoren!Q110/1000, 0)</f>
        <v>0</v>
      </c>
      <c r="S275" s="14">
        <f>IF(ISNUMBER('Klisz-Verbräuche'!T110), 'Klisz-Verbräuche'!T110*Emissionsfaktoren!R110/1000, 0)</f>
        <v>0</v>
      </c>
      <c r="T275" s="14">
        <f>IF(ISNUMBER('Klisz-Verbräuche'!U110), 'Klisz-Verbräuche'!U110*Emissionsfaktoren!S110/1000, 0)</f>
        <v>0</v>
      </c>
      <c r="U275" s="14">
        <f>IF(ISNUMBER('Klisz-Verbräuche'!V110), 'Klisz-Verbräuche'!V110*Emissionsfaktoren!T110/1000, 0)</f>
        <v>0</v>
      </c>
      <c r="V275" s="14">
        <f>IF(ISNUMBER('Klisz-Verbräuche'!W110), 'Klisz-Verbräuche'!W110*Emissionsfaktoren!U110/1000, 0)</f>
        <v>0</v>
      </c>
      <c r="W275" s="14">
        <f>IF(ISNUMBER('Klisz-Verbräuche'!X110), 'Klisz-Verbräuche'!X110*Emissionsfaktoren!V110/1000, 0)</f>
        <v>0</v>
      </c>
      <c r="X275" s="14">
        <f>IF(ISNUMBER('Klisz-Verbräuche'!Y110), 'Klisz-Verbräuche'!Y110*Emissionsfaktoren!W110/1000, 0)</f>
        <v>0</v>
      </c>
      <c r="Y275" s="14">
        <f>IF(ISNUMBER('Klisz-Verbräuche'!Z110), 'Klisz-Verbräuche'!Z110*Emissionsfaktoren!X110/1000, 0)</f>
        <v>0</v>
      </c>
    </row>
    <row r="276" spans="2:25" ht="16.5">
      <c r="B276" s="14">
        <v>94</v>
      </c>
      <c r="C276" s="14" t="str">
        <f>'Refsz-Verbräuche'!C111</f>
        <v>Waren und Dienstleistungen</v>
      </c>
      <c r="D276" s="19" t="str">
        <f>'Refsz-Verbräuche'!D111</f>
        <v>Outgesourcte Leistungen des Rechenzentrums</v>
      </c>
      <c r="E276" t="s">
        <v>195</v>
      </c>
      <c r="F276" s="14">
        <f>IF(ISNUMBER('Klisz-Verbräuche'!G111), 'Klisz-Verbräuche'!G111*Emissionsfaktoren!E111/1000, 0)</f>
        <v>0</v>
      </c>
      <c r="G276" s="14">
        <f>IF(ISNUMBER('Klisz-Verbräuche'!H111), 'Klisz-Verbräuche'!H111*Emissionsfaktoren!F111/1000, 0)</f>
        <v>0</v>
      </c>
      <c r="H276" s="14">
        <f>IF(ISNUMBER('Klisz-Verbräuche'!I111), 'Klisz-Verbräuche'!I111*Emissionsfaktoren!G111/1000, 0)</f>
        <v>0</v>
      </c>
      <c r="I276" s="14">
        <f>IF(ISNUMBER('Klisz-Verbräuche'!J111), 'Klisz-Verbräuche'!J111*Emissionsfaktoren!H111/1000, 0)</f>
        <v>0</v>
      </c>
      <c r="J276" s="14">
        <f>IF(ISNUMBER('Klisz-Verbräuche'!K111), 'Klisz-Verbräuche'!K111*Emissionsfaktoren!I111/1000, 0)</f>
        <v>0</v>
      </c>
      <c r="K276" s="14">
        <f>IF(ISNUMBER('Klisz-Verbräuche'!L111), 'Klisz-Verbräuche'!L111*Emissionsfaktoren!J111/1000, 0)</f>
        <v>0</v>
      </c>
      <c r="L276" s="14">
        <f>IF(ISNUMBER('Klisz-Verbräuche'!M111), 'Klisz-Verbräuche'!M111*Emissionsfaktoren!K111/1000, 0)</f>
        <v>0</v>
      </c>
      <c r="M276" s="14">
        <f>IF(ISNUMBER('Klisz-Verbräuche'!N111), 'Klisz-Verbräuche'!N111*Emissionsfaktoren!L111/1000, 0)</f>
        <v>0</v>
      </c>
      <c r="N276" s="14">
        <f>IF(ISNUMBER('Klisz-Verbräuche'!O111), 'Klisz-Verbräuche'!O111*Emissionsfaktoren!M111/1000, 0)</f>
        <v>0</v>
      </c>
      <c r="O276" s="14">
        <f>IF(ISNUMBER('Klisz-Verbräuche'!P111), 'Klisz-Verbräuche'!P111*Emissionsfaktoren!N111/1000, 0)</f>
        <v>0</v>
      </c>
      <c r="P276" s="14">
        <f>IF(ISNUMBER('Klisz-Verbräuche'!Q111), 'Klisz-Verbräuche'!Q111*Emissionsfaktoren!O111/1000, 0)</f>
        <v>0</v>
      </c>
      <c r="Q276" s="14">
        <f>IF(ISNUMBER('Klisz-Verbräuche'!R111), 'Klisz-Verbräuche'!R111*Emissionsfaktoren!P111/1000, 0)</f>
        <v>0</v>
      </c>
      <c r="R276" s="14">
        <f>IF(ISNUMBER('Klisz-Verbräuche'!S111), 'Klisz-Verbräuche'!S111*Emissionsfaktoren!Q111/1000, 0)</f>
        <v>0</v>
      </c>
      <c r="S276" s="14">
        <f>IF(ISNUMBER('Klisz-Verbräuche'!T111), 'Klisz-Verbräuche'!T111*Emissionsfaktoren!R111/1000, 0)</f>
        <v>0</v>
      </c>
      <c r="T276" s="14">
        <f>IF(ISNUMBER('Klisz-Verbräuche'!U111), 'Klisz-Verbräuche'!U111*Emissionsfaktoren!S111/1000, 0)</f>
        <v>0</v>
      </c>
      <c r="U276" s="14">
        <f>IF(ISNUMBER('Klisz-Verbräuche'!V111), 'Klisz-Verbräuche'!V111*Emissionsfaktoren!T111/1000, 0)</f>
        <v>0</v>
      </c>
      <c r="V276" s="14">
        <f>IF(ISNUMBER('Klisz-Verbräuche'!W111), 'Klisz-Verbräuche'!W111*Emissionsfaktoren!U111/1000, 0)</f>
        <v>0</v>
      </c>
      <c r="W276" s="14">
        <f>IF(ISNUMBER('Klisz-Verbräuche'!X111), 'Klisz-Verbräuche'!X111*Emissionsfaktoren!V111/1000, 0)</f>
        <v>0</v>
      </c>
      <c r="X276" s="14">
        <f>IF(ISNUMBER('Klisz-Verbräuche'!Y111), 'Klisz-Verbräuche'!Y111*Emissionsfaktoren!W111/1000, 0)</f>
        <v>0</v>
      </c>
      <c r="Y276" s="14">
        <f>IF(ISNUMBER('Klisz-Verbräuche'!Z111), 'Klisz-Verbräuche'!Z111*Emissionsfaktoren!X111/1000, 0)</f>
        <v>0</v>
      </c>
    </row>
    <row r="277" spans="2:25" ht="16.5">
      <c r="B277" s="14">
        <v>95</v>
      </c>
      <c r="C277" s="14" t="str">
        <f>'Refsz-Verbräuche'!C112</f>
        <v>Waren und Dienstleistungen</v>
      </c>
      <c r="D277" s="19" t="str">
        <f>'Refsz-Verbräuche'!D112</f>
        <v>Beamer</v>
      </c>
      <c r="E277" t="s">
        <v>195</v>
      </c>
      <c r="F277" s="14">
        <f>IF(ISNUMBER('Klisz-Verbräuche'!G112), 'Klisz-Verbräuche'!G112*Emissionsfaktoren!E112/1000, 0)</f>
        <v>0</v>
      </c>
      <c r="G277" s="14">
        <f>IF(ISNUMBER('Klisz-Verbräuche'!H112), 'Klisz-Verbräuche'!H112*Emissionsfaktoren!F112/1000, 0)</f>
        <v>0</v>
      </c>
      <c r="H277" s="14">
        <f>IF(ISNUMBER('Klisz-Verbräuche'!I112), 'Klisz-Verbräuche'!I112*Emissionsfaktoren!G112/1000, 0)</f>
        <v>0</v>
      </c>
      <c r="I277" s="14">
        <f>IF(ISNUMBER('Klisz-Verbräuche'!J112), 'Klisz-Verbräuche'!J112*Emissionsfaktoren!H112/1000, 0)</f>
        <v>0</v>
      </c>
      <c r="J277" s="14">
        <f>IF(ISNUMBER('Klisz-Verbräuche'!K112), 'Klisz-Verbräuche'!K112*Emissionsfaktoren!I112/1000, 0)</f>
        <v>0</v>
      </c>
      <c r="K277" s="14">
        <f>IF(ISNUMBER('Klisz-Verbräuche'!L112), 'Klisz-Verbräuche'!L112*Emissionsfaktoren!J112/1000, 0)</f>
        <v>0</v>
      </c>
      <c r="L277" s="14">
        <f>IF(ISNUMBER('Klisz-Verbräuche'!M112), 'Klisz-Verbräuche'!M112*Emissionsfaktoren!K112/1000, 0)</f>
        <v>0</v>
      </c>
      <c r="M277" s="14">
        <f>IF(ISNUMBER('Klisz-Verbräuche'!N112), 'Klisz-Verbräuche'!N112*Emissionsfaktoren!L112/1000, 0)</f>
        <v>0</v>
      </c>
      <c r="N277" s="14">
        <f>IF(ISNUMBER('Klisz-Verbräuche'!O112), 'Klisz-Verbräuche'!O112*Emissionsfaktoren!M112/1000, 0)</f>
        <v>0</v>
      </c>
      <c r="O277" s="14">
        <f>IF(ISNUMBER('Klisz-Verbräuche'!P112), 'Klisz-Verbräuche'!P112*Emissionsfaktoren!N112/1000, 0)</f>
        <v>0</v>
      </c>
      <c r="P277" s="14">
        <f>IF(ISNUMBER('Klisz-Verbräuche'!Q112), 'Klisz-Verbräuche'!Q112*Emissionsfaktoren!O112/1000, 0)</f>
        <v>0</v>
      </c>
      <c r="Q277" s="14">
        <f>IF(ISNUMBER('Klisz-Verbräuche'!R112), 'Klisz-Verbräuche'!R112*Emissionsfaktoren!P112/1000, 0)</f>
        <v>0</v>
      </c>
      <c r="R277" s="14">
        <f>IF(ISNUMBER('Klisz-Verbräuche'!S112), 'Klisz-Verbräuche'!S112*Emissionsfaktoren!Q112/1000, 0)</f>
        <v>0</v>
      </c>
      <c r="S277" s="14">
        <f>IF(ISNUMBER('Klisz-Verbräuche'!T112), 'Klisz-Verbräuche'!T112*Emissionsfaktoren!R112/1000, 0)</f>
        <v>0</v>
      </c>
      <c r="T277" s="14">
        <f>IF(ISNUMBER('Klisz-Verbräuche'!U112), 'Klisz-Verbräuche'!U112*Emissionsfaktoren!S112/1000, 0)</f>
        <v>0</v>
      </c>
      <c r="U277" s="14">
        <f>IF(ISNUMBER('Klisz-Verbräuche'!V112), 'Klisz-Verbräuche'!V112*Emissionsfaktoren!T112/1000, 0)</f>
        <v>0</v>
      </c>
      <c r="V277" s="14">
        <f>IF(ISNUMBER('Klisz-Verbräuche'!W112), 'Klisz-Verbräuche'!W112*Emissionsfaktoren!U112/1000, 0)</f>
        <v>0</v>
      </c>
      <c r="W277" s="14">
        <f>IF(ISNUMBER('Klisz-Verbräuche'!X112), 'Klisz-Verbräuche'!X112*Emissionsfaktoren!V112/1000, 0)</f>
        <v>0</v>
      </c>
      <c r="X277" s="14">
        <f>IF(ISNUMBER('Klisz-Verbräuche'!Y112), 'Klisz-Verbräuche'!Y112*Emissionsfaktoren!W112/1000, 0)</f>
        <v>0</v>
      </c>
      <c r="Y277" s="14">
        <f>IF(ISNUMBER('Klisz-Verbräuche'!Z112), 'Klisz-Verbräuche'!Z112*Emissionsfaktoren!X112/1000, 0)</f>
        <v>0</v>
      </c>
    </row>
    <row r="278" spans="2:25" ht="16.5">
      <c r="B278" s="14">
        <v>96</v>
      </c>
      <c r="C278" s="14" t="str">
        <f>'Refsz-Verbräuche'!C113</f>
        <v>Waren und Dienstleistungen</v>
      </c>
      <c r="D278" s="19" t="str">
        <f>'Refsz-Verbräuche'!D113</f>
        <v>Notebook/Laptop</v>
      </c>
      <c r="E278" t="s">
        <v>195</v>
      </c>
      <c r="F278" s="14">
        <f>IF(ISNUMBER('Klisz-Verbräuche'!G113), 'Klisz-Verbräuche'!G113*Emissionsfaktoren!E113/1000, 0)</f>
        <v>0</v>
      </c>
      <c r="G278" s="14">
        <f>IF(ISNUMBER('Klisz-Verbräuche'!H113), 'Klisz-Verbräuche'!H113*Emissionsfaktoren!F113/1000, 0)</f>
        <v>0</v>
      </c>
      <c r="H278" s="14">
        <f>IF(ISNUMBER('Klisz-Verbräuche'!I113), 'Klisz-Verbräuche'!I113*Emissionsfaktoren!G113/1000, 0)</f>
        <v>0</v>
      </c>
      <c r="I278" s="14">
        <f>IF(ISNUMBER('Klisz-Verbräuche'!J113), 'Klisz-Verbräuche'!J113*Emissionsfaktoren!H113/1000, 0)</f>
        <v>0</v>
      </c>
      <c r="J278" s="14">
        <f>IF(ISNUMBER('Klisz-Verbräuche'!K113), 'Klisz-Verbräuche'!K113*Emissionsfaktoren!I113/1000, 0)</f>
        <v>0</v>
      </c>
      <c r="K278" s="14">
        <f>IF(ISNUMBER('Klisz-Verbräuche'!L113), 'Klisz-Verbräuche'!L113*Emissionsfaktoren!J113/1000, 0)</f>
        <v>0</v>
      </c>
      <c r="L278" s="14">
        <f>IF(ISNUMBER('Klisz-Verbräuche'!M113), 'Klisz-Verbräuche'!M113*Emissionsfaktoren!K113/1000, 0)</f>
        <v>0</v>
      </c>
      <c r="M278" s="14">
        <f>IF(ISNUMBER('Klisz-Verbräuche'!N113), 'Klisz-Verbräuche'!N113*Emissionsfaktoren!L113/1000, 0)</f>
        <v>0</v>
      </c>
      <c r="N278" s="14">
        <f>IF(ISNUMBER('Klisz-Verbräuche'!O113), 'Klisz-Verbräuche'!O113*Emissionsfaktoren!M113/1000, 0)</f>
        <v>0</v>
      </c>
      <c r="O278" s="14">
        <f>IF(ISNUMBER('Klisz-Verbräuche'!P113), 'Klisz-Verbräuche'!P113*Emissionsfaktoren!N113/1000, 0)</f>
        <v>0</v>
      </c>
      <c r="P278" s="14">
        <f>IF(ISNUMBER('Klisz-Verbräuche'!Q113), 'Klisz-Verbräuche'!Q113*Emissionsfaktoren!O113/1000, 0)</f>
        <v>0</v>
      </c>
      <c r="Q278" s="14">
        <f>IF(ISNUMBER('Klisz-Verbräuche'!R113), 'Klisz-Verbräuche'!R113*Emissionsfaktoren!P113/1000, 0)</f>
        <v>0</v>
      </c>
      <c r="R278" s="14">
        <f>IF(ISNUMBER('Klisz-Verbräuche'!S113), 'Klisz-Verbräuche'!S113*Emissionsfaktoren!Q113/1000, 0)</f>
        <v>0</v>
      </c>
      <c r="S278" s="14">
        <f>IF(ISNUMBER('Klisz-Verbräuche'!T113), 'Klisz-Verbräuche'!T113*Emissionsfaktoren!R113/1000, 0)</f>
        <v>0</v>
      </c>
      <c r="T278" s="14">
        <f>IF(ISNUMBER('Klisz-Verbräuche'!U113), 'Klisz-Verbräuche'!U113*Emissionsfaktoren!S113/1000, 0)</f>
        <v>0</v>
      </c>
      <c r="U278" s="14">
        <f>IF(ISNUMBER('Klisz-Verbräuche'!V113), 'Klisz-Verbräuche'!V113*Emissionsfaktoren!T113/1000, 0)</f>
        <v>0</v>
      </c>
      <c r="V278" s="14">
        <f>IF(ISNUMBER('Klisz-Verbräuche'!W113), 'Klisz-Verbräuche'!W113*Emissionsfaktoren!U113/1000, 0)</f>
        <v>0</v>
      </c>
      <c r="W278" s="14">
        <f>IF(ISNUMBER('Klisz-Verbräuche'!X113), 'Klisz-Verbräuche'!X113*Emissionsfaktoren!V113/1000, 0)</f>
        <v>0</v>
      </c>
      <c r="X278" s="14">
        <f>IF(ISNUMBER('Klisz-Verbräuche'!Y113), 'Klisz-Verbräuche'!Y113*Emissionsfaktoren!W113/1000, 0)</f>
        <v>0</v>
      </c>
      <c r="Y278" s="14">
        <f>IF(ISNUMBER('Klisz-Verbräuche'!Z113), 'Klisz-Verbräuche'!Z113*Emissionsfaktoren!X113/1000, 0)</f>
        <v>0</v>
      </c>
    </row>
    <row r="279" spans="2:25" ht="16.5">
      <c r="B279" s="14">
        <v>97</v>
      </c>
      <c r="C279" s="14" t="str">
        <f>'Refsz-Verbräuche'!C114</f>
        <v>Waren und Dienstleistungen</v>
      </c>
      <c r="D279" s="19" t="str">
        <f>'Refsz-Verbräuche'!D114</f>
        <v>Desktop-PC mit Monitor</v>
      </c>
      <c r="E279" t="s">
        <v>195</v>
      </c>
      <c r="F279" s="14">
        <f>IF(ISNUMBER('Klisz-Verbräuche'!G114), 'Klisz-Verbräuche'!G114*Emissionsfaktoren!E114/1000, 0)</f>
        <v>0</v>
      </c>
      <c r="G279" s="14">
        <f>IF(ISNUMBER('Klisz-Verbräuche'!H114), 'Klisz-Verbräuche'!H114*Emissionsfaktoren!F114/1000, 0)</f>
        <v>0</v>
      </c>
      <c r="H279" s="14">
        <f>IF(ISNUMBER('Klisz-Verbräuche'!I114), 'Klisz-Verbräuche'!I114*Emissionsfaktoren!G114/1000, 0)</f>
        <v>0</v>
      </c>
      <c r="I279" s="14">
        <f>IF(ISNUMBER('Klisz-Verbräuche'!J114), 'Klisz-Verbräuche'!J114*Emissionsfaktoren!H114/1000, 0)</f>
        <v>0</v>
      </c>
      <c r="J279" s="14">
        <f>IF(ISNUMBER('Klisz-Verbräuche'!K114), 'Klisz-Verbräuche'!K114*Emissionsfaktoren!I114/1000, 0)</f>
        <v>0</v>
      </c>
      <c r="K279" s="14">
        <f>IF(ISNUMBER('Klisz-Verbräuche'!L114), 'Klisz-Verbräuche'!L114*Emissionsfaktoren!J114/1000, 0)</f>
        <v>0</v>
      </c>
      <c r="L279" s="14">
        <f>IF(ISNUMBER('Klisz-Verbräuche'!M114), 'Klisz-Verbräuche'!M114*Emissionsfaktoren!K114/1000, 0)</f>
        <v>0</v>
      </c>
      <c r="M279" s="14">
        <f>IF(ISNUMBER('Klisz-Verbräuche'!N114), 'Klisz-Verbräuche'!N114*Emissionsfaktoren!L114/1000, 0)</f>
        <v>0</v>
      </c>
      <c r="N279" s="14">
        <f>IF(ISNUMBER('Klisz-Verbräuche'!O114), 'Klisz-Verbräuche'!O114*Emissionsfaktoren!M114/1000, 0)</f>
        <v>0</v>
      </c>
      <c r="O279" s="14">
        <f>IF(ISNUMBER('Klisz-Verbräuche'!P114), 'Klisz-Verbräuche'!P114*Emissionsfaktoren!N114/1000, 0)</f>
        <v>0</v>
      </c>
      <c r="P279" s="14">
        <f>IF(ISNUMBER('Klisz-Verbräuche'!Q114), 'Klisz-Verbräuche'!Q114*Emissionsfaktoren!O114/1000, 0)</f>
        <v>0</v>
      </c>
      <c r="Q279" s="14">
        <f>IF(ISNUMBER('Klisz-Verbräuche'!R114), 'Klisz-Verbräuche'!R114*Emissionsfaktoren!P114/1000, 0)</f>
        <v>0</v>
      </c>
      <c r="R279" s="14">
        <f>IF(ISNUMBER('Klisz-Verbräuche'!S114), 'Klisz-Verbräuche'!S114*Emissionsfaktoren!Q114/1000, 0)</f>
        <v>0</v>
      </c>
      <c r="S279" s="14">
        <f>IF(ISNUMBER('Klisz-Verbräuche'!T114), 'Klisz-Verbräuche'!T114*Emissionsfaktoren!R114/1000, 0)</f>
        <v>0</v>
      </c>
      <c r="T279" s="14">
        <f>IF(ISNUMBER('Klisz-Verbräuche'!U114), 'Klisz-Verbräuche'!U114*Emissionsfaktoren!S114/1000, 0)</f>
        <v>0</v>
      </c>
      <c r="U279" s="14">
        <f>IF(ISNUMBER('Klisz-Verbräuche'!V114), 'Klisz-Verbräuche'!V114*Emissionsfaktoren!T114/1000, 0)</f>
        <v>0</v>
      </c>
      <c r="V279" s="14">
        <f>IF(ISNUMBER('Klisz-Verbräuche'!W114), 'Klisz-Verbräuche'!W114*Emissionsfaktoren!U114/1000, 0)</f>
        <v>0</v>
      </c>
      <c r="W279" s="14">
        <f>IF(ISNUMBER('Klisz-Verbräuche'!X114), 'Klisz-Verbräuche'!X114*Emissionsfaktoren!V114/1000, 0)</f>
        <v>0</v>
      </c>
      <c r="X279" s="14">
        <f>IF(ISNUMBER('Klisz-Verbräuche'!Y114), 'Klisz-Verbräuche'!Y114*Emissionsfaktoren!W114/1000, 0)</f>
        <v>0</v>
      </c>
      <c r="Y279" s="14">
        <f>IF(ISNUMBER('Klisz-Verbräuche'!Z114), 'Klisz-Verbräuche'!Z114*Emissionsfaktoren!X114/1000, 0)</f>
        <v>0</v>
      </c>
    </row>
    <row r="280" spans="2:25" ht="16.5">
      <c r="B280" s="14">
        <v>98</v>
      </c>
      <c r="C280" s="14" t="str">
        <f>'Refsz-Verbräuche'!C115</f>
        <v>Waren und Dienstleistungen</v>
      </c>
      <c r="D280" s="19" t="str">
        <f>'Refsz-Verbräuche'!D115</f>
        <v>Docking-Station</v>
      </c>
      <c r="E280" t="s">
        <v>195</v>
      </c>
      <c r="F280" s="14">
        <f>IF(ISNUMBER('Klisz-Verbräuche'!G115), 'Klisz-Verbräuche'!G115*Emissionsfaktoren!E115/1000, 0)</f>
        <v>0</v>
      </c>
      <c r="G280" s="14">
        <f>IF(ISNUMBER('Klisz-Verbräuche'!H115), 'Klisz-Verbräuche'!H115*Emissionsfaktoren!F115/1000, 0)</f>
        <v>0</v>
      </c>
      <c r="H280" s="14">
        <f>IF(ISNUMBER('Klisz-Verbräuche'!I115), 'Klisz-Verbräuche'!I115*Emissionsfaktoren!G115/1000, 0)</f>
        <v>0</v>
      </c>
      <c r="I280" s="14">
        <f>IF(ISNUMBER('Klisz-Verbräuche'!J115), 'Klisz-Verbräuche'!J115*Emissionsfaktoren!H115/1000, 0)</f>
        <v>0</v>
      </c>
      <c r="J280" s="14">
        <f>IF(ISNUMBER('Klisz-Verbräuche'!K115), 'Klisz-Verbräuche'!K115*Emissionsfaktoren!I115/1000, 0)</f>
        <v>0</v>
      </c>
      <c r="K280" s="14">
        <f>IF(ISNUMBER('Klisz-Verbräuche'!L115), 'Klisz-Verbräuche'!L115*Emissionsfaktoren!J115/1000, 0)</f>
        <v>0</v>
      </c>
      <c r="L280" s="14">
        <f>IF(ISNUMBER('Klisz-Verbräuche'!M115), 'Klisz-Verbräuche'!M115*Emissionsfaktoren!K115/1000, 0)</f>
        <v>0</v>
      </c>
      <c r="M280" s="14">
        <f>IF(ISNUMBER('Klisz-Verbräuche'!N115), 'Klisz-Verbräuche'!N115*Emissionsfaktoren!L115/1000, 0)</f>
        <v>0</v>
      </c>
      <c r="N280" s="14">
        <f>IF(ISNUMBER('Klisz-Verbräuche'!O115), 'Klisz-Verbräuche'!O115*Emissionsfaktoren!M115/1000, 0)</f>
        <v>0</v>
      </c>
      <c r="O280" s="14">
        <f>IF(ISNUMBER('Klisz-Verbräuche'!P115), 'Klisz-Verbräuche'!P115*Emissionsfaktoren!N115/1000, 0)</f>
        <v>0</v>
      </c>
      <c r="P280" s="14">
        <f>IF(ISNUMBER('Klisz-Verbräuche'!Q115), 'Klisz-Verbräuche'!Q115*Emissionsfaktoren!O115/1000, 0)</f>
        <v>0</v>
      </c>
      <c r="Q280" s="14">
        <f>IF(ISNUMBER('Klisz-Verbräuche'!R115), 'Klisz-Verbräuche'!R115*Emissionsfaktoren!P115/1000, 0)</f>
        <v>0</v>
      </c>
      <c r="R280" s="14">
        <f>IF(ISNUMBER('Klisz-Verbräuche'!S115), 'Klisz-Verbräuche'!S115*Emissionsfaktoren!Q115/1000, 0)</f>
        <v>0</v>
      </c>
      <c r="S280" s="14">
        <f>IF(ISNUMBER('Klisz-Verbräuche'!T115), 'Klisz-Verbräuche'!T115*Emissionsfaktoren!R115/1000, 0)</f>
        <v>0</v>
      </c>
      <c r="T280" s="14">
        <f>IF(ISNUMBER('Klisz-Verbräuche'!U115), 'Klisz-Verbräuche'!U115*Emissionsfaktoren!S115/1000, 0)</f>
        <v>0</v>
      </c>
      <c r="U280" s="14">
        <f>IF(ISNUMBER('Klisz-Verbräuche'!V115), 'Klisz-Verbräuche'!V115*Emissionsfaktoren!T115/1000, 0)</f>
        <v>0</v>
      </c>
      <c r="V280" s="14">
        <f>IF(ISNUMBER('Klisz-Verbräuche'!W115), 'Klisz-Verbräuche'!W115*Emissionsfaktoren!U115/1000, 0)</f>
        <v>0</v>
      </c>
      <c r="W280" s="14">
        <f>IF(ISNUMBER('Klisz-Verbräuche'!X115), 'Klisz-Verbräuche'!X115*Emissionsfaktoren!V115/1000, 0)</f>
        <v>0</v>
      </c>
      <c r="X280" s="14">
        <f>IF(ISNUMBER('Klisz-Verbräuche'!Y115), 'Klisz-Verbräuche'!Y115*Emissionsfaktoren!W115/1000, 0)</f>
        <v>0</v>
      </c>
      <c r="Y280" s="14">
        <f>IF(ISNUMBER('Klisz-Verbräuche'!Z115), 'Klisz-Verbräuche'!Z115*Emissionsfaktoren!X115/1000, 0)</f>
        <v>0</v>
      </c>
    </row>
    <row r="281" spans="2:25" ht="16.5">
      <c r="B281" s="14">
        <v>99</v>
      </c>
      <c r="C281" s="14" t="str">
        <f>'Refsz-Verbräuche'!C116</f>
        <v>Waren und Dienstleistungen</v>
      </c>
      <c r="D281" s="19" t="str">
        <f>'Refsz-Verbräuche'!D116</f>
        <v>Laserdrucker</v>
      </c>
      <c r="E281" t="s">
        <v>195</v>
      </c>
      <c r="F281" s="14">
        <f>IF(ISNUMBER('Klisz-Verbräuche'!G116), 'Klisz-Verbräuche'!G116*Emissionsfaktoren!E116/1000, 0)</f>
        <v>0</v>
      </c>
      <c r="G281" s="14">
        <f>IF(ISNUMBER('Klisz-Verbräuche'!H116), 'Klisz-Verbräuche'!H116*Emissionsfaktoren!F116/1000, 0)</f>
        <v>0</v>
      </c>
      <c r="H281" s="14">
        <f>IF(ISNUMBER('Klisz-Verbräuche'!I116), 'Klisz-Verbräuche'!I116*Emissionsfaktoren!G116/1000, 0)</f>
        <v>0</v>
      </c>
      <c r="I281" s="14">
        <f>IF(ISNUMBER('Klisz-Verbräuche'!J116), 'Klisz-Verbräuche'!J116*Emissionsfaktoren!H116/1000, 0)</f>
        <v>0</v>
      </c>
      <c r="J281" s="14">
        <f>IF(ISNUMBER('Klisz-Verbräuche'!K116), 'Klisz-Verbräuche'!K116*Emissionsfaktoren!I116/1000, 0)</f>
        <v>0</v>
      </c>
      <c r="K281" s="14">
        <f>IF(ISNUMBER('Klisz-Verbräuche'!L116), 'Klisz-Verbräuche'!L116*Emissionsfaktoren!J116/1000, 0)</f>
        <v>0</v>
      </c>
      <c r="L281" s="14">
        <f>IF(ISNUMBER('Klisz-Verbräuche'!M116), 'Klisz-Verbräuche'!M116*Emissionsfaktoren!K116/1000, 0)</f>
        <v>0</v>
      </c>
      <c r="M281" s="14">
        <f>IF(ISNUMBER('Klisz-Verbräuche'!N116), 'Klisz-Verbräuche'!N116*Emissionsfaktoren!L116/1000, 0)</f>
        <v>0</v>
      </c>
      <c r="N281" s="14">
        <f>IF(ISNUMBER('Klisz-Verbräuche'!O116), 'Klisz-Verbräuche'!O116*Emissionsfaktoren!M116/1000, 0)</f>
        <v>0</v>
      </c>
      <c r="O281" s="14">
        <f>IF(ISNUMBER('Klisz-Verbräuche'!P116), 'Klisz-Verbräuche'!P116*Emissionsfaktoren!N116/1000, 0)</f>
        <v>0</v>
      </c>
      <c r="P281" s="14">
        <f>IF(ISNUMBER('Klisz-Verbräuche'!Q116), 'Klisz-Verbräuche'!Q116*Emissionsfaktoren!O116/1000, 0)</f>
        <v>0</v>
      </c>
      <c r="Q281" s="14">
        <f>IF(ISNUMBER('Klisz-Verbräuche'!R116), 'Klisz-Verbräuche'!R116*Emissionsfaktoren!P116/1000, 0)</f>
        <v>0</v>
      </c>
      <c r="R281" s="14">
        <f>IF(ISNUMBER('Klisz-Verbräuche'!S116), 'Klisz-Verbräuche'!S116*Emissionsfaktoren!Q116/1000, 0)</f>
        <v>0</v>
      </c>
      <c r="S281" s="14">
        <f>IF(ISNUMBER('Klisz-Verbräuche'!T116), 'Klisz-Verbräuche'!T116*Emissionsfaktoren!R116/1000, 0)</f>
        <v>0</v>
      </c>
      <c r="T281" s="14">
        <f>IF(ISNUMBER('Klisz-Verbräuche'!U116), 'Klisz-Verbräuche'!U116*Emissionsfaktoren!S116/1000, 0)</f>
        <v>0</v>
      </c>
      <c r="U281" s="14">
        <f>IF(ISNUMBER('Klisz-Verbräuche'!V116), 'Klisz-Verbräuche'!V116*Emissionsfaktoren!T116/1000, 0)</f>
        <v>0</v>
      </c>
      <c r="V281" s="14">
        <f>IF(ISNUMBER('Klisz-Verbräuche'!W116), 'Klisz-Verbräuche'!W116*Emissionsfaktoren!U116/1000, 0)</f>
        <v>0</v>
      </c>
      <c r="W281" s="14">
        <f>IF(ISNUMBER('Klisz-Verbräuche'!X116), 'Klisz-Verbräuche'!X116*Emissionsfaktoren!V116/1000, 0)</f>
        <v>0</v>
      </c>
      <c r="X281" s="14">
        <f>IF(ISNUMBER('Klisz-Verbräuche'!Y116), 'Klisz-Verbräuche'!Y116*Emissionsfaktoren!W116/1000, 0)</f>
        <v>0</v>
      </c>
      <c r="Y281" s="14">
        <f>IF(ISNUMBER('Klisz-Verbräuche'!Z116), 'Klisz-Verbräuche'!Z116*Emissionsfaktoren!X116/1000, 0)</f>
        <v>0</v>
      </c>
    </row>
    <row r="282" spans="2:25" ht="16.5">
      <c r="B282" s="14">
        <v>100</v>
      </c>
      <c r="C282" s="14" t="str">
        <f>'Refsz-Verbräuche'!C117</f>
        <v>Waren und Dienstleistungen</v>
      </c>
      <c r="D282" s="19" t="str">
        <f>'Refsz-Verbräuche'!D117</f>
        <v>Multifunktionsdrucker klein (31 x 44 x 42 cm)</v>
      </c>
      <c r="E282" t="s">
        <v>195</v>
      </c>
      <c r="F282" s="14">
        <f>IF(ISNUMBER('Klisz-Verbräuche'!G117), 'Klisz-Verbräuche'!G117*Emissionsfaktoren!E117/1000, 0)</f>
        <v>0</v>
      </c>
      <c r="G282" s="14">
        <f>IF(ISNUMBER('Klisz-Verbräuche'!H117), 'Klisz-Verbräuche'!H117*Emissionsfaktoren!F117/1000, 0)</f>
        <v>0</v>
      </c>
      <c r="H282" s="14">
        <f>IF(ISNUMBER('Klisz-Verbräuche'!I117), 'Klisz-Verbräuche'!I117*Emissionsfaktoren!G117/1000, 0)</f>
        <v>0</v>
      </c>
      <c r="I282" s="14">
        <f>IF(ISNUMBER('Klisz-Verbräuche'!J117), 'Klisz-Verbräuche'!J117*Emissionsfaktoren!H117/1000, 0)</f>
        <v>0</v>
      </c>
      <c r="J282" s="14">
        <f>IF(ISNUMBER('Klisz-Verbräuche'!K117), 'Klisz-Verbräuche'!K117*Emissionsfaktoren!I117/1000, 0)</f>
        <v>0</v>
      </c>
      <c r="K282" s="14">
        <f>IF(ISNUMBER('Klisz-Verbräuche'!L117), 'Klisz-Verbräuche'!L117*Emissionsfaktoren!J117/1000, 0)</f>
        <v>0</v>
      </c>
      <c r="L282" s="14">
        <f>IF(ISNUMBER('Klisz-Verbräuche'!M117), 'Klisz-Verbräuche'!M117*Emissionsfaktoren!K117/1000, 0)</f>
        <v>0</v>
      </c>
      <c r="M282" s="14">
        <f>IF(ISNUMBER('Klisz-Verbräuche'!N117), 'Klisz-Verbräuche'!N117*Emissionsfaktoren!L117/1000, 0)</f>
        <v>0</v>
      </c>
      <c r="N282" s="14">
        <f>IF(ISNUMBER('Klisz-Verbräuche'!O117), 'Klisz-Verbräuche'!O117*Emissionsfaktoren!M117/1000, 0)</f>
        <v>0</v>
      </c>
      <c r="O282" s="14">
        <f>IF(ISNUMBER('Klisz-Verbräuche'!P117), 'Klisz-Verbräuche'!P117*Emissionsfaktoren!N117/1000, 0)</f>
        <v>0</v>
      </c>
      <c r="P282" s="14">
        <f>IF(ISNUMBER('Klisz-Verbräuche'!Q117), 'Klisz-Verbräuche'!Q117*Emissionsfaktoren!O117/1000, 0)</f>
        <v>0</v>
      </c>
      <c r="Q282" s="14">
        <f>IF(ISNUMBER('Klisz-Verbräuche'!R117), 'Klisz-Verbräuche'!R117*Emissionsfaktoren!P117/1000, 0)</f>
        <v>0</v>
      </c>
      <c r="R282" s="14">
        <f>IF(ISNUMBER('Klisz-Verbräuche'!S117), 'Klisz-Verbräuche'!S117*Emissionsfaktoren!Q117/1000, 0)</f>
        <v>0</v>
      </c>
      <c r="S282" s="14">
        <f>IF(ISNUMBER('Klisz-Verbräuche'!T117), 'Klisz-Verbräuche'!T117*Emissionsfaktoren!R117/1000, 0)</f>
        <v>0</v>
      </c>
      <c r="T282" s="14">
        <f>IF(ISNUMBER('Klisz-Verbräuche'!U117), 'Klisz-Verbräuche'!U117*Emissionsfaktoren!S117/1000, 0)</f>
        <v>0</v>
      </c>
      <c r="U282" s="14">
        <f>IF(ISNUMBER('Klisz-Verbräuche'!V117), 'Klisz-Verbräuche'!V117*Emissionsfaktoren!T117/1000, 0)</f>
        <v>0</v>
      </c>
      <c r="V282" s="14">
        <f>IF(ISNUMBER('Klisz-Verbräuche'!W117), 'Klisz-Verbräuche'!W117*Emissionsfaktoren!U117/1000, 0)</f>
        <v>0</v>
      </c>
      <c r="W282" s="14">
        <f>IF(ISNUMBER('Klisz-Verbräuche'!X117), 'Klisz-Verbräuche'!X117*Emissionsfaktoren!V117/1000, 0)</f>
        <v>0</v>
      </c>
      <c r="X282" s="14">
        <f>IF(ISNUMBER('Klisz-Verbräuche'!Y117), 'Klisz-Verbräuche'!Y117*Emissionsfaktoren!W117/1000, 0)</f>
        <v>0</v>
      </c>
      <c r="Y282" s="14">
        <f>IF(ISNUMBER('Klisz-Verbräuche'!Z117), 'Klisz-Verbräuche'!Z117*Emissionsfaktoren!X117/1000, 0)</f>
        <v>0</v>
      </c>
    </row>
    <row r="283" spans="2:25" ht="16.5">
      <c r="B283" s="14">
        <v>101</v>
      </c>
      <c r="C283" s="14" t="str">
        <f>'Refsz-Verbräuche'!C118</f>
        <v>Waren und Dienstleistungen</v>
      </c>
      <c r="D283" s="19" t="str">
        <f>'Refsz-Verbräuche'!D118</f>
        <v>Multifunktionsdrucker mittel (54 x 56 x 52 cm)</v>
      </c>
      <c r="E283" t="s">
        <v>195</v>
      </c>
      <c r="F283" s="14">
        <f>IF(ISNUMBER('Klisz-Verbräuche'!G118), 'Klisz-Verbräuche'!G118*Emissionsfaktoren!E118/1000, 0)</f>
        <v>0</v>
      </c>
      <c r="G283" s="14">
        <f>IF(ISNUMBER('Klisz-Verbräuche'!H118), 'Klisz-Verbräuche'!H118*Emissionsfaktoren!F118/1000, 0)</f>
        <v>0</v>
      </c>
      <c r="H283" s="14">
        <f>IF(ISNUMBER('Klisz-Verbräuche'!I118), 'Klisz-Verbräuche'!I118*Emissionsfaktoren!G118/1000, 0)</f>
        <v>0</v>
      </c>
      <c r="I283" s="14">
        <f>IF(ISNUMBER('Klisz-Verbräuche'!J118), 'Klisz-Verbräuche'!J118*Emissionsfaktoren!H118/1000, 0)</f>
        <v>0</v>
      </c>
      <c r="J283" s="14">
        <f>IF(ISNUMBER('Klisz-Verbräuche'!K118), 'Klisz-Verbräuche'!K118*Emissionsfaktoren!I118/1000, 0)</f>
        <v>0</v>
      </c>
      <c r="K283" s="14">
        <f>IF(ISNUMBER('Klisz-Verbräuche'!L118), 'Klisz-Verbräuche'!L118*Emissionsfaktoren!J118/1000, 0)</f>
        <v>0</v>
      </c>
      <c r="L283" s="14">
        <f>IF(ISNUMBER('Klisz-Verbräuche'!M118), 'Klisz-Verbräuche'!M118*Emissionsfaktoren!K118/1000, 0)</f>
        <v>0</v>
      </c>
      <c r="M283" s="14">
        <f>IF(ISNUMBER('Klisz-Verbräuche'!N118), 'Klisz-Verbräuche'!N118*Emissionsfaktoren!L118/1000, 0)</f>
        <v>0</v>
      </c>
      <c r="N283" s="14">
        <f>IF(ISNUMBER('Klisz-Verbräuche'!O118), 'Klisz-Verbräuche'!O118*Emissionsfaktoren!M118/1000, 0)</f>
        <v>0</v>
      </c>
      <c r="O283" s="14">
        <f>IF(ISNUMBER('Klisz-Verbräuche'!P118), 'Klisz-Verbräuche'!P118*Emissionsfaktoren!N118/1000, 0)</f>
        <v>0</v>
      </c>
      <c r="P283" s="14">
        <f>IF(ISNUMBER('Klisz-Verbräuche'!Q118), 'Klisz-Verbräuche'!Q118*Emissionsfaktoren!O118/1000, 0)</f>
        <v>0</v>
      </c>
      <c r="Q283" s="14">
        <f>IF(ISNUMBER('Klisz-Verbräuche'!R118), 'Klisz-Verbräuche'!R118*Emissionsfaktoren!P118/1000, 0)</f>
        <v>0</v>
      </c>
      <c r="R283" s="14">
        <f>IF(ISNUMBER('Klisz-Verbräuche'!S118), 'Klisz-Verbräuche'!S118*Emissionsfaktoren!Q118/1000, 0)</f>
        <v>0</v>
      </c>
      <c r="S283" s="14">
        <f>IF(ISNUMBER('Klisz-Verbräuche'!T118), 'Klisz-Verbräuche'!T118*Emissionsfaktoren!R118/1000, 0)</f>
        <v>0</v>
      </c>
      <c r="T283" s="14">
        <f>IF(ISNUMBER('Klisz-Verbräuche'!U118), 'Klisz-Verbräuche'!U118*Emissionsfaktoren!S118/1000, 0)</f>
        <v>0</v>
      </c>
      <c r="U283" s="14">
        <f>IF(ISNUMBER('Klisz-Verbräuche'!V118), 'Klisz-Verbräuche'!V118*Emissionsfaktoren!T118/1000, 0)</f>
        <v>0</v>
      </c>
      <c r="V283" s="14">
        <f>IF(ISNUMBER('Klisz-Verbräuche'!W118), 'Klisz-Verbräuche'!W118*Emissionsfaktoren!U118/1000, 0)</f>
        <v>0</v>
      </c>
      <c r="W283" s="14">
        <f>IF(ISNUMBER('Klisz-Verbräuche'!X118), 'Klisz-Verbräuche'!X118*Emissionsfaktoren!V118/1000, 0)</f>
        <v>0</v>
      </c>
      <c r="X283" s="14">
        <f>IF(ISNUMBER('Klisz-Verbräuche'!Y118), 'Klisz-Verbräuche'!Y118*Emissionsfaktoren!W118/1000, 0)</f>
        <v>0</v>
      </c>
      <c r="Y283" s="14">
        <f>IF(ISNUMBER('Klisz-Verbräuche'!Z118), 'Klisz-Verbräuche'!Z118*Emissionsfaktoren!X118/1000, 0)</f>
        <v>0</v>
      </c>
    </row>
    <row r="284" spans="2:25" ht="16.5">
      <c r="B284" s="14">
        <v>102</v>
      </c>
      <c r="C284" s="14" t="str">
        <f>'Refsz-Verbräuche'!C119</f>
        <v>Waren und Dienstleistungen</v>
      </c>
      <c r="D284" s="19" t="str">
        <f>'Refsz-Verbräuche'!D119</f>
        <v>Multifunktionsdrucker groß (114 x 65 x 59 cm)</v>
      </c>
      <c r="E284" t="s">
        <v>195</v>
      </c>
      <c r="F284" s="14">
        <f>IF(ISNUMBER('Klisz-Verbräuche'!G119), 'Klisz-Verbräuche'!G119*Emissionsfaktoren!E119/1000, 0)</f>
        <v>0</v>
      </c>
      <c r="G284" s="14">
        <f>IF(ISNUMBER('Klisz-Verbräuche'!H119), 'Klisz-Verbräuche'!H119*Emissionsfaktoren!F119/1000, 0)</f>
        <v>0</v>
      </c>
      <c r="H284" s="14">
        <f>IF(ISNUMBER('Klisz-Verbräuche'!I119), 'Klisz-Verbräuche'!I119*Emissionsfaktoren!G119/1000, 0)</f>
        <v>0</v>
      </c>
      <c r="I284" s="14">
        <f>IF(ISNUMBER('Klisz-Verbräuche'!J119), 'Klisz-Verbräuche'!J119*Emissionsfaktoren!H119/1000, 0)</f>
        <v>0</v>
      </c>
      <c r="J284" s="14">
        <f>IF(ISNUMBER('Klisz-Verbräuche'!K119), 'Klisz-Verbräuche'!K119*Emissionsfaktoren!I119/1000, 0)</f>
        <v>0</v>
      </c>
      <c r="K284" s="14">
        <f>IF(ISNUMBER('Klisz-Verbräuche'!L119), 'Klisz-Verbräuche'!L119*Emissionsfaktoren!J119/1000, 0)</f>
        <v>0</v>
      </c>
      <c r="L284" s="14">
        <f>IF(ISNUMBER('Klisz-Verbräuche'!M119), 'Klisz-Verbräuche'!M119*Emissionsfaktoren!K119/1000, 0)</f>
        <v>0</v>
      </c>
      <c r="M284" s="14">
        <f>IF(ISNUMBER('Klisz-Verbräuche'!N119), 'Klisz-Verbräuche'!N119*Emissionsfaktoren!L119/1000, 0)</f>
        <v>0</v>
      </c>
      <c r="N284" s="14">
        <f>IF(ISNUMBER('Klisz-Verbräuche'!O119), 'Klisz-Verbräuche'!O119*Emissionsfaktoren!M119/1000, 0)</f>
        <v>0</v>
      </c>
      <c r="O284" s="14">
        <f>IF(ISNUMBER('Klisz-Verbräuche'!P119), 'Klisz-Verbräuche'!P119*Emissionsfaktoren!N119/1000, 0)</f>
        <v>0</v>
      </c>
      <c r="P284" s="14">
        <f>IF(ISNUMBER('Klisz-Verbräuche'!Q119), 'Klisz-Verbräuche'!Q119*Emissionsfaktoren!O119/1000, 0)</f>
        <v>0</v>
      </c>
      <c r="Q284" s="14">
        <f>IF(ISNUMBER('Klisz-Verbräuche'!R119), 'Klisz-Verbräuche'!R119*Emissionsfaktoren!P119/1000, 0)</f>
        <v>0</v>
      </c>
      <c r="R284" s="14">
        <f>IF(ISNUMBER('Klisz-Verbräuche'!S119), 'Klisz-Verbräuche'!S119*Emissionsfaktoren!Q119/1000, 0)</f>
        <v>0</v>
      </c>
      <c r="S284" s="14">
        <f>IF(ISNUMBER('Klisz-Verbräuche'!T119), 'Klisz-Verbräuche'!T119*Emissionsfaktoren!R119/1000, 0)</f>
        <v>0</v>
      </c>
      <c r="T284" s="14">
        <f>IF(ISNUMBER('Klisz-Verbräuche'!U119), 'Klisz-Verbräuche'!U119*Emissionsfaktoren!S119/1000, 0)</f>
        <v>0</v>
      </c>
      <c r="U284" s="14">
        <f>IF(ISNUMBER('Klisz-Verbräuche'!V119), 'Klisz-Verbräuche'!V119*Emissionsfaktoren!T119/1000, 0)</f>
        <v>0</v>
      </c>
      <c r="V284" s="14">
        <f>IF(ISNUMBER('Klisz-Verbräuche'!W119), 'Klisz-Verbräuche'!W119*Emissionsfaktoren!U119/1000, 0)</f>
        <v>0</v>
      </c>
      <c r="W284" s="14">
        <f>IF(ISNUMBER('Klisz-Verbräuche'!X119), 'Klisz-Verbräuche'!X119*Emissionsfaktoren!V119/1000, 0)</f>
        <v>0</v>
      </c>
      <c r="X284" s="14">
        <f>IF(ISNUMBER('Klisz-Verbräuche'!Y119), 'Klisz-Verbräuche'!Y119*Emissionsfaktoren!W119/1000, 0)</f>
        <v>0</v>
      </c>
      <c r="Y284" s="14">
        <f>IF(ISNUMBER('Klisz-Verbräuche'!Z119), 'Klisz-Verbräuche'!Z119*Emissionsfaktoren!X119/1000, 0)</f>
        <v>0</v>
      </c>
    </row>
    <row r="285" spans="2:25" ht="16.5">
      <c r="B285" s="14">
        <v>103</v>
      </c>
      <c r="C285" s="14" t="str">
        <f>'Refsz-Verbräuche'!C120</f>
        <v>Waren und Dienstleistungen</v>
      </c>
      <c r="D285" s="19" t="str">
        <f>'Refsz-Verbräuche'!D120</f>
        <v>Toner</v>
      </c>
      <c r="E285" t="s">
        <v>195</v>
      </c>
      <c r="F285" s="14">
        <f>IF(ISNUMBER('Klisz-Verbräuche'!G120), 'Klisz-Verbräuche'!G120*Emissionsfaktoren!E120/1000, 0)</f>
        <v>0</v>
      </c>
      <c r="G285" s="14">
        <f>IF(ISNUMBER('Klisz-Verbräuche'!H120), 'Klisz-Verbräuche'!H120*Emissionsfaktoren!F120/1000, 0)</f>
        <v>0</v>
      </c>
      <c r="H285" s="14">
        <f>IF(ISNUMBER('Klisz-Verbräuche'!I120), 'Klisz-Verbräuche'!I120*Emissionsfaktoren!G120/1000, 0)</f>
        <v>0</v>
      </c>
      <c r="I285" s="14">
        <f>IF(ISNUMBER('Klisz-Verbräuche'!J120), 'Klisz-Verbräuche'!J120*Emissionsfaktoren!H120/1000, 0)</f>
        <v>0</v>
      </c>
      <c r="J285" s="14">
        <f>IF(ISNUMBER('Klisz-Verbräuche'!K120), 'Klisz-Verbräuche'!K120*Emissionsfaktoren!I120/1000, 0)</f>
        <v>0</v>
      </c>
      <c r="K285" s="14">
        <f>IF(ISNUMBER('Klisz-Verbräuche'!L120), 'Klisz-Verbräuche'!L120*Emissionsfaktoren!J120/1000, 0)</f>
        <v>0</v>
      </c>
      <c r="L285" s="14">
        <f>IF(ISNUMBER('Klisz-Verbräuche'!M120), 'Klisz-Verbräuche'!M120*Emissionsfaktoren!K120/1000, 0)</f>
        <v>0</v>
      </c>
      <c r="M285" s="14">
        <f>IF(ISNUMBER('Klisz-Verbräuche'!N120), 'Klisz-Verbräuche'!N120*Emissionsfaktoren!L120/1000, 0)</f>
        <v>0</v>
      </c>
      <c r="N285" s="14">
        <f>IF(ISNUMBER('Klisz-Verbräuche'!O120), 'Klisz-Verbräuche'!O120*Emissionsfaktoren!M120/1000, 0)</f>
        <v>0</v>
      </c>
      <c r="O285" s="14">
        <f>IF(ISNUMBER('Klisz-Verbräuche'!P120), 'Klisz-Verbräuche'!P120*Emissionsfaktoren!N120/1000, 0)</f>
        <v>0</v>
      </c>
      <c r="P285" s="14">
        <f>IF(ISNUMBER('Klisz-Verbräuche'!Q120), 'Klisz-Verbräuche'!Q120*Emissionsfaktoren!O120/1000, 0)</f>
        <v>0</v>
      </c>
      <c r="Q285" s="14">
        <f>IF(ISNUMBER('Klisz-Verbräuche'!R120), 'Klisz-Verbräuche'!R120*Emissionsfaktoren!P120/1000, 0)</f>
        <v>0</v>
      </c>
      <c r="R285" s="14">
        <f>IF(ISNUMBER('Klisz-Verbräuche'!S120), 'Klisz-Verbräuche'!S120*Emissionsfaktoren!Q120/1000, 0)</f>
        <v>0</v>
      </c>
      <c r="S285" s="14">
        <f>IF(ISNUMBER('Klisz-Verbräuche'!T120), 'Klisz-Verbräuche'!T120*Emissionsfaktoren!R120/1000, 0)</f>
        <v>0</v>
      </c>
      <c r="T285" s="14">
        <f>IF(ISNUMBER('Klisz-Verbräuche'!U120), 'Klisz-Verbräuche'!U120*Emissionsfaktoren!S120/1000, 0)</f>
        <v>0</v>
      </c>
      <c r="U285" s="14">
        <f>IF(ISNUMBER('Klisz-Verbräuche'!V120), 'Klisz-Verbräuche'!V120*Emissionsfaktoren!T120/1000, 0)</f>
        <v>0</v>
      </c>
      <c r="V285" s="14">
        <f>IF(ISNUMBER('Klisz-Verbräuche'!W120), 'Klisz-Verbräuche'!W120*Emissionsfaktoren!U120/1000, 0)</f>
        <v>0</v>
      </c>
      <c r="W285" s="14">
        <f>IF(ISNUMBER('Klisz-Verbräuche'!X120), 'Klisz-Verbräuche'!X120*Emissionsfaktoren!V120/1000, 0)</f>
        <v>0</v>
      </c>
      <c r="X285" s="14">
        <f>IF(ISNUMBER('Klisz-Verbräuche'!Y120), 'Klisz-Verbräuche'!Y120*Emissionsfaktoren!W120/1000, 0)</f>
        <v>0</v>
      </c>
      <c r="Y285" s="14">
        <f>IF(ISNUMBER('Klisz-Verbräuche'!Z120), 'Klisz-Verbräuche'!Z120*Emissionsfaktoren!X120/1000, 0)</f>
        <v>0</v>
      </c>
    </row>
    <row r="286" spans="2:25" ht="16.5">
      <c r="B286" s="14">
        <v>104</v>
      </c>
      <c r="C286" s="14">
        <f>'Refsz-Verbräuche'!C121</f>
        <v>0</v>
      </c>
      <c r="D286" s="19">
        <f>'Refsz-Verbräuche'!D121</f>
        <v>0</v>
      </c>
      <c r="E286" t="s">
        <v>195</v>
      </c>
      <c r="F286" s="14">
        <f>IF(ISNUMBER('Klisz-Verbräuche'!G121), 'Klisz-Verbräuche'!G121*Emissionsfaktoren!E121/1000, 0)</f>
        <v>0</v>
      </c>
      <c r="G286" s="14">
        <f>IF(ISNUMBER('Klisz-Verbräuche'!H121), 'Klisz-Verbräuche'!H121*Emissionsfaktoren!F121/1000, 0)</f>
        <v>0</v>
      </c>
      <c r="H286" s="14">
        <f>IF(ISNUMBER('Klisz-Verbräuche'!I121), 'Klisz-Verbräuche'!I121*Emissionsfaktoren!G121/1000, 0)</f>
        <v>0</v>
      </c>
      <c r="I286" s="14">
        <f>IF(ISNUMBER('Klisz-Verbräuche'!J121), 'Klisz-Verbräuche'!J121*Emissionsfaktoren!H121/1000, 0)</f>
        <v>0</v>
      </c>
      <c r="J286" s="14">
        <f>IF(ISNUMBER('Klisz-Verbräuche'!K121), 'Klisz-Verbräuche'!K121*Emissionsfaktoren!I121/1000, 0)</f>
        <v>0</v>
      </c>
      <c r="K286" s="14">
        <f>IF(ISNUMBER('Klisz-Verbräuche'!L121), 'Klisz-Verbräuche'!L121*Emissionsfaktoren!J121/1000, 0)</f>
        <v>0</v>
      </c>
      <c r="L286" s="14">
        <f>IF(ISNUMBER('Klisz-Verbräuche'!M121), 'Klisz-Verbräuche'!M121*Emissionsfaktoren!K121/1000, 0)</f>
        <v>0</v>
      </c>
      <c r="M286" s="14">
        <f>IF(ISNUMBER('Klisz-Verbräuche'!N121), 'Klisz-Verbräuche'!N121*Emissionsfaktoren!L121/1000, 0)</f>
        <v>0</v>
      </c>
      <c r="N286" s="14">
        <f>IF(ISNUMBER('Klisz-Verbräuche'!O121), 'Klisz-Verbräuche'!O121*Emissionsfaktoren!M121/1000, 0)</f>
        <v>0</v>
      </c>
      <c r="O286" s="14">
        <f>IF(ISNUMBER('Klisz-Verbräuche'!P121), 'Klisz-Verbräuche'!P121*Emissionsfaktoren!N121/1000, 0)</f>
        <v>0</v>
      </c>
      <c r="P286" s="14">
        <f>IF(ISNUMBER('Klisz-Verbräuche'!Q121), 'Klisz-Verbräuche'!Q121*Emissionsfaktoren!O121/1000, 0)</f>
        <v>0</v>
      </c>
      <c r="Q286" s="14">
        <f>IF(ISNUMBER('Klisz-Verbräuche'!R121), 'Klisz-Verbräuche'!R121*Emissionsfaktoren!P121/1000, 0)</f>
        <v>0</v>
      </c>
      <c r="R286" s="14">
        <f>IF(ISNUMBER('Klisz-Verbräuche'!S121), 'Klisz-Verbräuche'!S121*Emissionsfaktoren!Q121/1000, 0)</f>
        <v>0</v>
      </c>
      <c r="S286" s="14">
        <f>IF(ISNUMBER('Klisz-Verbräuche'!T121), 'Klisz-Verbräuche'!T121*Emissionsfaktoren!R121/1000, 0)</f>
        <v>0</v>
      </c>
      <c r="T286" s="14">
        <f>IF(ISNUMBER('Klisz-Verbräuche'!U121), 'Klisz-Verbräuche'!U121*Emissionsfaktoren!S121/1000, 0)</f>
        <v>0</v>
      </c>
      <c r="U286" s="14">
        <f>IF(ISNUMBER('Klisz-Verbräuche'!V121), 'Klisz-Verbräuche'!V121*Emissionsfaktoren!T121/1000, 0)</f>
        <v>0</v>
      </c>
      <c r="V286" s="14">
        <f>IF(ISNUMBER('Klisz-Verbräuche'!W121), 'Klisz-Verbräuche'!W121*Emissionsfaktoren!U121/1000, 0)</f>
        <v>0</v>
      </c>
      <c r="W286" s="14">
        <f>IF(ISNUMBER('Klisz-Verbräuche'!X121), 'Klisz-Verbräuche'!X121*Emissionsfaktoren!V121/1000, 0)</f>
        <v>0</v>
      </c>
      <c r="X286" s="14">
        <f>IF(ISNUMBER('Klisz-Verbräuche'!Y121), 'Klisz-Verbräuche'!Y121*Emissionsfaktoren!W121/1000, 0)</f>
        <v>0</v>
      </c>
      <c r="Y286" s="14">
        <f>IF(ISNUMBER('Klisz-Verbräuche'!Z121), 'Klisz-Verbräuche'!Z121*Emissionsfaktoren!X121/1000, 0)</f>
        <v>0</v>
      </c>
    </row>
    <row r="287" spans="2:25" ht="16.5">
      <c r="B287" s="14">
        <v>105</v>
      </c>
      <c r="C287" s="14" t="str">
        <f>'Refsz-Verbräuche'!C122</f>
        <v>Abfall</v>
      </c>
      <c r="D287" s="19" t="str">
        <f>'Refsz-Verbräuche'!D122</f>
        <v>Bioabfall, Grünschnitt (Kompostierung)</v>
      </c>
      <c r="E287" t="s">
        <v>195</v>
      </c>
      <c r="F287" s="14">
        <f>IF(ISNUMBER('Klisz-Verbräuche'!G122), 'Klisz-Verbräuche'!G122*Emissionsfaktoren!E122/1000, 0)</f>
        <v>0</v>
      </c>
      <c r="G287" s="14">
        <f>IF(ISNUMBER('Klisz-Verbräuche'!H122), 'Klisz-Verbräuche'!H122*Emissionsfaktoren!F122/1000, 0)</f>
        <v>0</v>
      </c>
      <c r="H287" s="14">
        <f>IF(ISNUMBER('Klisz-Verbräuche'!I122), 'Klisz-Verbräuche'!I122*Emissionsfaktoren!G122/1000, 0)</f>
        <v>0</v>
      </c>
      <c r="I287" s="14">
        <f>IF(ISNUMBER('Klisz-Verbräuche'!J122), 'Klisz-Verbräuche'!J122*Emissionsfaktoren!H122/1000, 0)</f>
        <v>0</v>
      </c>
      <c r="J287" s="14">
        <f>IF(ISNUMBER('Refsz-Verbräuche'!J121), 'Refsz-Verbräuche'!J121*Emissionsfaktoren!I122/1000, 0)</f>
        <v>0</v>
      </c>
      <c r="K287" s="14">
        <f>IF(ISNUMBER('Klisz-Verbräuche'!L122), 'Klisz-Verbräuche'!L122*Emissionsfaktoren!J122/1000, 0)</f>
        <v>0</v>
      </c>
      <c r="L287" s="14">
        <f>IF(ISNUMBER('Klisz-Verbräuche'!M122), 'Klisz-Verbräuche'!M122*Emissionsfaktoren!K122/1000, 0)</f>
        <v>0</v>
      </c>
      <c r="M287" s="14">
        <f>IF(ISNUMBER('Klisz-Verbräuche'!N122), 'Klisz-Verbräuche'!N122*Emissionsfaktoren!L122/1000, 0)</f>
        <v>0</v>
      </c>
      <c r="N287" s="14">
        <f>IF(ISNUMBER('Klisz-Verbräuche'!O122), 'Klisz-Verbräuche'!O122*Emissionsfaktoren!M122/1000, 0)</f>
        <v>0</v>
      </c>
      <c r="O287" s="14">
        <f>IF(ISNUMBER('Klisz-Verbräuche'!P122), 'Klisz-Verbräuche'!P122*Emissionsfaktoren!N122/1000, 0)</f>
        <v>0</v>
      </c>
      <c r="P287" s="14">
        <f>IF(ISNUMBER('Klisz-Verbräuche'!Q122), 'Klisz-Verbräuche'!Q122*Emissionsfaktoren!O122/1000, 0)</f>
        <v>0</v>
      </c>
      <c r="Q287" s="14">
        <f>IF(ISNUMBER('Klisz-Verbräuche'!R122), 'Klisz-Verbräuche'!R122*Emissionsfaktoren!P122/1000, 0)</f>
        <v>0</v>
      </c>
      <c r="R287" s="14">
        <f>IF(ISNUMBER('Klisz-Verbräuche'!S122), 'Klisz-Verbräuche'!S122*Emissionsfaktoren!Q122/1000, 0)</f>
        <v>0</v>
      </c>
      <c r="S287" s="14">
        <f>IF(ISNUMBER('Klisz-Verbräuche'!T122), 'Klisz-Verbräuche'!T122*Emissionsfaktoren!R122/1000, 0)</f>
        <v>0</v>
      </c>
      <c r="T287" s="14">
        <f>IF(ISNUMBER('Klisz-Verbräuche'!U122), 'Klisz-Verbräuche'!U122*Emissionsfaktoren!S122/1000, 0)</f>
        <v>0</v>
      </c>
      <c r="U287" s="14">
        <f>IF(ISNUMBER('Klisz-Verbräuche'!V122), 'Klisz-Verbräuche'!V122*Emissionsfaktoren!T122/1000, 0)</f>
        <v>0</v>
      </c>
      <c r="V287" s="14">
        <f>IF(ISNUMBER('Klisz-Verbräuche'!W122), 'Klisz-Verbräuche'!W122*Emissionsfaktoren!U122/1000, 0)</f>
        <v>0</v>
      </c>
      <c r="W287" s="14">
        <f>IF(ISNUMBER('Klisz-Verbräuche'!X122), 'Klisz-Verbräuche'!X122*Emissionsfaktoren!V122/1000, 0)</f>
        <v>0</v>
      </c>
      <c r="X287" s="14">
        <f>IF(ISNUMBER('Klisz-Verbräuche'!Y122), 'Klisz-Verbräuche'!Y122*Emissionsfaktoren!W122/1000, 0)</f>
        <v>0</v>
      </c>
      <c r="Y287" s="14">
        <f>IF(ISNUMBER('Klisz-Verbräuche'!Z122), 'Klisz-Verbräuche'!Z122*Emissionsfaktoren!X122/1000, 0)</f>
        <v>0</v>
      </c>
    </row>
    <row r="288" spans="2:25" ht="16.5">
      <c r="B288" s="14">
        <v>106</v>
      </c>
      <c r="C288" s="14" t="str">
        <f>'Refsz-Verbräuche'!C123</f>
        <v>Abfall</v>
      </c>
      <c r="D288" s="19" t="str">
        <f>'Refsz-Verbräuche'!D123</f>
        <v>Bioabfall (Verbrennung)</v>
      </c>
      <c r="E288" t="s">
        <v>195</v>
      </c>
      <c r="F288" s="14">
        <f>IF(ISNUMBER('Klisz-Verbräuche'!G123), 'Klisz-Verbräuche'!G123*Emissionsfaktoren!E123/1000, 0)</f>
        <v>0</v>
      </c>
      <c r="G288" s="14">
        <f>IF(ISNUMBER('Klisz-Verbräuche'!H123), 'Klisz-Verbräuche'!H123*Emissionsfaktoren!F123/1000, 0)</f>
        <v>0</v>
      </c>
      <c r="H288" s="14">
        <f>IF(ISNUMBER('Klisz-Verbräuche'!I123), 'Klisz-Verbräuche'!I123*Emissionsfaktoren!G123/1000, 0)</f>
        <v>0</v>
      </c>
      <c r="I288" s="14">
        <f>IF(ISNUMBER('Klisz-Verbräuche'!J123), 'Klisz-Verbräuche'!J123*Emissionsfaktoren!H123/1000, 0)</f>
        <v>0</v>
      </c>
      <c r="J288" s="14">
        <f>IF(ISNUMBER('Refsz-Verbräuche'!J122), 'Refsz-Verbräuche'!J122*Emissionsfaktoren!I123/1000, 0)</f>
        <v>0</v>
      </c>
      <c r="K288" s="14">
        <f>IF(ISNUMBER('Klisz-Verbräuche'!L123), 'Klisz-Verbräuche'!L123*Emissionsfaktoren!J123/1000, 0)</f>
        <v>0</v>
      </c>
      <c r="L288" s="14">
        <f>IF(ISNUMBER('Klisz-Verbräuche'!M123), 'Klisz-Verbräuche'!M123*Emissionsfaktoren!K123/1000, 0)</f>
        <v>0</v>
      </c>
      <c r="M288" s="14">
        <f>IF(ISNUMBER('Klisz-Verbräuche'!N123), 'Klisz-Verbräuche'!N123*Emissionsfaktoren!L123/1000, 0)</f>
        <v>0</v>
      </c>
      <c r="N288" s="14">
        <f>IF(ISNUMBER('Klisz-Verbräuche'!O123), 'Klisz-Verbräuche'!O123*Emissionsfaktoren!M123/1000, 0)</f>
        <v>0</v>
      </c>
      <c r="O288" s="14">
        <f>IF(ISNUMBER('Klisz-Verbräuche'!P123), 'Klisz-Verbräuche'!P123*Emissionsfaktoren!N123/1000, 0)</f>
        <v>0</v>
      </c>
      <c r="P288" s="14">
        <f>IF(ISNUMBER('Klisz-Verbräuche'!Q123), 'Klisz-Verbräuche'!Q123*Emissionsfaktoren!O123/1000, 0)</f>
        <v>0</v>
      </c>
      <c r="Q288" s="14">
        <f>IF(ISNUMBER('Klisz-Verbräuche'!R123), 'Klisz-Verbräuche'!R123*Emissionsfaktoren!P123/1000, 0)</f>
        <v>0</v>
      </c>
      <c r="R288" s="14">
        <f>IF(ISNUMBER('Klisz-Verbräuche'!S123), 'Klisz-Verbräuche'!S123*Emissionsfaktoren!Q123/1000, 0)</f>
        <v>0</v>
      </c>
      <c r="S288" s="14">
        <f>IF(ISNUMBER('Klisz-Verbräuche'!T123), 'Klisz-Verbräuche'!T123*Emissionsfaktoren!R123/1000, 0)</f>
        <v>0</v>
      </c>
      <c r="T288" s="14">
        <f>IF(ISNUMBER('Klisz-Verbräuche'!U123), 'Klisz-Verbräuche'!U123*Emissionsfaktoren!S123/1000, 0)</f>
        <v>0</v>
      </c>
      <c r="U288" s="14">
        <f>IF(ISNUMBER('Klisz-Verbräuche'!V123), 'Klisz-Verbräuche'!V123*Emissionsfaktoren!T123/1000, 0)</f>
        <v>0</v>
      </c>
      <c r="V288" s="14">
        <f>IF(ISNUMBER('Klisz-Verbräuche'!W123), 'Klisz-Verbräuche'!W123*Emissionsfaktoren!U123/1000, 0)</f>
        <v>0</v>
      </c>
      <c r="W288" s="14">
        <f>IF(ISNUMBER('Klisz-Verbräuche'!X123), 'Klisz-Verbräuche'!X123*Emissionsfaktoren!V123/1000, 0)</f>
        <v>0</v>
      </c>
      <c r="X288" s="14">
        <f>IF(ISNUMBER('Klisz-Verbräuche'!Y123), 'Klisz-Verbräuche'!Y123*Emissionsfaktoren!W123/1000, 0)</f>
        <v>0</v>
      </c>
      <c r="Y288" s="14">
        <f>IF(ISNUMBER('Klisz-Verbräuche'!Z123), 'Klisz-Verbräuche'!Z123*Emissionsfaktoren!X123/1000, 0)</f>
        <v>0</v>
      </c>
    </row>
    <row r="289" spans="2:25" ht="16.5">
      <c r="B289" s="14">
        <v>107</v>
      </c>
      <c r="C289" s="14" t="str">
        <f>'Refsz-Verbräuche'!C124</f>
        <v>Abfall</v>
      </c>
      <c r="D289" s="19" t="str">
        <f>'Refsz-Verbräuche'!D124</f>
        <v>Papierabfall</v>
      </c>
      <c r="E289" t="s">
        <v>195</v>
      </c>
      <c r="F289" s="14">
        <f>IF(ISNUMBER('Klisz-Verbräuche'!G124), 'Klisz-Verbräuche'!G124*Emissionsfaktoren!E124/1000, 0)</f>
        <v>0</v>
      </c>
      <c r="G289" s="14">
        <f>IF(ISNUMBER('Klisz-Verbräuche'!H124), 'Klisz-Verbräuche'!H124*Emissionsfaktoren!F124/1000, 0)</f>
        <v>0</v>
      </c>
      <c r="H289" s="14">
        <f>IF(ISNUMBER('Klisz-Verbräuche'!I124), 'Klisz-Verbräuche'!I124*Emissionsfaktoren!G124/1000, 0)</f>
        <v>0</v>
      </c>
      <c r="I289" s="14">
        <f>IF(ISNUMBER('Klisz-Verbräuche'!J124), 'Klisz-Verbräuche'!J124*Emissionsfaktoren!H124/1000, 0)</f>
        <v>0</v>
      </c>
      <c r="J289" s="14">
        <f>IF(ISNUMBER('Refsz-Verbräuche'!J123), 'Refsz-Verbräuche'!J123*Emissionsfaktoren!I124/1000, 0)</f>
        <v>0</v>
      </c>
      <c r="K289" s="14">
        <f>IF(ISNUMBER('Klisz-Verbräuche'!L124), 'Klisz-Verbräuche'!L124*Emissionsfaktoren!J124/1000, 0)</f>
        <v>0</v>
      </c>
      <c r="L289" s="14">
        <f>IF(ISNUMBER('Klisz-Verbräuche'!M124), 'Klisz-Verbräuche'!M124*Emissionsfaktoren!K124/1000, 0)</f>
        <v>0</v>
      </c>
      <c r="M289" s="14">
        <f>IF(ISNUMBER('Klisz-Verbräuche'!N124), 'Klisz-Verbräuche'!N124*Emissionsfaktoren!L124/1000, 0)</f>
        <v>0</v>
      </c>
      <c r="N289" s="14">
        <f>IF(ISNUMBER('Klisz-Verbräuche'!O124), 'Klisz-Verbräuche'!O124*Emissionsfaktoren!M124/1000, 0)</f>
        <v>0</v>
      </c>
      <c r="O289" s="14">
        <f>IF(ISNUMBER('Klisz-Verbräuche'!P124), 'Klisz-Verbräuche'!P124*Emissionsfaktoren!N124/1000, 0)</f>
        <v>0</v>
      </c>
      <c r="P289" s="14">
        <f>IF(ISNUMBER('Klisz-Verbräuche'!Q124), 'Klisz-Verbräuche'!Q124*Emissionsfaktoren!O124/1000, 0)</f>
        <v>0</v>
      </c>
      <c r="Q289" s="14">
        <f>IF(ISNUMBER('Klisz-Verbräuche'!R124), 'Klisz-Verbräuche'!R124*Emissionsfaktoren!P124/1000, 0)</f>
        <v>0</v>
      </c>
      <c r="R289" s="14">
        <f>IF(ISNUMBER('Klisz-Verbräuche'!S124), 'Klisz-Verbräuche'!S124*Emissionsfaktoren!Q124/1000, 0)</f>
        <v>0</v>
      </c>
      <c r="S289" s="14">
        <f>IF(ISNUMBER('Klisz-Verbräuche'!T124), 'Klisz-Verbräuche'!T124*Emissionsfaktoren!R124/1000, 0)</f>
        <v>0</v>
      </c>
      <c r="T289" s="14">
        <f>IF(ISNUMBER('Klisz-Verbräuche'!U124), 'Klisz-Verbräuche'!U124*Emissionsfaktoren!S124/1000, 0)</f>
        <v>0</v>
      </c>
      <c r="U289" s="14">
        <f>IF(ISNUMBER('Klisz-Verbräuche'!V124), 'Klisz-Verbräuche'!V124*Emissionsfaktoren!T124/1000, 0)</f>
        <v>0</v>
      </c>
      <c r="V289" s="14">
        <f>IF(ISNUMBER('Klisz-Verbräuche'!W124), 'Klisz-Verbräuche'!W124*Emissionsfaktoren!U124/1000, 0)</f>
        <v>0</v>
      </c>
      <c r="W289" s="14">
        <f>IF(ISNUMBER('Klisz-Verbräuche'!X124), 'Klisz-Verbräuche'!X124*Emissionsfaktoren!V124/1000, 0)</f>
        <v>0</v>
      </c>
      <c r="X289" s="14">
        <f>IF(ISNUMBER('Klisz-Verbräuche'!Y124), 'Klisz-Verbräuche'!Y124*Emissionsfaktoren!W124/1000, 0)</f>
        <v>0</v>
      </c>
      <c r="Y289" s="14">
        <f>IF(ISNUMBER('Klisz-Verbräuche'!Z124), 'Klisz-Verbräuche'!Z124*Emissionsfaktoren!X124/1000, 0)</f>
        <v>0</v>
      </c>
    </row>
    <row r="290" spans="2:25" ht="16.5">
      <c r="B290" s="14">
        <v>108</v>
      </c>
      <c r="C290" s="14" t="str">
        <f>'Refsz-Verbräuche'!C125</f>
        <v>Abfall</v>
      </c>
      <c r="D290" s="19" t="str">
        <f>'Refsz-Verbräuche'!D125</f>
        <v>Plastik- und Verpackungsabfall</v>
      </c>
      <c r="E290" t="s">
        <v>195</v>
      </c>
      <c r="F290" s="14">
        <f>IF(ISNUMBER('Klisz-Verbräuche'!G125), 'Klisz-Verbräuche'!G125*Emissionsfaktoren!E125/1000, 0)</f>
        <v>0</v>
      </c>
      <c r="G290" s="14">
        <f>IF(ISNUMBER('Klisz-Verbräuche'!H125), 'Klisz-Verbräuche'!H125*Emissionsfaktoren!F125/1000, 0)</f>
        <v>0</v>
      </c>
      <c r="H290" s="14">
        <f>IF(ISNUMBER('Klisz-Verbräuche'!I125), 'Klisz-Verbräuche'!I125*Emissionsfaktoren!G125/1000, 0)</f>
        <v>0</v>
      </c>
      <c r="I290" s="14">
        <f>IF(ISNUMBER('Klisz-Verbräuche'!J125), 'Klisz-Verbräuche'!J125*Emissionsfaktoren!H125/1000, 0)</f>
        <v>0</v>
      </c>
      <c r="J290" s="14">
        <f>IF(ISNUMBER('Refsz-Verbräuche'!J124), 'Refsz-Verbräuche'!J124*Emissionsfaktoren!I125/1000, 0)</f>
        <v>0</v>
      </c>
      <c r="K290" s="14">
        <f>IF(ISNUMBER('Klisz-Verbräuche'!L125), 'Klisz-Verbräuche'!L125*Emissionsfaktoren!J125/1000, 0)</f>
        <v>0</v>
      </c>
      <c r="L290" s="14">
        <f>IF(ISNUMBER('Klisz-Verbräuche'!M125), 'Klisz-Verbräuche'!M125*Emissionsfaktoren!K125/1000, 0)</f>
        <v>0</v>
      </c>
      <c r="M290" s="14">
        <f>IF(ISNUMBER('Klisz-Verbräuche'!N125), 'Klisz-Verbräuche'!N125*Emissionsfaktoren!L125/1000, 0)</f>
        <v>0</v>
      </c>
      <c r="N290" s="14">
        <f>IF(ISNUMBER('Klisz-Verbräuche'!O125), 'Klisz-Verbräuche'!O125*Emissionsfaktoren!M125/1000, 0)</f>
        <v>0</v>
      </c>
      <c r="O290" s="14">
        <f>IF(ISNUMBER('Klisz-Verbräuche'!P125), 'Klisz-Verbräuche'!P125*Emissionsfaktoren!N125/1000, 0)</f>
        <v>0</v>
      </c>
      <c r="P290" s="14">
        <f>IF(ISNUMBER('Klisz-Verbräuche'!Q125), 'Klisz-Verbräuche'!Q125*Emissionsfaktoren!O125/1000, 0)</f>
        <v>0</v>
      </c>
      <c r="Q290" s="14">
        <f>IF(ISNUMBER('Klisz-Verbräuche'!R125), 'Klisz-Verbräuche'!R125*Emissionsfaktoren!P125/1000, 0)</f>
        <v>0</v>
      </c>
      <c r="R290" s="14">
        <f>IF(ISNUMBER('Klisz-Verbräuche'!S125), 'Klisz-Verbräuche'!S125*Emissionsfaktoren!Q125/1000, 0)</f>
        <v>0</v>
      </c>
      <c r="S290" s="14">
        <f>IF(ISNUMBER('Klisz-Verbräuche'!T125), 'Klisz-Verbräuche'!T125*Emissionsfaktoren!R125/1000, 0)</f>
        <v>0</v>
      </c>
      <c r="T290" s="14">
        <f>IF(ISNUMBER('Klisz-Verbräuche'!U125), 'Klisz-Verbräuche'!U125*Emissionsfaktoren!S125/1000, 0)</f>
        <v>0</v>
      </c>
      <c r="U290" s="14">
        <f>IF(ISNUMBER('Klisz-Verbräuche'!V125), 'Klisz-Verbräuche'!V125*Emissionsfaktoren!T125/1000, 0)</f>
        <v>0</v>
      </c>
      <c r="V290" s="14">
        <f>IF(ISNUMBER('Klisz-Verbräuche'!W125), 'Klisz-Verbräuche'!W125*Emissionsfaktoren!U125/1000, 0)</f>
        <v>0</v>
      </c>
      <c r="W290" s="14">
        <f>IF(ISNUMBER('Klisz-Verbräuche'!X125), 'Klisz-Verbräuche'!X125*Emissionsfaktoren!V125/1000, 0)</f>
        <v>0</v>
      </c>
      <c r="X290" s="14">
        <f>IF(ISNUMBER('Klisz-Verbräuche'!Y125), 'Klisz-Verbräuche'!Y125*Emissionsfaktoren!W125/1000, 0)</f>
        <v>0</v>
      </c>
      <c r="Y290" s="14">
        <f>IF(ISNUMBER('Klisz-Verbräuche'!Z125), 'Klisz-Verbräuche'!Z125*Emissionsfaktoren!X125/1000, 0)</f>
        <v>0</v>
      </c>
    </row>
    <row r="291" spans="2:25" ht="16.5">
      <c r="B291" s="14">
        <v>109</v>
      </c>
      <c r="C291" s="14" t="str">
        <f>'Refsz-Verbräuche'!C126</f>
        <v>Abfall</v>
      </c>
      <c r="D291" s="19" t="str">
        <f>'Refsz-Verbräuche'!D126</f>
        <v>Restmüll</v>
      </c>
      <c r="E291" t="s">
        <v>195</v>
      </c>
      <c r="F291" s="14">
        <f>IF(ISNUMBER('Klisz-Verbräuche'!G126), 'Klisz-Verbräuche'!G126*Emissionsfaktoren!E126/1000, 0)</f>
        <v>0</v>
      </c>
      <c r="G291" s="14">
        <f>IF(ISNUMBER('Klisz-Verbräuche'!H126), 'Klisz-Verbräuche'!H126*Emissionsfaktoren!F126/1000, 0)</f>
        <v>0</v>
      </c>
      <c r="H291" s="14">
        <f>IF(ISNUMBER('Klisz-Verbräuche'!I126), 'Klisz-Verbräuche'!I126*Emissionsfaktoren!G126/1000, 0)</f>
        <v>0</v>
      </c>
      <c r="I291" s="14">
        <f>IF(ISNUMBER('Klisz-Verbräuche'!J126), 'Klisz-Verbräuche'!J126*Emissionsfaktoren!H126/1000, 0)</f>
        <v>0</v>
      </c>
      <c r="J291" s="14">
        <f>IF(ISNUMBER('Refsz-Verbräuche'!J125), 'Refsz-Verbräuche'!J125*Emissionsfaktoren!I126/1000, 0)</f>
        <v>0</v>
      </c>
      <c r="K291" s="14">
        <f>IF(ISNUMBER('Klisz-Verbräuche'!L126), 'Klisz-Verbräuche'!L126*Emissionsfaktoren!J126/1000, 0)</f>
        <v>0</v>
      </c>
      <c r="L291" s="14">
        <f>IF(ISNUMBER('Klisz-Verbräuche'!M126), 'Klisz-Verbräuche'!M126*Emissionsfaktoren!K126/1000, 0)</f>
        <v>0</v>
      </c>
      <c r="M291" s="14">
        <f>IF(ISNUMBER('Klisz-Verbräuche'!N126), 'Klisz-Verbräuche'!N126*Emissionsfaktoren!L126/1000, 0)</f>
        <v>0</v>
      </c>
      <c r="N291" s="14">
        <f>IF(ISNUMBER('Klisz-Verbräuche'!O126), 'Klisz-Verbräuche'!O126*Emissionsfaktoren!M126/1000, 0)</f>
        <v>0</v>
      </c>
      <c r="O291" s="14">
        <f>IF(ISNUMBER('Klisz-Verbräuche'!P126), 'Klisz-Verbräuche'!P126*Emissionsfaktoren!N126/1000, 0)</f>
        <v>0</v>
      </c>
      <c r="P291" s="14">
        <f>IF(ISNUMBER('Klisz-Verbräuche'!Q126), 'Klisz-Verbräuche'!Q126*Emissionsfaktoren!O126/1000, 0)</f>
        <v>0</v>
      </c>
      <c r="Q291" s="14">
        <f>IF(ISNUMBER('Klisz-Verbräuche'!R126), 'Klisz-Verbräuche'!R126*Emissionsfaktoren!P126/1000, 0)</f>
        <v>0</v>
      </c>
      <c r="R291" s="14">
        <f>IF(ISNUMBER('Klisz-Verbräuche'!S126), 'Klisz-Verbräuche'!S126*Emissionsfaktoren!Q126/1000, 0)</f>
        <v>0</v>
      </c>
      <c r="S291" s="14">
        <f>IF(ISNUMBER('Klisz-Verbräuche'!T126), 'Klisz-Verbräuche'!T126*Emissionsfaktoren!R126/1000, 0)</f>
        <v>0</v>
      </c>
      <c r="T291" s="14">
        <f>IF(ISNUMBER('Klisz-Verbräuche'!U126), 'Klisz-Verbräuche'!U126*Emissionsfaktoren!S126/1000, 0)</f>
        <v>0</v>
      </c>
      <c r="U291" s="14">
        <f>IF(ISNUMBER('Klisz-Verbräuche'!V126), 'Klisz-Verbräuche'!V126*Emissionsfaktoren!T126/1000, 0)</f>
        <v>0</v>
      </c>
      <c r="V291" s="14">
        <f>IF(ISNUMBER('Klisz-Verbräuche'!W126), 'Klisz-Verbräuche'!W126*Emissionsfaktoren!U126/1000, 0)</f>
        <v>0</v>
      </c>
      <c r="W291" s="14">
        <f>IF(ISNUMBER('Klisz-Verbräuche'!X126), 'Klisz-Verbräuche'!X126*Emissionsfaktoren!V126/1000, 0)</f>
        <v>0</v>
      </c>
      <c r="X291" s="14">
        <f>IF(ISNUMBER('Klisz-Verbräuche'!Y126), 'Klisz-Verbräuche'!Y126*Emissionsfaktoren!W126/1000, 0)</f>
        <v>0</v>
      </c>
      <c r="Y291" s="14">
        <f>IF(ISNUMBER('Klisz-Verbräuche'!Z126), 'Klisz-Verbräuche'!Z126*Emissionsfaktoren!X126/1000, 0)</f>
        <v>0</v>
      </c>
    </row>
    <row r="292" spans="2:25" ht="16.5">
      <c r="B292" s="14">
        <v>110</v>
      </c>
      <c r="C292" s="14" t="str">
        <f>'Refsz-Verbräuche'!C127</f>
        <v>Abfall</v>
      </c>
      <c r="D292" s="19" t="str">
        <f>'Refsz-Verbräuche'!D127</f>
        <v>Sperrmüll</v>
      </c>
      <c r="E292" t="s">
        <v>195</v>
      </c>
      <c r="F292" s="14">
        <f>IF(ISNUMBER('Klisz-Verbräuche'!G127), 'Klisz-Verbräuche'!G127*Emissionsfaktoren!E127/1000, 0)</f>
        <v>0</v>
      </c>
      <c r="G292" s="14">
        <f>IF(ISNUMBER('Klisz-Verbräuche'!H127), 'Klisz-Verbräuche'!H127*Emissionsfaktoren!F127/1000, 0)</f>
        <v>0</v>
      </c>
      <c r="H292" s="14">
        <f>IF(ISNUMBER('Klisz-Verbräuche'!I127), 'Klisz-Verbräuche'!I127*Emissionsfaktoren!G127/1000, 0)</f>
        <v>0</v>
      </c>
      <c r="I292" s="14">
        <f>IF(ISNUMBER('Klisz-Verbräuche'!J127), 'Klisz-Verbräuche'!J127*Emissionsfaktoren!H127/1000, 0)</f>
        <v>0</v>
      </c>
      <c r="J292" s="14">
        <f>IF(ISNUMBER('Refsz-Verbräuche'!J126), 'Refsz-Verbräuche'!J126*Emissionsfaktoren!I127/1000, 0)</f>
        <v>0</v>
      </c>
      <c r="K292" s="14">
        <f>IF(ISNUMBER('Klisz-Verbräuche'!L127), 'Klisz-Verbräuche'!L127*Emissionsfaktoren!J127/1000, 0)</f>
        <v>0</v>
      </c>
      <c r="L292" s="14">
        <f>IF(ISNUMBER('Klisz-Verbräuche'!M127), 'Klisz-Verbräuche'!M127*Emissionsfaktoren!K127/1000, 0)</f>
        <v>0</v>
      </c>
      <c r="M292" s="14">
        <f>IF(ISNUMBER('Klisz-Verbräuche'!N127), 'Klisz-Verbräuche'!N127*Emissionsfaktoren!L127/1000, 0)</f>
        <v>0</v>
      </c>
      <c r="N292" s="14">
        <f>IF(ISNUMBER('Klisz-Verbräuche'!O127), 'Klisz-Verbräuche'!O127*Emissionsfaktoren!M127/1000, 0)</f>
        <v>0</v>
      </c>
      <c r="O292" s="14">
        <f>IF(ISNUMBER('Klisz-Verbräuche'!P127), 'Klisz-Verbräuche'!P127*Emissionsfaktoren!N127/1000, 0)</f>
        <v>0</v>
      </c>
      <c r="P292" s="14">
        <f>IF(ISNUMBER('Klisz-Verbräuche'!Q127), 'Klisz-Verbräuche'!Q127*Emissionsfaktoren!O127/1000, 0)</f>
        <v>0</v>
      </c>
      <c r="Q292" s="14">
        <f>IF(ISNUMBER('Klisz-Verbräuche'!R127), 'Klisz-Verbräuche'!R127*Emissionsfaktoren!P127/1000, 0)</f>
        <v>0</v>
      </c>
      <c r="R292" s="14">
        <f>IF(ISNUMBER('Klisz-Verbräuche'!S127), 'Klisz-Verbräuche'!S127*Emissionsfaktoren!Q127/1000, 0)</f>
        <v>0</v>
      </c>
      <c r="S292" s="14">
        <f>IF(ISNUMBER('Klisz-Verbräuche'!T127), 'Klisz-Verbräuche'!T127*Emissionsfaktoren!R127/1000, 0)</f>
        <v>0</v>
      </c>
      <c r="T292" s="14">
        <f>IF(ISNUMBER('Klisz-Verbräuche'!U127), 'Klisz-Verbräuche'!U127*Emissionsfaktoren!S127/1000, 0)</f>
        <v>0</v>
      </c>
      <c r="U292" s="14">
        <f>IF(ISNUMBER('Klisz-Verbräuche'!V127), 'Klisz-Verbräuche'!V127*Emissionsfaktoren!T127/1000, 0)</f>
        <v>0</v>
      </c>
      <c r="V292" s="14">
        <f>IF(ISNUMBER('Klisz-Verbräuche'!W127), 'Klisz-Verbräuche'!W127*Emissionsfaktoren!U127/1000, 0)</f>
        <v>0</v>
      </c>
      <c r="W292" s="14">
        <f>IF(ISNUMBER('Klisz-Verbräuche'!X127), 'Klisz-Verbräuche'!X127*Emissionsfaktoren!V127/1000, 0)</f>
        <v>0</v>
      </c>
      <c r="X292" s="14">
        <f>IF(ISNUMBER('Klisz-Verbräuche'!Y127), 'Klisz-Verbräuche'!Y127*Emissionsfaktoren!W127/1000, 0)</f>
        <v>0</v>
      </c>
      <c r="Y292" s="14">
        <f>IF(ISNUMBER('Klisz-Verbräuche'!Z127), 'Klisz-Verbräuche'!Z127*Emissionsfaktoren!X127/1000, 0)</f>
        <v>0</v>
      </c>
    </row>
    <row r="293" spans="2:25" ht="16.5">
      <c r="B293" s="14">
        <v>111</v>
      </c>
      <c r="C293" s="14" t="str">
        <f>'Refsz-Verbräuche'!C128</f>
        <v>Abfall</v>
      </c>
      <c r="D293" s="19" t="str">
        <f>'Refsz-Verbräuche'!D128</f>
        <v>Altholz</v>
      </c>
      <c r="E293" t="s">
        <v>195</v>
      </c>
      <c r="F293" s="14">
        <f>IF(ISNUMBER('Klisz-Verbräuche'!G128), 'Klisz-Verbräuche'!G128*Emissionsfaktoren!E128/1000, 0)</f>
        <v>0</v>
      </c>
      <c r="G293" s="14">
        <f>IF(ISNUMBER('Klisz-Verbräuche'!H128), 'Klisz-Verbräuche'!H128*Emissionsfaktoren!F128/1000, 0)</f>
        <v>0</v>
      </c>
      <c r="H293" s="14">
        <f>IF(ISNUMBER('Klisz-Verbräuche'!I128), 'Klisz-Verbräuche'!I128*Emissionsfaktoren!G128/1000, 0)</f>
        <v>0</v>
      </c>
      <c r="I293" s="14">
        <f>IF(ISNUMBER('Klisz-Verbräuche'!J128), 'Klisz-Verbräuche'!J128*Emissionsfaktoren!H128/1000, 0)</f>
        <v>0</v>
      </c>
      <c r="J293" s="14">
        <f>IF(ISNUMBER('Refsz-Verbräuche'!J127), 'Refsz-Verbräuche'!J127*Emissionsfaktoren!I128/1000, 0)</f>
        <v>0</v>
      </c>
      <c r="K293" s="14">
        <f>IF(ISNUMBER('Klisz-Verbräuche'!L128), 'Klisz-Verbräuche'!L128*Emissionsfaktoren!J128/1000, 0)</f>
        <v>0</v>
      </c>
      <c r="L293" s="14">
        <f>IF(ISNUMBER('Klisz-Verbräuche'!M128), 'Klisz-Verbräuche'!M128*Emissionsfaktoren!K128/1000, 0)</f>
        <v>0</v>
      </c>
      <c r="M293" s="14">
        <f>IF(ISNUMBER('Klisz-Verbräuche'!N128), 'Klisz-Verbräuche'!N128*Emissionsfaktoren!L128/1000, 0)</f>
        <v>0</v>
      </c>
      <c r="N293" s="14">
        <f>IF(ISNUMBER('Klisz-Verbräuche'!O128), 'Klisz-Verbräuche'!O128*Emissionsfaktoren!M128/1000, 0)</f>
        <v>0</v>
      </c>
      <c r="O293" s="14">
        <f>IF(ISNUMBER('Klisz-Verbräuche'!P128), 'Klisz-Verbräuche'!P128*Emissionsfaktoren!N128/1000, 0)</f>
        <v>0</v>
      </c>
      <c r="P293" s="14">
        <f>IF(ISNUMBER('Klisz-Verbräuche'!Q128), 'Klisz-Verbräuche'!Q128*Emissionsfaktoren!O128/1000, 0)</f>
        <v>0</v>
      </c>
      <c r="Q293" s="14">
        <f>IF(ISNUMBER('Klisz-Verbräuche'!R128), 'Klisz-Verbräuche'!R128*Emissionsfaktoren!P128/1000, 0)</f>
        <v>0</v>
      </c>
      <c r="R293" s="14">
        <f>IF(ISNUMBER('Klisz-Verbräuche'!S128), 'Klisz-Verbräuche'!S128*Emissionsfaktoren!Q128/1000, 0)</f>
        <v>0</v>
      </c>
      <c r="S293" s="14">
        <f>IF(ISNUMBER('Klisz-Verbräuche'!T128), 'Klisz-Verbräuche'!T128*Emissionsfaktoren!R128/1000, 0)</f>
        <v>0</v>
      </c>
      <c r="T293" s="14">
        <f>IF(ISNUMBER('Klisz-Verbräuche'!U128), 'Klisz-Verbräuche'!U128*Emissionsfaktoren!S128/1000, 0)</f>
        <v>0</v>
      </c>
      <c r="U293" s="14">
        <f>IF(ISNUMBER('Klisz-Verbräuche'!V128), 'Klisz-Verbräuche'!V128*Emissionsfaktoren!T128/1000, 0)</f>
        <v>0</v>
      </c>
      <c r="V293" s="14">
        <f>IF(ISNUMBER('Klisz-Verbräuche'!W128), 'Klisz-Verbräuche'!W128*Emissionsfaktoren!U128/1000, 0)</f>
        <v>0</v>
      </c>
      <c r="W293" s="14">
        <f>IF(ISNUMBER('Klisz-Verbräuche'!X128), 'Klisz-Verbräuche'!X128*Emissionsfaktoren!V128/1000, 0)</f>
        <v>0</v>
      </c>
      <c r="X293" s="14">
        <f>IF(ISNUMBER('Klisz-Verbräuche'!Y128), 'Klisz-Verbräuche'!Y128*Emissionsfaktoren!W128/1000, 0)</f>
        <v>0</v>
      </c>
      <c r="Y293" s="14">
        <f>IF(ISNUMBER('Klisz-Verbräuche'!Z128), 'Klisz-Verbräuche'!Z128*Emissionsfaktoren!X128/1000, 0)</f>
        <v>0</v>
      </c>
    </row>
    <row r="294" spans="2:25" ht="16.5">
      <c r="B294" s="14">
        <v>112</v>
      </c>
      <c r="C294" s="14" t="str">
        <f>'Refsz-Verbräuche'!C129</f>
        <v>Abfall</v>
      </c>
      <c r="D294" s="19" t="str">
        <f>'Refsz-Verbräuche'!D129</f>
        <v>Altglas</v>
      </c>
      <c r="E294" t="s">
        <v>195</v>
      </c>
      <c r="F294" s="14">
        <f>IF(ISNUMBER('Klisz-Verbräuche'!G129), 'Klisz-Verbräuche'!G129*Emissionsfaktoren!E129/1000, 0)</f>
        <v>0</v>
      </c>
      <c r="G294" s="14">
        <f>IF(ISNUMBER('Klisz-Verbräuche'!H129), 'Klisz-Verbräuche'!H129*Emissionsfaktoren!F129/1000, 0)</f>
        <v>0</v>
      </c>
      <c r="H294" s="14">
        <f>IF(ISNUMBER('Klisz-Verbräuche'!I129), 'Klisz-Verbräuche'!I129*Emissionsfaktoren!G129/1000, 0)</f>
        <v>0</v>
      </c>
      <c r="I294" s="14">
        <f>IF(ISNUMBER('Klisz-Verbräuche'!J129), 'Klisz-Verbräuche'!J129*Emissionsfaktoren!H129/1000, 0)</f>
        <v>0</v>
      </c>
      <c r="J294" s="14">
        <f>IF(ISNUMBER('Refsz-Verbräuche'!J128), 'Refsz-Verbräuche'!J128*Emissionsfaktoren!I129/1000, 0)</f>
        <v>0</v>
      </c>
      <c r="K294" s="14">
        <f>IF(ISNUMBER('Klisz-Verbräuche'!L129), 'Klisz-Verbräuche'!L129*Emissionsfaktoren!J129/1000, 0)</f>
        <v>0</v>
      </c>
      <c r="L294" s="14">
        <f>IF(ISNUMBER('Klisz-Verbräuche'!M129), 'Klisz-Verbräuche'!M129*Emissionsfaktoren!K129/1000, 0)</f>
        <v>0</v>
      </c>
      <c r="M294" s="14">
        <f>IF(ISNUMBER('Klisz-Verbräuche'!N129), 'Klisz-Verbräuche'!N129*Emissionsfaktoren!L129/1000, 0)</f>
        <v>0</v>
      </c>
      <c r="N294" s="14">
        <f>IF(ISNUMBER('Klisz-Verbräuche'!O129), 'Klisz-Verbräuche'!O129*Emissionsfaktoren!M129/1000, 0)</f>
        <v>0</v>
      </c>
      <c r="O294" s="14">
        <f>IF(ISNUMBER('Klisz-Verbräuche'!P129), 'Klisz-Verbräuche'!P129*Emissionsfaktoren!N129/1000, 0)</f>
        <v>0</v>
      </c>
      <c r="P294" s="14">
        <f>IF(ISNUMBER('Klisz-Verbräuche'!Q129), 'Klisz-Verbräuche'!Q129*Emissionsfaktoren!O129/1000, 0)</f>
        <v>0</v>
      </c>
      <c r="Q294" s="14">
        <f>IF(ISNUMBER('Klisz-Verbräuche'!R129), 'Klisz-Verbräuche'!R129*Emissionsfaktoren!P129/1000, 0)</f>
        <v>0</v>
      </c>
      <c r="R294" s="14">
        <f>IF(ISNUMBER('Klisz-Verbräuche'!S129), 'Klisz-Verbräuche'!S129*Emissionsfaktoren!Q129/1000, 0)</f>
        <v>0</v>
      </c>
      <c r="S294" s="14">
        <f>IF(ISNUMBER('Klisz-Verbräuche'!T129), 'Klisz-Verbräuche'!T129*Emissionsfaktoren!R129/1000, 0)</f>
        <v>0</v>
      </c>
      <c r="T294" s="14">
        <f>IF(ISNUMBER('Klisz-Verbräuche'!U129), 'Klisz-Verbräuche'!U129*Emissionsfaktoren!S129/1000, 0)</f>
        <v>0</v>
      </c>
      <c r="U294" s="14">
        <f>IF(ISNUMBER('Klisz-Verbräuche'!V129), 'Klisz-Verbräuche'!V129*Emissionsfaktoren!T129/1000, 0)</f>
        <v>0</v>
      </c>
      <c r="V294" s="14">
        <f>IF(ISNUMBER('Klisz-Verbräuche'!W129), 'Klisz-Verbräuche'!W129*Emissionsfaktoren!U129/1000, 0)</f>
        <v>0</v>
      </c>
      <c r="W294" s="14">
        <f>IF(ISNUMBER('Klisz-Verbräuche'!X129), 'Klisz-Verbräuche'!X129*Emissionsfaktoren!V129/1000, 0)</f>
        <v>0</v>
      </c>
      <c r="X294" s="14">
        <f>IF(ISNUMBER('Klisz-Verbräuche'!Y129), 'Klisz-Verbräuche'!Y129*Emissionsfaktoren!W129/1000, 0)</f>
        <v>0</v>
      </c>
      <c r="Y294" s="14">
        <f>IF(ISNUMBER('Klisz-Verbräuche'!Z129), 'Klisz-Verbräuche'!Z129*Emissionsfaktoren!X129/1000, 0)</f>
        <v>0</v>
      </c>
    </row>
    <row r="295" spans="2:25" ht="16.5">
      <c r="B295" s="14">
        <v>113</v>
      </c>
      <c r="C295" s="14" t="str">
        <f>'Refsz-Verbräuche'!C130</f>
        <v>Abfall</v>
      </c>
      <c r="D295" s="19" t="str">
        <f>'Refsz-Verbräuche'!D130</f>
        <v>E-Großgeräte (Abfall)</v>
      </c>
      <c r="E295" t="s">
        <v>195</v>
      </c>
      <c r="F295" s="14">
        <f>IF(ISNUMBER('Klisz-Verbräuche'!G130), 'Klisz-Verbräuche'!G130*Emissionsfaktoren!E130/1000, 0)</f>
        <v>0</v>
      </c>
      <c r="G295" s="14">
        <f>IF(ISNUMBER('Klisz-Verbräuche'!H130), 'Klisz-Verbräuche'!H130*Emissionsfaktoren!F130/1000, 0)</f>
        <v>0</v>
      </c>
      <c r="H295" s="14">
        <f>IF(ISNUMBER('Klisz-Verbräuche'!I130), 'Klisz-Verbräuche'!I130*Emissionsfaktoren!G130/1000, 0)</f>
        <v>0</v>
      </c>
      <c r="I295" s="14">
        <f>IF(ISNUMBER('Klisz-Verbräuche'!J130), 'Klisz-Verbräuche'!J130*Emissionsfaktoren!H130/1000, 0)</f>
        <v>0</v>
      </c>
      <c r="J295" s="14">
        <f>IF(ISNUMBER('Refsz-Verbräuche'!J129), 'Refsz-Verbräuche'!J129*Emissionsfaktoren!I130/1000, 0)</f>
        <v>0</v>
      </c>
      <c r="K295" s="14">
        <f>IF(ISNUMBER('Klisz-Verbräuche'!L130), 'Klisz-Verbräuche'!L130*Emissionsfaktoren!J130/1000, 0)</f>
        <v>0</v>
      </c>
      <c r="L295" s="14">
        <f>IF(ISNUMBER('Klisz-Verbräuche'!M130), 'Klisz-Verbräuche'!M130*Emissionsfaktoren!K130/1000, 0)</f>
        <v>0</v>
      </c>
      <c r="M295" s="14">
        <f>IF(ISNUMBER('Klisz-Verbräuche'!N130), 'Klisz-Verbräuche'!N130*Emissionsfaktoren!L130/1000, 0)</f>
        <v>0</v>
      </c>
      <c r="N295" s="14">
        <f>IF(ISNUMBER('Klisz-Verbräuche'!O130), 'Klisz-Verbräuche'!O130*Emissionsfaktoren!M130/1000, 0)</f>
        <v>0</v>
      </c>
      <c r="O295" s="14">
        <f>IF(ISNUMBER('Klisz-Verbräuche'!P130), 'Klisz-Verbräuche'!P130*Emissionsfaktoren!N130/1000, 0)</f>
        <v>0</v>
      </c>
      <c r="P295" s="14">
        <f>IF(ISNUMBER('Klisz-Verbräuche'!Q130), 'Klisz-Verbräuche'!Q130*Emissionsfaktoren!O130/1000, 0)</f>
        <v>0</v>
      </c>
      <c r="Q295" s="14">
        <f>IF(ISNUMBER('Klisz-Verbräuche'!R130), 'Klisz-Verbräuche'!R130*Emissionsfaktoren!P130/1000, 0)</f>
        <v>0</v>
      </c>
      <c r="R295" s="14">
        <f>IF(ISNUMBER('Klisz-Verbräuche'!S130), 'Klisz-Verbräuche'!S130*Emissionsfaktoren!Q130/1000, 0)</f>
        <v>0</v>
      </c>
      <c r="S295" s="14">
        <f>IF(ISNUMBER('Klisz-Verbräuche'!T130), 'Klisz-Verbräuche'!T130*Emissionsfaktoren!R130/1000, 0)</f>
        <v>0</v>
      </c>
      <c r="T295" s="14">
        <f>IF(ISNUMBER('Klisz-Verbräuche'!U130), 'Klisz-Verbräuche'!U130*Emissionsfaktoren!S130/1000, 0)</f>
        <v>0</v>
      </c>
      <c r="U295" s="14">
        <f>IF(ISNUMBER('Klisz-Verbräuche'!V130), 'Klisz-Verbräuche'!V130*Emissionsfaktoren!T130/1000, 0)</f>
        <v>0</v>
      </c>
      <c r="V295" s="14">
        <f>IF(ISNUMBER('Klisz-Verbräuche'!W130), 'Klisz-Verbräuche'!W130*Emissionsfaktoren!U130/1000, 0)</f>
        <v>0</v>
      </c>
      <c r="W295" s="14">
        <f>IF(ISNUMBER('Klisz-Verbräuche'!X130), 'Klisz-Verbräuche'!X130*Emissionsfaktoren!V130/1000, 0)</f>
        <v>0</v>
      </c>
      <c r="X295" s="14">
        <f>IF(ISNUMBER('Klisz-Verbräuche'!Y130), 'Klisz-Verbräuche'!Y130*Emissionsfaktoren!W130/1000, 0)</f>
        <v>0</v>
      </c>
      <c r="Y295" s="14">
        <f>IF(ISNUMBER('Klisz-Verbräuche'!Z130), 'Klisz-Verbräuche'!Z130*Emissionsfaktoren!X130/1000, 0)</f>
        <v>0</v>
      </c>
    </row>
    <row r="296" spans="2:25" ht="16.5">
      <c r="B296" s="14">
        <v>114</v>
      </c>
      <c r="C296" s="14" t="str">
        <f>'Refsz-Verbräuche'!C131</f>
        <v>Abfall</v>
      </c>
      <c r="D296" s="19" t="str">
        <f>'Refsz-Verbräuche'!D131</f>
        <v>Metalle (Abfall)</v>
      </c>
      <c r="E296" t="s">
        <v>195</v>
      </c>
      <c r="F296" s="14">
        <f>IF(ISNUMBER('Klisz-Verbräuche'!G131), 'Klisz-Verbräuche'!G131*Emissionsfaktoren!E131/1000, 0)</f>
        <v>0</v>
      </c>
      <c r="G296" s="14">
        <f>IF(ISNUMBER('Klisz-Verbräuche'!H131), 'Klisz-Verbräuche'!H131*Emissionsfaktoren!F131/1000, 0)</f>
        <v>0</v>
      </c>
      <c r="H296" s="14">
        <f>IF(ISNUMBER('Klisz-Verbräuche'!I131), 'Klisz-Verbräuche'!I131*Emissionsfaktoren!G131/1000, 0)</f>
        <v>0</v>
      </c>
      <c r="I296" s="14">
        <f>IF(ISNUMBER('Klisz-Verbräuche'!J131), 'Klisz-Verbräuche'!J131*Emissionsfaktoren!H131/1000, 0)</f>
        <v>0</v>
      </c>
      <c r="J296" s="14">
        <f>IF(ISNUMBER('Refsz-Verbräuche'!J130), 'Refsz-Verbräuche'!J130*Emissionsfaktoren!I131/1000, 0)</f>
        <v>0</v>
      </c>
      <c r="K296" s="14">
        <f>IF(ISNUMBER('Klisz-Verbräuche'!L131), 'Klisz-Verbräuche'!L131*Emissionsfaktoren!J131/1000, 0)</f>
        <v>0</v>
      </c>
      <c r="L296" s="14">
        <f>IF(ISNUMBER('Klisz-Verbräuche'!M131), 'Klisz-Verbräuche'!M131*Emissionsfaktoren!K131/1000, 0)</f>
        <v>0</v>
      </c>
      <c r="M296" s="14">
        <f>IF(ISNUMBER('Klisz-Verbräuche'!N131), 'Klisz-Verbräuche'!N131*Emissionsfaktoren!L131/1000, 0)</f>
        <v>0</v>
      </c>
      <c r="N296" s="14">
        <f>IF(ISNUMBER('Klisz-Verbräuche'!O131), 'Klisz-Verbräuche'!O131*Emissionsfaktoren!M131/1000, 0)</f>
        <v>0</v>
      </c>
      <c r="O296" s="14">
        <f>IF(ISNUMBER('Klisz-Verbräuche'!P131), 'Klisz-Verbräuche'!P131*Emissionsfaktoren!N131/1000, 0)</f>
        <v>0</v>
      </c>
      <c r="P296" s="14">
        <f>IF(ISNUMBER('Klisz-Verbräuche'!Q131), 'Klisz-Verbräuche'!Q131*Emissionsfaktoren!O131/1000, 0)</f>
        <v>0</v>
      </c>
      <c r="Q296" s="14">
        <f>IF(ISNUMBER('Klisz-Verbräuche'!R131), 'Klisz-Verbräuche'!R131*Emissionsfaktoren!P131/1000, 0)</f>
        <v>0</v>
      </c>
      <c r="R296" s="14">
        <f>IF(ISNUMBER('Klisz-Verbräuche'!S131), 'Klisz-Verbräuche'!S131*Emissionsfaktoren!Q131/1000, 0)</f>
        <v>0</v>
      </c>
      <c r="S296" s="14">
        <f>IF(ISNUMBER('Klisz-Verbräuche'!T131), 'Klisz-Verbräuche'!T131*Emissionsfaktoren!R131/1000, 0)</f>
        <v>0</v>
      </c>
      <c r="T296" s="14">
        <f>IF(ISNUMBER('Klisz-Verbräuche'!U131), 'Klisz-Verbräuche'!U131*Emissionsfaktoren!S131/1000, 0)</f>
        <v>0</v>
      </c>
      <c r="U296" s="14">
        <f>IF(ISNUMBER('Klisz-Verbräuche'!V131), 'Klisz-Verbräuche'!V131*Emissionsfaktoren!T131/1000, 0)</f>
        <v>0</v>
      </c>
      <c r="V296" s="14">
        <f>IF(ISNUMBER('Klisz-Verbräuche'!W131), 'Klisz-Verbräuche'!W131*Emissionsfaktoren!U131/1000, 0)</f>
        <v>0</v>
      </c>
      <c r="W296" s="14">
        <f>IF(ISNUMBER('Klisz-Verbräuche'!X131), 'Klisz-Verbräuche'!X131*Emissionsfaktoren!V131/1000, 0)</f>
        <v>0</v>
      </c>
      <c r="X296" s="14">
        <f>IF(ISNUMBER('Klisz-Verbräuche'!Y131), 'Klisz-Verbräuche'!Y131*Emissionsfaktoren!W131/1000, 0)</f>
        <v>0</v>
      </c>
      <c r="Y296" s="14">
        <f>IF(ISNUMBER('Klisz-Verbräuche'!Z131), 'Klisz-Verbräuche'!Z131*Emissionsfaktoren!X131/1000, 0)</f>
        <v>0</v>
      </c>
    </row>
    <row r="297" spans="2:25" ht="16.5">
      <c r="B297" s="14">
        <v>115</v>
      </c>
      <c r="C297" s="14" t="str">
        <f>'Refsz-Verbräuche'!C132</f>
        <v>Abfall</v>
      </c>
      <c r="D297" s="19" t="str">
        <f>'Refsz-Verbräuche'!D132</f>
        <v>Bauschutt</v>
      </c>
      <c r="E297" t="s">
        <v>195</v>
      </c>
      <c r="F297" s="14">
        <f>IF(ISNUMBER('Klisz-Verbräuche'!G132), 'Klisz-Verbräuche'!G132*Emissionsfaktoren!E132/1000, 0)</f>
        <v>0</v>
      </c>
      <c r="G297" s="14">
        <f>IF(ISNUMBER('Klisz-Verbräuche'!H132), 'Klisz-Verbräuche'!H132*Emissionsfaktoren!F132/1000, 0)</f>
        <v>0</v>
      </c>
      <c r="H297" s="14">
        <f>IF(ISNUMBER('Klisz-Verbräuche'!I132), 'Klisz-Verbräuche'!I132*Emissionsfaktoren!G132/1000, 0)</f>
        <v>0</v>
      </c>
      <c r="I297" s="14">
        <f>IF(ISNUMBER('Klisz-Verbräuche'!J132), 'Klisz-Verbräuche'!J132*Emissionsfaktoren!H132/1000, 0)</f>
        <v>0</v>
      </c>
      <c r="J297" s="14">
        <f>IF(ISNUMBER('Refsz-Verbräuche'!J131), 'Refsz-Verbräuche'!J131*Emissionsfaktoren!I132/1000, 0)</f>
        <v>0</v>
      </c>
      <c r="K297" s="14">
        <f>IF(ISNUMBER('Klisz-Verbräuche'!L132), 'Klisz-Verbräuche'!L132*Emissionsfaktoren!J132/1000, 0)</f>
        <v>0</v>
      </c>
      <c r="L297" s="14">
        <f>IF(ISNUMBER('Klisz-Verbräuche'!M132), 'Klisz-Verbräuche'!M132*Emissionsfaktoren!K132/1000, 0)</f>
        <v>0</v>
      </c>
      <c r="M297" s="14">
        <f>IF(ISNUMBER('Klisz-Verbräuche'!N132), 'Klisz-Verbräuche'!N132*Emissionsfaktoren!L132/1000, 0)</f>
        <v>0</v>
      </c>
      <c r="N297" s="14">
        <f>IF(ISNUMBER('Klisz-Verbräuche'!O132), 'Klisz-Verbräuche'!O132*Emissionsfaktoren!M132/1000, 0)</f>
        <v>0</v>
      </c>
      <c r="O297" s="14">
        <f>IF(ISNUMBER('Klisz-Verbräuche'!P132), 'Klisz-Verbräuche'!P132*Emissionsfaktoren!N132/1000, 0)</f>
        <v>0</v>
      </c>
      <c r="P297" s="14">
        <f>IF(ISNUMBER('Klisz-Verbräuche'!Q132), 'Klisz-Verbräuche'!Q132*Emissionsfaktoren!O132/1000, 0)</f>
        <v>0</v>
      </c>
      <c r="Q297" s="14">
        <f>IF(ISNUMBER('Klisz-Verbräuche'!R132), 'Klisz-Verbräuche'!R132*Emissionsfaktoren!P132/1000, 0)</f>
        <v>0</v>
      </c>
      <c r="R297" s="14">
        <f>IF(ISNUMBER('Klisz-Verbräuche'!S132), 'Klisz-Verbräuche'!S132*Emissionsfaktoren!Q132/1000, 0)</f>
        <v>0</v>
      </c>
      <c r="S297" s="14">
        <f>IF(ISNUMBER('Klisz-Verbräuche'!T132), 'Klisz-Verbräuche'!T132*Emissionsfaktoren!R132/1000, 0)</f>
        <v>0</v>
      </c>
      <c r="T297" s="14">
        <f>IF(ISNUMBER('Klisz-Verbräuche'!U132), 'Klisz-Verbräuche'!U132*Emissionsfaktoren!S132/1000, 0)</f>
        <v>0</v>
      </c>
      <c r="U297" s="14">
        <f>IF(ISNUMBER('Klisz-Verbräuche'!V132), 'Klisz-Verbräuche'!V132*Emissionsfaktoren!T132/1000, 0)</f>
        <v>0</v>
      </c>
      <c r="V297" s="14">
        <f>IF(ISNUMBER('Klisz-Verbräuche'!W132), 'Klisz-Verbräuche'!W132*Emissionsfaktoren!U132/1000, 0)</f>
        <v>0</v>
      </c>
      <c r="W297" s="14">
        <f>IF(ISNUMBER('Klisz-Verbräuche'!X132), 'Klisz-Verbräuche'!X132*Emissionsfaktoren!V132/1000, 0)</f>
        <v>0</v>
      </c>
      <c r="X297" s="14">
        <f>IF(ISNUMBER('Klisz-Verbräuche'!Y132), 'Klisz-Verbräuche'!Y132*Emissionsfaktoren!W132/1000, 0)</f>
        <v>0</v>
      </c>
      <c r="Y297" s="14">
        <f>IF(ISNUMBER('Klisz-Verbräuche'!Z132), 'Klisz-Verbräuche'!Z132*Emissionsfaktoren!X132/1000, 0)</f>
        <v>0</v>
      </c>
    </row>
    <row r="298" spans="2:25" ht="16.5">
      <c r="B298" s="14">
        <v>116</v>
      </c>
      <c r="C298" s="14">
        <f>'Refsz-Verbräuche'!C133</f>
        <v>0</v>
      </c>
      <c r="D298" s="19">
        <f>'Refsz-Verbräuche'!D133</f>
        <v>0</v>
      </c>
      <c r="E298" t="s">
        <v>195</v>
      </c>
      <c r="F298" s="14">
        <f>IF(ISNUMBER('Klisz-Verbräuche'!G133), 'Klisz-Verbräuche'!G133*Emissionsfaktoren!E133/1000, 0)</f>
        <v>0</v>
      </c>
      <c r="G298" s="14">
        <f>IF(ISNUMBER('Klisz-Verbräuche'!H133), 'Klisz-Verbräuche'!H133*Emissionsfaktoren!F133/1000, 0)</f>
        <v>0</v>
      </c>
      <c r="H298" s="14">
        <f>IF(ISNUMBER('Klisz-Verbräuche'!I133), 'Klisz-Verbräuche'!I133*Emissionsfaktoren!G133/1000, 0)</f>
        <v>0</v>
      </c>
      <c r="I298" s="14">
        <f>IF(ISNUMBER('Klisz-Verbräuche'!J133), 'Klisz-Verbräuche'!J133*Emissionsfaktoren!H133/1000, 0)</f>
        <v>0</v>
      </c>
      <c r="J298" s="14">
        <f>IF(ISNUMBER('Klisz-Verbräuche'!K133), 'Klisz-Verbräuche'!K133*Emissionsfaktoren!I133/1000, 0)</f>
        <v>0</v>
      </c>
      <c r="K298" s="14">
        <f>IF(ISNUMBER('Klisz-Verbräuche'!L133), 'Klisz-Verbräuche'!L133*Emissionsfaktoren!J133/1000, 0)</f>
        <v>0</v>
      </c>
      <c r="L298" s="14">
        <f>IF(ISNUMBER('Klisz-Verbräuche'!M133), 'Klisz-Verbräuche'!M133*Emissionsfaktoren!K133/1000, 0)</f>
        <v>0</v>
      </c>
      <c r="M298" s="14">
        <f>IF(ISNUMBER('Klisz-Verbräuche'!N133), 'Klisz-Verbräuche'!N133*Emissionsfaktoren!L133/1000, 0)</f>
        <v>0</v>
      </c>
      <c r="N298" s="14">
        <f>IF(ISNUMBER('Klisz-Verbräuche'!O133), 'Klisz-Verbräuche'!O133*Emissionsfaktoren!M133/1000, 0)</f>
        <v>0</v>
      </c>
      <c r="O298" s="14">
        <f>IF(ISNUMBER('Klisz-Verbräuche'!P133), 'Klisz-Verbräuche'!P133*Emissionsfaktoren!N133/1000, 0)</f>
        <v>0</v>
      </c>
      <c r="P298" s="14">
        <f>IF(ISNUMBER('Klisz-Verbräuche'!Q133), 'Klisz-Verbräuche'!Q133*Emissionsfaktoren!O133/1000, 0)</f>
        <v>0</v>
      </c>
      <c r="Q298" s="14">
        <f>IF(ISNUMBER('Klisz-Verbräuche'!R133), 'Klisz-Verbräuche'!R133*Emissionsfaktoren!P133/1000, 0)</f>
        <v>0</v>
      </c>
      <c r="R298" s="14">
        <f>IF(ISNUMBER('Klisz-Verbräuche'!S133), 'Klisz-Verbräuche'!S133*Emissionsfaktoren!Q133/1000, 0)</f>
        <v>0</v>
      </c>
      <c r="S298" s="14">
        <f>IF(ISNUMBER('Klisz-Verbräuche'!T133), 'Klisz-Verbräuche'!T133*Emissionsfaktoren!R133/1000, 0)</f>
        <v>0</v>
      </c>
      <c r="T298" s="14">
        <f>IF(ISNUMBER('Klisz-Verbräuche'!U133), 'Klisz-Verbräuche'!U133*Emissionsfaktoren!S133/1000, 0)</f>
        <v>0</v>
      </c>
      <c r="U298" s="14">
        <f>IF(ISNUMBER('Klisz-Verbräuche'!V133), 'Klisz-Verbräuche'!V133*Emissionsfaktoren!T133/1000, 0)</f>
        <v>0</v>
      </c>
      <c r="V298" s="14">
        <f>IF(ISNUMBER('Klisz-Verbräuche'!W133), 'Klisz-Verbräuche'!W133*Emissionsfaktoren!U133/1000, 0)</f>
        <v>0</v>
      </c>
      <c r="W298" s="14">
        <f>IF(ISNUMBER('Klisz-Verbräuche'!X133), 'Klisz-Verbräuche'!X133*Emissionsfaktoren!V133/1000, 0)</f>
        <v>0</v>
      </c>
      <c r="X298" s="14">
        <f>IF(ISNUMBER('Klisz-Verbräuche'!Y133), 'Klisz-Verbräuche'!Y133*Emissionsfaktoren!W133/1000, 0)</f>
        <v>0</v>
      </c>
      <c r="Y298" s="14">
        <f>IF(ISNUMBER('Klisz-Verbräuche'!Z133), 'Klisz-Verbräuche'!Z133*Emissionsfaktoren!X133/1000, 0)</f>
        <v>0</v>
      </c>
    </row>
    <row r="299" spans="2:25" ht="16.5">
      <c r="B299" s="14">
        <v>117</v>
      </c>
      <c r="C299" s="14" t="str">
        <f>'Refsz-Verbräuche'!C134</f>
        <v>Baugüter</v>
      </c>
      <c r="D299" s="19" t="str">
        <f>'Refsz-Verbräuche'!D134</f>
        <v>Branntkalk</v>
      </c>
      <c r="E299" t="s">
        <v>195</v>
      </c>
      <c r="F299" s="14">
        <f>IF(ISNUMBER('Klisz-Verbräuche'!G134), 'Klisz-Verbräuche'!G134*Emissionsfaktoren!E134/1000, 0)</f>
        <v>0</v>
      </c>
      <c r="G299" s="14">
        <f>IF(ISNUMBER('Klisz-Verbräuche'!H134), 'Klisz-Verbräuche'!H134*Emissionsfaktoren!F134/1000, 0)</f>
        <v>0</v>
      </c>
      <c r="H299" s="14">
        <f>IF(ISNUMBER('Klisz-Verbräuche'!I134), 'Klisz-Verbräuche'!I134*Emissionsfaktoren!G134/1000, 0)</f>
        <v>0</v>
      </c>
      <c r="I299" s="14">
        <f>IF(ISNUMBER('Klisz-Verbräuche'!J134), 'Klisz-Verbräuche'!J134*Emissionsfaktoren!H134/1000, 0)</f>
        <v>0</v>
      </c>
      <c r="J299" s="14">
        <f>IF(ISNUMBER('Klisz-Verbräuche'!K134), 'Klisz-Verbräuche'!K134*Emissionsfaktoren!I134/1000, 0)</f>
        <v>0</v>
      </c>
      <c r="K299" s="14">
        <f>IF(ISNUMBER('Klisz-Verbräuche'!L134), 'Klisz-Verbräuche'!L134*Emissionsfaktoren!J134/1000, 0)</f>
        <v>0</v>
      </c>
      <c r="L299" s="14">
        <f>IF(ISNUMBER('Klisz-Verbräuche'!M134), 'Klisz-Verbräuche'!M134*Emissionsfaktoren!K134/1000, 0)</f>
        <v>0</v>
      </c>
      <c r="M299" s="14">
        <f>IF(ISNUMBER('Klisz-Verbräuche'!N134), 'Klisz-Verbräuche'!N134*Emissionsfaktoren!L134/1000, 0)</f>
        <v>0</v>
      </c>
      <c r="N299" s="14">
        <f>IF(ISNUMBER('Klisz-Verbräuche'!O134), 'Klisz-Verbräuche'!O134*Emissionsfaktoren!M134/1000, 0)</f>
        <v>0</v>
      </c>
      <c r="O299" s="14">
        <f>IF(ISNUMBER('Klisz-Verbräuche'!P134), 'Klisz-Verbräuche'!P134*Emissionsfaktoren!N134/1000, 0)</f>
        <v>0</v>
      </c>
      <c r="P299" s="14">
        <f>IF(ISNUMBER('Klisz-Verbräuche'!Q134), 'Klisz-Verbräuche'!Q134*Emissionsfaktoren!O134/1000, 0)</f>
        <v>0</v>
      </c>
      <c r="Q299" s="14">
        <f>IF(ISNUMBER('Klisz-Verbräuche'!R134), 'Klisz-Verbräuche'!R134*Emissionsfaktoren!P134/1000, 0)</f>
        <v>0</v>
      </c>
      <c r="R299" s="14">
        <f>IF(ISNUMBER('Klisz-Verbräuche'!S134), 'Klisz-Verbräuche'!S134*Emissionsfaktoren!Q134/1000, 0)</f>
        <v>0</v>
      </c>
      <c r="S299" s="14">
        <f>IF(ISNUMBER('Klisz-Verbräuche'!T134), 'Klisz-Verbräuche'!T134*Emissionsfaktoren!R134/1000, 0)</f>
        <v>0</v>
      </c>
      <c r="T299" s="14">
        <f>IF(ISNUMBER('Klisz-Verbräuche'!U134), 'Klisz-Verbräuche'!U134*Emissionsfaktoren!S134/1000, 0)</f>
        <v>0</v>
      </c>
      <c r="U299" s="14">
        <f>IF(ISNUMBER('Klisz-Verbräuche'!V134), 'Klisz-Verbräuche'!V134*Emissionsfaktoren!T134/1000, 0)</f>
        <v>0</v>
      </c>
      <c r="V299" s="14">
        <f>IF(ISNUMBER('Klisz-Verbräuche'!W134), 'Klisz-Verbräuche'!W134*Emissionsfaktoren!U134/1000, 0)</f>
        <v>0</v>
      </c>
      <c r="W299" s="14">
        <f>IF(ISNUMBER('Klisz-Verbräuche'!X134), 'Klisz-Verbräuche'!X134*Emissionsfaktoren!V134/1000, 0)</f>
        <v>0</v>
      </c>
      <c r="X299" s="14">
        <f>IF(ISNUMBER('Klisz-Verbräuche'!Y134), 'Klisz-Verbräuche'!Y134*Emissionsfaktoren!W134/1000, 0)</f>
        <v>0</v>
      </c>
      <c r="Y299" s="14">
        <f>IF(ISNUMBER('Klisz-Verbräuche'!Z134), 'Klisz-Verbräuche'!Z134*Emissionsfaktoren!X134/1000, 0)</f>
        <v>0</v>
      </c>
    </row>
    <row r="300" spans="2:25" ht="16.5">
      <c r="B300" s="14">
        <v>118</v>
      </c>
      <c r="C300" s="14" t="str">
        <f>'Refsz-Verbräuche'!C135</f>
        <v>Baugüter</v>
      </c>
      <c r="D300" s="19" t="str">
        <f>'Refsz-Verbräuche'!D135</f>
        <v>Gips</v>
      </c>
      <c r="E300" t="s">
        <v>195</v>
      </c>
      <c r="F300" s="14">
        <f>IF(ISNUMBER('Klisz-Verbräuche'!G135), 'Klisz-Verbräuche'!G135*Emissionsfaktoren!E135/1000, 0)</f>
        <v>0</v>
      </c>
      <c r="G300" s="14">
        <f>IF(ISNUMBER('Klisz-Verbräuche'!H135), 'Klisz-Verbräuche'!H135*Emissionsfaktoren!F135/1000, 0)</f>
        <v>0</v>
      </c>
      <c r="H300" s="14">
        <f>IF(ISNUMBER('Klisz-Verbräuche'!I135), 'Klisz-Verbräuche'!I135*Emissionsfaktoren!G135/1000, 0)</f>
        <v>0</v>
      </c>
      <c r="I300" s="14">
        <f>IF(ISNUMBER('Klisz-Verbräuche'!J135), 'Klisz-Verbräuche'!J135*Emissionsfaktoren!H135/1000, 0)</f>
        <v>0</v>
      </c>
      <c r="J300" s="14">
        <f>IF(ISNUMBER('Klisz-Verbräuche'!K135), 'Klisz-Verbräuche'!K135*Emissionsfaktoren!I135/1000, 0)</f>
        <v>0</v>
      </c>
      <c r="K300" s="14">
        <f>IF(ISNUMBER('Klisz-Verbräuche'!L135), 'Klisz-Verbräuche'!L135*Emissionsfaktoren!J135/1000, 0)</f>
        <v>0</v>
      </c>
      <c r="L300" s="14">
        <f>IF(ISNUMBER('Klisz-Verbräuche'!M135), 'Klisz-Verbräuche'!M135*Emissionsfaktoren!K135/1000, 0)</f>
        <v>0</v>
      </c>
      <c r="M300" s="14">
        <f>IF(ISNUMBER('Klisz-Verbräuche'!N135), 'Klisz-Verbräuche'!N135*Emissionsfaktoren!L135/1000, 0)</f>
        <v>0</v>
      </c>
      <c r="N300" s="14">
        <f>IF(ISNUMBER('Klisz-Verbräuche'!O135), 'Klisz-Verbräuche'!O135*Emissionsfaktoren!M135/1000, 0)</f>
        <v>0</v>
      </c>
      <c r="O300" s="14">
        <f>IF(ISNUMBER('Klisz-Verbräuche'!P135), 'Klisz-Verbräuche'!P135*Emissionsfaktoren!N135/1000, 0)</f>
        <v>0</v>
      </c>
      <c r="P300" s="14">
        <f>IF(ISNUMBER('Klisz-Verbräuche'!Q135), 'Klisz-Verbräuche'!Q135*Emissionsfaktoren!O135/1000, 0)</f>
        <v>0</v>
      </c>
      <c r="Q300" s="14">
        <f>IF(ISNUMBER('Klisz-Verbräuche'!R135), 'Klisz-Verbräuche'!R135*Emissionsfaktoren!P135/1000, 0)</f>
        <v>0</v>
      </c>
      <c r="R300" s="14">
        <f>IF(ISNUMBER('Klisz-Verbräuche'!S135), 'Klisz-Verbräuche'!S135*Emissionsfaktoren!Q135/1000, 0)</f>
        <v>0</v>
      </c>
      <c r="S300" s="14">
        <f>IF(ISNUMBER('Klisz-Verbräuche'!T135), 'Klisz-Verbräuche'!T135*Emissionsfaktoren!R135/1000, 0)</f>
        <v>0</v>
      </c>
      <c r="T300" s="14">
        <f>IF(ISNUMBER('Klisz-Verbräuche'!U135), 'Klisz-Verbräuche'!U135*Emissionsfaktoren!S135/1000, 0)</f>
        <v>0</v>
      </c>
      <c r="U300" s="14">
        <f>IF(ISNUMBER('Klisz-Verbräuche'!V135), 'Klisz-Verbräuche'!V135*Emissionsfaktoren!T135/1000, 0)</f>
        <v>0</v>
      </c>
      <c r="V300" s="14">
        <f>IF(ISNUMBER('Klisz-Verbräuche'!W135), 'Klisz-Verbräuche'!W135*Emissionsfaktoren!U135/1000, 0)</f>
        <v>0</v>
      </c>
      <c r="W300" s="14">
        <f>IF(ISNUMBER('Klisz-Verbräuche'!X135), 'Klisz-Verbräuche'!X135*Emissionsfaktoren!V135/1000, 0)</f>
        <v>0</v>
      </c>
      <c r="X300" s="14">
        <f>IF(ISNUMBER('Klisz-Verbräuche'!Y135), 'Klisz-Verbräuche'!Y135*Emissionsfaktoren!W135/1000, 0)</f>
        <v>0</v>
      </c>
      <c r="Y300" s="14">
        <f>IF(ISNUMBER('Klisz-Verbräuche'!Z135), 'Klisz-Verbräuche'!Z135*Emissionsfaktoren!X135/1000, 0)</f>
        <v>0</v>
      </c>
    </row>
    <row r="301" spans="2:25" ht="16.5">
      <c r="B301" s="14">
        <v>119</v>
      </c>
      <c r="C301" s="14" t="str">
        <f>'Refsz-Verbräuche'!C136</f>
        <v>Baugüter</v>
      </c>
      <c r="D301" s="19" t="str">
        <f>'Refsz-Verbräuche'!D136</f>
        <v>Gipsplatte</v>
      </c>
      <c r="E301" t="s">
        <v>195</v>
      </c>
      <c r="F301" s="14">
        <f>IF(ISNUMBER('Klisz-Verbräuche'!G136), 'Klisz-Verbräuche'!G136*Emissionsfaktoren!E136/1000, 0)</f>
        <v>0</v>
      </c>
      <c r="G301" s="14">
        <f>IF(ISNUMBER('Klisz-Verbräuche'!H136), 'Klisz-Verbräuche'!H136*Emissionsfaktoren!F136/1000, 0)</f>
        <v>0</v>
      </c>
      <c r="H301" s="14">
        <f>IF(ISNUMBER('Klisz-Verbräuche'!I136), 'Klisz-Verbräuche'!I136*Emissionsfaktoren!G136/1000, 0)</f>
        <v>0</v>
      </c>
      <c r="I301" s="14">
        <f>IF(ISNUMBER('Klisz-Verbräuche'!J136), 'Klisz-Verbräuche'!J136*Emissionsfaktoren!H136/1000, 0)</f>
        <v>0</v>
      </c>
      <c r="J301" s="14">
        <f>IF(ISNUMBER('Klisz-Verbräuche'!K136), 'Klisz-Verbräuche'!K136*Emissionsfaktoren!I136/1000, 0)</f>
        <v>0</v>
      </c>
      <c r="K301" s="14">
        <f>IF(ISNUMBER('Klisz-Verbräuche'!L136), 'Klisz-Verbräuche'!L136*Emissionsfaktoren!J136/1000, 0)</f>
        <v>0</v>
      </c>
      <c r="L301" s="14">
        <f>IF(ISNUMBER('Klisz-Verbräuche'!M136), 'Klisz-Verbräuche'!M136*Emissionsfaktoren!K136/1000, 0)</f>
        <v>0</v>
      </c>
      <c r="M301" s="14">
        <f>IF(ISNUMBER('Klisz-Verbräuche'!N136), 'Klisz-Verbräuche'!N136*Emissionsfaktoren!L136/1000, 0)</f>
        <v>0</v>
      </c>
      <c r="N301" s="14">
        <f>IF(ISNUMBER('Klisz-Verbräuche'!O136), 'Klisz-Verbräuche'!O136*Emissionsfaktoren!M136/1000, 0)</f>
        <v>0</v>
      </c>
      <c r="O301" s="14">
        <f>IF(ISNUMBER('Klisz-Verbräuche'!P136), 'Klisz-Verbräuche'!P136*Emissionsfaktoren!N136/1000, 0)</f>
        <v>0</v>
      </c>
      <c r="P301" s="14">
        <f>IF(ISNUMBER('Klisz-Verbräuche'!Q136), 'Klisz-Verbräuche'!Q136*Emissionsfaktoren!O136/1000, 0)</f>
        <v>0</v>
      </c>
      <c r="Q301" s="14">
        <f>IF(ISNUMBER('Klisz-Verbräuche'!R136), 'Klisz-Verbräuche'!R136*Emissionsfaktoren!P136/1000, 0)</f>
        <v>0</v>
      </c>
      <c r="R301" s="14">
        <f>IF(ISNUMBER('Klisz-Verbräuche'!S136), 'Klisz-Verbräuche'!S136*Emissionsfaktoren!Q136/1000, 0)</f>
        <v>0</v>
      </c>
      <c r="S301" s="14">
        <f>IF(ISNUMBER('Klisz-Verbräuche'!T136), 'Klisz-Verbräuche'!T136*Emissionsfaktoren!R136/1000, 0)</f>
        <v>0</v>
      </c>
      <c r="T301" s="14">
        <f>IF(ISNUMBER('Klisz-Verbräuche'!U136), 'Klisz-Verbräuche'!U136*Emissionsfaktoren!S136/1000, 0)</f>
        <v>0</v>
      </c>
      <c r="U301" s="14">
        <f>IF(ISNUMBER('Klisz-Verbräuche'!V136), 'Klisz-Verbräuche'!V136*Emissionsfaktoren!T136/1000, 0)</f>
        <v>0</v>
      </c>
      <c r="V301" s="14">
        <f>IF(ISNUMBER('Klisz-Verbräuche'!W136), 'Klisz-Verbräuche'!W136*Emissionsfaktoren!U136/1000, 0)</f>
        <v>0</v>
      </c>
      <c r="W301" s="14">
        <f>IF(ISNUMBER('Klisz-Verbräuche'!X136), 'Klisz-Verbräuche'!X136*Emissionsfaktoren!V136/1000, 0)</f>
        <v>0</v>
      </c>
      <c r="X301" s="14">
        <f>IF(ISNUMBER('Klisz-Verbräuche'!Y136), 'Klisz-Verbräuche'!Y136*Emissionsfaktoren!W136/1000, 0)</f>
        <v>0</v>
      </c>
      <c r="Y301" s="14">
        <f>IF(ISNUMBER('Klisz-Verbräuche'!Z136), 'Klisz-Verbräuche'!Z136*Emissionsfaktoren!X136/1000, 0)</f>
        <v>0</v>
      </c>
    </row>
    <row r="302" spans="2:25" ht="16.5">
      <c r="B302" s="14">
        <v>120</v>
      </c>
      <c r="C302" s="14" t="str">
        <f>'Refsz-Verbräuche'!C137</f>
        <v>Baugüter</v>
      </c>
      <c r="D302" s="19" t="str">
        <f>'Refsz-Verbräuche'!D137</f>
        <v>Glas (flach)</v>
      </c>
      <c r="E302" t="s">
        <v>195</v>
      </c>
      <c r="F302" s="14">
        <f>IF(ISNUMBER('Klisz-Verbräuche'!G137), 'Klisz-Verbräuche'!G137*Emissionsfaktoren!E137/1000, 0)</f>
        <v>0</v>
      </c>
      <c r="G302" s="14">
        <f>IF(ISNUMBER('Klisz-Verbräuche'!H137), 'Klisz-Verbräuche'!H137*Emissionsfaktoren!F137/1000, 0)</f>
        <v>0</v>
      </c>
      <c r="H302" s="14">
        <f>IF(ISNUMBER('Klisz-Verbräuche'!I137), 'Klisz-Verbräuche'!I137*Emissionsfaktoren!G137/1000, 0)</f>
        <v>0</v>
      </c>
      <c r="I302" s="14">
        <f>IF(ISNUMBER('Klisz-Verbräuche'!J137), 'Klisz-Verbräuche'!J137*Emissionsfaktoren!H137/1000, 0)</f>
        <v>0</v>
      </c>
      <c r="J302" s="14">
        <f>IF(ISNUMBER('Klisz-Verbräuche'!K137), 'Klisz-Verbräuche'!K137*Emissionsfaktoren!I137/1000, 0)</f>
        <v>0</v>
      </c>
      <c r="K302" s="14">
        <f>IF(ISNUMBER('Klisz-Verbräuche'!L137), 'Klisz-Verbräuche'!L137*Emissionsfaktoren!J137/1000, 0)</f>
        <v>0</v>
      </c>
      <c r="L302" s="14">
        <f>IF(ISNUMBER('Klisz-Verbräuche'!M137), 'Klisz-Verbräuche'!M137*Emissionsfaktoren!K137/1000, 0)</f>
        <v>0</v>
      </c>
      <c r="M302" s="14">
        <f>IF(ISNUMBER('Klisz-Verbräuche'!N137), 'Klisz-Verbräuche'!N137*Emissionsfaktoren!L137/1000, 0)</f>
        <v>0</v>
      </c>
      <c r="N302" s="14">
        <f>IF(ISNUMBER('Klisz-Verbräuche'!O137), 'Klisz-Verbräuche'!O137*Emissionsfaktoren!M137/1000, 0)</f>
        <v>0</v>
      </c>
      <c r="O302" s="14">
        <f>IF(ISNUMBER('Klisz-Verbräuche'!P137), 'Klisz-Verbräuche'!P137*Emissionsfaktoren!N137/1000, 0)</f>
        <v>0</v>
      </c>
      <c r="P302" s="14">
        <f>IF(ISNUMBER('Klisz-Verbräuche'!Q137), 'Klisz-Verbräuche'!Q137*Emissionsfaktoren!O137/1000, 0)</f>
        <v>0</v>
      </c>
      <c r="Q302" s="14">
        <f>IF(ISNUMBER('Klisz-Verbräuche'!R137), 'Klisz-Verbräuche'!R137*Emissionsfaktoren!P137/1000, 0)</f>
        <v>0</v>
      </c>
      <c r="R302" s="14">
        <f>IF(ISNUMBER('Klisz-Verbräuche'!S137), 'Klisz-Verbräuche'!S137*Emissionsfaktoren!Q137/1000, 0)</f>
        <v>0</v>
      </c>
      <c r="S302" s="14">
        <f>IF(ISNUMBER('Klisz-Verbräuche'!T137), 'Klisz-Verbräuche'!T137*Emissionsfaktoren!R137/1000, 0)</f>
        <v>0</v>
      </c>
      <c r="T302" s="14">
        <f>IF(ISNUMBER('Klisz-Verbräuche'!U137), 'Klisz-Verbräuche'!U137*Emissionsfaktoren!S137/1000, 0)</f>
        <v>0</v>
      </c>
      <c r="U302" s="14">
        <f>IF(ISNUMBER('Klisz-Verbräuche'!V137), 'Klisz-Verbräuche'!V137*Emissionsfaktoren!T137/1000, 0)</f>
        <v>0</v>
      </c>
      <c r="V302" s="14">
        <f>IF(ISNUMBER('Klisz-Verbräuche'!W137), 'Klisz-Verbräuche'!W137*Emissionsfaktoren!U137/1000, 0)</f>
        <v>0</v>
      </c>
      <c r="W302" s="14">
        <f>IF(ISNUMBER('Klisz-Verbräuche'!X137), 'Klisz-Verbräuche'!X137*Emissionsfaktoren!V137/1000, 0)</f>
        <v>0</v>
      </c>
      <c r="X302" s="14">
        <f>IF(ISNUMBER('Klisz-Verbräuche'!Y137), 'Klisz-Verbräuche'!Y137*Emissionsfaktoren!W137/1000, 0)</f>
        <v>0</v>
      </c>
      <c r="Y302" s="14">
        <f>IF(ISNUMBER('Klisz-Verbräuche'!Z137), 'Klisz-Verbräuche'!Z137*Emissionsfaktoren!X137/1000, 0)</f>
        <v>0</v>
      </c>
    </row>
    <row r="303" spans="2:25" ht="16.5">
      <c r="B303" s="14">
        <v>121</v>
      </c>
      <c r="C303" s="14" t="str">
        <f>'Refsz-Verbräuche'!C138</f>
        <v>Baugüter</v>
      </c>
      <c r="D303" s="19" t="str">
        <f>'Refsz-Verbräuche'!D138</f>
        <v>Gussasphalt</v>
      </c>
      <c r="E303" t="s">
        <v>195</v>
      </c>
      <c r="F303" s="14">
        <f>IF(ISNUMBER('Klisz-Verbräuche'!G138), 'Klisz-Verbräuche'!G138*Emissionsfaktoren!E138/1000, 0)</f>
        <v>0</v>
      </c>
      <c r="G303" s="14">
        <f>IF(ISNUMBER('Klisz-Verbräuche'!H138), 'Klisz-Verbräuche'!H138*Emissionsfaktoren!F138/1000, 0)</f>
        <v>0</v>
      </c>
      <c r="H303" s="14">
        <f>IF(ISNUMBER('Klisz-Verbräuche'!I138), 'Klisz-Verbräuche'!I138*Emissionsfaktoren!G138/1000, 0)</f>
        <v>0</v>
      </c>
      <c r="I303" s="14">
        <f>IF(ISNUMBER('Klisz-Verbräuche'!J138), 'Klisz-Verbräuche'!J138*Emissionsfaktoren!H138/1000, 0)</f>
        <v>0</v>
      </c>
      <c r="J303" s="14">
        <f>IF(ISNUMBER('Klisz-Verbräuche'!K138), 'Klisz-Verbräuche'!K138*Emissionsfaktoren!I138/1000, 0)</f>
        <v>0</v>
      </c>
      <c r="K303" s="14">
        <f>IF(ISNUMBER('Klisz-Verbräuche'!L138), 'Klisz-Verbräuche'!L138*Emissionsfaktoren!J138/1000, 0)</f>
        <v>0</v>
      </c>
      <c r="L303" s="14">
        <f>IF(ISNUMBER('Klisz-Verbräuche'!M138), 'Klisz-Verbräuche'!M138*Emissionsfaktoren!K138/1000, 0)</f>
        <v>0</v>
      </c>
      <c r="M303" s="14">
        <f>IF(ISNUMBER('Klisz-Verbräuche'!N138), 'Klisz-Verbräuche'!N138*Emissionsfaktoren!L138/1000, 0)</f>
        <v>0</v>
      </c>
      <c r="N303" s="14">
        <f>IF(ISNUMBER('Klisz-Verbräuche'!O138), 'Klisz-Verbräuche'!O138*Emissionsfaktoren!M138/1000, 0)</f>
        <v>0</v>
      </c>
      <c r="O303" s="14">
        <f>IF(ISNUMBER('Klisz-Verbräuche'!P138), 'Klisz-Verbräuche'!P138*Emissionsfaktoren!N138/1000, 0)</f>
        <v>0</v>
      </c>
      <c r="P303" s="14">
        <f>IF(ISNUMBER('Klisz-Verbräuche'!Q138), 'Klisz-Verbräuche'!Q138*Emissionsfaktoren!O138/1000, 0)</f>
        <v>0</v>
      </c>
      <c r="Q303" s="14">
        <f>IF(ISNUMBER('Klisz-Verbräuche'!R138), 'Klisz-Verbräuche'!R138*Emissionsfaktoren!P138/1000, 0)</f>
        <v>0</v>
      </c>
      <c r="R303" s="14">
        <f>IF(ISNUMBER('Klisz-Verbräuche'!S138), 'Klisz-Verbräuche'!S138*Emissionsfaktoren!Q138/1000, 0)</f>
        <v>0</v>
      </c>
      <c r="S303" s="14">
        <f>IF(ISNUMBER('Klisz-Verbräuche'!T138), 'Klisz-Verbräuche'!T138*Emissionsfaktoren!R138/1000, 0)</f>
        <v>0</v>
      </c>
      <c r="T303" s="14">
        <f>IF(ISNUMBER('Klisz-Verbräuche'!U138), 'Klisz-Verbräuche'!U138*Emissionsfaktoren!S138/1000, 0)</f>
        <v>0</v>
      </c>
      <c r="U303" s="14">
        <f>IF(ISNUMBER('Klisz-Verbräuche'!V138), 'Klisz-Verbräuche'!V138*Emissionsfaktoren!T138/1000, 0)</f>
        <v>0</v>
      </c>
      <c r="V303" s="14">
        <f>IF(ISNUMBER('Klisz-Verbräuche'!W138), 'Klisz-Verbräuche'!W138*Emissionsfaktoren!U138/1000, 0)</f>
        <v>0</v>
      </c>
      <c r="W303" s="14">
        <f>IF(ISNUMBER('Klisz-Verbräuche'!X138), 'Klisz-Verbräuche'!X138*Emissionsfaktoren!V138/1000, 0)</f>
        <v>0</v>
      </c>
      <c r="X303" s="14">
        <f>IF(ISNUMBER('Klisz-Verbräuche'!Y138), 'Klisz-Verbräuche'!Y138*Emissionsfaktoren!W138/1000, 0)</f>
        <v>0</v>
      </c>
      <c r="Y303" s="14">
        <f>IF(ISNUMBER('Klisz-Verbräuche'!Z138), 'Klisz-Verbräuche'!Z138*Emissionsfaktoren!X138/1000, 0)</f>
        <v>0</v>
      </c>
    </row>
    <row r="304" spans="2:25" ht="16.5">
      <c r="B304" s="14">
        <v>122</v>
      </c>
      <c r="C304" s="14" t="str">
        <f>'Refsz-Verbräuche'!C139</f>
        <v>Baugüter</v>
      </c>
      <c r="D304" s="19" t="str">
        <f>'Refsz-Verbräuche'!D139</f>
        <v>Kalksandstein</v>
      </c>
      <c r="E304" t="s">
        <v>195</v>
      </c>
      <c r="F304" s="14">
        <f>IF(ISNUMBER('Klisz-Verbräuche'!G139), 'Klisz-Verbräuche'!G139*Emissionsfaktoren!E139/1000, 0)</f>
        <v>0</v>
      </c>
      <c r="G304" s="14">
        <f>IF(ISNUMBER('Klisz-Verbräuche'!H139), 'Klisz-Verbräuche'!H139*Emissionsfaktoren!F139/1000, 0)</f>
        <v>0</v>
      </c>
      <c r="H304" s="14">
        <f>IF(ISNUMBER('Klisz-Verbräuche'!I139), 'Klisz-Verbräuche'!I139*Emissionsfaktoren!G139/1000, 0)</f>
        <v>0</v>
      </c>
      <c r="I304" s="14">
        <f>IF(ISNUMBER('Klisz-Verbräuche'!J139), 'Klisz-Verbräuche'!J139*Emissionsfaktoren!H139/1000, 0)</f>
        <v>0</v>
      </c>
      <c r="J304" s="14">
        <f>IF(ISNUMBER('Klisz-Verbräuche'!K139), 'Klisz-Verbräuche'!K139*Emissionsfaktoren!I139/1000, 0)</f>
        <v>0</v>
      </c>
      <c r="K304" s="14">
        <f>IF(ISNUMBER('Klisz-Verbräuche'!L139), 'Klisz-Verbräuche'!L139*Emissionsfaktoren!J139/1000, 0)</f>
        <v>0</v>
      </c>
      <c r="L304" s="14">
        <f>IF(ISNUMBER('Klisz-Verbräuche'!M139), 'Klisz-Verbräuche'!M139*Emissionsfaktoren!K139/1000, 0)</f>
        <v>0</v>
      </c>
      <c r="M304" s="14">
        <f>IF(ISNUMBER('Klisz-Verbräuche'!N139), 'Klisz-Verbräuche'!N139*Emissionsfaktoren!L139/1000, 0)</f>
        <v>0</v>
      </c>
      <c r="N304" s="14">
        <f>IF(ISNUMBER('Klisz-Verbräuche'!O139), 'Klisz-Verbräuche'!O139*Emissionsfaktoren!M139/1000, 0)</f>
        <v>0</v>
      </c>
      <c r="O304" s="14">
        <f>IF(ISNUMBER('Klisz-Verbräuche'!P139), 'Klisz-Verbräuche'!P139*Emissionsfaktoren!N139/1000, 0)</f>
        <v>0</v>
      </c>
      <c r="P304" s="14">
        <f>IF(ISNUMBER('Klisz-Verbräuche'!Q139), 'Klisz-Verbräuche'!Q139*Emissionsfaktoren!O139/1000, 0)</f>
        <v>0</v>
      </c>
      <c r="Q304" s="14">
        <f>IF(ISNUMBER('Klisz-Verbräuche'!R139), 'Klisz-Verbräuche'!R139*Emissionsfaktoren!P139/1000, 0)</f>
        <v>0</v>
      </c>
      <c r="R304" s="14">
        <f>IF(ISNUMBER('Klisz-Verbräuche'!S139), 'Klisz-Verbräuche'!S139*Emissionsfaktoren!Q139/1000, 0)</f>
        <v>0</v>
      </c>
      <c r="S304" s="14">
        <f>IF(ISNUMBER('Klisz-Verbräuche'!T139), 'Klisz-Verbräuche'!T139*Emissionsfaktoren!R139/1000, 0)</f>
        <v>0</v>
      </c>
      <c r="T304" s="14">
        <f>IF(ISNUMBER('Klisz-Verbräuche'!U139), 'Klisz-Verbräuche'!U139*Emissionsfaktoren!S139/1000, 0)</f>
        <v>0</v>
      </c>
      <c r="U304" s="14">
        <f>IF(ISNUMBER('Klisz-Verbräuche'!V139), 'Klisz-Verbräuche'!V139*Emissionsfaktoren!T139/1000, 0)</f>
        <v>0</v>
      </c>
      <c r="V304" s="14">
        <f>IF(ISNUMBER('Klisz-Verbräuche'!W139), 'Klisz-Verbräuche'!W139*Emissionsfaktoren!U139/1000, 0)</f>
        <v>0</v>
      </c>
      <c r="W304" s="14">
        <f>IF(ISNUMBER('Klisz-Verbräuche'!X139), 'Klisz-Verbräuche'!X139*Emissionsfaktoren!V139/1000, 0)</f>
        <v>0</v>
      </c>
      <c r="X304" s="14">
        <f>IF(ISNUMBER('Klisz-Verbräuche'!Y139), 'Klisz-Verbräuche'!Y139*Emissionsfaktoren!W139/1000, 0)</f>
        <v>0</v>
      </c>
      <c r="Y304" s="14">
        <f>IF(ISNUMBER('Klisz-Verbräuche'!Z139), 'Klisz-Verbräuche'!Z139*Emissionsfaktoren!X139/1000, 0)</f>
        <v>0</v>
      </c>
    </row>
    <row r="305" spans="2:25" ht="16.5">
      <c r="B305" s="14">
        <v>123</v>
      </c>
      <c r="C305" s="14" t="str">
        <f>'Refsz-Verbräuche'!C140</f>
        <v>Baugüter</v>
      </c>
      <c r="D305" s="19" t="str">
        <f>'Refsz-Verbräuche'!D140</f>
        <v>Porenbetonstein</v>
      </c>
      <c r="E305" t="s">
        <v>195</v>
      </c>
      <c r="F305" s="14">
        <f>IF(ISNUMBER('Klisz-Verbräuche'!G140), 'Klisz-Verbräuche'!G140*Emissionsfaktoren!E140/1000, 0)</f>
        <v>0</v>
      </c>
      <c r="G305" s="14">
        <f>IF(ISNUMBER('Klisz-Verbräuche'!H140), 'Klisz-Verbräuche'!H140*Emissionsfaktoren!F140/1000, 0)</f>
        <v>0</v>
      </c>
      <c r="H305" s="14">
        <f>IF(ISNUMBER('Klisz-Verbräuche'!I140), 'Klisz-Verbräuche'!I140*Emissionsfaktoren!G140/1000, 0)</f>
        <v>0</v>
      </c>
      <c r="I305" s="14">
        <f>IF(ISNUMBER('Klisz-Verbräuche'!J140), 'Klisz-Verbräuche'!J140*Emissionsfaktoren!H140/1000, 0)</f>
        <v>0</v>
      </c>
      <c r="J305" s="14">
        <f>IF(ISNUMBER('Klisz-Verbräuche'!K140), 'Klisz-Verbräuche'!K140*Emissionsfaktoren!I140/1000, 0)</f>
        <v>0</v>
      </c>
      <c r="K305" s="14">
        <f>IF(ISNUMBER('Klisz-Verbräuche'!L140), 'Klisz-Verbräuche'!L140*Emissionsfaktoren!J140/1000, 0)</f>
        <v>0</v>
      </c>
      <c r="L305" s="14">
        <f>IF(ISNUMBER('Klisz-Verbräuche'!M140), 'Klisz-Verbräuche'!M140*Emissionsfaktoren!K140/1000, 0)</f>
        <v>0</v>
      </c>
      <c r="M305" s="14">
        <f>IF(ISNUMBER('Klisz-Verbräuche'!N140), 'Klisz-Verbräuche'!N140*Emissionsfaktoren!L140/1000, 0)</f>
        <v>0</v>
      </c>
      <c r="N305" s="14">
        <f>IF(ISNUMBER('Klisz-Verbräuche'!O140), 'Klisz-Verbräuche'!O140*Emissionsfaktoren!M140/1000, 0)</f>
        <v>0</v>
      </c>
      <c r="O305" s="14">
        <f>IF(ISNUMBER('Klisz-Verbräuche'!P140), 'Klisz-Verbräuche'!P140*Emissionsfaktoren!N140/1000, 0)</f>
        <v>0</v>
      </c>
      <c r="P305" s="14">
        <f>IF(ISNUMBER('Klisz-Verbräuche'!Q140), 'Klisz-Verbräuche'!Q140*Emissionsfaktoren!O140/1000, 0)</f>
        <v>0</v>
      </c>
      <c r="Q305" s="14">
        <f>IF(ISNUMBER('Klisz-Verbräuche'!R140), 'Klisz-Verbräuche'!R140*Emissionsfaktoren!P140/1000, 0)</f>
        <v>0</v>
      </c>
      <c r="R305" s="14">
        <f>IF(ISNUMBER('Klisz-Verbräuche'!S140), 'Klisz-Verbräuche'!S140*Emissionsfaktoren!Q140/1000, 0)</f>
        <v>0</v>
      </c>
      <c r="S305" s="14">
        <f>IF(ISNUMBER('Klisz-Verbräuche'!T140), 'Klisz-Verbräuche'!T140*Emissionsfaktoren!R140/1000, 0)</f>
        <v>0</v>
      </c>
      <c r="T305" s="14">
        <f>IF(ISNUMBER('Klisz-Verbräuche'!U140), 'Klisz-Verbräuche'!U140*Emissionsfaktoren!S140/1000, 0)</f>
        <v>0</v>
      </c>
      <c r="U305" s="14">
        <f>IF(ISNUMBER('Klisz-Verbräuche'!V140), 'Klisz-Verbräuche'!V140*Emissionsfaktoren!T140/1000, 0)</f>
        <v>0</v>
      </c>
      <c r="V305" s="14">
        <f>IF(ISNUMBER('Klisz-Verbräuche'!W140), 'Klisz-Verbräuche'!W140*Emissionsfaktoren!U140/1000, 0)</f>
        <v>0</v>
      </c>
      <c r="W305" s="14">
        <f>IF(ISNUMBER('Klisz-Verbräuche'!X140), 'Klisz-Verbräuche'!X140*Emissionsfaktoren!V140/1000, 0)</f>
        <v>0</v>
      </c>
      <c r="X305" s="14">
        <f>IF(ISNUMBER('Klisz-Verbräuche'!Y140), 'Klisz-Verbräuche'!Y140*Emissionsfaktoren!W140/1000, 0)</f>
        <v>0</v>
      </c>
      <c r="Y305" s="14">
        <f>IF(ISNUMBER('Klisz-Verbräuche'!Z140), 'Klisz-Verbräuche'!Z140*Emissionsfaktoren!X140/1000, 0)</f>
        <v>0</v>
      </c>
    </row>
    <row r="306" spans="2:25" ht="16.5">
      <c r="B306" s="14">
        <v>124</v>
      </c>
      <c r="C306" s="14" t="str">
        <f>'Refsz-Verbräuche'!C141</f>
        <v>Baugüter</v>
      </c>
      <c r="D306" s="19" t="str">
        <f>'Refsz-Verbräuche'!D141</f>
        <v>Steinwolle</v>
      </c>
      <c r="E306" t="s">
        <v>195</v>
      </c>
      <c r="F306" s="14">
        <f>IF(ISNUMBER('Klisz-Verbräuche'!G141), 'Klisz-Verbräuche'!G141*Emissionsfaktoren!E141/1000, 0)</f>
        <v>0</v>
      </c>
      <c r="G306" s="14">
        <f>IF(ISNUMBER('Klisz-Verbräuche'!H141), 'Klisz-Verbräuche'!H141*Emissionsfaktoren!F141/1000, 0)</f>
        <v>0</v>
      </c>
      <c r="H306" s="14">
        <f>IF(ISNUMBER('Klisz-Verbräuche'!I141), 'Klisz-Verbräuche'!I141*Emissionsfaktoren!G141/1000, 0)</f>
        <v>0</v>
      </c>
      <c r="I306" s="14">
        <f>IF(ISNUMBER('Klisz-Verbräuche'!J141), 'Klisz-Verbräuche'!J141*Emissionsfaktoren!H141/1000, 0)</f>
        <v>0</v>
      </c>
      <c r="J306" s="14">
        <f>IF(ISNUMBER('Klisz-Verbräuche'!K141), 'Klisz-Verbräuche'!K141*Emissionsfaktoren!I141/1000, 0)</f>
        <v>0</v>
      </c>
      <c r="K306" s="14">
        <f>IF(ISNUMBER('Klisz-Verbräuche'!L141), 'Klisz-Verbräuche'!L141*Emissionsfaktoren!J141/1000, 0)</f>
        <v>0</v>
      </c>
      <c r="L306" s="14">
        <f>IF(ISNUMBER('Klisz-Verbräuche'!M141), 'Klisz-Verbräuche'!M141*Emissionsfaktoren!K141/1000, 0)</f>
        <v>0</v>
      </c>
      <c r="M306" s="14">
        <f>IF(ISNUMBER('Klisz-Verbräuche'!N141), 'Klisz-Verbräuche'!N141*Emissionsfaktoren!L141/1000, 0)</f>
        <v>0</v>
      </c>
      <c r="N306" s="14">
        <f>IF(ISNUMBER('Klisz-Verbräuche'!O141), 'Klisz-Verbräuche'!O141*Emissionsfaktoren!M141/1000, 0)</f>
        <v>0</v>
      </c>
      <c r="O306" s="14">
        <f>IF(ISNUMBER('Klisz-Verbräuche'!P141), 'Klisz-Verbräuche'!P141*Emissionsfaktoren!N141/1000, 0)</f>
        <v>0</v>
      </c>
      <c r="P306" s="14">
        <f>IF(ISNUMBER('Klisz-Verbräuche'!Q141), 'Klisz-Verbräuche'!Q141*Emissionsfaktoren!O141/1000, 0)</f>
        <v>0</v>
      </c>
      <c r="Q306" s="14">
        <f>IF(ISNUMBER('Klisz-Verbräuche'!R141), 'Klisz-Verbräuche'!R141*Emissionsfaktoren!P141/1000, 0)</f>
        <v>0</v>
      </c>
      <c r="R306" s="14">
        <f>IF(ISNUMBER('Klisz-Verbräuche'!S141), 'Klisz-Verbräuche'!S141*Emissionsfaktoren!Q141/1000, 0)</f>
        <v>0</v>
      </c>
      <c r="S306" s="14">
        <f>IF(ISNUMBER('Klisz-Verbräuche'!T141), 'Klisz-Verbräuche'!T141*Emissionsfaktoren!R141/1000, 0)</f>
        <v>0</v>
      </c>
      <c r="T306" s="14">
        <f>IF(ISNUMBER('Klisz-Verbräuche'!U141), 'Klisz-Verbräuche'!U141*Emissionsfaktoren!S141/1000, 0)</f>
        <v>0</v>
      </c>
      <c r="U306" s="14">
        <f>IF(ISNUMBER('Klisz-Verbräuche'!V141), 'Klisz-Verbräuche'!V141*Emissionsfaktoren!T141/1000, 0)</f>
        <v>0</v>
      </c>
      <c r="V306" s="14">
        <f>IF(ISNUMBER('Klisz-Verbräuche'!W141), 'Klisz-Verbräuche'!W141*Emissionsfaktoren!U141/1000, 0)</f>
        <v>0</v>
      </c>
      <c r="W306" s="14">
        <f>IF(ISNUMBER('Klisz-Verbräuche'!X141), 'Klisz-Verbräuche'!X141*Emissionsfaktoren!V141/1000, 0)</f>
        <v>0</v>
      </c>
      <c r="X306" s="14">
        <f>IF(ISNUMBER('Klisz-Verbräuche'!Y141), 'Klisz-Verbräuche'!Y141*Emissionsfaktoren!W141/1000, 0)</f>
        <v>0</v>
      </c>
      <c r="Y306" s="14">
        <f>IF(ISNUMBER('Klisz-Verbräuche'!Z141), 'Klisz-Verbräuche'!Z141*Emissionsfaktoren!X141/1000, 0)</f>
        <v>0</v>
      </c>
    </row>
    <row r="307" spans="2:25" ht="16.5">
      <c r="B307" s="14">
        <v>125</v>
      </c>
      <c r="C307" s="14" t="str">
        <f>'Refsz-Verbräuche'!C142</f>
        <v>Baugüter</v>
      </c>
      <c r="D307" s="19" t="str">
        <f>'Refsz-Verbräuche'!D142</f>
        <v>Tonziegel (fürs Dach)</v>
      </c>
      <c r="E307" t="s">
        <v>195</v>
      </c>
      <c r="F307" s="14">
        <f>IF(ISNUMBER('Klisz-Verbräuche'!G142), 'Klisz-Verbräuche'!G142*Emissionsfaktoren!E142/1000, 0)</f>
        <v>0</v>
      </c>
      <c r="G307" s="14">
        <f>IF(ISNUMBER('Klisz-Verbräuche'!H142), 'Klisz-Verbräuche'!H142*Emissionsfaktoren!F142/1000, 0)</f>
        <v>0</v>
      </c>
      <c r="H307" s="14">
        <f>IF(ISNUMBER('Klisz-Verbräuche'!I142), 'Klisz-Verbräuche'!I142*Emissionsfaktoren!G142/1000, 0)</f>
        <v>0</v>
      </c>
      <c r="I307" s="14">
        <f>IF(ISNUMBER('Klisz-Verbräuche'!J142), 'Klisz-Verbräuche'!J142*Emissionsfaktoren!H142/1000, 0)</f>
        <v>0</v>
      </c>
      <c r="J307" s="14">
        <f>IF(ISNUMBER('Klisz-Verbräuche'!K142), 'Klisz-Verbräuche'!K142*Emissionsfaktoren!I142/1000, 0)</f>
        <v>0</v>
      </c>
      <c r="K307" s="14">
        <f>IF(ISNUMBER('Klisz-Verbräuche'!L142), 'Klisz-Verbräuche'!L142*Emissionsfaktoren!J142/1000, 0)</f>
        <v>0</v>
      </c>
      <c r="L307" s="14">
        <f>IF(ISNUMBER('Klisz-Verbräuche'!M142), 'Klisz-Verbräuche'!M142*Emissionsfaktoren!K142/1000, 0)</f>
        <v>0</v>
      </c>
      <c r="M307" s="14">
        <f>IF(ISNUMBER('Klisz-Verbräuche'!N142), 'Klisz-Verbräuche'!N142*Emissionsfaktoren!L142/1000, 0)</f>
        <v>0</v>
      </c>
      <c r="N307" s="14">
        <f>IF(ISNUMBER('Klisz-Verbräuche'!O142), 'Klisz-Verbräuche'!O142*Emissionsfaktoren!M142/1000, 0)</f>
        <v>0</v>
      </c>
      <c r="O307" s="14">
        <f>IF(ISNUMBER('Klisz-Verbräuche'!P142), 'Klisz-Verbräuche'!P142*Emissionsfaktoren!N142/1000, 0)</f>
        <v>0</v>
      </c>
      <c r="P307" s="14">
        <f>IF(ISNUMBER('Klisz-Verbräuche'!Q142), 'Klisz-Verbräuche'!Q142*Emissionsfaktoren!O142/1000, 0)</f>
        <v>0</v>
      </c>
      <c r="Q307" s="14">
        <f>IF(ISNUMBER('Klisz-Verbräuche'!R142), 'Klisz-Verbräuche'!R142*Emissionsfaktoren!P142/1000, 0)</f>
        <v>0</v>
      </c>
      <c r="R307" s="14">
        <f>IF(ISNUMBER('Klisz-Verbräuche'!S142), 'Klisz-Verbräuche'!S142*Emissionsfaktoren!Q142/1000, 0)</f>
        <v>0</v>
      </c>
      <c r="S307" s="14">
        <f>IF(ISNUMBER('Klisz-Verbräuche'!T142), 'Klisz-Verbräuche'!T142*Emissionsfaktoren!R142/1000, 0)</f>
        <v>0</v>
      </c>
      <c r="T307" s="14">
        <f>IF(ISNUMBER('Klisz-Verbräuche'!U142), 'Klisz-Verbräuche'!U142*Emissionsfaktoren!S142/1000, 0)</f>
        <v>0</v>
      </c>
      <c r="U307" s="14">
        <f>IF(ISNUMBER('Klisz-Verbräuche'!V142), 'Klisz-Verbräuche'!V142*Emissionsfaktoren!T142/1000, 0)</f>
        <v>0</v>
      </c>
      <c r="V307" s="14">
        <f>IF(ISNUMBER('Klisz-Verbräuche'!W142), 'Klisz-Verbräuche'!W142*Emissionsfaktoren!U142/1000, 0)</f>
        <v>0</v>
      </c>
      <c r="W307" s="14">
        <f>IF(ISNUMBER('Klisz-Verbräuche'!X142), 'Klisz-Verbräuche'!X142*Emissionsfaktoren!V142/1000, 0)</f>
        <v>0</v>
      </c>
      <c r="X307" s="14">
        <f>IF(ISNUMBER('Klisz-Verbräuche'!Y142), 'Klisz-Verbräuche'!Y142*Emissionsfaktoren!W142/1000, 0)</f>
        <v>0</v>
      </c>
      <c r="Y307" s="14">
        <f>IF(ISNUMBER('Klisz-Verbräuche'!Z142), 'Klisz-Verbräuche'!Z142*Emissionsfaktoren!X142/1000, 0)</f>
        <v>0</v>
      </c>
    </row>
    <row r="308" spans="2:25" ht="16.5">
      <c r="B308" s="14">
        <v>126</v>
      </c>
      <c r="C308" s="14" t="str">
        <f>'Refsz-Verbräuche'!C143</f>
        <v>Baugüter</v>
      </c>
      <c r="D308" s="19" t="str">
        <f>'Refsz-Verbräuche'!D143</f>
        <v>Zement (Portland)</v>
      </c>
      <c r="E308" t="s">
        <v>195</v>
      </c>
      <c r="F308" s="14">
        <f>IF(ISNUMBER('Klisz-Verbräuche'!G143), 'Klisz-Verbräuche'!G143*Emissionsfaktoren!E143/1000, 0)</f>
        <v>0</v>
      </c>
      <c r="G308" s="14">
        <f>IF(ISNUMBER('Klisz-Verbräuche'!H143), 'Klisz-Verbräuche'!H143*Emissionsfaktoren!F143/1000, 0)</f>
        <v>0</v>
      </c>
      <c r="H308" s="14">
        <f>IF(ISNUMBER('Klisz-Verbräuche'!I143), 'Klisz-Verbräuche'!I143*Emissionsfaktoren!G143/1000, 0)</f>
        <v>0</v>
      </c>
      <c r="I308" s="14">
        <f>IF(ISNUMBER('Klisz-Verbräuche'!J143), 'Klisz-Verbräuche'!J143*Emissionsfaktoren!H143/1000, 0)</f>
        <v>0</v>
      </c>
      <c r="J308" s="14">
        <f>IF(ISNUMBER('Klisz-Verbräuche'!K143), 'Klisz-Verbräuche'!K143*Emissionsfaktoren!I143/1000, 0)</f>
        <v>0</v>
      </c>
      <c r="K308" s="14">
        <f>IF(ISNUMBER('Klisz-Verbräuche'!L143), 'Klisz-Verbräuche'!L143*Emissionsfaktoren!J143/1000, 0)</f>
        <v>0</v>
      </c>
      <c r="L308" s="14">
        <f>IF(ISNUMBER('Klisz-Verbräuche'!M143), 'Klisz-Verbräuche'!M143*Emissionsfaktoren!K143/1000, 0)</f>
        <v>0</v>
      </c>
      <c r="M308" s="14">
        <f>IF(ISNUMBER('Klisz-Verbräuche'!N143), 'Klisz-Verbräuche'!N143*Emissionsfaktoren!L143/1000, 0)</f>
        <v>0</v>
      </c>
      <c r="N308" s="14">
        <f>IF(ISNUMBER('Klisz-Verbräuche'!O143), 'Klisz-Verbräuche'!O143*Emissionsfaktoren!M143/1000, 0)</f>
        <v>0</v>
      </c>
      <c r="O308" s="14">
        <f>IF(ISNUMBER('Klisz-Verbräuche'!P143), 'Klisz-Verbräuche'!P143*Emissionsfaktoren!N143/1000, 0)</f>
        <v>0</v>
      </c>
      <c r="P308" s="14">
        <f>IF(ISNUMBER('Klisz-Verbräuche'!Q143), 'Klisz-Verbräuche'!Q143*Emissionsfaktoren!O143/1000, 0)</f>
        <v>0</v>
      </c>
      <c r="Q308" s="14">
        <f>IF(ISNUMBER('Klisz-Verbräuche'!R143), 'Klisz-Verbräuche'!R143*Emissionsfaktoren!P143/1000, 0)</f>
        <v>0</v>
      </c>
      <c r="R308" s="14">
        <f>IF(ISNUMBER('Klisz-Verbräuche'!S143), 'Klisz-Verbräuche'!S143*Emissionsfaktoren!Q143/1000, 0)</f>
        <v>0</v>
      </c>
      <c r="S308" s="14">
        <f>IF(ISNUMBER('Klisz-Verbräuche'!T143), 'Klisz-Verbräuche'!T143*Emissionsfaktoren!R143/1000, 0)</f>
        <v>0</v>
      </c>
      <c r="T308" s="14">
        <f>IF(ISNUMBER('Klisz-Verbräuche'!U143), 'Klisz-Verbräuche'!U143*Emissionsfaktoren!S143/1000, 0)</f>
        <v>0</v>
      </c>
      <c r="U308" s="14">
        <f>IF(ISNUMBER('Klisz-Verbräuche'!V143), 'Klisz-Verbräuche'!V143*Emissionsfaktoren!T143/1000, 0)</f>
        <v>0</v>
      </c>
      <c r="V308" s="14">
        <f>IF(ISNUMBER('Klisz-Verbräuche'!W143), 'Klisz-Verbräuche'!W143*Emissionsfaktoren!U143/1000, 0)</f>
        <v>0</v>
      </c>
      <c r="W308" s="14">
        <f>IF(ISNUMBER('Klisz-Verbräuche'!X143), 'Klisz-Verbräuche'!X143*Emissionsfaktoren!V143/1000, 0)</f>
        <v>0</v>
      </c>
      <c r="X308" s="14">
        <f>IF(ISNUMBER('Klisz-Verbräuche'!Y143), 'Klisz-Verbräuche'!Y143*Emissionsfaktoren!W143/1000, 0)</f>
        <v>0</v>
      </c>
      <c r="Y308" s="14">
        <f>IF(ISNUMBER('Klisz-Verbräuche'!Z143), 'Klisz-Verbräuche'!Z143*Emissionsfaktoren!X143/1000, 0)</f>
        <v>0</v>
      </c>
    </row>
    <row r="309" spans="2:25" ht="16.5">
      <c r="B309" s="14">
        <v>127</v>
      </c>
      <c r="C309" s="14" t="str">
        <f>'Refsz-Verbräuche'!C144</f>
        <v>Baugüter</v>
      </c>
      <c r="D309" s="19" t="str">
        <f>'Refsz-Verbräuche'!D144</f>
        <v>Kies</v>
      </c>
      <c r="E309" t="s">
        <v>195</v>
      </c>
      <c r="F309" s="14">
        <f>IF(ISNUMBER('Klisz-Verbräuche'!G144), 'Klisz-Verbräuche'!G144*Emissionsfaktoren!E144/1000, 0)</f>
        <v>0</v>
      </c>
      <c r="G309" s="14">
        <f>IF(ISNUMBER('Klisz-Verbräuche'!H144), 'Klisz-Verbräuche'!H144*Emissionsfaktoren!F144/1000, 0)</f>
        <v>0</v>
      </c>
      <c r="H309" s="14">
        <f>IF(ISNUMBER('Klisz-Verbräuche'!I144), 'Klisz-Verbräuche'!I144*Emissionsfaktoren!G144/1000, 0)</f>
        <v>0</v>
      </c>
      <c r="I309" s="14">
        <f>IF(ISNUMBER('Klisz-Verbräuche'!J144), 'Klisz-Verbräuche'!J144*Emissionsfaktoren!H144/1000, 0)</f>
        <v>0</v>
      </c>
      <c r="J309" s="14">
        <f>IF(ISNUMBER('Klisz-Verbräuche'!K144), 'Klisz-Verbräuche'!K144*Emissionsfaktoren!I144/1000, 0)</f>
        <v>0</v>
      </c>
      <c r="K309" s="14">
        <f>IF(ISNUMBER('Klisz-Verbräuche'!L144), 'Klisz-Verbräuche'!L144*Emissionsfaktoren!J144/1000, 0)</f>
        <v>0</v>
      </c>
      <c r="L309" s="14">
        <f>IF(ISNUMBER('Klisz-Verbräuche'!M144), 'Klisz-Verbräuche'!M144*Emissionsfaktoren!K144/1000, 0)</f>
        <v>0</v>
      </c>
      <c r="M309" s="14">
        <f>IF(ISNUMBER('Klisz-Verbräuche'!N144), 'Klisz-Verbräuche'!N144*Emissionsfaktoren!L144/1000, 0)</f>
        <v>0</v>
      </c>
      <c r="N309" s="14">
        <f>IF(ISNUMBER('Klisz-Verbräuche'!O144), 'Klisz-Verbräuche'!O144*Emissionsfaktoren!M144/1000, 0)</f>
        <v>0</v>
      </c>
      <c r="O309" s="14">
        <f>IF(ISNUMBER('Klisz-Verbräuche'!P144), 'Klisz-Verbräuche'!P144*Emissionsfaktoren!N144/1000, 0)</f>
        <v>0</v>
      </c>
      <c r="P309" s="14">
        <f>IF(ISNUMBER('Klisz-Verbräuche'!Q144), 'Klisz-Verbräuche'!Q144*Emissionsfaktoren!O144/1000, 0)</f>
        <v>0</v>
      </c>
      <c r="Q309" s="14">
        <f>IF(ISNUMBER('Klisz-Verbräuche'!R144), 'Klisz-Verbräuche'!R144*Emissionsfaktoren!P144/1000, 0)</f>
        <v>0</v>
      </c>
      <c r="R309" s="14">
        <f>IF(ISNUMBER('Klisz-Verbräuche'!S144), 'Klisz-Verbräuche'!S144*Emissionsfaktoren!Q144/1000, 0)</f>
        <v>0</v>
      </c>
      <c r="S309" s="14">
        <f>IF(ISNUMBER('Klisz-Verbräuche'!T144), 'Klisz-Verbräuche'!T144*Emissionsfaktoren!R144/1000, 0)</f>
        <v>0</v>
      </c>
      <c r="T309" s="14">
        <f>IF(ISNUMBER('Klisz-Verbräuche'!U144), 'Klisz-Verbräuche'!U144*Emissionsfaktoren!S144/1000, 0)</f>
        <v>0</v>
      </c>
      <c r="U309" s="14">
        <f>IF(ISNUMBER('Klisz-Verbräuche'!V144), 'Klisz-Verbräuche'!V144*Emissionsfaktoren!T144/1000, 0)</f>
        <v>0</v>
      </c>
      <c r="V309" s="14">
        <f>IF(ISNUMBER('Klisz-Verbräuche'!W144), 'Klisz-Verbräuche'!W144*Emissionsfaktoren!U144/1000, 0)</f>
        <v>0</v>
      </c>
      <c r="W309" s="14">
        <f>IF(ISNUMBER('Klisz-Verbräuche'!X144), 'Klisz-Verbräuche'!X144*Emissionsfaktoren!V144/1000, 0)</f>
        <v>0</v>
      </c>
      <c r="X309" s="14">
        <f>IF(ISNUMBER('Klisz-Verbräuche'!Y144), 'Klisz-Verbräuche'!Y144*Emissionsfaktoren!W144/1000, 0)</f>
        <v>0</v>
      </c>
      <c r="Y309" s="14">
        <f>IF(ISNUMBER('Klisz-Verbräuche'!Z144), 'Klisz-Verbräuche'!Z144*Emissionsfaktoren!X144/1000, 0)</f>
        <v>0</v>
      </c>
    </row>
    <row r="310" spans="2:25" ht="16.5">
      <c r="B310" s="14">
        <v>128</v>
      </c>
      <c r="C310" s="14" t="str">
        <f>'Refsz-Verbräuche'!C145</f>
        <v>Baugüter</v>
      </c>
      <c r="D310" s="19" t="str">
        <f>'Refsz-Verbräuche'!D145</f>
        <v>Sand</v>
      </c>
      <c r="E310" t="s">
        <v>195</v>
      </c>
      <c r="F310" s="14">
        <f>IF(ISNUMBER('Klisz-Verbräuche'!G145), 'Klisz-Verbräuche'!G145*Emissionsfaktoren!E145/1000, 0)</f>
        <v>0</v>
      </c>
      <c r="G310" s="14">
        <f>IF(ISNUMBER('Klisz-Verbräuche'!H145), 'Klisz-Verbräuche'!H145*Emissionsfaktoren!F145/1000, 0)</f>
        <v>0</v>
      </c>
      <c r="H310" s="14">
        <f>IF(ISNUMBER('Klisz-Verbräuche'!I145), 'Klisz-Verbräuche'!I145*Emissionsfaktoren!G145/1000, 0)</f>
        <v>0</v>
      </c>
      <c r="I310" s="14">
        <f>IF(ISNUMBER('Klisz-Verbräuche'!J145), 'Klisz-Verbräuche'!J145*Emissionsfaktoren!H145/1000, 0)</f>
        <v>0</v>
      </c>
      <c r="J310" s="14">
        <f>IF(ISNUMBER('Klisz-Verbräuche'!K145), 'Klisz-Verbräuche'!K145*Emissionsfaktoren!I145/1000, 0)</f>
        <v>0</v>
      </c>
      <c r="K310" s="14">
        <f>IF(ISNUMBER('Klisz-Verbräuche'!L145), 'Klisz-Verbräuche'!L145*Emissionsfaktoren!J145/1000, 0)</f>
        <v>0</v>
      </c>
      <c r="L310" s="14">
        <f>IF(ISNUMBER('Klisz-Verbräuche'!M145), 'Klisz-Verbräuche'!M145*Emissionsfaktoren!K145/1000, 0)</f>
        <v>0</v>
      </c>
      <c r="M310" s="14">
        <f>IF(ISNUMBER('Klisz-Verbräuche'!N145), 'Klisz-Verbräuche'!N145*Emissionsfaktoren!L145/1000, 0)</f>
        <v>0</v>
      </c>
      <c r="N310" s="14">
        <f>IF(ISNUMBER('Klisz-Verbräuche'!O145), 'Klisz-Verbräuche'!O145*Emissionsfaktoren!M145/1000, 0)</f>
        <v>0</v>
      </c>
      <c r="O310" s="14">
        <f>IF(ISNUMBER('Klisz-Verbräuche'!P145), 'Klisz-Verbräuche'!P145*Emissionsfaktoren!N145/1000, 0)</f>
        <v>0</v>
      </c>
      <c r="P310" s="14">
        <f>IF(ISNUMBER('Klisz-Verbräuche'!Q145), 'Klisz-Verbräuche'!Q145*Emissionsfaktoren!O145/1000, 0)</f>
        <v>0</v>
      </c>
      <c r="Q310" s="14">
        <f>IF(ISNUMBER('Klisz-Verbräuche'!R145), 'Klisz-Verbräuche'!R145*Emissionsfaktoren!P145/1000, 0)</f>
        <v>0</v>
      </c>
      <c r="R310" s="14">
        <f>IF(ISNUMBER('Klisz-Verbräuche'!S145), 'Klisz-Verbräuche'!S145*Emissionsfaktoren!Q145/1000, 0)</f>
        <v>0</v>
      </c>
      <c r="S310" s="14">
        <f>IF(ISNUMBER('Klisz-Verbräuche'!T145), 'Klisz-Verbräuche'!T145*Emissionsfaktoren!R145/1000, 0)</f>
        <v>0</v>
      </c>
      <c r="T310" s="14">
        <f>IF(ISNUMBER('Klisz-Verbräuche'!U145), 'Klisz-Verbräuche'!U145*Emissionsfaktoren!S145/1000, 0)</f>
        <v>0</v>
      </c>
      <c r="U310" s="14">
        <f>IF(ISNUMBER('Klisz-Verbräuche'!V145), 'Klisz-Verbräuche'!V145*Emissionsfaktoren!T145/1000, 0)</f>
        <v>0</v>
      </c>
      <c r="V310" s="14">
        <f>IF(ISNUMBER('Klisz-Verbräuche'!W145), 'Klisz-Verbräuche'!W145*Emissionsfaktoren!U145/1000, 0)</f>
        <v>0</v>
      </c>
      <c r="W310" s="14">
        <f>IF(ISNUMBER('Klisz-Verbräuche'!X145), 'Klisz-Verbräuche'!X145*Emissionsfaktoren!V145/1000, 0)</f>
        <v>0</v>
      </c>
      <c r="X310" s="14">
        <f>IF(ISNUMBER('Klisz-Verbräuche'!Y145), 'Klisz-Verbräuche'!Y145*Emissionsfaktoren!W145/1000, 0)</f>
        <v>0</v>
      </c>
      <c r="Y310" s="14">
        <f>IF(ISNUMBER('Klisz-Verbräuche'!Z145), 'Klisz-Verbräuche'!Z145*Emissionsfaktoren!X145/1000, 0)</f>
        <v>0</v>
      </c>
    </row>
    <row r="311" spans="2:25" ht="16.5">
      <c r="B311" s="14">
        <v>129</v>
      </c>
      <c r="C311" s="14" t="str">
        <f>'Refsz-Verbräuche'!C146</f>
        <v>Baugüter</v>
      </c>
      <c r="D311" s="19" t="str">
        <f>'Refsz-Verbräuche'!D146</f>
        <v>Kupferdraht</v>
      </c>
      <c r="E311" t="s">
        <v>195</v>
      </c>
      <c r="F311" s="14">
        <f>IF(ISNUMBER('Klisz-Verbräuche'!G146), 'Klisz-Verbräuche'!G146*Emissionsfaktoren!E146/1000, 0)</f>
        <v>0</v>
      </c>
      <c r="G311" s="14">
        <f>IF(ISNUMBER('Klisz-Verbräuche'!H146), 'Klisz-Verbräuche'!H146*Emissionsfaktoren!F146/1000, 0)</f>
        <v>0</v>
      </c>
      <c r="H311" s="14">
        <f>IF(ISNUMBER('Klisz-Verbräuche'!I146), 'Klisz-Verbräuche'!I146*Emissionsfaktoren!G146/1000, 0)</f>
        <v>0</v>
      </c>
      <c r="I311" s="14">
        <f>IF(ISNUMBER('Klisz-Verbräuche'!J146), 'Klisz-Verbräuche'!J146*Emissionsfaktoren!H146/1000, 0)</f>
        <v>0</v>
      </c>
      <c r="J311" s="14">
        <f>IF(ISNUMBER('Klisz-Verbräuche'!K146), 'Klisz-Verbräuche'!K146*Emissionsfaktoren!I146/1000, 0)</f>
        <v>0</v>
      </c>
      <c r="K311" s="14">
        <f>IF(ISNUMBER('Klisz-Verbräuche'!L146), 'Klisz-Verbräuche'!L146*Emissionsfaktoren!J146/1000, 0)</f>
        <v>0</v>
      </c>
      <c r="L311" s="14">
        <f>IF(ISNUMBER('Klisz-Verbräuche'!M146), 'Klisz-Verbräuche'!M146*Emissionsfaktoren!K146/1000, 0)</f>
        <v>0</v>
      </c>
      <c r="M311" s="14">
        <f>IF(ISNUMBER('Klisz-Verbräuche'!N146), 'Klisz-Verbräuche'!N146*Emissionsfaktoren!L146/1000, 0)</f>
        <v>0</v>
      </c>
      <c r="N311" s="14">
        <f>IF(ISNUMBER('Klisz-Verbräuche'!O146), 'Klisz-Verbräuche'!O146*Emissionsfaktoren!M146/1000, 0)</f>
        <v>0</v>
      </c>
      <c r="O311" s="14">
        <f>IF(ISNUMBER('Klisz-Verbräuche'!P146), 'Klisz-Verbräuche'!P146*Emissionsfaktoren!N146/1000, 0)</f>
        <v>0</v>
      </c>
      <c r="P311" s="14">
        <f>IF(ISNUMBER('Klisz-Verbräuche'!Q146), 'Klisz-Verbräuche'!Q146*Emissionsfaktoren!O146/1000, 0)</f>
        <v>0</v>
      </c>
      <c r="Q311" s="14">
        <f>IF(ISNUMBER('Klisz-Verbräuche'!R146), 'Klisz-Verbräuche'!R146*Emissionsfaktoren!P146/1000, 0)</f>
        <v>0</v>
      </c>
      <c r="R311" s="14">
        <f>IF(ISNUMBER('Klisz-Verbräuche'!S146), 'Klisz-Verbräuche'!S146*Emissionsfaktoren!Q146/1000, 0)</f>
        <v>0</v>
      </c>
      <c r="S311" s="14">
        <f>IF(ISNUMBER('Klisz-Verbräuche'!T146), 'Klisz-Verbräuche'!T146*Emissionsfaktoren!R146/1000, 0)</f>
        <v>0</v>
      </c>
      <c r="T311" s="14">
        <f>IF(ISNUMBER('Klisz-Verbräuche'!U146), 'Klisz-Verbräuche'!U146*Emissionsfaktoren!S146/1000, 0)</f>
        <v>0</v>
      </c>
      <c r="U311" s="14">
        <f>IF(ISNUMBER('Klisz-Verbräuche'!V146), 'Klisz-Verbräuche'!V146*Emissionsfaktoren!T146/1000, 0)</f>
        <v>0</v>
      </c>
      <c r="V311" s="14">
        <f>IF(ISNUMBER('Klisz-Verbräuche'!W146), 'Klisz-Verbräuche'!W146*Emissionsfaktoren!U146/1000, 0)</f>
        <v>0</v>
      </c>
      <c r="W311" s="14">
        <f>IF(ISNUMBER('Klisz-Verbräuche'!X146), 'Klisz-Verbräuche'!X146*Emissionsfaktoren!V146/1000, 0)</f>
        <v>0</v>
      </c>
      <c r="X311" s="14">
        <f>IF(ISNUMBER('Klisz-Verbräuche'!Y146), 'Klisz-Verbräuche'!Y146*Emissionsfaktoren!W146/1000, 0)</f>
        <v>0</v>
      </c>
      <c r="Y311" s="14">
        <f>IF(ISNUMBER('Klisz-Verbräuche'!Z146), 'Klisz-Verbräuche'!Z146*Emissionsfaktoren!X146/1000, 0)</f>
        <v>0</v>
      </c>
    </row>
    <row r="312" spans="2:25" ht="16.5">
      <c r="B312" s="14">
        <v>130</v>
      </c>
      <c r="C312" s="14" t="str">
        <f>'Refsz-Verbräuche'!C147</f>
        <v>Baugüter</v>
      </c>
      <c r="D312" s="19" t="str">
        <f>'Refsz-Verbräuche'!D147</f>
        <v>Kupferrohr</v>
      </c>
      <c r="E312" t="s">
        <v>195</v>
      </c>
      <c r="F312" s="14">
        <f>IF(ISNUMBER('Klisz-Verbräuche'!G147), 'Klisz-Verbräuche'!G147*Emissionsfaktoren!E147/1000, 0)</f>
        <v>0</v>
      </c>
      <c r="G312" s="14">
        <f>IF(ISNUMBER('Klisz-Verbräuche'!H147), 'Klisz-Verbräuche'!H147*Emissionsfaktoren!F147/1000, 0)</f>
        <v>0</v>
      </c>
      <c r="H312" s="14">
        <f>IF(ISNUMBER('Klisz-Verbräuche'!I147), 'Klisz-Verbräuche'!I147*Emissionsfaktoren!G147/1000, 0)</f>
        <v>0</v>
      </c>
      <c r="I312" s="14">
        <f>IF(ISNUMBER('Klisz-Verbräuche'!J147), 'Klisz-Verbräuche'!J147*Emissionsfaktoren!H147/1000, 0)</f>
        <v>0</v>
      </c>
      <c r="J312" s="14">
        <f>IF(ISNUMBER('Klisz-Verbräuche'!K147), 'Klisz-Verbräuche'!K147*Emissionsfaktoren!I147/1000, 0)</f>
        <v>0</v>
      </c>
      <c r="K312" s="14">
        <f>IF(ISNUMBER('Klisz-Verbräuche'!L147), 'Klisz-Verbräuche'!L147*Emissionsfaktoren!J147/1000, 0)</f>
        <v>0</v>
      </c>
      <c r="L312" s="14">
        <f>IF(ISNUMBER('Klisz-Verbräuche'!M147), 'Klisz-Verbräuche'!M147*Emissionsfaktoren!K147/1000, 0)</f>
        <v>0</v>
      </c>
      <c r="M312" s="14">
        <f>IF(ISNUMBER('Klisz-Verbräuche'!N147), 'Klisz-Verbräuche'!N147*Emissionsfaktoren!L147/1000, 0)</f>
        <v>0</v>
      </c>
      <c r="N312" s="14">
        <f>IF(ISNUMBER('Klisz-Verbräuche'!O147), 'Klisz-Verbräuche'!O147*Emissionsfaktoren!M147/1000, 0)</f>
        <v>0</v>
      </c>
      <c r="O312" s="14">
        <f>IF(ISNUMBER('Klisz-Verbräuche'!P147), 'Klisz-Verbräuche'!P147*Emissionsfaktoren!N147/1000, 0)</f>
        <v>0</v>
      </c>
      <c r="P312" s="14">
        <f>IF(ISNUMBER('Klisz-Verbräuche'!Q147), 'Klisz-Verbräuche'!Q147*Emissionsfaktoren!O147/1000, 0)</f>
        <v>0</v>
      </c>
      <c r="Q312" s="14">
        <f>IF(ISNUMBER('Klisz-Verbräuche'!R147), 'Klisz-Verbräuche'!R147*Emissionsfaktoren!P147/1000, 0)</f>
        <v>0</v>
      </c>
      <c r="R312" s="14">
        <f>IF(ISNUMBER('Klisz-Verbräuche'!S147), 'Klisz-Verbräuche'!S147*Emissionsfaktoren!Q147/1000, 0)</f>
        <v>0</v>
      </c>
      <c r="S312" s="14">
        <f>IF(ISNUMBER('Klisz-Verbräuche'!T147), 'Klisz-Verbräuche'!T147*Emissionsfaktoren!R147/1000, 0)</f>
        <v>0</v>
      </c>
      <c r="T312" s="14">
        <f>IF(ISNUMBER('Klisz-Verbräuche'!U147), 'Klisz-Verbräuche'!U147*Emissionsfaktoren!S147/1000, 0)</f>
        <v>0</v>
      </c>
      <c r="U312" s="14">
        <f>IF(ISNUMBER('Klisz-Verbräuche'!V147), 'Klisz-Verbräuche'!V147*Emissionsfaktoren!T147/1000, 0)</f>
        <v>0</v>
      </c>
      <c r="V312" s="14">
        <f>IF(ISNUMBER('Klisz-Verbräuche'!W147), 'Klisz-Verbräuche'!W147*Emissionsfaktoren!U147/1000, 0)</f>
        <v>0</v>
      </c>
      <c r="W312" s="14">
        <f>IF(ISNUMBER('Klisz-Verbräuche'!X147), 'Klisz-Verbräuche'!X147*Emissionsfaktoren!V147/1000, 0)</f>
        <v>0</v>
      </c>
      <c r="X312" s="14">
        <f>IF(ISNUMBER('Klisz-Verbräuche'!Y147), 'Klisz-Verbräuche'!Y147*Emissionsfaktoren!W147/1000, 0)</f>
        <v>0</v>
      </c>
      <c r="Y312" s="14">
        <f>IF(ISNUMBER('Klisz-Verbräuche'!Z147), 'Klisz-Verbräuche'!Z147*Emissionsfaktoren!X147/1000, 0)</f>
        <v>0</v>
      </c>
    </row>
    <row r="313" spans="2:25" ht="16.5">
      <c r="B313" s="14">
        <v>131</v>
      </c>
      <c r="C313" s="14" t="str">
        <f>'Refsz-Verbräuche'!C148</f>
        <v>Baugüter</v>
      </c>
      <c r="D313" s="19" t="str">
        <f>'Refsz-Verbräuche'!D148</f>
        <v>Stahl-Blech</v>
      </c>
      <c r="E313" t="s">
        <v>195</v>
      </c>
      <c r="F313" s="14">
        <f>IF(ISNUMBER('Klisz-Verbräuche'!G148), 'Klisz-Verbräuche'!G148*Emissionsfaktoren!E148/1000, 0)</f>
        <v>0</v>
      </c>
      <c r="G313" s="14">
        <f>IF(ISNUMBER('Klisz-Verbräuche'!H148), 'Klisz-Verbräuche'!H148*Emissionsfaktoren!F148/1000, 0)</f>
        <v>0</v>
      </c>
      <c r="H313" s="14">
        <f>IF(ISNUMBER('Klisz-Verbräuche'!I148), 'Klisz-Verbräuche'!I148*Emissionsfaktoren!G148/1000, 0)</f>
        <v>0</v>
      </c>
      <c r="I313" s="14">
        <f>IF(ISNUMBER('Klisz-Verbräuche'!J148), 'Klisz-Verbräuche'!J148*Emissionsfaktoren!H148/1000, 0)</f>
        <v>0</v>
      </c>
      <c r="J313" s="14">
        <f>IF(ISNUMBER('Klisz-Verbräuche'!K148), 'Klisz-Verbräuche'!K148*Emissionsfaktoren!I148/1000, 0)</f>
        <v>0</v>
      </c>
      <c r="K313" s="14">
        <f>IF(ISNUMBER('Klisz-Verbräuche'!L148), 'Klisz-Verbräuche'!L148*Emissionsfaktoren!J148/1000, 0)</f>
        <v>0</v>
      </c>
      <c r="L313" s="14">
        <f>IF(ISNUMBER('Klisz-Verbräuche'!M148), 'Klisz-Verbräuche'!M148*Emissionsfaktoren!K148/1000, 0)</f>
        <v>0</v>
      </c>
      <c r="M313" s="14">
        <f>IF(ISNUMBER('Klisz-Verbräuche'!N148), 'Klisz-Verbräuche'!N148*Emissionsfaktoren!L148/1000, 0)</f>
        <v>0</v>
      </c>
      <c r="N313" s="14">
        <f>IF(ISNUMBER('Klisz-Verbräuche'!O148), 'Klisz-Verbräuche'!O148*Emissionsfaktoren!M148/1000, 0)</f>
        <v>0</v>
      </c>
      <c r="O313" s="14">
        <f>IF(ISNUMBER('Klisz-Verbräuche'!P148), 'Klisz-Verbräuche'!P148*Emissionsfaktoren!N148/1000, 0)</f>
        <v>0</v>
      </c>
      <c r="P313" s="14">
        <f>IF(ISNUMBER('Klisz-Verbräuche'!Q148), 'Klisz-Verbräuche'!Q148*Emissionsfaktoren!O148/1000, 0)</f>
        <v>0</v>
      </c>
      <c r="Q313" s="14">
        <f>IF(ISNUMBER('Klisz-Verbräuche'!R148), 'Klisz-Verbräuche'!R148*Emissionsfaktoren!P148/1000, 0)</f>
        <v>0</v>
      </c>
      <c r="R313" s="14">
        <f>IF(ISNUMBER('Klisz-Verbräuche'!S148), 'Klisz-Verbräuche'!S148*Emissionsfaktoren!Q148/1000, 0)</f>
        <v>0</v>
      </c>
      <c r="S313" s="14">
        <f>IF(ISNUMBER('Klisz-Verbräuche'!T148), 'Klisz-Verbräuche'!T148*Emissionsfaktoren!R148/1000, 0)</f>
        <v>0</v>
      </c>
      <c r="T313" s="14">
        <f>IF(ISNUMBER('Klisz-Verbräuche'!U148), 'Klisz-Verbräuche'!U148*Emissionsfaktoren!S148/1000, 0)</f>
        <v>0</v>
      </c>
      <c r="U313" s="14">
        <f>IF(ISNUMBER('Klisz-Verbräuche'!V148), 'Klisz-Verbräuche'!V148*Emissionsfaktoren!T148/1000, 0)</f>
        <v>0</v>
      </c>
      <c r="V313" s="14">
        <f>IF(ISNUMBER('Klisz-Verbräuche'!W148), 'Klisz-Verbräuche'!W148*Emissionsfaktoren!U148/1000, 0)</f>
        <v>0</v>
      </c>
      <c r="W313" s="14">
        <f>IF(ISNUMBER('Klisz-Verbräuche'!X148), 'Klisz-Verbräuche'!X148*Emissionsfaktoren!V148/1000, 0)</f>
        <v>0</v>
      </c>
      <c r="X313" s="14">
        <f>IF(ISNUMBER('Klisz-Verbräuche'!Y148), 'Klisz-Verbräuche'!Y148*Emissionsfaktoren!W148/1000, 0)</f>
        <v>0</v>
      </c>
      <c r="Y313" s="14">
        <f>IF(ISNUMBER('Klisz-Verbräuche'!Z148), 'Klisz-Verbräuche'!Z148*Emissionsfaktoren!X148/1000, 0)</f>
        <v>0</v>
      </c>
    </row>
    <row r="314" spans="2:25" ht="16.5">
      <c r="B314" s="14">
        <v>132</v>
      </c>
      <c r="C314" s="14" t="str">
        <f>'Refsz-Verbräuche'!C149</f>
        <v>Baugüter</v>
      </c>
      <c r="D314" s="19" t="str">
        <f>'Refsz-Verbräuche'!D149</f>
        <v>Stahl-Blech verzinkt</v>
      </c>
      <c r="E314" t="s">
        <v>195</v>
      </c>
      <c r="F314" s="14">
        <f>IF(ISNUMBER('Klisz-Verbräuche'!G149), 'Klisz-Verbräuche'!G149*Emissionsfaktoren!E149/1000, 0)</f>
        <v>0</v>
      </c>
      <c r="G314" s="14">
        <f>IF(ISNUMBER('Klisz-Verbräuche'!H149), 'Klisz-Verbräuche'!H149*Emissionsfaktoren!F149/1000, 0)</f>
        <v>0</v>
      </c>
      <c r="H314" s="14">
        <f>IF(ISNUMBER('Klisz-Verbräuche'!I149), 'Klisz-Verbräuche'!I149*Emissionsfaktoren!G149/1000, 0)</f>
        <v>0</v>
      </c>
      <c r="I314" s="14">
        <f>IF(ISNUMBER('Klisz-Verbräuche'!J149), 'Klisz-Verbräuche'!J149*Emissionsfaktoren!H149/1000, 0)</f>
        <v>0</v>
      </c>
      <c r="J314" s="14">
        <f>IF(ISNUMBER('Klisz-Verbräuche'!K149), 'Klisz-Verbräuche'!K149*Emissionsfaktoren!I149/1000, 0)</f>
        <v>0</v>
      </c>
      <c r="K314" s="14">
        <f>IF(ISNUMBER('Klisz-Verbräuche'!L149), 'Klisz-Verbräuche'!L149*Emissionsfaktoren!J149/1000, 0)</f>
        <v>0</v>
      </c>
      <c r="L314" s="14">
        <f>IF(ISNUMBER('Klisz-Verbräuche'!M149), 'Klisz-Verbräuche'!M149*Emissionsfaktoren!K149/1000, 0)</f>
        <v>0</v>
      </c>
      <c r="M314" s="14">
        <f>IF(ISNUMBER('Klisz-Verbräuche'!N149), 'Klisz-Verbräuche'!N149*Emissionsfaktoren!L149/1000, 0)</f>
        <v>0</v>
      </c>
      <c r="N314" s="14">
        <f>IF(ISNUMBER('Klisz-Verbräuche'!O149), 'Klisz-Verbräuche'!O149*Emissionsfaktoren!M149/1000, 0)</f>
        <v>0</v>
      </c>
      <c r="O314" s="14">
        <f>IF(ISNUMBER('Klisz-Verbräuche'!P149), 'Klisz-Verbräuche'!P149*Emissionsfaktoren!N149/1000, 0)</f>
        <v>0</v>
      </c>
      <c r="P314" s="14">
        <f>IF(ISNUMBER('Klisz-Verbräuche'!Q149), 'Klisz-Verbräuche'!Q149*Emissionsfaktoren!O149/1000, 0)</f>
        <v>0</v>
      </c>
      <c r="Q314" s="14">
        <f>IF(ISNUMBER('Klisz-Verbräuche'!R149), 'Klisz-Verbräuche'!R149*Emissionsfaktoren!P149/1000, 0)</f>
        <v>0</v>
      </c>
      <c r="R314" s="14">
        <f>IF(ISNUMBER('Klisz-Verbräuche'!S149), 'Klisz-Verbräuche'!S149*Emissionsfaktoren!Q149/1000, 0)</f>
        <v>0</v>
      </c>
      <c r="S314" s="14">
        <f>IF(ISNUMBER('Klisz-Verbräuche'!T149), 'Klisz-Verbräuche'!T149*Emissionsfaktoren!R149/1000, 0)</f>
        <v>0</v>
      </c>
      <c r="T314" s="14">
        <f>IF(ISNUMBER('Klisz-Verbräuche'!U149), 'Klisz-Verbräuche'!U149*Emissionsfaktoren!S149/1000, 0)</f>
        <v>0</v>
      </c>
      <c r="U314" s="14">
        <f>IF(ISNUMBER('Klisz-Verbräuche'!V149), 'Klisz-Verbräuche'!V149*Emissionsfaktoren!T149/1000, 0)</f>
        <v>0</v>
      </c>
      <c r="V314" s="14">
        <f>IF(ISNUMBER('Klisz-Verbräuche'!W149), 'Klisz-Verbräuche'!W149*Emissionsfaktoren!U149/1000, 0)</f>
        <v>0</v>
      </c>
      <c r="W314" s="14">
        <f>IF(ISNUMBER('Klisz-Verbräuche'!X149), 'Klisz-Verbräuche'!X149*Emissionsfaktoren!V149/1000, 0)</f>
        <v>0</v>
      </c>
      <c r="X314" s="14">
        <f>IF(ISNUMBER('Klisz-Verbräuche'!Y149), 'Klisz-Verbräuche'!Y149*Emissionsfaktoren!W149/1000, 0)</f>
        <v>0</v>
      </c>
      <c r="Y314" s="14">
        <f>IF(ISNUMBER('Klisz-Verbräuche'!Z149), 'Klisz-Verbräuche'!Z149*Emissionsfaktoren!X149/1000, 0)</f>
        <v>0</v>
      </c>
    </row>
    <row r="315" spans="2:25" ht="16.5">
      <c r="B315" s="14">
        <v>133</v>
      </c>
      <c r="C315" s="14" t="str">
        <f>'Refsz-Verbräuche'!C150</f>
        <v>Baugüter</v>
      </c>
      <c r="D315" s="19" t="str">
        <f>'Refsz-Verbräuche'!D150</f>
        <v>Stahl-Elektro</v>
      </c>
      <c r="E315" t="s">
        <v>195</v>
      </c>
      <c r="F315" s="14">
        <f>IF(ISNUMBER('Klisz-Verbräuche'!G150), 'Klisz-Verbräuche'!G150*Emissionsfaktoren!E150/1000, 0)</f>
        <v>0</v>
      </c>
      <c r="G315" s="14">
        <f>IF(ISNUMBER('Klisz-Verbräuche'!H150), 'Klisz-Verbräuche'!H150*Emissionsfaktoren!F150/1000, 0)</f>
        <v>0</v>
      </c>
      <c r="H315" s="14">
        <f>IF(ISNUMBER('Klisz-Verbräuche'!I150), 'Klisz-Verbräuche'!I150*Emissionsfaktoren!G150/1000, 0)</f>
        <v>0</v>
      </c>
      <c r="I315" s="14">
        <f>IF(ISNUMBER('Klisz-Verbräuche'!J150), 'Klisz-Verbräuche'!J150*Emissionsfaktoren!H150/1000, 0)</f>
        <v>0</v>
      </c>
      <c r="J315" s="14">
        <f>IF(ISNUMBER('Klisz-Verbräuche'!K150), 'Klisz-Verbräuche'!K150*Emissionsfaktoren!I150/1000, 0)</f>
        <v>0</v>
      </c>
      <c r="K315" s="14">
        <f>IF(ISNUMBER('Klisz-Verbräuche'!L150), 'Klisz-Verbräuche'!L150*Emissionsfaktoren!J150/1000, 0)</f>
        <v>0</v>
      </c>
      <c r="L315" s="14">
        <f>IF(ISNUMBER('Klisz-Verbräuche'!M150), 'Klisz-Verbräuche'!M150*Emissionsfaktoren!K150/1000, 0)</f>
        <v>0</v>
      </c>
      <c r="M315" s="14">
        <f>IF(ISNUMBER('Klisz-Verbräuche'!N150), 'Klisz-Verbräuche'!N150*Emissionsfaktoren!L150/1000, 0)</f>
        <v>0</v>
      </c>
      <c r="N315" s="14">
        <f>IF(ISNUMBER('Klisz-Verbräuche'!O150), 'Klisz-Verbräuche'!O150*Emissionsfaktoren!M150/1000, 0)</f>
        <v>0</v>
      </c>
      <c r="O315" s="14">
        <f>IF(ISNUMBER('Klisz-Verbräuche'!P150), 'Klisz-Verbräuche'!P150*Emissionsfaktoren!N150/1000, 0)</f>
        <v>0</v>
      </c>
      <c r="P315" s="14">
        <f>IF(ISNUMBER('Klisz-Verbräuche'!Q150), 'Klisz-Verbräuche'!Q150*Emissionsfaktoren!O150/1000, 0)</f>
        <v>0</v>
      </c>
      <c r="Q315" s="14">
        <f>IF(ISNUMBER('Klisz-Verbräuche'!R150), 'Klisz-Verbräuche'!R150*Emissionsfaktoren!P150/1000, 0)</f>
        <v>0</v>
      </c>
      <c r="R315" s="14">
        <f>IF(ISNUMBER('Klisz-Verbräuche'!S150), 'Klisz-Verbräuche'!S150*Emissionsfaktoren!Q150/1000, 0)</f>
        <v>0</v>
      </c>
      <c r="S315" s="14">
        <f>IF(ISNUMBER('Klisz-Verbräuche'!T150), 'Klisz-Verbräuche'!T150*Emissionsfaktoren!R150/1000, 0)</f>
        <v>0</v>
      </c>
      <c r="T315" s="14">
        <f>IF(ISNUMBER('Klisz-Verbräuche'!U150), 'Klisz-Verbräuche'!U150*Emissionsfaktoren!S150/1000, 0)</f>
        <v>0</v>
      </c>
      <c r="U315" s="14">
        <f>IF(ISNUMBER('Klisz-Verbräuche'!V150), 'Klisz-Verbräuche'!V150*Emissionsfaktoren!T150/1000, 0)</f>
        <v>0</v>
      </c>
      <c r="V315" s="14">
        <f>IF(ISNUMBER('Klisz-Verbräuche'!W150), 'Klisz-Verbräuche'!W150*Emissionsfaktoren!U150/1000, 0)</f>
        <v>0</v>
      </c>
      <c r="W315" s="14">
        <f>IF(ISNUMBER('Klisz-Verbräuche'!X150), 'Klisz-Verbräuche'!X150*Emissionsfaktoren!V150/1000, 0)</f>
        <v>0</v>
      </c>
      <c r="X315" s="14">
        <f>IF(ISNUMBER('Klisz-Verbräuche'!Y150), 'Klisz-Verbräuche'!Y150*Emissionsfaktoren!W150/1000, 0)</f>
        <v>0</v>
      </c>
      <c r="Y315" s="14">
        <f>IF(ISNUMBER('Klisz-Verbräuche'!Z150), 'Klisz-Verbräuche'!Z150*Emissionsfaktoren!X150/1000, 0)</f>
        <v>0</v>
      </c>
    </row>
    <row r="316" spans="2:25" ht="16.5">
      <c r="B316" s="14">
        <v>134</v>
      </c>
      <c r="C316" s="14" t="str">
        <f>'Refsz-Verbräuche'!C151</f>
        <v>Baugüter</v>
      </c>
      <c r="D316" s="19" t="str">
        <f>'Refsz-Verbräuche'!D151</f>
        <v>Stahl-mix</v>
      </c>
      <c r="E316" t="s">
        <v>195</v>
      </c>
      <c r="F316" s="14">
        <f>IF(ISNUMBER('Klisz-Verbräuche'!G151), 'Klisz-Verbräuche'!G151*Emissionsfaktoren!E151/1000, 0)</f>
        <v>0</v>
      </c>
      <c r="G316" s="14">
        <f>IF(ISNUMBER('Klisz-Verbräuche'!H151), 'Klisz-Verbräuche'!H151*Emissionsfaktoren!F151/1000, 0)</f>
        <v>0</v>
      </c>
      <c r="H316" s="14">
        <f>IF(ISNUMBER('Klisz-Verbräuche'!I151), 'Klisz-Verbräuche'!I151*Emissionsfaktoren!G151/1000, 0)</f>
        <v>0</v>
      </c>
      <c r="I316" s="14">
        <f>IF(ISNUMBER('Klisz-Verbräuche'!J151), 'Klisz-Verbräuche'!J151*Emissionsfaktoren!H151/1000, 0)</f>
        <v>0</v>
      </c>
      <c r="J316" s="14">
        <f>IF(ISNUMBER('Klisz-Verbräuche'!K151), 'Klisz-Verbräuche'!K151*Emissionsfaktoren!I151/1000, 0)</f>
        <v>0</v>
      </c>
      <c r="K316" s="14">
        <f>IF(ISNUMBER('Klisz-Verbräuche'!L151), 'Klisz-Verbräuche'!L151*Emissionsfaktoren!J151/1000, 0)</f>
        <v>0</v>
      </c>
      <c r="L316" s="14">
        <f>IF(ISNUMBER('Klisz-Verbräuche'!M151), 'Klisz-Verbräuche'!M151*Emissionsfaktoren!K151/1000, 0)</f>
        <v>0</v>
      </c>
      <c r="M316" s="14">
        <f>IF(ISNUMBER('Klisz-Verbräuche'!N151), 'Klisz-Verbräuche'!N151*Emissionsfaktoren!L151/1000, 0)</f>
        <v>0</v>
      </c>
      <c r="N316" s="14">
        <f>IF(ISNUMBER('Klisz-Verbräuche'!O151), 'Klisz-Verbräuche'!O151*Emissionsfaktoren!M151/1000, 0)</f>
        <v>0</v>
      </c>
      <c r="O316" s="14">
        <f>IF(ISNUMBER('Klisz-Verbräuche'!P151), 'Klisz-Verbräuche'!P151*Emissionsfaktoren!N151/1000, 0)</f>
        <v>0</v>
      </c>
      <c r="P316" s="14">
        <f>IF(ISNUMBER('Klisz-Verbräuche'!Q151), 'Klisz-Verbräuche'!Q151*Emissionsfaktoren!O151/1000, 0)</f>
        <v>0</v>
      </c>
      <c r="Q316" s="14">
        <f>IF(ISNUMBER('Klisz-Verbräuche'!R151), 'Klisz-Verbräuche'!R151*Emissionsfaktoren!P151/1000, 0)</f>
        <v>0</v>
      </c>
      <c r="R316" s="14">
        <f>IF(ISNUMBER('Klisz-Verbräuche'!S151), 'Klisz-Verbräuche'!S151*Emissionsfaktoren!Q151/1000, 0)</f>
        <v>0</v>
      </c>
      <c r="S316" s="14">
        <f>IF(ISNUMBER('Klisz-Verbräuche'!T151), 'Klisz-Verbräuche'!T151*Emissionsfaktoren!R151/1000, 0)</f>
        <v>0</v>
      </c>
      <c r="T316" s="14">
        <f>IF(ISNUMBER('Klisz-Verbräuche'!U151), 'Klisz-Verbräuche'!U151*Emissionsfaktoren!S151/1000, 0)</f>
        <v>0</v>
      </c>
      <c r="U316" s="14">
        <f>IF(ISNUMBER('Klisz-Verbräuche'!V151), 'Klisz-Verbräuche'!V151*Emissionsfaktoren!T151/1000, 0)</f>
        <v>0</v>
      </c>
      <c r="V316" s="14">
        <f>IF(ISNUMBER('Klisz-Verbräuche'!W151), 'Klisz-Verbräuche'!W151*Emissionsfaktoren!U151/1000, 0)</f>
        <v>0</v>
      </c>
      <c r="W316" s="14">
        <f>IF(ISNUMBER('Klisz-Verbräuche'!X151), 'Klisz-Verbräuche'!X151*Emissionsfaktoren!V151/1000, 0)</f>
        <v>0</v>
      </c>
      <c r="X316" s="14">
        <f>IF(ISNUMBER('Klisz-Verbräuche'!Y151), 'Klisz-Verbräuche'!Y151*Emissionsfaktoren!W151/1000, 0)</f>
        <v>0</v>
      </c>
      <c r="Y316" s="14">
        <f>IF(ISNUMBER('Klisz-Verbräuche'!Z151), 'Klisz-Verbräuche'!Z151*Emissionsfaktoren!X151/1000, 0)</f>
        <v>0</v>
      </c>
    </row>
    <row r="317" spans="2:25" ht="16.5">
      <c r="B317" s="14">
        <v>135</v>
      </c>
      <c r="C317" s="14" t="str">
        <f>'Refsz-Verbräuche'!C152</f>
        <v>Baugüter</v>
      </c>
      <c r="D317" s="19" t="str">
        <f>'Refsz-Verbräuche'!D152</f>
        <v>Beton</v>
      </c>
      <c r="E317" t="s">
        <v>195</v>
      </c>
      <c r="F317" s="14">
        <f>IF(ISNUMBER('Klisz-Verbräuche'!G152), 'Klisz-Verbräuche'!G152*Emissionsfaktoren!E152/1000, 0)</f>
        <v>0</v>
      </c>
      <c r="G317" s="14">
        <f>IF(ISNUMBER('Klisz-Verbräuche'!H152), 'Klisz-Verbräuche'!H152*Emissionsfaktoren!F152/1000, 0)</f>
        <v>0</v>
      </c>
      <c r="H317" s="14">
        <f>IF(ISNUMBER('Klisz-Verbräuche'!I152), 'Klisz-Verbräuche'!I152*Emissionsfaktoren!G152/1000, 0)</f>
        <v>0</v>
      </c>
      <c r="I317" s="14">
        <f>IF(ISNUMBER('Klisz-Verbräuche'!J152), 'Klisz-Verbräuche'!J152*Emissionsfaktoren!H152/1000, 0)</f>
        <v>0</v>
      </c>
      <c r="J317" s="14">
        <f>IF(ISNUMBER('Klisz-Verbräuche'!K152), 'Klisz-Verbräuche'!K152*Emissionsfaktoren!I152/1000, 0)</f>
        <v>0</v>
      </c>
      <c r="K317" s="14">
        <f>IF(ISNUMBER('Klisz-Verbräuche'!L152), 'Klisz-Verbräuche'!L152*Emissionsfaktoren!J152/1000, 0)</f>
        <v>0</v>
      </c>
      <c r="L317" s="14">
        <f>IF(ISNUMBER('Klisz-Verbräuche'!M152), 'Klisz-Verbräuche'!M152*Emissionsfaktoren!K152/1000, 0)</f>
        <v>0</v>
      </c>
      <c r="M317" s="14">
        <f>IF(ISNUMBER('Klisz-Verbräuche'!N152), 'Klisz-Verbräuche'!N152*Emissionsfaktoren!L152/1000, 0)</f>
        <v>0</v>
      </c>
      <c r="N317" s="14">
        <f>IF(ISNUMBER('Klisz-Verbräuche'!O152), 'Klisz-Verbräuche'!O152*Emissionsfaktoren!M152/1000, 0)</f>
        <v>0</v>
      </c>
      <c r="O317" s="14">
        <f>IF(ISNUMBER('Klisz-Verbräuche'!P152), 'Klisz-Verbräuche'!P152*Emissionsfaktoren!N152/1000, 0)</f>
        <v>0</v>
      </c>
      <c r="P317" s="14">
        <f>IF(ISNUMBER('Klisz-Verbräuche'!Q152), 'Klisz-Verbräuche'!Q152*Emissionsfaktoren!O152/1000, 0)</f>
        <v>0</v>
      </c>
      <c r="Q317" s="14">
        <f>IF(ISNUMBER('Klisz-Verbräuche'!R152), 'Klisz-Verbräuche'!R152*Emissionsfaktoren!P152/1000, 0)</f>
        <v>0</v>
      </c>
      <c r="R317" s="14">
        <f>IF(ISNUMBER('Klisz-Verbräuche'!S152), 'Klisz-Verbräuche'!S152*Emissionsfaktoren!Q152/1000, 0)</f>
        <v>0</v>
      </c>
      <c r="S317" s="14">
        <f>IF(ISNUMBER('Klisz-Verbräuche'!T152), 'Klisz-Verbräuche'!T152*Emissionsfaktoren!R152/1000, 0)</f>
        <v>0</v>
      </c>
      <c r="T317" s="14">
        <f>IF(ISNUMBER('Klisz-Verbräuche'!U152), 'Klisz-Verbräuche'!U152*Emissionsfaktoren!S152/1000, 0)</f>
        <v>0</v>
      </c>
      <c r="U317" s="14">
        <f>IF(ISNUMBER('Klisz-Verbräuche'!V152), 'Klisz-Verbräuche'!V152*Emissionsfaktoren!T152/1000, 0)</f>
        <v>0</v>
      </c>
      <c r="V317" s="14">
        <f>IF(ISNUMBER('Klisz-Verbräuche'!W152), 'Klisz-Verbräuche'!W152*Emissionsfaktoren!U152/1000, 0)</f>
        <v>0</v>
      </c>
      <c r="W317" s="14">
        <f>IF(ISNUMBER('Klisz-Verbräuche'!X152), 'Klisz-Verbräuche'!X152*Emissionsfaktoren!V152/1000, 0)</f>
        <v>0</v>
      </c>
      <c r="X317" s="14">
        <f>IF(ISNUMBER('Klisz-Verbräuche'!Y152), 'Klisz-Verbräuche'!Y152*Emissionsfaktoren!W152/1000, 0)</f>
        <v>0</v>
      </c>
      <c r="Y317" s="14">
        <f>IF(ISNUMBER('Klisz-Verbräuche'!Z152), 'Klisz-Verbräuche'!Z152*Emissionsfaktoren!X152/1000, 0)</f>
        <v>0</v>
      </c>
    </row>
    <row r="318" spans="2:25" ht="16.5">
      <c r="B318" s="14">
        <v>136</v>
      </c>
      <c r="C318" s="14" t="str">
        <f>'Refsz-Verbräuche'!C153</f>
        <v>Baugüter</v>
      </c>
      <c r="D318" s="19" t="str">
        <f>'Refsz-Verbräuche'!D153</f>
        <v>Glaswolle</v>
      </c>
      <c r="E318" t="s">
        <v>195</v>
      </c>
      <c r="F318" s="14">
        <f>IF(ISNUMBER('Klisz-Verbräuche'!G153), 'Klisz-Verbräuche'!G153*Emissionsfaktoren!E153/1000, 0)</f>
        <v>0</v>
      </c>
      <c r="G318" s="14">
        <f>IF(ISNUMBER('Klisz-Verbräuche'!H153), 'Klisz-Verbräuche'!H153*Emissionsfaktoren!F153/1000, 0)</f>
        <v>0</v>
      </c>
      <c r="H318" s="14">
        <f>IF(ISNUMBER('Klisz-Verbräuche'!I153), 'Klisz-Verbräuche'!I153*Emissionsfaktoren!G153/1000, 0)</f>
        <v>0</v>
      </c>
      <c r="I318" s="14">
        <f>IF(ISNUMBER('Klisz-Verbräuche'!J153), 'Klisz-Verbräuche'!J153*Emissionsfaktoren!H153/1000, 0)</f>
        <v>0</v>
      </c>
      <c r="J318" s="14">
        <f>IF(ISNUMBER('Klisz-Verbräuche'!K153), 'Klisz-Verbräuche'!K153*Emissionsfaktoren!I153/1000, 0)</f>
        <v>0</v>
      </c>
      <c r="K318" s="14">
        <f>IF(ISNUMBER('Klisz-Verbräuche'!L153), 'Klisz-Verbräuche'!L153*Emissionsfaktoren!J153/1000, 0)</f>
        <v>0</v>
      </c>
      <c r="L318" s="14">
        <f>IF(ISNUMBER('Klisz-Verbräuche'!M153), 'Klisz-Verbräuche'!M153*Emissionsfaktoren!K153/1000, 0)</f>
        <v>0</v>
      </c>
      <c r="M318" s="14">
        <f>IF(ISNUMBER('Klisz-Verbräuche'!N153), 'Klisz-Verbräuche'!N153*Emissionsfaktoren!L153/1000, 0)</f>
        <v>0</v>
      </c>
      <c r="N318" s="14">
        <f>IF(ISNUMBER('Klisz-Verbräuche'!O153), 'Klisz-Verbräuche'!O153*Emissionsfaktoren!M153/1000, 0)</f>
        <v>0</v>
      </c>
      <c r="O318" s="14">
        <f>IF(ISNUMBER('Klisz-Verbräuche'!P153), 'Klisz-Verbräuche'!P153*Emissionsfaktoren!N153/1000, 0)</f>
        <v>0</v>
      </c>
      <c r="P318" s="14">
        <f>IF(ISNUMBER('Klisz-Verbräuche'!Q153), 'Klisz-Verbräuche'!Q153*Emissionsfaktoren!O153/1000, 0)</f>
        <v>0</v>
      </c>
      <c r="Q318" s="14">
        <f>IF(ISNUMBER('Klisz-Verbräuche'!R153), 'Klisz-Verbräuche'!R153*Emissionsfaktoren!P153/1000, 0)</f>
        <v>0</v>
      </c>
      <c r="R318" s="14">
        <f>IF(ISNUMBER('Klisz-Verbräuche'!S153), 'Klisz-Verbräuche'!S153*Emissionsfaktoren!Q153/1000, 0)</f>
        <v>0</v>
      </c>
      <c r="S318" s="14">
        <f>IF(ISNUMBER('Klisz-Verbräuche'!T153), 'Klisz-Verbräuche'!T153*Emissionsfaktoren!R153/1000, 0)</f>
        <v>0</v>
      </c>
      <c r="T318" s="14">
        <f>IF(ISNUMBER('Klisz-Verbräuche'!U153), 'Klisz-Verbräuche'!U153*Emissionsfaktoren!S153/1000, 0)</f>
        <v>0</v>
      </c>
      <c r="U318" s="14">
        <f>IF(ISNUMBER('Klisz-Verbräuche'!V153), 'Klisz-Verbräuche'!V153*Emissionsfaktoren!T153/1000, 0)</f>
        <v>0</v>
      </c>
      <c r="V318" s="14">
        <f>IF(ISNUMBER('Klisz-Verbräuche'!W153), 'Klisz-Verbräuche'!W153*Emissionsfaktoren!U153/1000, 0)</f>
        <v>0</v>
      </c>
      <c r="W318" s="14">
        <f>IF(ISNUMBER('Klisz-Verbräuche'!X153), 'Klisz-Verbräuche'!X153*Emissionsfaktoren!V153/1000, 0)</f>
        <v>0</v>
      </c>
      <c r="X318" s="14">
        <f>IF(ISNUMBER('Klisz-Verbräuche'!Y153), 'Klisz-Verbräuche'!Y153*Emissionsfaktoren!W153/1000, 0)</f>
        <v>0</v>
      </c>
      <c r="Y318" s="14">
        <f>IF(ISNUMBER('Klisz-Verbräuche'!Z153), 'Klisz-Verbräuche'!Z153*Emissionsfaktoren!X153/1000, 0)</f>
        <v>0</v>
      </c>
    </row>
    <row r="319" spans="2:25" ht="16.5">
      <c r="B319" s="14">
        <v>137</v>
      </c>
      <c r="C319" s="14" t="str">
        <f>'Refsz-Verbräuche'!C154</f>
        <v>Baugüter</v>
      </c>
      <c r="D319" s="19" t="str">
        <f>'Refsz-Verbräuche'!D154</f>
        <v>Konstruktionsvollholz</v>
      </c>
      <c r="E319" t="s">
        <v>195</v>
      </c>
      <c r="F319" s="14">
        <f>IF(ISNUMBER('Klisz-Verbräuche'!G154), 'Klisz-Verbräuche'!G154*Emissionsfaktoren!E154/1000, 0)</f>
        <v>0</v>
      </c>
      <c r="G319" s="14">
        <f>IF(ISNUMBER('Klisz-Verbräuche'!H154), 'Klisz-Verbräuche'!H154*Emissionsfaktoren!F154/1000, 0)</f>
        <v>0</v>
      </c>
      <c r="H319" s="14">
        <f>IF(ISNUMBER('Klisz-Verbräuche'!I154), 'Klisz-Verbräuche'!I154*Emissionsfaktoren!G154/1000, 0)</f>
        <v>0</v>
      </c>
      <c r="I319" s="14">
        <f>IF(ISNUMBER('Klisz-Verbräuche'!J154), 'Klisz-Verbräuche'!J154*Emissionsfaktoren!H154/1000, 0)</f>
        <v>0</v>
      </c>
      <c r="J319" s="14">
        <f>IF(ISNUMBER('Klisz-Verbräuche'!K154), 'Klisz-Verbräuche'!K154*Emissionsfaktoren!I154/1000, 0)</f>
        <v>0</v>
      </c>
      <c r="K319" s="14">
        <f>IF(ISNUMBER('Klisz-Verbräuche'!L154), 'Klisz-Verbräuche'!L154*Emissionsfaktoren!J154/1000, 0)</f>
        <v>0</v>
      </c>
      <c r="L319" s="14">
        <f>IF(ISNUMBER('Klisz-Verbräuche'!M154), 'Klisz-Verbräuche'!M154*Emissionsfaktoren!K154/1000, 0)</f>
        <v>0</v>
      </c>
      <c r="M319" s="14">
        <f>IF(ISNUMBER('Klisz-Verbräuche'!N154), 'Klisz-Verbräuche'!N154*Emissionsfaktoren!L154/1000, 0)</f>
        <v>0</v>
      </c>
      <c r="N319" s="14">
        <f>IF(ISNUMBER('Klisz-Verbräuche'!O154), 'Klisz-Verbräuche'!O154*Emissionsfaktoren!M154/1000, 0)</f>
        <v>0</v>
      </c>
      <c r="O319" s="14">
        <f>IF(ISNUMBER('Klisz-Verbräuche'!P154), 'Klisz-Verbräuche'!P154*Emissionsfaktoren!N154/1000, 0)</f>
        <v>0</v>
      </c>
      <c r="P319" s="14">
        <f>IF(ISNUMBER('Klisz-Verbräuche'!Q154), 'Klisz-Verbräuche'!Q154*Emissionsfaktoren!O154/1000, 0)</f>
        <v>0</v>
      </c>
      <c r="Q319" s="14">
        <f>IF(ISNUMBER('Klisz-Verbräuche'!R154), 'Klisz-Verbräuche'!R154*Emissionsfaktoren!P154/1000, 0)</f>
        <v>0</v>
      </c>
      <c r="R319" s="14">
        <f>IF(ISNUMBER('Klisz-Verbräuche'!S154), 'Klisz-Verbräuche'!S154*Emissionsfaktoren!Q154/1000, 0)</f>
        <v>0</v>
      </c>
      <c r="S319" s="14">
        <f>IF(ISNUMBER('Klisz-Verbräuche'!T154), 'Klisz-Verbräuche'!T154*Emissionsfaktoren!R154/1000, 0)</f>
        <v>0</v>
      </c>
      <c r="T319" s="14">
        <f>IF(ISNUMBER('Klisz-Verbräuche'!U154), 'Klisz-Verbräuche'!U154*Emissionsfaktoren!S154/1000, 0)</f>
        <v>0</v>
      </c>
      <c r="U319" s="14">
        <f>IF(ISNUMBER('Klisz-Verbräuche'!V154), 'Klisz-Verbräuche'!V154*Emissionsfaktoren!T154/1000, 0)</f>
        <v>0</v>
      </c>
      <c r="V319" s="14">
        <f>IF(ISNUMBER('Klisz-Verbräuche'!W154), 'Klisz-Verbräuche'!W154*Emissionsfaktoren!U154/1000, 0)</f>
        <v>0</v>
      </c>
      <c r="W319" s="14">
        <f>IF(ISNUMBER('Klisz-Verbräuche'!X154), 'Klisz-Verbräuche'!X154*Emissionsfaktoren!V154/1000, 0)</f>
        <v>0</v>
      </c>
      <c r="X319" s="14">
        <f>IF(ISNUMBER('Klisz-Verbräuche'!Y154), 'Klisz-Verbräuche'!Y154*Emissionsfaktoren!W154/1000, 0)</f>
        <v>0</v>
      </c>
      <c r="Y319" s="14">
        <f>IF(ISNUMBER('Klisz-Verbräuche'!Z154), 'Klisz-Verbräuche'!Z154*Emissionsfaktoren!X154/1000, 0)</f>
        <v>0</v>
      </c>
    </row>
    <row r="320" spans="2:25" ht="16.5">
      <c r="B320" s="14">
        <v>138</v>
      </c>
      <c r="C320" s="14" t="str">
        <f>'Refsz-Verbräuche'!C155</f>
        <v>Baugüter</v>
      </c>
      <c r="D320" s="19" t="str">
        <f>'Refsz-Verbräuche'!D155</f>
        <v>Spanplatte</v>
      </c>
      <c r="E320" t="s">
        <v>195</v>
      </c>
      <c r="F320" s="14">
        <f>IF(ISNUMBER('Klisz-Verbräuche'!G155), 'Klisz-Verbräuche'!G155*Emissionsfaktoren!E155/1000, 0)</f>
        <v>0</v>
      </c>
      <c r="G320" s="14">
        <f>IF(ISNUMBER('Klisz-Verbräuche'!H155), 'Klisz-Verbräuche'!H155*Emissionsfaktoren!F155/1000, 0)</f>
        <v>0</v>
      </c>
      <c r="H320" s="14">
        <f>IF(ISNUMBER('Klisz-Verbräuche'!I155), 'Klisz-Verbräuche'!I155*Emissionsfaktoren!G155/1000, 0)</f>
        <v>0</v>
      </c>
      <c r="I320" s="14">
        <f>IF(ISNUMBER('Klisz-Verbräuche'!J155), 'Klisz-Verbräuche'!J155*Emissionsfaktoren!H155/1000, 0)</f>
        <v>0</v>
      </c>
      <c r="J320" s="14">
        <f>IF(ISNUMBER('Klisz-Verbräuche'!K155), 'Klisz-Verbräuche'!K155*Emissionsfaktoren!I155/1000, 0)</f>
        <v>0</v>
      </c>
      <c r="K320" s="14">
        <f>IF(ISNUMBER('Klisz-Verbräuche'!L155), 'Klisz-Verbräuche'!L155*Emissionsfaktoren!J155/1000, 0)</f>
        <v>0</v>
      </c>
      <c r="L320" s="14">
        <f>IF(ISNUMBER('Klisz-Verbräuche'!M155), 'Klisz-Verbräuche'!M155*Emissionsfaktoren!K155/1000, 0)</f>
        <v>0</v>
      </c>
      <c r="M320" s="14">
        <f>IF(ISNUMBER('Klisz-Verbräuche'!N155), 'Klisz-Verbräuche'!N155*Emissionsfaktoren!L155/1000, 0)</f>
        <v>0</v>
      </c>
      <c r="N320" s="14">
        <f>IF(ISNUMBER('Klisz-Verbräuche'!O155), 'Klisz-Verbräuche'!O155*Emissionsfaktoren!M155/1000, 0)</f>
        <v>0</v>
      </c>
      <c r="O320" s="14">
        <f>IF(ISNUMBER('Klisz-Verbräuche'!P155), 'Klisz-Verbräuche'!P155*Emissionsfaktoren!N155/1000, 0)</f>
        <v>0</v>
      </c>
      <c r="P320" s="14">
        <f>IF(ISNUMBER('Klisz-Verbräuche'!Q155), 'Klisz-Verbräuche'!Q155*Emissionsfaktoren!O155/1000, 0)</f>
        <v>0</v>
      </c>
      <c r="Q320" s="14">
        <f>IF(ISNUMBER('Klisz-Verbräuche'!R155), 'Klisz-Verbräuche'!R155*Emissionsfaktoren!P155/1000, 0)</f>
        <v>0</v>
      </c>
      <c r="R320" s="14">
        <f>IF(ISNUMBER('Klisz-Verbräuche'!S155), 'Klisz-Verbräuche'!S155*Emissionsfaktoren!Q155/1000, 0)</f>
        <v>0</v>
      </c>
      <c r="S320" s="14">
        <f>IF(ISNUMBER('Klisz-Verbräuche'!T155), 'Klisz-Verbräuche'!T155*Emissionsfaktoren!R155/1000, 0)</f>
        <v>0</v>
      </c>
      <c r="T320" s="14">
        <f>IF(ISNUMBER('Klisz-Verbräuche'!U155), 'Klisz-Verbräuche'!U155*Emissionsfaktoren!S155/1000, 0)</f>
        <v>0</v>
      </c>
      <c r="U320" s="14">
        <f>IF(ISNUMBER('Klisz-Verbräuche'!V155), 'Klisz-Verbräuche'!V155*Emissionsfaktoren!T155/1000, 0)</f>
        <v>0</v>
      </c>
      <c r="V320" s="14">
        <f>IF(ISNUMBER('Klisz-Verbräuche'!W155), 'Klisz-Verbräuche'!W155*Emissionsfaktoren!U155/1000, 0)</f>
        <v>0</v>
      </c>
      <c r="W320" s="14">
        <f>IF(ISNUMBER('Klisz-Verbräuche'!X155), 'Klisz-Verbräuche'!X155*Emissionsfaktoren!V155/1000, 0)</f>
        <v>0</v>
      </c>
      <c r="X320" s="14">
        <f>IF(ISNUMBER('Klisz-Verbräuche'!Y155), 'Klisz-Verbräuche'!Y155*Emissionsfaktoren!W155/1000, 0)</f>
        <v>0</v>
      </c>
      <c r="Y320" s="14">
        <f>IF(ISNUMBER('Klisz-Verbräuche'!Z155), 'Klisz-Verbräuche'!Z155*Emissionsfaktoren!X155/1000, 0)</f>
        <v>0</v>
      </c>
    </row>
    <row r="321" spans="2:25" ht="16.5">
      <c r="B321" s="14">
        <v>139</v>
      </c>
      <c r="C321" s="14" t="str">
        <f>'Refsz-Verbräuche'!C156</f>
        <v>Baugüter</v>
      </c>
      <c r="D321" s="19" t="str">
        <f>'Refsz-Verbräuche'!D156</f>
        <v>Perlit</v>
      </c>
      <c r="E321" t="s">
        <v>195</v>
      </c>
      <c r="F321" s="14">
        <f>IF(ISNUMBER('Klisz-Verbräuche'!G156), 'Klisz-Verbräuche'!G156*Emissionsfaktoren!E156/1000, 0)</f>
        <v>0</v>
      </c>
      <c r="G321" s="14">
        <f>IF(ISNUMBER('Klisz-Verbräuche'!H156), 'Klisz-Verbräuche'!H156*Emissionsfaktoren!F156/1000, 0)</f>
        <v>0</v>
      </c>
      <c r="H321" s="14">
        <f>IF(ISNUMBER('Klisz-Verbräuche'!I156), 'Klisz-Verbräuche'!I156*Emissionsfaktoren!G156/1000, 0)</f>
        <v>0</v>
      </c>
      <c r="I321" s="14">
        <f>IF(ISNUMBER('Klisz-Verbräuche'!J156), 'Klisz-Verbräuche'!J156*Emissionsfaktoren!H156/1000, 0)</f>
        <v>0</v>
      </c>
      <c r="J321" s="14">
        <f>IF(ISNUMBER('Klisz-Verbräuche'!K156), 'Klisz-Verbräuche'!K156*Emissionsfaktoren!I156/1000, 0)</f>
        <v>0</v>
      </c>
      <c r="K321" s="14">
        <f>IF(ISNUMBER('Klisz-Verbräuche'!L156), 'Klisz-Verbräuche'!L156*Emissionsfaktoren!J156/1000, 0)</f>
        <v>0</v>
      </c>
      <c r="L321" s="14">
        <f>IF(ISNUMBER('Klisz-Verbräuche'!M156), 'Klisz-Verbräuche'!M156*Emissionsfaktoren!K156/1000, 0)</f>
        <v>0</v>
      </c>
      <c r="M321" s="14">
        <f>IF(ISNUMBER('Klisz-Verbräuche'!N156), 'Klisz-Verbräuche'!N156*Emissionsfaktoren!L156/1000, 0)</f>
        <v>0</v>
      </c>
      <c r="N321" s="14">
        <f>IF(ISNUMBER('Klisz-Verbräuche'!O156), 'Klisz-Verbräuche'!O156*Emissionsfaktoren!M156/1000, 0)</f>
        <v>0</v>
      </c>
      <c r="O321" s="14">
        <f>IF(ISNUMBER('Klisz-Verbräuche'!P156), 'Klisz-Verbräuche'!P156*Emissionsfaktoren!N156/1000, 0)</f>
        <v>0</v>
      </c>
      <c r="P321" s="14">
        <f>IF(ISNUMBER('Klisz-Verbräuche'!Q156), 'Klisz-Verbräuche'!Q156*Emissionsfaktoren!O156/1000, 0)</f>
        <v>0</v>
      </c>
      <c r="Q321" s="14">
        <f>IF(ISNUMBER('Klisz-Verbräuche'!R156), 'Klisz-Verbräuche'!R156*Emissionsfaktoren!P156/1000, 0)</f>
        <v>0</v>
      </c>
      <c r="R321" s="14">
        <f>IF(ISNUMBER('Klisz-Verbräuche'!S156), 'Klisz-Verbräuche'!S156*Emissionsfaktoren!Q156/1000, 0)</f>
        <v>0</v>
      </c>
      <c r="S321" s="14">
        <f>IF(ISNUMBER('Klisz-Verbräuche'!T156), 'Klisz-Verbräuche'!T156*Emissionsfaktoren!R156/1000, 0)</f>
        <v>0</v>
      </c>
      <c r="T321" s="14">
        <f>IF(ISNUMBER('Klisz-Verbräuche'!U156), 'Klisz-Verbräuche'!U156*Emissionsfaktoren!S156/1000, 0)</f>
        <v>0</v>
      </c>
      <c r="U321" s="14">
        <f>IF(ISNUMBER('Klisz-Verbräuche'!V156), 'Klisz-Verbräuche'!V156*Emissionsfaktoren!T156/1000, 0)</f>
        <v>0</v>
      </c>
      <c r="V321" s="14">
        <f>IF(ISNUMBER('Klisz-Verbräuche'!W156), 'Klisz-Verbräuche'!W156*Emissionsfaktoren!U156/1000, 0)</f>
        <v>0</v>
      </c>
      <c r="W321" s="14">
        <f>IF(ISNUMBER('Klisz-Verbräuche'!X156), 'Klisz-Verbräuche'!X156*Emissionsfaktoren!V156/1000, 0)</f>
        <v>0</v>
      </c>
      <c r="X321" s="14">
        <f>IF(ISNUMBER('Klisz-Verbräuche'!Y156), 'Klisz-Verbräuche'!Y156*Emissionsfaktoren!W156/1000, 0)</f>
        <v>0</v>
      </c>
      <c r="Y321" s="14">
        <f>IF(ISNUMBER('Klisz-Verbräuche'!Z156), 'Klisz-Verbräuche'!Z156*Emissionsfaktoren!X156/1000, 0)</f>
        <v>0</v>
      </c>
    </row>
    <row r="322" spans="2:25" ht="16.5">
      <c r="B322" s="14">
        <v>140</v>
      </c>
      <c r="C322" s="14" t="str">
        <f>'Refsz-Verbräuche'!C157</f>
        <v>Baugüter</v>
      </c>
      <c r="D322" s="19" t="str">
        <f>'Refsz-Verbräuche'!D157</f>
        <v>Stahlbeton Fertigteil Decke (20cm Dicke)</v>
      </c>
      <c r="E322" t="s">
        <v>195</v>
      </c>
      <c r="F322" s="14">
        <f>IF(ISNUMBER('Klisz-Verbräuche'!G157), 'Klisz-Verbräuche'!G157*Emissionsfaktoren!E157/1000, 0)</f>
        <v>0</v>
      </c>
      <c r="G322" s="14">
        <f>IF(ISNUMBER('Klisz-Verbräuche'!H157), 'Klisz-Verbräuche'!H157*Emissionsfaktoren!F157/1000, 0)</f>
        <v>0</v>
      </c>
      <c r="H322" s="14">
        <f>IF(ISNUMBER('Klisz-Verbräuche'!I157), 'Klisz-Verbräuche'!I157*Emissionsfaktoren!G157/1000, 0)</f>
        <v>0</v>
      </c>
      <c r="I322" s="14">
        <f>IF(ISNUMBER('Klisz-Verbräuche'!J157), 'Klisz-Verbräuche'!J157*Emissionsfaktoren!H157/1000, 0)</f>
        <v>0</v>
      </c>
      <c r="J322" s="14">
        <f>IF(ISNUMBER('Klisz-Verbräuche'!K157), 'Klisz-Verbräuche'!K157*Emissionsfaktoren!I157/1000, 0)</f>
        <v>0</v>
      </c>
      <c r="K322" s="14">
        <f>IF(ISNUMBER('Klisz-Verbräuche'!L157), 'Klisz-Verbräuche'!L157*Emissionsfaktoren!J157/1000, 0)</f>
        <v>0</v>
      </c>
      <c r="L322" s="14">
        <f>IF(ISNUMBER('Klisz-Verbräuche'!M157), 'Klisz-Verbräuche'!M157*Emissionsfaktoren!K157/1000, 0)</f>
        <v>0</v>
      </c>
      <c r="M322" s="14">
        <f>IF(ISNUMBER('Klisz-Verbräuche'!N157), 'Klisz-Verbräuche'!N157*Emissionsfaktoren!L157/1000, 0)</f>
        <v>0</v>
      </c>
      <c r="N322" s="14">
        <f>IF(ISNUMBER('Klisz-Verbräuche'!O157), 'Klisz-Verbräuche'!O157*Emissionsfaktoren!M157/1000, 0)</f>
        <v>0</v>
      </c>
      <c r="O322" s="14">
        <f>IF(ISNUMBER('Klisz-Verbräuche'!P157), 'Klisz-Verbräuche'!P157*Emissionsfaktoren!N157/1000, 0)</f>
        <v>0</v>
      </c>
      <c r="P322" s="14">
        <f>IF(ISNUMBER('Klisz-Verbräuche'!Q157), 'Klisz-Verbräuche'!Q157*Emissionsfaktoren!O157/1000, 0)</f>
        <v>0</v>
      </c>
      <c r="Q322" s="14">
        <f>IF(ISNUMBER('Klisz-Verbräuche'!R157), 'Klisz-Verbräuche'!R157*Emissionsfaktoren!P157/1000, 0)</f>
        <v>0</v>
      </c>
      <c r="R322" s="14">
        <f>IF(ISNUMBER('Klisz-Verbräuche'!S157), 'Klisz-Verbräuche'!S157*Emissionsfaktoren!Q157/1000, 0)</f>
        <v>0</v>
      </c>
      <c r="S322" s="14">
        <f>IF(ISNUMBER('Klisz-Verbräuche'!T157), 'Klisz-Verbräuche'!T157*Emissionsfaktoren!R157/1000, 0)</f>
        <v>0</v>
      </c>
      <c r="T322" s="14">
        <f>IF(ISNUMBER('Klisz-Verbräuche'!U157), 'Klisz-Verbräuche'!U157*Emissionsfaktoren!S157/1000, 0)</f>
        <v>0</v>
      </c>
      <c r="U322" s="14">
        <f>IF(ISNUMBER('Klisz-Verbräuche'!V157), 'Klisz-Verbräuche'!V157*Emissionsfaktoren!T157/1000, 0)</f>
        <v>0</v>
      </c>
      <c r="V322" s="14">
        <f>IF(ISNUMBER('Klisz-Verbräuche'!W157), 'Klisz-Verbräuche'!W157*Emissionsfaktoren!U157/1000, 0)</f>
        <v>0</v>
      </c>
      <c r="W322" s="14">
        <f>IF(ISNUMBER('Klisz-Verbräuche'!X157), 'Klisz-Verbräuche'!X157*Emissionsfaktoren!V157/1000, 0)</f>
        <v>0</v>
      </c>
      <c r="X322" s="14">
        <f>IF(ISNUMBER('Klisz-Verbräuche'!Y157), 'Klisz-Verbräuche'!Y157*Emissionsfaktoren!W157/1000, 0)</f>
        <v>0</v>
      </c>
      <c r="Y322" s="14">
        <f>IF(ISNUMBER('Klisz-Verbräuche'!Z157), 'Klisz-Verbräuche'!Z157*Emissionsfaktoren!X157/1000, 0)</f>
        <v>0</v>
      </c>
    </row>
    <row r="323" spans="2:25" ht="16.5">
      <c r="B323" s="14">
        <v>141</v>
      </c>
      <c r="C323" s="14" t="str">
        <f>'Refsz-Verbräuche'!C158</f>
        <v>Baugüter</v>
      </c>
      <c r="D323" s="19" t="str">
        <f>'Refsz-Verbräuche'!D158</f>
        <v>Stahlbeton Fertigteil Wand (12cm Dicke)</v>
      </c>
      <c r="E323" t="s">
        <v>195</v>
      </c>
      <c r="F323" s="14">
        <f>IF(ISNUMBER('Klisz-Verbräuche'!G158), 'Klisz-Verbräuche'!G158*Emissionsfaktoren!E158/1000, 0)</f>
        <v>0</v>
      </c>
      <c r="G323" s="14">
        <f>IF(ISNUMBER('Klisz-Verbräuche'!H158), 'Klisz-Verbräuche'!H158*Emissionsfaktoren!F158/1000, 0)</f>
        <v>0</v>
      </c>
      <c r="H323" s="14">
        <f>IF(ISNUMBER('Klisz-Verbräuche'!I158), 'Klisz-Verbräuche'!I158*Emissionsfaktoren!G158/1000, 0)</f>
        <v>0</v>
      </c>
      <c r="I323" s="14">
        <f>IF(ISNUMBER('Klisz-Verbräuche'!J158), 'Klisz-Verbräuche'!J158*Emissionsfaktoren!H158/1000, 0)</f>
        <v>0</v>
      </c>
      <c r="J323" s="14">
        <f>IF(ISNUMBER('Klisz-Verbräuche'!K158), 'Klisz-Verbräuche'!K158*Emissionsfaktoren!I158/1000, 0)</f>
        <v>0</v>
      </c>
      <c r="K323" s="14">
        <f>IF(ISNUMBER('Klisz-Verbräuche'!L158), 'Klisz-Verbräuche'!L158*Emissionsfaktoren!J158/1000, 0)</f>
        <v>0</v>
      </c>
      <c r="L323" s="14">
        <f>IF(ISNUMBER('Klisz-Verbräuche'!M158), 'Klisz-Verbräuche'!M158*Emissionsfaktoren!K158/1000, 0)</f>
        <v>0</v>
      </c>
      <c r="M323" s="14">
        <f>IF(ISNUMBER('Klisz-Verbräuche'!N158), 'Klisz-Verbräuche'!N158*Emissionsfaktoren!L158/1000, 0)</f>
        <v>0</v>
      </c>
      <c r="N323" s="14">
        <f>IF(ISNUMBER('Klisz-Verbräuche'!O158), 'Klisz-Verbräuche'!O158*Emissionsfaktoren!M158/1000, 0)</f>
        <v>0</v>
      </c>
      <c r="O323" s="14">
        <f>IF(ISNUMBER('Klisz-Verbräuche'!P158), 'Klisz-Verbräuche'!P158*Emissionsfaktoren!N158/1000, 0)</f>
        <v>0</v>
      </c>
      <c r="P323" s="14">
        <f>IF(ISNUMBER('Klisz-Verbräuche'!Q158), 'Klisz-Verbräuche'!Q158*Emissionsfaktoren!O158/1000, 0)</f>
        <v>0</v>
      </c>
      <c r="Q323" s="14">
        <f>IF(ISNUMBER('Klisz-Verbräuche'!R158), 'Klisz-Verbräuche'!R158*Emissionsfaktoren!P158/1000, 0)</f>
        <v>0</v>
      </c>
      <c r="R323" s="14">
        <f>IF(ISNUMBER('Klisz-Verbräuche'!S158), 'Klisz-Verbräuche'!S158*Emissionsfaktoren!Q158/1000, 0)</f>
        <v>0</v>
      </c>
      <c r="S323" s="14">
        <f>IF(ISNUMBER('Klisz-Verbräuche'!T158), 'Klisz-Verbräuche'!T158*Emissionsfaktoren!R158/1000, 0)</f>
        <v>0</v>
      </c>
      <c r="T323" s="14">
        <f>IF(ISNUMBER('Klisz-Verbräuche'!U158), 'Klisz-Verbräuche'!U158*Emissionsfaktoren!S158/1000, 0)</f>
        <v>0</v>
      </c>
      <c r="U323" s="14">
        <f>IF(ISNUMBER('Klisz-Verbräuche'!V158), 'Klisz-Verbräuche'!V158*Emissionsfaktoren!T158/1000, 0)</f>
        <v>0</v>
      </c>
      <c r="V323" s="14">
        <f>IF(ISNUMBER('Klisz-Verbräuche'!W158), 'Klisz-Verbräuche'!W158*Emissionsfaktoren!U158/1000, 0)</f>
        <v>0</v>
      </c>
      <c r="W323" s="14">
        <f>IF(ISNUMBER('Klisz-Verbräuche'!X158), 'Klisz-Verbräuche'!X158*Emissionsfaktoren!V158/1000, 0)</f>
        <v>0</v>
      </c>
      <c r="X323" s="14">
        <f>IF(ISNUMBER('Klisz-Verbräuche'!Y158), 'Klisz-Verbräuche'!Y158*Emissionsfaktoren!W158/1000, 0)</f>
        <v>0</v>
      </c>
      <c r="Y323" s="14">
        <f>IF(ISNUMBER('Klisz-Verbräuche'!Z158), 'Klisz-Verbräuche'!Z158*Emissionsfaktoren!X158/1000, 0)</f>
        <v>0</v>
      </c>
    </row>
    <row r="324" spans="2:25" ht="16.5">
      <c r="B324" s="14">
        <v>142</v>
      </c>
      <c r="C324" s="14" t="str">
        <f>'Refsz-Verbräuche'!C159</f>
        <v>Baugüter</v>
      </c>
      <c r="D324" s="19" t="str">
        <f>'Refsz-Verbräuche'!D159</f>
        <v xml:space="preserve">Stahlbeton Fertigteil Treppe (1,1 m Breite, 9 Stufen a 16 cm) </v>
      </c>
      <c r="E324" t="s">
        <v>195</v>
      </c>
      <c r="F324" s="14">
        <f>IF(ISNUMBER('Klisz-Verbräuche'!G159), 'Klisz-Verbräuche'!G159*Emissionsfaktoren!E159/1000, 0)</f>
        <v>0</v>
      </c>
      <c r="G324" s="14">
        <f>IF(ISNUMBER('Klisz-Verbräuche'!H159), 'Klisz-Verbräuche'!H159*Emissionsfaktoren!F159/1000, 0)</f>
        <v>0</v>
      </c>
      <c r="H324" s="14">
        <f>IF(ISNUMBER('Klisz-Verbräuche'!I159), 'Klisz-Verbräuche'!I159*Emissionsfaktoren!G159/1000, 0)</f>
        <v>0</v>
      </c>
      <c r="I324" s="14">
        <f>IF(ISNUMBER('Klisz-Verbräuche'!J159), 'Klisz-Verbräuche'!J159*Emissionsfaktoren!H159/1000, 0)</f>
        <v>0</v>
      </c>
      <c r="J324" s="14">
        <f>IF(ISNUMBER('Klisz-Verbräuche'!K159), 'Klisz-Verbräuche'!K159*Emissionsfaktoren!I159/1000, 0)</f>
        <v>0</v>
      </c>
      <c r="K324" s="14">
        <f>IF(ISNUMBER('Klisz-Verbräuche'!L159), 'Klisz-Verbräuche'!L159*Emissionsfaktoren!J159/1000, 0)</f>
        <v>0</v>
      </c>
      <c r="L324" s="14">
        <f>IF(ISNUMBER('Klisz-Verbräuche'!M159), 'Klisz-Verbräuche'!M159*Emissionsfaktoren!K159/1000, 0)</f>
        <v>0</v>
      </c>
      <c r="M324" s="14">
        <f>IF(ISNUMBER('Klisz-Verbräuche'!N159), 'Klisz-Verbräuche'!N159*Emissionsfaktoren!L159/1000, 0)</f>
        <v>0</v>
      </c>
      <c r="N324" s="14">
        <f>IF(ISNUMBER('Klisz-Verbräuche'!O159), 'Klisz-Verbräuche'!O159*Emissionsfaktoren!M159/1000, 0)</f>
        <v>0</v>
      </c>
      <c r="O324" s="14">
        <f>IF(ISNUMBER('Klisz-Verbräuche'!P159), 'Klisz-Verbräuche'!P159*Emissionsfaktoren!N159/1000, 0)</f>
        <v>0</v>
      </c>
      <c r="P324" s="14">
        <f>IF(ISNUMBER('Klisz-Verbräuche'!Q159), 'Klisz-Verbräuche'!Q159*Emissionsfaktoren!O159/1000, 0)</f>
        <v>0</v>
      </c>
      <c r="Q324" s="14">
        <f>IF(ISNUMBER('Klisz-Verbräuche'!R159), 'Klisz-Verbräuche'!R159*Emissionsfaktoren!P159/1000, 0)</f>
        <v>0</v>
      </c>
      <c r="R324" s="14">
        <f>IF(ISNUMBER('Klisz-Verbräuche'!S159), 'Klisz-Verbräuche'!S159*Emissionsfaktoren!Q159/1000, 0)</f>
        <v>0</v>
      </c>
      <c r="S324" s="14">
        <f>IF(ISNUMBER('Klisz-Verbräuche'!T159), 'Klisz-Verbräuche'!T159*Emissionsfaktoren!R159/1000, 0)</f>
        <v>0</v>
      </c>
      <c r="T324" s="14">
        <f>IF(ISNUMBER('Klisz-Verbräuche'!U159), 'Klisz-Verbräuche'!U159*Emissionsfaktoren!S159/1000, 0)</f>
        <v>0</v>
      </c>
      <c r="U324" s="14">
        <f>IF(ISNUMBER('Klisz-Verbräuche'!V159), 'Klisz-Verbräuche'!V159*Emissionsfaktoren!T159/1000, 0)</f>
        <v>0</v>
      </c>
      <c r="V324" s="14">
        <f>IF(ISNUMBER('Klisz-Verbräuche'!W159), 'Klisz-Verbräuche'!W159*Emissionsfaktoren!U159/1000, 0)</f>
        <v>0</v>
      </c>
      <c r="W324" s="14">
        <f>IF(ISNUMBER('Klisz-Verbräuche'!X159), 'Klisz-Verbräuche'!X159*Emissionsfaktoren!V159/1000, 0)</f>
        <v>0</v>
      </c>
      <c r="X324" s="14">
        <f>IF(ISNUMBER('Klisz-Verbräuche'!Y159), 'Klisz-Verbräuche'!Y159*Emissionsfaktoren!W159/1000, 0)</f>
        <v>0</v>
      </c>
      <c r="Y324" s="14">
        <f>IF(ISNUMBER('Klisz-Verbräuche'!Z159), 'Klisz-Verbräuche'!Z159*Emissionsfaktoren!X159/1000, 0)</f>
        <v>0</v>
      </c>
    </row>
    <row r="325" spans="2:25" ht="16.5">
      <c r="B325" s="14">
        <v>143</v>
      </c>
      <c r="C325" s="14" t="str">
        <f>'Refsz-Verbräuche'!C160</f>
        <v>Baugüter</v>
      </c>
      <c r="D325" s="19" t="str">
        <f>'Refsz-Verbräuche'!D160</f>
        <v>Mineralwolle</v>
      </c>
      <c r="E325" t="s">
        <v>195</v>
      </c>
      <c r="F325" s="14">
        <f>IF(ISNUMBER('Klisz-Verbräuche'!G160), 'Klisz-Verbräuche'!G160*Emissionsfaktoren!E160/1000, 0)</f>
        <v>0</v>
      </c>
      <c r="G325" s="14">
        <f>IF(ISNUMBER('Klisz-Verbräuche'!H160), 'Klisz-Verbräuche'!H160*Emissionsfaktoren!F160/1000, 0)</f>
        <v>0</v>
      </c>
      <c r="H325" s="14">
        <f>IF(ISNUMBER('Klisz-Verbräuche'!I160), 'Klisz-Verbräuche'!I160*Emissionsfaktoren!G160/1000, 0)</f>
        <v>0</v>
      </c>
      <c r="I325" s="14">
        <f>IF(ISNUMBER('Klisz-Verbräuche'!J160), 'Klisz-Verbräuche'!J160*Emissionsfaktoren!H160/1000, 0)</f>
        <v>0</v>
      </c>
      <c r="J325" s="14">
        <f>IF(ISNUMBER('Klisz-Verbräuche'!K160), 'Klisz-Verbräuche'!K160*Emissionsfaktoren!I160/1000, 0)</f>
        <v>0</v>
      </c>
      <c r="K325" s="14">
        <f>IF(ISNUMBER('Klisz-Verbräuche'!L160), 'Klisz-Verbräuche'!L160*Emissionsfaktoren!J160/1000, 0)</f>
        <v>0</v>
      </c>
      <c r="L325" s="14">
        <f>IF(ISNUMBER('Klisz-Verbräuche'!M160), 'Klisz-Verbräuche'!M160*Emissionsfaktoren!K160/1000, 0)</f>
        <v>0</v>
      </c>
      <c r="M325" s="14">
        <f>IF(ISNUMBER('Klisz-Verbräuche'!N160), 'Klisz-Verbräuche'!N160*Emissionsfaktoren!L160/1000, 0)</f>
        <v>0</v>
      </c>
      <c r="N325" s="14">
        <f>IF(ISNUMBER('Klisz-Verbräuche'!O160), 'Klisz-Verbräuche'!O160*Emissionsfaktoren!M160/1000, 0)</f>
        <v>0</v>
      </c>
      <c r="O325" s="14">
        <f>IF(ISNUMBER('Klisz-Verbräuche'!P160), 'Klisz-Verbräuche'!P160*Emissionsfaktoren!N160/1000, 0)</f>
        <v>0</v>
      </c>
      <c r="P325" s="14">
        <f>IF(ISNUMBER('Klisz-Verbräuche'!Q160), 'Klisz-Verbräuche'!Q160*Emissionsfaktoren!O160/1000, 0)</f>
        <v>0</v>
      </c>
      <c r="Q325" s="14">
        <f>IF(ISNUMBER('Klisz-Verbräuche'!R160), 'Klisz-Verbräuche'!R160*Emissionsfaktoren!P160/1000, 0)</f>
        <v>0</v>
      </c>
      <c r="R325" s="14">
        <f>IF(ISNUMBER('Klisz-Verbräuche'!S160), 'Klisz-Verbräuche'!S160*Emissionsfaktoren!Q160/1000, 0)</f>
        <v>0</v>
      </c>
      <c r="S325" s="14">
        <f>IF(ISNUMBER('Klisz-Verbräuche'!T160), 'Klisz-Verbräuche'!T160*Emissionsfaktoren!R160/1000, 0)</f>
        <v>0</v>
      </c>
      <c r="T325" s="14">
        <f>IF(ISNUMBER('Klisz-Verbräuche'!U160), 'Klisz-Verbräuche'!U160*Emissionsfaktoren!S160/1000, 0)</f>
        <v>0</v>
      </c>
      <c r="U325" s="14">
        <f>IF(ISNUMBER('Klisz-Verbräuche'!V160), 'Klisz-Verbräuche'!V160*Emissionsfaktoren!T160/1000, 0)</f>
        <v>0</v>
      </c>
      <c r="V325" s="14">
        <f>IF(ISNUMBER('Klisz-Verbräuche'!W160), 'Klisz-Verbräuche'!W160*Emissionsfaktoren!U160/1000, 0)</f>
        <v>0</v>
      </c>
      <c r="W325" s="14">
        <f>IF(ISNUMBER('Klisz-Verbräuche'!X160), 'Klisz-Verbräuche'!X160*Emissionsfaktoren!V160/1000, 0)</f>
        <v>0</v>
      </c>
      <c r="X325" s="14">
        <f>IF(ISNUMBER('Klisz-Verbräuche'!Y160), 'Klisz-Verbräuche'!Y160*Emissionsfaktoren!W160/1000, 0)</f>
        <v>0</v>
      </c>
      <c r="Y325" s="14">
        <f>IF(ISNUMBER('Klisz-Verbräuche'!Z160), 'Klisz-Verbräuche'!Z160*Emissionsfaktoren!X160/1000, 0)</f>
        <v>0</v>
      </c>
    </row>
    <row r="326" spans="2:25" ht="16.5">
      <c r="B326" s="14">
        <v>144</v>
      </c>
      <c r="C326" s="14" t="str">
        <f>'Refsz-Verbräuche'!C161</f>
        <v>Baugüter</v>
      </c>
      <c r="D326" s="19" t="str">
        <f>'Refsz-Verbräuche'!D161</f>
        <v>Mauerziegel (ungefüllt)</v>
      </c>
      <c r="E326" t="s">
        <v>195</v>
      </c>
      <c r="F326" s="14">
        <f>IF(ISNUMBER('Klisz-Verbräuche'!G161), 'Klisz-Verbräuche'!G161*Emissionsfaktoren!E161/1000, 0)</f>
        <v>0</v>
      </c>
      <c r="G326" s="14">
        <f>IF(ISNUMBER('Klisz-Verbräuche'!H161), 'Klisz-Verbräuche'!H161*Emissionsfaktoren!F161/1000, 0)</f>
        <v>0</v>
      </c>
      <c r="H326" s="14">
        <f>IF(ISNUMBER('Klisz-Verbräuche'!I161), 'Klisz-Verbräuche'!I161*Emissionsfaktoren!G161/1000, 0)</f>
        <v>0</v>
      </c>
      <c r="I326" s="14">
        <f>IF(ISNUMBER('Klisz-Verbräuche'!J161), 'Klisz-Verbräuche'!J161*Emissionsfaktoren!H161/1000, 0)</f>
        <v>0</v>
      </c>
      <c r="J326" s="14">
        <f>IF(ISNUMBER('Klisz-Verbräuche'!K161), 'Klisz-Verbräuche'!K161*Emissionsfaktoren!I161/1000, 0)</f>
        <v>0</v>
      </c>
      <c r="K326" s="14">
        <f>IF(ISNUMBER('Klisz-Verbräuche'!L161), 'Klisz-Verbräuche'!L161*Emissionsfaktoren!J161/1000, 0)</f>
        <v>0</v>
      </c>
      <c r="L326" s="14">
        <f>IF(ISNUMBER('Klisz-Verbräuche'!M161), 'Klisz-Verbräuche'!M161*Emissionsfaktoren!K161/1000, 0)</f>
        <v>0</v>
      </c>
      <c r="M326" s="14">
        <f>IF(ISNUMBER('Klisz-Verbräuche'!N161), 'Klisz-Verbräuche'!N161*Emissionsfaktoren!L161/1000, 0)</f>
        <v>0</v>
      </c>
      <c r="N326" s="14">
        <f>IF(ISNUMBER('Klisz-Verbräuche'!O161), 'Klisz-Verbräuche'!O161*Emissionsfaktoren!M161/1000, 0)</f>
        <v>0</v>
      </c>
      <c r="O326" s="14">
        <f>IF(ISNUMBER('Klisz-Verbräuche'!P161), 'Klisz-Verbräuche'!P161*Emissionsfaktoren!N161/1000, 0)</f>
        <v>0</v>
      </c>
      <c r="P326" s="14">
        <f>IF(ISNUMBER('Klisz-Verbräuche'!Q161), 'Klisz-Verbräuche'!Q161*Emissionsfaktoren!O161/1000, 0)</f>
        <v>0</v>
      </c>
      <c r="Q326" s="14">
        <f>IF(ISNUMBER('Klisz-Verbräuche'!R161), 'Klisz-Verbräuche'!R161*Emissionsfaktoren!P161/1000, 0)</f>
        <v>0</v>
      </c>
      <c r="R326" s="14">
        <f>IF(ISNUMBER('Klisz-Verbräuche'!S161), 'Klisz-Verbräuche'!S161*Emissionsfaktoren!Q161/1000, 0)</f>
        <v>0</v>
      </c>
      <c r="S326" s="14">
        <f>IF(ISNUMBER('Klisz-Verbräuche'!T161), 'Klisz-Verbräuche'!T161*Emissionsfaktoren!R161/1000, 0)</f>
        <v>0</v>
      </c>
      <c r="T326" s="14">
        <f>IF(ISNUMBER('Klisz-Verbräuche'!U161), 'Klisz-Verbräuche'!U161*Emissionsfaktoren!S161/1000, 0)</f>
        <v>0</v>
      </c>
      <c r="U326" s="14">
        <f>IF(ISNUMBER('Klisz-Verbräuche'!V161), 'Klisz-Verbräuche'!V161*Emissionsfaktoren!T161/1000, 0)</f>
        <v>0</v>
      </c>
      <c r="V326" s="14">
        <f>IF(ISNUMBER('Klisz-Verbräuche'!W161), 'Klisz-Verbräuche'!W161*Emissionsfaktoren!U161/1000, 0)</f>
        <v>0</v>
      </c>
      <c r="W326" s="14">
        <f>IF(ISNUMBER('Klisz-Verbräuche'!X161), 'Klisz-Verbräuche'!X161*Emissionsfaktoren!V161/1000, 0)</f>
        <v>0</v>
      </c>
      <c r="X326" s="14">
        <f>IF(ISNUMBER('Klisz-Verbräuche'!Y161), 'Klisz-Verbräuche'!Y161*Emissionsfaktoren!W161/1000, 0)</f>
        <v>0</v>
      </c>
      <c r="Y326" s="14">
        <f>IF(ISNUMBER('Klisz-Verbräuche'!Z161), 'Klisz-Verbräuche'!Z161*Emissionsfaktoren!X161/1000, 0)</f>
        <v>0</v>
      </c>
    </row>
    <row r="327" spans="2:25" ht="16.5">
      <c r="B327" s="14">
        <v>145</v>
      </c>
      <c r="C327" s="14">
        <f>'Refsz-Verbräuche'!C162</f>
        <v>0</v>
      </c>
      <c r="D327" s="19">
        <f>'Refsz-Verbräuche'!D162</f>
        <v>0</v>
      </c>
      <c r="E327" t="s">
        <v>195</v>
      </c>
      <c r="F327" s="14">
        <f>IF(ISNUMBER('Klisz-Verbräuche'!G162), 'Klisz-Verbräuche'!G162*Emissionsfaktoren!E162/1000, 0)</f>
        <v>0</v>
      </c>
      <c r="G327" s="14">
        <f>IF(ISNUMBER('Klisz-Verbräuche'!H162), 'Klisz-Verbräuche'!H162*Emissionsfaktoren!F162/1000, 0)</f>
        <v>0</v>
      </c>
      <c r="H327" s="14">
        <f>IF(ISNUMBER('Klisz-Verbräuche'!I162), 'Klisz-Verbräuche'!I162*Emissionsfaktoren!G162/1000, 0)</f>
        <v>0</v>
      </c>
      <c r="I327" s="14">
        <f>IF(ISNUMBER('Klisz-Verbräuche'!J162), 'Klisz-Verbräuche'!J162*Emissionsfaktoren!H162/1000, 0)</f>
        <v>0</v>
      </c>
      <c r="J327" s="14">
        <f>IF(ISNUMBER('Klisz-Verbräuche'!K162), 'Klisz-Verbräuche'!K162*Emissionsfaktoren!I162/1000, 0)</f>
        <v>0</v>
      </c>
      <c r="K327" s="14">
        <f>IF(ISNUMBER('Klisz-Verbräuche'!L162), 'Klisz-Verbräuche'!L162*Emissionsfaktoren!J162/1000, 0)</f>
        <v>0</v>
      </c>
      <c r="L327" s="14">
        <f>IF(ISNUMBER('Klisz-Verbräuche'!M162), 'Klisz-Verbräuche'!M162*Emissionsfaktoren!K162/1000, 0)</f>
        <v>0</v>
      </c>
      <c r="M327" s="14">
        <f>IF(ISNUMBER('Klisz-Verbräuche'!N162), 'Klisz-Verbräuche'!N162*Emissionsfaktoren!L162/1000, 0)</f>
        <v>0</v>
      </c>
      <c r="N327" s="14">
        <f>IF(ISNUMBER('Klisz-Verbräuche'!O162), 'Klisz-Verbräuche'!O162*Emissionsfaktoren!M162/1000, 0)</f>
        <v>0</v>
      </c>
      <c r="O327" s="14">
        <f>IF(ISNUMBER('Klisz-Verbräuche'!P162), 'Klisz-Verbräuche'!P162*Emissionsfaktoren!N162/1000, 0)</f>
        <v>0</v>
      </c>
      <c r="P327" s="14">
        <f>IF(ISNUMBER('Klisz-Verbräuche'!Q162), 'Klisz-Verbräuche'!Q162*Emissionsfaktoren!O162/1000, 0)</f>
        <v>0</v>
      </c>
      <c r="Q327" s="14">
        <f>IF(ISNUMBER('Klisz-Verbräuche'!R162), 'Klisz-Verbräuche'!R162*Emissionsfaktoren!P162/1000, 0)</f>
        <v>0</v>
      </c>
      <c r="R327" s="14">
        <f>IF(ISNUMBER('Klisz-Verbräuche'!S162), 'Klisz-Verbräuche'!S162*Emissionsfaktoren!Q162/1000, 0)</f>
        <v>0</v>
      </c>
      <c r="S327" s="14">
        <f>IF(ISNUMBER('Klisz-Verbräuche'!T162), 'Klisz-Verbräuche'!T162*Emissionsfaktoren!R162/1000, 0)</f>
        <v>0</v>
      </c>
      <c r="T327" s="14">
        <f>IF(ISNUMBER('Klisz-Verbräuche'!U162), 'Klisz-Verbräuche'!U162*Emissionsfaktoren!S162/1000, 0)</f>
        <v>0</v>
      </c>
      <c r="U327" s="14">
        <f>IF(ISNUMBER('Klisz-Verbräuche'!V162), 'Klisz-Verbräuche'!V162*Emissionsfaktoren!T162/1000, 0)</f>
        <v>0</v>
      </c>
      <c r="V327" s="14">
        <f>IF(ISNUMBER('Klisz-Verbräuche'!W162), 'Klisz-Verbräuche'!W162*Emissionsfaktoren!U162/1000, 0)</f>
        <v>0</v>
      </c>
      <c r="W327" s="14">
        <f>IF(ISNUMBER('Klisz-Verbräuche'!X162), 'Klisz-Verbräuche'!X162*Emissionsfaktoren!V162/1000, 0)</f>
        <v>0</v>
      </c>
      <c r="X327" s="14">
        <f>IF(ISNUMBER('Klisz-Verbräuche'!Y162), 'Klisz-Verbräuche'!Y162*Emissionsfaktoren!W162/1000, 0)</f>
        <v>0</v>
      </c>
      <c r="Y327" s="14">
        <f>IF(ISNUMBER('Klisz-Verbräuche'!Z162), 'Klisz-Verbräuche'!Z162*Emissionsfaktoren!X162/1000, 0)</f>
        <v>0</v>
      </c>
    </row>
    <row r="328" spans="2:25" ht="16.5">
      <c r="B328" s="14">
        <v>146</v>
      </c>
      <c r="C328" s="14" t="str">
        <f>'Refsz-Verbräuche'!C163</f>
        <v>Waren mit negativem GWP total</v>
      </c>
      <c r="D328" s="19" t="str">
        <f>'Refsz-Verbräuche'!D163</f>
        <v>Holzfaserdämmpatte (flexibe Matte)</v>
      </c>
      <c r="E328" t="s">
        <v>195</v>
      </c>
      <c r="F328" s="14">
        <f>IF(ISNUMBER('Klisz-Verbräuche'!G163), 'Klisz-Verbräuche'!G163*Emissionsfaktoren!E165/1000, 0)</f>
        <v>0</v>
      </c>
      <c r="G328" s="14">
        <f>IF(ISNUMBER('Klisz-Verbräuche'!H163), 'Klisz-Verbräuche'!H163*Emissionsfaktoren!F165/1000, 0)</f>
        <v>0</v>
      </c>
      <c r="H328" s="14">
        <f>IF(ISNUMBER('Klisz-Verbräuche'!I163), 'Klisz-Verbräuche'!I163*Emissionsfaktoren!G165/1000, 0)</f>
        <v>0</v>
      </c>
      <c r="I328" s="14">
        <f>IF(ISNUMBER('Klisz-Verbräuche'!J163), 'Klisz-Verbräuche'!J163*Emissionsfaktoren!H165/1000, 0)</f>
        <v>0</v>
      </c>
      <c r="J328" s="14">
        <f>IF(ISNUMBER('Klisz-Verbräuche'!K163), 'Klisz-Verbräuche'!K163*Emissionsfaktoren!I165/1000, 0)</f>
        <v>0</v>
      </c>
      <c r="K328" s="14">
        <f>IF(ISNUMBER('Klisz-Verbräuche'!L163), 'Klisz-Verbräuche'!L163*Emissionsfaktoren!J165/1000, 0)</f>
        <v>0</v>
      </c>
      <c r="L328" s="14">
        <f>IF(ISNUMBER('Klisz-Verbräuche'!M163), 'Klisz-Verbräuche'!M163*Emissionsfaktoren!K165/1000, 0)</f>
        <v>0</v>
      </c>
      <c r="M328" s="14">
        <f>IF(ISNUMBER('Klisz-Verbräuche'!N163), 'Klisz-Verbräuche'!N163*Emissionsfaktoren!L165/1000, 0)</f>
        <v>0</v>
      </c>
      <c r="N328" s="14">
        <f>IF(ISNUMBER('Klisz-Verbräuche'!O163), 'Klisz-Verbräuche'!O163*Emissionsfaktoren!M165/1000, 0)</f>
        <v>0</v>
      </c>
      <c r="O328" s="14">
        <f>IF(ISNUMBER('Klisz-Verbräuche'!P163), 'Klisz-Verbräuche'!P163*Emissionsfaktoren!N165/1000, 0)</f>
        <v>0</v>
      </c>
      <c r="P328" s="14">
        <f>IF(ISNUMBER('Klisz-Verbräuche'!Q163), 'Klisz-Verbräuche'!Q163*Emissionsfaktoren!O165/1000, 0)</f>
        <v>0</v>
      </c>
      <c r="Q328" s="14">
        <f>IF(ISNUMBER('Klisz-Verbräuche'!R163), 'Klisz-Verbräuche'!R163*Emissionsfaktoren!P165/1000, 0)</f>
        <v>0</v>
      </c>
      <c r="R328" s="14">
        <f>IF(ISNUMBER('Klisz-Verbräuche'!S163), 'Klisz-Verbräuche'!S163*Emissionsfaktoren!Q165/1000, 0)</f>
        <v>0</v>
      </c>
      <c r="S328" s="14">
        <f>IF(ISNUMBER('Klisz-Verbräuche'!T163), 'Klisz-Verbräuche'!T163*Emissionsfaktoren!R165/1000, 0)</f>
        <v>0</v>
      </c>
      <c r="T328" s="14">
        <f>IF(ISNUMBER('Klisz-Verbräuche'!U163), 'Klisz-Verbräuche'!U163*Emissionsfaktoren!S165/1000, 0)</f>
        <v>0</v>
      </c>
      <c r="U328" s="14">
        <f>IF(ISNUMBER('Klisz-Verbräuche'!V163), 'Klisz-Verbräuche'!V163*Emissionsfaktoren!T165/1000, 0)</f>
        <v>0</v>
      </c>
      <c r="V328" s="14">
        <f>IF(ISNUMBER('Klisz-Verbräuche'!W163), 'Klisz-Verbräuche'!W163*Emissionsfaktoren!U165/1000, 0)</f>
        <v>0</v>
      </c>
      <c r="W328" s="14">
        <f>IF(ISNUMBER('Klisz-Verbräuche'!X163), 'Klisz-Verbräuche'!X163*Emissionsfaktoren!V165/1000, 0)</f>
        <v>0</v>
      </c>
      <c r="X328" s="14">
        <f>IF(ISNUMBER('Klisz-Verbräuche'!Y163), 'Klisz-Verbräuche'!Y163*Emissionsfaktoren!W165/1000, 0)</f>
        <v>0</v>
      </c>
      <c r="Y328" s="14">
        <f>IF(ISNUMBER('Klisz-Verbräuche'!Z163), 'Klisz-Verbräuche'!Z163*Emissionsfaktoren!X163/1000, 0)</f>
        <v>0</v>
      </c>
    </row>
    <row r="329" spans="2:25" ht="16.5">
      <c r="B329" s="14">
        <v>147</v>
      </c>
      <c r="C329" s="14">
        <f>'Refsz-Verbräuche'!C164</f>
        <v>0</v>
      </c>
      <c r="D329" s="19">
        <f>'Refsz-Verbräuche'!D164</f>
        <v>0</v>
      </c>
      <c r="E329" t="s">
        <v>195</v>
      </c>
      <c r="F329" s="14">
        <f>IF(ISNUMBER('Klisz-Verbräuche'!G164), 'Klisz-Verbräuche'!G164*Emissionsfaktoren!E164/1000, 0)</f>
        <v>0</v>
      </c>
      <c r="G329" s="14">
        <f>IF(ISNUMBER('Klisz-Verbräuche'!H164), 'Klisz-Verbräuche'!H164*Emissionsfaktoren!F164/1000, 0)</f>
        <v>0</v>
      </c>
      <c r="H329" s="14">
        <f>IF(ISNUMBER('Klisz-Verbräuche'!I164), 'Klisz-Verbräuche'!I164*Emissionsfaktoren!G164/1000, 0)</f>
        <v>0</v>
      </c>
      <c r="I329" s="14">
        <f>IF(ISNUMBER('Klisz-Verbräuche'!J164), 'Klisz-Verbräuche'!J164*Emissionsfaktoren!H164/1000, 0)</f>
        <v>0</v>
      </c>
      <c r="J329" s="14">
        <f>IF(ISNUMBER('Klisz-Verbräuche'!K164), 'Klisz-Verbräuche'!K164*Emissionsfaktoren!I164/1000, 0)</f>
        <v>0</v>
      </c>
      <c r="K329" s="14">
        <f>IF(ISNUMBER('Klisz-Verbräuche'!L164), 'Klisz-Verbräuche'!L164*Emissionsfaktoren!J164/1000, 0)</f>
        <v>0</v>
      </c>
      <c r="L329" s="14">
        <f>IF(ISNUMBER('Klisz-Verbräuche'!M164), 'Klisz-Verbräuche'!M164*Emissionsfaktoren!K164/1000, 0)</f>
        <v>0</v>
      </c>
      <c r="M329" s="14">
        <f>IF(ISNUMBER('Klisz-Verbräuche'!N164), 'Klisz-Verbräuche'!N164*Emissionsfaktoren!L164/1000, 0)</f>
        <v>0</v>
      </c>
      <c r="N329" s="14">
        <f>IF(ISNUMBER('Klisz-Verbräuche'!O164), 'Klisz-Verbräuche'!O164*Emissionsfaktoren!M164/1000, 0)</f>
        <v>0</v>
      </c>
      <c r="O329" s="14">
        <f>IF(ISNUMBER('Klisz-Verbräuche'!P164), 'Klisz-Verbräuche'!P164*Emissionsfaktoren!N164/1000, 0)</f>
        <v>0</v>
      </c>
      <c r="P329" s="14">
        <f>IF(ISNUMBER('Klisz-Verbräuche'!Q164), 'Klisz-Verbräuche'!Q164*Emissionsfaktoren!O164/1000, 0)</f>
        <v>0</v>
      </c>
      <c r="Q329" s="14">
        <f>IF(ISNUMBER('Klisz-Verbräuche'!R164), 'Klisz-Verbräuche'!R164*Emissionsfaktoren!P164/1000, 0)</f>
        <v>0</v>
      </c>
      <c r="R329" s="14">
        <f>IF(ISNUMBER('Klisz-Verbräuche'!S164), 'Klisz-Verbräuche'!S164*Emissionsfaktoren!Q164/1000, 0)</f>
        <v>0</v>
      </c>
      <c r="S329" s="14">
        <f>IF(ISNUMBER('Klisz-Verbräuche'!T164), 'Klisz-Verbräuche'!T164*Emissionsfaktoren!R164/1000, 0)</f>
        <v>0</v>
      </c>
      <c r="T329" s="14">
        <f>IF(ISNUMBER('Klisz-Verbräuche'!U164), 'Klisz-Verbräuche'!U164*Emissionsfaktoren!S164/1000, 0)</f>
        <v>0</v>
      </c>
      <c r="U329" s="14">
        <f>IF(ISNUMBER('Klisz-Verbräuche'!V164), 'Klisz-Verbräuche'!V164*Emissionsfaktoren!T164/1000, 0)</f>
        <v>0</v>
      </c>
      <c r="V329" s="14">
        <f>IF(ISNUMBER('Klisz-Verbräuche'!W164), 'Klisz-Verbräuche'!W164*Emissionsfaktoren!U164/1000, 0)</f>
        <v>0</v>
      </c>
      <c r="W329" s="14">
        <f>IF(ISNUMBER('Klisz-Verbräuche'!X164), 'Klisz-Verbräuche'!X164*Emissionsfaktoren!V164/1000, 0)</f>
        <v>0</v>
      </c>
      <c r="X329" s="14">
        <f>IF(ISNUMBER('Klisz-Verbräuche'!Y164), 'Klisz-Verbräuche'!Y164*Emissionsfaktoren!W164/1000, 0)</f>
        <v>0</v>
      </c>
      <c r="Y329" s="14">
        <f>IF(ISNUMBER('Klisz-Verbräuche'!Z164), 'Klisz-Verbräuche'!Z164*Emissionsfaktoren!X164/1000, 0)</f>
        <v>0</v>
      </c>
    </row>
    <row r="330" spans="2:25" ht="16.5">
      <c r="B330" s="14">
        <v>148</v>
      </c>
      <c r="C330" s="14" t="str">
        <f>'Refsz-Verbräuche'!C165</f>
        <v>Kompensation</v>
      </c>
      <c r="D330" s="19" t="str">
        <f>'Refsz-Verbräuche'!D165</f>
        <v>Kompensation</v>
      </c>
      <c r="E330" t="s">
        <v>195</v>
      </c>
      <c r="F330" s="14">
        <f>IF(ISNUMBER('Klisz-Verbräuche'!G165), 'Klisz-Verbräuche'!G165*Emissionsfaktoren!E165/1000, 0)</f>
        <v>0</v>
      </c>
      <c r="G330" s="14">
        <f>IF(ISNUMBER('Klisz-Verbräuche'!H165), 'Klisz-Verbräuche'!H165*Emissionsfaktoren!F165/1000, 0)</f>
        <v>0</v>
      </c>
      <c r="H330" s="14">
        <f>IF(ISNUMBER('Klisz-Verbräuche'!I165), 'Klisz-Verbräuche'!I165*Emissionsfaktoren!G165/1000, 0)</f>
        <v>0</v>
      </c>
      <c r="I330" s="14">
        <f>IF(ISNUMBER('Klisz-Verbräuche'!J165), 'Klisz-Verbräuche'!J165*Emissionsfaktoren!H165/1000, 0)</f>
        <v>0</v>
      </c>
      <c r="J330" s="14">
        <f>IF(ISNUMBER('Klisz-Verbräuche'!K165), 'Klisz-Verbräuche'!K165*Emissionsfaktoren!I165/1000, 0)</f>
        <v>0</v>
      </c>
      <c r="K330" s="14">
        <f>IF(ISNUMBER('Klisz-Verbräuche'!L165), 'Klisz-Verbräuche'!L165*Emissionsfaktoren!J165/1000, 0)</f>
        <v>0</v>
      </c>
      <c r="L330" s="14">
        <f>IF(ISNUMBER('Klisz-Verbräuche'!M165), 'Klisz-Verbräuche'!M165*Emissionsfaktoren!K165/1000, 0)</f>
        <v>0</v>
      </c>
      <c r="M330" s="14">
        <f>IF(ISNUMBER('Klisz-Verbräuche'!N165), 'Klisz-Verbräuche'!N165*Emissionsfaktoren!L165/1000, 0)</f>
        <v>0</v>
      </c>
      <c r="N330" s="14">
        <f>IF(ISNUMBER('Klisz-Verbräuche'!O165), 'Klisz-Verbräuche'!O165*Emissionsfaktoren!M165/1000, 0)</f>
        <v>0</v>
      </c>
      <c r="O330" s="14">
        <f>IF(ISNUMBER('Klisz-Verbräuche'!P165), 'Klisz-Verbräuche'!P165*Emissionsfaktoren!N165/1000, 0)</f>
        <v>0</v>
      </c>
      <c r="P330" s="14">
        <f>IF(ISNUMBER('Klisz-Verbräuche'!Q165), 'Klisz-Verbräuche'!Q165*Emissionsfaktoren!O165/1000, 0)</f>
        <v>0</v>
      </c>
      <c r="Q330" s="14">
        <f>IF(ISNUMBER('Klisz-Verbräuche'!R165), 'Klisz-Verbräuche'!R165*Emissionsfaktoren!P165/1000, 0)</f>
        <v>0</v>
      </c>
      <c r="R330" s="14">
        <f>IF(ISNUMBER('Klisz-Verbräuche'!S165), 'Klisz-Verbräuche'!S165*Emissionsfaktoren!Q165/1000, 0)</f>
        <v>0</v>
      </c>
      <c r="S330" s="14">
        <f>IF(ISNUMBER('Klisz-Verbräuche'!T165), 'Klisz-Verbräuche'!T165*Emissionsfaktoren!R165/1000, 0)</f>
        <v>0</v>
      </c>
      <c r="T330" s="14">
        <f>IF(ISNUMBER('Klisz-Verbräuche'!U165), 'Klisz-Verbräuche'!U165*Emissionsfaktoren!S165/1000, 0)</f>
        <v>0</v>
      </c>
      <c r="U330" s="14">
        <f>IF(ISNUMBER('Klisz-Verbräuche'!V165), 'Klisz-Verbräuche'!V165*Emissionsfaktoren!T165/1000, 0)</f>
        <v>0</v>
      </c>
      <c r="V330" s="14">
        <f>IF(ISNUMBER('Klisz-Verbräuche'!W165), 'Klisz-Verbräuche'!W165*Emissionsfaktoren!U165/1000, 0)</f>
        <v>0</v>
      </c>
      <c r="W330" s="14">
        <f>IF(ISNUMBER('Klisz-Verbräuche'!X165), 'Klisz-Verbräuche'!X165*Emissionsfaktoren!V165/1000, 0)</f>
        <v>0</v>
      </c>
      <c r="X330" s="14">
        <f>IF(ISNUMBER('Klisz-Verbräuche'!Y165), 'Klisz-Verbräuche'!Y165*Emissionsfaktoren!W165/1000, 0)</f>
        <v>0</v>
      </c>
      <c r="Y330" s="14">
        <f>IF(ISNUMBER('Klisz-Verbräuche'!Z165), 'Klisz-Verbräuche'!Z165*Emissionsfaktoren!X165/1000, 0)</f>
        <v>0</v>
      </c>
    </row>
    <row r="331" spans="2:25" ht="16.5">
      <c r="B331" s="14">
        <v>149</v>
      </c>
      <c r="C331" s="14">
        <f>'Refsz-Verbräuche'!C166</f>
        <v>0</v>
      </c>
      <c r="D331" s="19">
        <f>'Refsz-Verbräuche'!D166</f>
        <v>0</v>
      </c>
      <c r="E331" t="s">
        <v>195</v>
      </c>
      <c r="F331" s="14">
        <f>IF(ISNUMBER('Klisz-Verbräuche'!G166), 'Klisz-Verbräuche'!G166*Emissionsfaktoren!E166/1000, 0)</f>
        <v>0</v>
      </c>
      <c r="G331" s="14">
        <f>IF(ISNUMBER('Klisz-Verbräuche'!H166), 'Klisz-Verbräuche'!H166*Emissionsfaktoren!F166/1000, 0)</f>
        <v>0</v>
      </c>
      <c r="H331" s="14">
        <f>IF(ISNUMBER('Klisz-Verbräuche'!I166), 'Klisz-Verbräuche'!I166*Emissionsfaktoren!G166/1000, 0)</f>
        <v>0</v>
      </c>
      <c r="I331" s="14">
        <f>IF(ISNUMBER('Klisz-Verbräuche'!J166), 'Klisz-Verbräuche'!J166*Emissionsfaktoren!H166/1000, 0)</f>
        <v>0</v>
      </c>
      <c r="J331" s="14">
        <f>IF(ISNUMBER('Klisz-Verbräuche'!K166), 'Klisz-Verbräuche'!K166*Emissionsfaktoren!I166/1000, 0)</f>
        <v>0</v>
      </c>
      <c r="K331" s="14">
        <f>IF(ISNUMBER('Klisz-Verbräuche'!L166), 'Klisz-Verbräuche'!L166*Emissionsfaktoren!J166/1000, 0)</f>
        <v>0</v>
      </c>
      <c r="L331" s="14">
        <f>IF(ISNUMBER('Klisz-Verbräuche'!M166), 'Klisz-Verbräuche'!M166*Emissionsfaktoren!K166/1000, 0)</f>
        <v>0</v>
      </c>
      <c r="M331" s="14">
        <f>IF(ISNUMBER('Klisz-Verbräuche'!N166), 'Klisz-Verbräuche'!N166*Emissionsfaktoren!L166/1000, 0)</f>
        <v>0</v>
      </c>
      <c r="N331" s="14">
        <f>IF(ISNUMBER('Klisz-Verbräuche'!O166), 'Klisz-Verbräuche'!O166*Emissionsfaktoren!M166/1000, 0)</f>
        <v>0</v>
      </c>
      <c r="O331" s="14">
        <f>IF(ISNUMBER('Klisz-Verbräuche'!P166), 'Klisz-Verbräuche'!P166*Emissionsfaktoren!N166/1000, 0)</f>
        <v>0</v>
      </c>
      <c r="P331" s="14">
        <f>IF(ISNUMBER('Klisz-Verbräuche'!Q166), 'Klisz-Verbräuche'!Q166*Emissionsfaktoren!O166/1000, 0)</f>
        <v>0</v>
      </c>
      <c r="Q331" s="14">
        <f>IF(ISNUMBER('Klisz-Verbräuche'!R166), 'Klisz-Verbräuche'!R166*Emissionsfaktoren!P166/1000, 0)</f>
        <v>0</v>
      </c>
      <c r="R331" s="14">
        <f>IF(ISNUMBER('Klisz-Verbräuche'!S166), 'Klisz-Verbräuche'!S166*Emissionsfaktoren!Q166/1000, 0)</f>
        <v>0</v>
      </c>
      <c r="S331" s="14">
        <f>IF(ISNUMBER('Klisz-Verbräuche'!T166), 'Klisz-Verbräuche'!T166*Emissionsfaktoren!R166/1000, 0)</f>
        <v>0</v>
      </c>
      <c r="T331" s="14">
        <f>IF(ISNUMBER('Klisz-Verbräuche'!U166), 'Klisz-Verbräuche'!U166*Emissionsfaktoren!S166/1000, 0)</f>
        <v>0</v>
      </c>
      <c r="U331" s="14">
        <f>IF(ISNUMBER('Klisz-Verbräuche'!V166), 'Klisz-Verbräuche'!V166*Emissionsfaktoren!T166/1000, 0)</f>
        <v>0</v>
      </c>
      <c r="V331" s="14">
        <f>IF(ISNUMBER('Klisz-Verbräuche'!W166), 'Klisz-Verbräuche'!W166*Emissionsfaktoren!U166/1000, 0)</f>
        <v>0</v>
      </c>
      <c r="W331" s="14">
        <f>IF(ISNUMBER('Klisz-Verbräuche'!X166), 'Klisz-Verbräuche'!X166*Emissionsfaktoren!V166/1000, 0)</f>
        <v>0</v>
      </c>
      <c r="X331" s="14">
        <f>IF(ISNUMBER('Klisz-Verbräuche'!Y166), 'Klisz-Verbräuche'!Y166*Emissionsfaktoren!W166/1000, 0)</f>
        <v>0</v>
      </c>
      <c r="Y331" s="14">
        <f>IF(ISNUMBER('Klisz-Verbräuche'!Z166), 'Klisz-Verbräuche'!Z166*Emissionsfaktoren!X166/1000, 0)</f>
        <v>0</v>
      </c>
    </row>
    <row r="332" spans="2:25" ht="16.5">
      <c r="B332" s="14">
        <v>150</v>
      </c>
      <c r="C332" s="14">
        <f>'Refsz-Verbräuche'!C167</f>
        <v>0</v>
      </c>
      <c r="D332" s="19">
        <f>'Refsz-Verbräuche'!D167</f>
        <v>0</v>
      </c>
      <c r="E332" t="s">
        <v>195</v>
      </c>
      <c r="F332" s="14">
        <f>IF(ISNUMBER('Klisz-Verbräuche'!G167), 'Klisz-Verbräuche'!G167*Emissionsfaktoren!E167/1000, 0)</f>
        <v>0</v>
      </c>
      <c r="G332" s="14">
        <f>IF(ISNUMBER('Klisz-Verbräuche'!H167), 'Klisz-Verbräuche'!H167*Emissionsfaktoren!F167/1000, 0)</f>
        <v>0</v>
      </c>
      <c r="H332" s="14">
        <f>IF(ISNUMBER('Klisz-Verbräuche'!I167), 'Klisz-Verbräuche'!I167*Emissionsfaktoren!G167/1000, 0)</f>
        <v>0</v>
      </c>
      <c r="I332" s="14">
        <f>IF(ISNUMBER('Klisz-Verbräuche'!J167), 'Klisz-Verbräuche'!J167*Emissionsfaktoren!H167/1000, 0)</f>
        <v>0</v>
      </c>
      <c r="J332" s="14">
        <f>IF(ISNUMBER('Klisz-Verbräuche'!K167), 'Klisz-Verbräuche'!K167*Emissionsfaktoren!I167/1000, 0)</f>
        <v>0</v>
      </c>
      <c r="K332" s="14">
        <f>IF(ISNUMBER('Klisz-Verbräuche'!L167), 'Klisz-Verbräuche'!L167*Emissionsfaktoren!J167/1000, 0)</f>
        <v>0</v>
      </c>
      <c r="L332" s="14">
        <f>IF(ISNUMBER('Klisz-Verbräuche'!M167), 'Klisz-Verbräuche'!M167*Emissionsfaktoren!K167/1000, 0)</f>
        <v>0</v>
      </c>
      <c r="M332" s="14">
        <f>IF(ISNUMBER('Klisz-Verbräuche'!N167), 'Klisz-Verbräuche'!N167*Emissionsfaktoren!L167/1000, 0)</f>
        <v>0</v>
      </c>
      <c r="N332" s="14">
        <f>IF(ISNUMBER('Klisz-Verbräuche'!O167), 'Klisz-Verbräuche'!O167*Emissionsfaktoren!M167/1000, 0)</f>
        <v>0</v>
      </c>
      <c r="O332" s="14">
        <f>IF(ISNUMBER('Klisz-Verbräuche'!P167), 'Klisz-Verbräuche'!P167*Emissionsfaktoren!N167/1000, 0)</f>
        <v>0</v>
      </c>
      <c r="P332" s="14">
        <f>IF(ISNUMBER('Klisz-Verbräuche'!Q167), 'Klisz-Verbräuche'!Q167*Emissionsfaktoren!O167/1000, 0)</f>
        <v>0</v>
      </c>
      <c r="Q332" s="14">
        <f>IF(ISNUMBER('Klisz-Verbräuche'!R167), 'Klisz-Verbräuche'!R167*Emissionsfaktoren!P167/1000, 0)</f>
        <v>0</v>
      </c>
      <c r="R332" s="14">
        <f>IF(ISNUMBER('Klisz-Verbräuche'!S167), 'Klisz-Verbräuche'!S167*Emissionsfaktoren!Q167/1000, 0)</f>
        <v>0</v>
      </c>
      <c r="S332" s="14">
        <f>IF(ISNUMBER('Klisz-Verbräuche'!T167), 'Klisz-Verbräuche'!T167*Emissionsfaktoren!R167/1000, 0)</f>
        <v>0</v>
      </c>
      <c r="T332" s="14">
        <f>IF(ISNUMBER('Klisz-Verbräuche'!U167), 'Klisz-Verbräuche'!U167*Emissionsfaktoren!S167/1000, 0)</f>
        <v>0</v>
      </c>
      <c r="U332" s="14">
        <f>IF(ISNUMBER('Klisz-Verbräuche'!V167), 'Klisz-Verbräuche'!V167*Emissionsfaktoren!T167/1000, 0)</f>
        <v>0</v>
      </c>
      <c r="V332" s="14">
        <f>IF(ISNUMBER('Klisz-Verbräuche'!W167), 'Klisz-Verbräuche'!W167*Emissionsfaktoren!U167/1000, 0)</f>
        <v>0</v>
      </c>
      <c r="W332" s="14">
        <f>IF(ISNUMBER('Klisz-Verbräuche'!X167), 'Klisz-Verbräuche'!X167*Emissionsfaktoren!V167/1000, 0)</f>
        <v>0</v>
      </c>
      <c r="X332" s="14">
        <f>IF(ISNUMBER('Klisz-Verbräuche'!Y167), 'Klisz-Verbräuche'!Y167*Emissionsfaktoren!W167/1000, 0)</f>
        <v>0</v>
      </c>
      <c r="Y332" s="14">
        <f>IF(ISNUMBER('Klisz-Verbräuche'!Z167), 'Klisz-Verbräuche'!Z167*Emissionsfaktoren!X167/1000, 0)</f>
        <v>0</v>
      </c>
    </row>
    <row r="333" spans="2:25" ht="16.5">
      <c r="B333" s="14">
        <v>151</v>
      </c>
      <c r="C333" s="14">
        <f>'Refsz-Verbräuche'!C168</f>
        <v>0</v>
      </c>
      <c r="D333" s="19">
        <f>'Refsz-Verbräuche'!D168</f>
        <v>0</v>
      </c>
      <c r="E333" t="s">
        <v>195</v>
      </c>
      <c r="F333" s="14">
        <f>IF(ISNUMBER('Klisz-Verbräuche'!G168), 'Klisz-Verbräuche'!G168*Emissionsfaktoren!E168/1000, 0)</f>
        <v>0</v>
      </c>
      <c r="G333" s="14">
        <f>IF(ISNUMBER('Klisz-Verbräuche'!H168), 'Klisz-Verbräuche'!H168*Emissionsfaktoren!F168/1000, 0)</f>
        <v>0</v>
      </c>
      <c r="H333" s="14">
        <f>IF(ISNUMBER('Klisz-Verbräuche'!I168), 'Klisz-Verbräuche'!I168*Emissionsfaktoren!G168/1000, 0)</f>
        <v>0</v>
      </c>
      <c r="I333" s="14">
        <f>IF(ISNUMBER('Klisz-Verbräuche'!J168), 'Klisz-Verbräuche'!J168*Emissionsfaktoren!H168/1000, 0)</f>
        <v>0</v>
      </c>
      <c r="J333" s="14">
        <f>IF(ISNUMBER('Klisz-Verbräuche'!K168), 'Klisz-Verbräuche'!K168*Emissionsfaktoren!I168/1000, 0)</f>
        <v>0</v>
      </c>
      <c r="K333" s="14">
        <f>IF(ISNUMBER('Klisz-Verbräuche'!L168), 'Klisz-Verbräuche'!L168*Emissionsfaktoren!J168/1000, 0)</f>
        <v>0</v>
      </c>
      <c r="L333" s="14">
        <f>IF(ISNUMBER('Klisz-Verbräuche'!M168), 'Klisz-Verbräuche'!M168*Emissionsfaktoren!K168/1000, 0)</f>
        <v>0</v>
      </c>
      <c r="M333" s="14">
        <f>IF(ISNUMBER('Klisz-Verbräuche'!N168), 'Klisz-Verbräuche'!N168*Emissionsfaktoren!L168/1000, 0)</f>
        <v>0</v>
      </c>
      <c r="N333" s="14">
        <f>IF(ISNUMBER('Klisz-Verbräuche'!O168), 'Klisz-Verbräuche'!O168*Emissionsfaktoren!M168/1000, 0)</f>
        <v>0</v>
      </c>
      <c r="O333" s="14">
        <f>IF(ISNUMBER('Klisz-Verbräuche'!P168), 'Klisz-Verbräuche'!P168*Emissionsfaktoren!N168/1000, 0)</f>
        <v>0</v>
      </c>
      <c r="P333" s="14">
        <f>IF(ISNUMBER('Klisz-Verbräuche'!Q168), 'Klisz-Verbräuche'!Q168*Emissionsfaktoren!O168/1000, 0)</f>
        <v>0</v>
      </c>
      <c r="Q333" s="14">
        <f>IF(ISNUMBER('Klisz-Verbräuche'!R168), 'Klisz-Verbräuche'!R168*Emissionsfaktoren!P168/1000, 0)</f>
        <v>0</v>
      </c>
      <c r="R333" s="14">
        <f>IF(ISNUMBER('Klisz-Verbräuche'!S168), 'Klisz-Verbräuche'!S168*Emissionsfaktoren!Q168/1000, 0)</f>
        <v>0</v>
      </c>
      <c r="S333" s="14">
        <f>IF(ISNUMBER('Klisz-Verbräuche'!T168), 'Klisz-Verbräuche'!T168*Emissionsfaktoren!R168/1000, 0)</f>
        <v>0</v>
      </c>
      <c r="T333" s="14">
        <f>IF(ISNUMBER('Klisz-Verbräuche'!U168), 'Klisz-Verbräuche'!U168*Emissionsfaktoren!S168/1000, 0)</f>
        <v>0</v>
      </c>
      <c r="U333" s="14">
        <f>IF(ISNUMBER('Klisz-Verbräuche'!V168), 'Klisz-Verbräuche'!V168*Emissionsfaktoren!T168/1000, 0)</f>
        <v>0</v>
      </c>
      <c r="V333" s="14">
        <f>IF(ISNUMBER('Klisz-Verbräuche'!W168), 'Klisz-Verbräuche'!W168*Emissionsfaktoren!U168/1000, 0)</f>
        <v>0</v>
      </c>
      <c r="W333" s="14">
        <f>IF(ISNUMBER('Klisz-Verbräuche'!X168), 'Klisz-Verbräuche'!X168*Emissionsfaktoren!V168/1000, 0)</f>
        <v>0</v>
      </c>
      <c r="X333" s="14">
        <f>IF(ISNUMBER('Klisz-Verbräuche'!Y168), 'Klisz-Verbräuche'!Y168*Emissionsfaktoren!W168/1000, 0)</f>
        <v>0</v>
      </c>
      <c r="Y333" s="14">
        <f>IF(ISNUMBER('Klisz-Verbräuche'!Z168), 'Klisz-Verbräuche'!Z168*Emissionsfaktoren!X168/1000, 0)</f>
        <v>0</v>
      </c>
    </row>
    <row r="334" spans="2:25" ht="16.5">
      <c r="B334" s="14">
        <v>152</v>
      </c>
      <c r="C334" s="14">
        <f>'Refsz-Verbräuche'!C169</f>
        <v>0</v>
      </c>
      <c r="D334" s="19">
        <f>'Refsz-Verbräuche'!D169</f>
        <v>0</v>
      </c>
      <c r="E334" t="s">
        <v>195</v>
      </c>
      <c r="F334" s="14">
        <f>IF(ISNUMBER('Klisz-Verbräuche'!G169), 'Klisz-Verbräuche'!G169*Emissionsfaktoren!E169/1000, 0)</f>
        <v>0</v>
      </c>
      <c r="G334" s="14">
        <f>IF(ISNUMBER('Klisz-Verbräuche'!H169), 'Klisz-Verbräuche'!H169*Emissionsfaktoren!F169/1000, 0)</f>
        <v>0</v>
      </c>
      <c r="H334" s="14">
        <f>IF(ISNUMBER('Klisz-Verbräuche'!I169), 'Klisz-Verbräuche'!I169*Emissionsfaktoren!G169/1000, 0)</f>
        <v>0</v>
      </c>
      <c r="I334" s="14">
        <f>IF(ISNUMBER('Klisz-Verbräuche'!J169), 'Klisz-Verbräuche'!J169*Emissionsfaktoren!H169/1000, 0)</f>
        <v>0</v>
      </c>
      <c r="J334" s="14">
        <f>IF(ISNUMBER('Klisz-Verbräuche'!K169), 'Klisz-Verbräuche'!K169*Emissionsfaktoren!I169/1000, 0)</f>
        <v>0</v>
      </c>
      <c r="K334" s="14">
        <f>IF(ISNUMBER('Klisz-Verbräuche'!L169), 'Klisz-Verbräuche'!L169*Emissionsfaktoren!J169/1000, 0)</f>
        <v>0</v>
      </c>
      <c r="L334" s="14">
        <f>IF(ISNUMBER('Klisz-Verbräuche'!M169), 'Klisz-Verbräuche'!M169*Emissionsfaktoren!K169/1000, 0)</f>
        <v>0</v>
      </c>
      <c r="M334" s="14">
        <f>IF(ISNUMBER('Klisz-Verbräuche'!N169), 'Klisz-Verbräuche'!N169*Emissionsfaktoren!L169/1000, 0)</f>
        <v>0</v>
      </c>
      <c r="N334" s="14">
        <f>IF(ISNUMBER('Klisz-Verbräuche'!O169), 'Klisz-Verbräuche'!O169*Emissionsfaktoren!M169/1000, 0)</f>
        <v>0</v>
      </c>
      <c r="O334" s="14">
        <f>IF(ISNUMBER('Klisz-Verbräuche'!P169), 'Klisz-Verbräuche'!P169*Emissionsfaktoren!N169/1000, 0)</f>
        <v>0</v>
      </c>
      <c r="P334" s="14">
        <f>IF(ISNUMBER('Klisz-Verbräuche'!Q169), 'Klisz-Verbräuche'!Q169*Emissionsfaktoren!O169/1000, 0)</f>
        <v>0</v>
      </c>
      <c r="Q334" s="14">
        <f>IF(ISNUMBER('Klisz-Verbräuche'!R169), 'Klisz-Verbräuche'!R169*Emissionsfaktoren!P169/1000, 0)</f>
        <v>0</v>
      </c>
      <c r="R334" s="14">
        <f>IF(ISNUMBER('Klisz-Verbräuche'!S169), 'Klisz-Verbräuche'!S169*Emissionsfaktoren!Q169/1000, 0)</f>
        <v>0</v>
      </c>
      <c r="S334" s="14">
        <f>IF(ISNUMBER('Klisz-Verbräuche'!T169), 'Klisz-Verbräuche'!T169*Emissionsfaktoren!R169/1000, 0)</f>
        <v>0</v>
      </c>
      <c r="T334" s="14">
        <f>IF(ISNUMBER('Klisz-Verbräuche'!U169), 'Klisz-Verbräuche'!U169*Emissionsfaktoren!S169/1000, 0)</f>
        <v>0</v>
      </c>
      <c r="U334" s="14">
        <f>IF(ISNUMBER('Klisz-Verbräuche'!V169), 'Klisz-Verbräuche'!V169*Emissionsfaktoren!T169/1000, 0)</f>
        <v>0</v>
      </c>
      <c r="V334" s="14">
        <f>IF(ISNUMBER('Klisz-Verbräuche'!W169), 'Klisz-Verbräuche'!W169*Emissionsfaktoren!U169/1000, 0)</f>
        <v>0</v>
      </c>
      <c r="W334" s="14">
        <f>IF(ISNUMBER('Klisz-Verbräuche'!X169), 'Klisz-Verbräuche'!X169*Emissionsfaktoren!V169/1000, 0)</f>
        <v>0</v>
      </c>
      <c r="X334" s="14">
        <f>IF(ISNUMBER('Klisz-Verbräuche'!Y169), 'Klisz-Verbräuche'!Y169*Emissionsfaktoren!W169/1000, 0)</f>
        <v>0</v>
      </c>
      <c r="Y334" s="14">
        <f>IF(ISNUMBER('Klisz-Verbräuche'!Z169), 'Klisz-Verbräuche'!Z169*Emissionsfaktoren!X169/1000, 0)</f>
        <v>0</v>
      </c>
    </row>
    <row r="335" spans="2:25" ht="16.5">
      <c r="B335" s="14">
        <v>153</v>
      </c>
      <c r="C335" s="14">
        <f>'Refsz-Verbräuche'!C170</f>
        <v>0</v>
      </c>
      <c r="D335" s="19">
        <f>'Refsz-Verbräuche'!D170</f>
        <v>0</v>
      </c>
      <c r="E335" t="s">
        <v>195</v>
      </c>
      <c r="F335" s="14">
        <f>IF(ISNUMBER('Klisz-Verbräuche'!G170), 'Klisz-Verbräuche'!G170*Emissionsfaktoren!E170/1000, 0)</f>
        <v>0</v>
      </c>
      <c r="G335" s="14">
        <f>IF(ISNUMBER('Klisz-Verbräuche'!H170), 'Klisz-Verbräuche'!H170*Emissionsfaktoren!F170/1000, 0)</f>
        <v>0</v>
      </c>
      <c r="H335" s="14">
        <f>IF(ISNUMBER('Klisz-Verbräuche'!I170), 'Klisz-Verbräuche'!I170*Emissionsfaktoren!G170/1000, 0)</f>
        <v>0</v>
      </c>
      <c r="I335" s="14">
        <f>IF(ISNUMBER('Klisz-Verbräuche'!J170), 'Klisz-Verbräuche'!J170*Emissionsfaktoren!H170/1000, 0)</f>
        <v>0</v>
      </c>
      <c r="J335" s="14">
        <f>IF(ISNUMBER('Klisz-Verbräuche'!K170), 'Klisz-Verbräuche'!K170*Emissionsfaktoren!I170/1000, 0)</f>
        <v>0</v>
      </c>
      <c r="K335" s="14">
        <f>IF(ISNUMBER('Klisz-Verbräuche'!L170), 'Klisz-Verbräuche'!L170*Emissionsfaktoren!J170/1000, 0)</f>
        <v>0</v>
      </c>
      <c r="L335" s="14">
        <f>IF(ISNUMBER('Klisz-Verbräuche'!M170), 'Klisz-Verbräuche'!M170*Emissionsfaktoren!K170/1000, 0)</f>
        <v>0</v>
      </c>
      <c r="M335" s="14">
        <f>IF(ISNUMBER('Klisz-Verbräuche'!N170), 'Klisz-Verbräuche'!N170*Emissionsfaktoren!L170/1000, 0)</f>
        <v>0</v>
      </c>
      <c r="N335" s="14">
        <f>IF(ISNUMBER('Klisz-Verbräuche'!O170), 'Klisz-Verbräuche'!O170*Emissionsfaktoren!M170/1000, 0)</f>
        <v>0</v>
      </c>
      <c r="O335" s="14">
        <f>IF(ISNUMBER('Klisz-Verbräuche'!P170), 'Klisz-Verbräuche'!P170*Emissionsfaktoren!N170/1000, 0)</f>
        <v>0</v>
      </c>
      <c r="P335" s="14">
        <f>IF(ISNUMBER('Klisz-Verbräuche'!Q170), 'Klisz-Verbräuche'!Q170*Emissionsfaktoren!O170/1000, 0)</f>
        <v>0</v>
      </c>
      <c r="Q335" s="14">
        <f>IF(ISNUMBER('Klisz-Verbräuche'!R170), 'Klisz-Verbräuche'!R170*Emissionsfaktoren!P170/1000, 0)</f>
        <v>0</v>
      </c>
      <c r="R335" s="14">
        <f>IF(ISNUMBER('Klisz-Verbräuche'!S170), 'Klisz-Verbräuche'!S170*Emissionsfaktoren!Q170/1000, 0)</f>
        <v>0</v>
      </c>
      <c r="S335" s="14">
        <f>IF(ISNUMBER('Klisz-Verbräuche'!T170), 'Klisz-Verbräuche'!T170*Emissionsfaktoren!R170/1000, 0)</f>
        <v>0</v>
      </c>
      <c r="T335" s="14">
        <f>IF(ISNUMBER('Klisz-Verbräuche'!U170), 'Klisz-Verbräuche'!U170*Emissionsfaktoren!S170/1000, 0)</f>
        <v>0</v>
      </c>
      <c r="U335" s="14">
        <f>IF(ISNUMBER('Klisz-Verbräuche'!V170), 'Klisz-Verbräuche'!V170*Emissionsfaktoren!T170/1000, 0)</f>
        <v>0</v>
      </c>
      <c r="V335" s="14">
        <f>IF(ISNUMBER('Klisz-Verbräuche'!W170), 'Klisz-Verbräuche'!W170*Emissionsfaktoren!U170/1000, 0)</f>
        <v>0</v>
      </c>
      <c r="W335" s="14">
        <f>IF(ISNUMBER('Klisz-Verbräuche'!X170), 'Klisz-Verbräuche'!X170*Emissionsfaktoren!V170/1000, 0)</f>
        <v>0</v>
      </c>
      <c r="X335" s="14">
        <f>IF(ISNUMBER('Klisz-Verbräuche'!Y170), 'Klisz-Verbräuche'!Y170*Emissionsfaktoren!W170/1000, 0)</f>
        <v>0</v>
      </c>
      <c r="Y335" s="14">
        <f>IF(ISNUMBER('Klisz-Verbräuche'!Z170), 'Klisz-Verbräuche'!Z170*Emissionsfaktoren!X170/1000, 0)</f>
        <v>0</v>
      </c>
    </row>
    <row r="336" spans="2:25" ht="16.5">
      <c r="B336" s="14">
        <v>154</v>
      </c>
      <c r="C336" s="14">
        <f>'Refsz-Verbräuche'!C171</f>
        <v>0</v>
      </c>
      <c r="D336" s="19">
        <f>'Refsz-Verbräuche'!D171</f>
        <v>0</v>
      </c>
      <c r="E336" t="s">
        <v>195</v>
      </c>
      <c r="F336" s="14">
        <f>IF(ISNUMBER('Klisz-Verbräuche'!G171), 'Klisz-Verbräuche'!G171*Emissionsfaktoren!E171/1000, 0)</f>
        <v>0</v>
      </c>
      <c r="G336" s="14">
        <f>IF(ISNUMBER('Klisz-Verbräuche'!H171), 'Klisz-Verbräuche'!H171*Emissionsfaktoren!F171/1000, 0)</f>
        <v>0</v>
      </c>
      <c r="H336" s="14">
        <f>IF(ISNUMBER('Klisz-Verbräuche'!I171), 'Klisz-Verbräuche'!I171*Emissionsfaktoren!G171/1000, 0)</f>
        <v>0</v>
      </c>
      <c r="I336" s="14">
        <f>IF(ISNUMBER('Klisz-Verbräuche'!J171), 'Klisz-Verbräuche'!J171*Emissionsfaktoren!H171/1000, 0)</f>
        <v>0</v>
      </c>
      <c r="J336" s="14">
        <f>IF(ISNUMBER('Klisz-Verbräuche'!K171), 'Klisz-Verbräuche'!K171*Emissionsfaktoren!I171/1000, 0)</f>
        <v>0</v>
      </c>
      <c r="K336" s="14">
        <f>IF(ISNUMBER('Klisz-Verbräuche'!L171), 'Klisz-Verbräuche'!L171*Emissionsfaktoren!J171/1000, 0)</f>
        <v>0</v>
      </c>
      <c r="L336" s="14">
        <f>IF(ISNUMBER('Klisz-Verbräuche'!M171), 'Klisz-Verbräuche'!M171*Emissionsfaktoren!K171/1000, 0)</f>
        <v>0</v>
      </c>
      <c r="M336" s="14">
        <f>IF(ISNUMBER('Klisz-Verbräuche'!N171), 'Klisz-Verbräuche'!N171*Emissionsfaktoren!L171/1000, 0)</f>
        <v>0</v>
      </c>
      <c r="N336" s="14">
        <f>IF(ISNUMBER('Klisz-Verbräuche'!O171), 'Klisz-Verbräuche'!O171*Emissionsfaktoren!M171/1000, 0)</f>
        <v>0</v>
      </c>
      <c r="O336" s="14">
        <f>IF(ISNUMBER('Klisz-Verbräuche'!P171), 'Klisz-Verbräuche'!P171*Emissionsfaktoren!N171/1000, 0)</f>
        <v>0</v>
      </c>
      <c r="P336" s="14">
        <f>IF(ISNUMBER('Klisz-Verbräuche'!Q171), 'Klisz-Verbräuche'!Q171*Emissionsfaktoren!O171/1000, 0)</f>
        <v>0</v>
      </c>
      <c r="Q336" s="14">
        <f>IF(ISNUMBER('Klisz-Verbräuche'!R171), 'Klisz-Verbräuche'!R171*Emissionsfaktoren!P171/1000, 0)</f>
        <v>0</v>
      </c>
      <c r="R336" s="14">
        <f>IF(ISNUMBER('Klisz-Verbräuche'!S171), 'Klisz-Verbräuche'!S171*Emissionsfaktoren!Q171/1000, 0)</f>
        <v>0</v>
      </c>
      <c r="S336" s="14">
        <f>IF(ISNUMBER('Klisz-Verbräuche'!T171), 'Klisz-Verbräuche'!T171*Emissionsfaktoren!R171/1000, 0)</f>
        <v>0</v>
      </c>
      <c r="T336" s="14">
        <f>IF(ISNUMBER('Klisz-Verbräuche'!U171), 'Klisz-Verbräuche'!U171*Emissionsfaktoren!S171/1000, 0)</f>
        <v>0</v>
      </c>
      <c r="U336" s="14">
        <f>IF(ISNUMBER('Klisz-Verbräuche'!V171), 'Klisz-Verbräuche'!V171*Emissionsfaktoren!T171/1000, 0)</f>
        <v>0</v>
      </c>
      <c r="V336" s="14">
        <f>IF(ISNUMBER('Klisz-Verbräuche'!W171), 'Klisz-Verbräuche'!W171*Emissionsfaktoren!U171/1000, 0)</f>
        <v>0</v>
      </c>
      <c r="W336" s="14">
        <f>IF(ISNUMBER('Klisz-Verbräuche'!X171), 'Klisz-Verbräuche'!X171*Emissionsfaktoren!V171/1000, 0)</f>
        <v>0</v>
      </c>
      <c r="X336" s="14">
        <f>IF(ISNUMBER('Klisz-Verbräuche'!Y171), 'Klisz-Verbräuche'!Y171*Emissionsfaktoren!W171/1000, 0)</f>
        <v>0</v>
      </c>
      <c r="Y336" s="14">
        <f>IF(ISNUMBER('Klisz-Verbräuche'!Z171), 'Klisz-Verbräuche'!Z171*Emissionsfaktoren!X171/1000, 0)</f>
        <v>0</v>
      </c>
    </row>
    <row r="337" spans="2:26" ht="16.5">
      <c r="B337" s="14">
        <v>155</v>
      </c>
      <c r="C337" s="14">
        <f>'Refsz-Verbräuche'!C172</f>
        <v>0</v>
      </c>
      <c r="D337" s="19">
        <f>'Refsz-Verbräuche'!D172</f>
        <v>0</v>
      </c>
      <c r="E337" t="s">
        <v>195</v>
      </c>
      <c r="F337" s="14">
        <f>IF(ISNUMBER('Klisz-Verbräuche'!G172), 'Klisz-Verbräuche'!G172*Emissionsfaktoren!E172/1000, 0)</f>
        <v>0</v>
      </c>
      <c r="G337" s="14">
        <f>IF(ISNUMBER('Klisz-Verbräuche'!H172), 'Klisz-Verbräuche'!H172*Emissionsfaktoren!F172/1000, 0)</f>
        <v>0</v>
      </c>
      <c r="H337" s="14">
        <f>IF(ISNUMBER('Klisz-Verbräuche'!I172), 'Klisz-Verbräuche'!I172*Emissionsfaktoren!G172/1000, 0)</f>
        <v>0</v>
      </c>
      <c r="I337" s="14">
        <f>IF(ISNUMBER('Klisz-Verbräuche'!J172), 'Klisz-Verbräuche'!J172*Emissionsfaktoren!H172/1000, 0)</f>
        <v>0</v>
      </c>
      <c r="J337" s="14">
        <f>IF(ISNUMBER('Klisz-Verbräuche'!K172), 'Klisz-Verbräuche'!K172*Emissionsfaktoren!I172/1000, 0)</f>
        <v>0</v>
      </c>
      <c r="K337" s="14">
        <f>IF(ISNUMBER('Klisz-Verbräuche'!L172), 'Klisz-Verbräuche'!L172*Emissionsfaktoren!J172/1000, 0)</f>
        <v>0</v>
      </c>
      <c r="L337" s="14">
        <f>IF(ISNUMBER('Klisz-Verbräuche'!M172), 'Klisz-Verbräuche'!M172*Emissionsfaktoren!K172/1000, 0)</f>
        <v>0</v>
      </c>
      <c r="M337" s="14">
        <f>IF(ISNUMBER('Klisz-Verbräuche'!N172), 'Klisz-Verbräuche'!N172*Emissionsfaktoren!L172/1000, 0)</f>
        <v>0</v>
      </c>
      <c r="N337" s="14">
        <f>IF(ISNUMBER('Klisz-Verbräuche'!O172), 'Klisz-Verbräuche'!O172*Emissionsfaktoren!M172/1000, 0)</f>
        <v>0</v>
      </c>
      <c r="O337" s="14">
        <f>IF(ISNUMBER('Klisz-Verbräuche'!P172), 'Klisz-Verbräuche'!P172*Emissionsfaktoren!N172/1000, 0)</f>
        <v>0</v>
      </c>
      <c r="P337" s="14">
        <f>IF(ISNUMBER('Klisz-Verbräuche'!Q172), 'Klisz-Verbräuche'!Q172*Emissionsfaktoren!O172/1000, 0)</f>
        <v>0</v>
      </c>
      <c r="Q337" s="14">
        <f>IF(ISNUMBER('Klisz-Verbräuche'!R172), 'Klisz-Verbräuche'!R172*Emissionsfaktoren!P172/1000, 0)</f>
        <v>0</v>
      </c>
      <c r="R337" s="14">
        <f>IF(ISNUMBER('Klisz-Verbräuche'!S172), 'Klisz-Verbräuche'!S172*Emissionsfaktoren!Q172/1000, 0)</f>
        <v>0</v>
      </c>
      <c r="S337" s="14">
        <f>IF(ISNUMBER('Klisz-Verbräuche'!T172), 'Klisz-Verbräuche'!T172*Emissionsfaktoren!R172/1000, 0)</f>
        <v>0</v>
      </c>
      <c r="T337" s="14">
        <f>IF(ISNUMBER('Klisz-Verbräuche'!U172), 'Klisz-Verbräuche'!U172*Emissionsfaktoren!S172/1000, 0)</f>
        <v>0</v>
      </c>
      <c r="U337" s="14">
        <f>IF(ISNUMBER('Klisz-Verbräuche'!V172), 'Klisz-Verbräuche'!V172*Emissionsfaktoren!T172/1000, 0)</f>
        <v>0</v>
      </c>
      <c r="V337" s="14">
        <f>IF(ISNUMBER('Klisz-Verbräuche'!W172), 'Klisz-Verbräuche'!W172*Emissionsfaktoren!U172/1000, 0)</f>
        <v>0</v>
      </c>
      <c r="W337" s="14">
        <f>IF(ISNUMBER('Klisz-Verbräuche'!X172), 'Klisz-Verbräuche'!X172*Emissionsfaktoren!V172/1000, 0)</f>
        <v>0</v>
      </c>
      <c r="X337" s="14">
        <f>IF(ISNUMBER('Klisz-Verbräuche'!Y172), 'Klisz-Verbräuche'!Y172*Emissionsfaktoren!W172/1000, 0)</f>
        <v>0</v>
      </c>
      <c r="Y337" s="14">
        <f>IF(ISNUMBER('Klisz-Verbräuche'!Z172), 'Klisz-Verbräuche'!Z172*Emissionsfaktoren!X172/1000, 0)</f>
        <v>0</v>
      </c>
    </row>
    <row r="338" spans="2:26" ht="16.5">
      <c r="B338" s="14">
        <v>156</v>
      </c>
      <c r="C338" s="14">
        <f>'Refsz-Verbräuche'!C173</f>
        <v>0</v>
      </c>
      <c r="D338" s="19">
        <f>'Refsz-Verbräuche'!D173</f>
        <v>0</v>
      </c>
      <c r="E338" t="s">
        <v>195</v>
      </c>
      <c r="F338" s="14">
        <f>IF(ISNUMBER('Klisz-Verbräuche'!G173), 'Klisz-Verbräuche'!G173*Emissionsfaktoren!E173/1000, 0)</f>
        <v>0</v>
      </c>
      <c r="G338" s="14">
        <f>IF(ISNUMBER('Klisz-Verbräuche'!H173), 'Klisz-Verbräuche'!H173*Emissionsfaktoren!F173/1000, 0)</f>
        <v>0</v>
      </c>
      <c r="H338" s="14">
        <f>IF(ISNUMBER('Klisz-Verbräuche'!I173), 'Klisz-Verbräuche'!I173*Emissionsfaktoren!G173/1000, 0)</f>
        <v>0</v>
      </c>
      <c r="I338" s="14">
        <f>IF(ISNUMBER('Klisz-Verbräuche'!J173), 'Klisz-Verbräuche'!J173*Emissionsfaktoren!H173/1000, 0)</f>
        <v>0</v>
      </c>
      <c r="J338" s="14">
        <f>IF(ISNUMBER('Klisz-Verbräuche'!K173), 'Klisz-Verbräuche'!K173*Emissionsfaktoren!I173/1000, 0)</f>
        <v>0</v>
      </c>
      <c r="K338" s="14">
        <f>IF(ISNUMBER('Klisz-Verbräuche'!L173), 'Klisz-Verbräuche'!L173*Emissionsfaktoren!J173/1000, 0)</f>
        <v>0</v>
      </c>
      <c r="L338" s="14">
        <f>IF(ISNUMBER('Klisz-Verbräuche'!M173), 'Klisz-Verbräuche'!M173*Emissionsfaktoren!K173/1000, 0)</f>
        <v>0</v>
      </c>
      <c r="M338" s="14">
        <f>IF(ISNUMBER('Klisz-Verbräuche'!N173), 'Klisz-Verbräuche'!N173*Emissionsfaktoren!L173/1000, 0)</f>
        <v>0</v>
      </c>
      <c r="N338" s="14">
        <f>IF(ISNUMBER('Klisz-Verbräuche'!O173), 'Klisz-Verbräuche'!O173*Emissionsfaktoren!M173/1000, 0)</f>
        <v>0</v>
      </c>
      <c r="O338" s="14">
        <f>IF(ISNUMBER('Klisz-Verbräuche'!P173), 'Klisz-Verbräuche'!P173*Emissionsfaktoren!N173/1000, 0)</f>
        <v>0</v>
      </c>
      <c r="P338" s="14">
        <f>IF(ISNUMBER('Klisz-Verbräuche'!Q173), 'Klisz-Verbräuche'!Q173*Emissionsfaktoren!O173/1000, 0)</f>
        <v>0</v>
      </c>
      <c r="Q338" s="14">
        <f>IF(ISNUMBER('Klisz-Verbräuche'!R173), 'Klisz-Verbräuche'!R173*Emissionsfaktoren!P173/1000, 0)</f>
        <v>0</v>
      </c>
      <c r="R338" s="14">
        <f>IF(ISNUMBER('Klisz-Verbräuche'!S173), 'Klisz-Verbräuche'!S173*Emissionsfaktoren!Q173/1000, 0)</f>
        <v>0</v>
      </c>
      <c r="S338" s="14">
        <f>IF(ISNUMBER('Klisz-Verbräuche'!T173), 'Klisz-Verbräuche'!T173*Emissionsfaktoren!R173/1000, 0)</f>
        <v>0</v>
      </c>
      <c r="T338" s="14">
        <f>IF(ISNUMBER('Klisz-Verbräuche'!U173), 'Klisz-Verbräuche'!U173*Emissionsfaktoren!S173/1000, 0)</f>
        <v>0</v>
      </c>
      <c r="U338" s="14">
        <f>IF(ISNUMBER('Klisz-Verbräuche'!V173), 'Klisz-Verbräuche'!V173*Emissionsfaktoren!T173/1000, 0)</f>
        <v>0</v>
      </c>
      <c r="V338" s="14">
        <f>IF(ISNUMBER('Klisz-Verbräuche'!W173), 'Klisz-Verbräuche'!W173*Emissionsfaktoren!U173/1000, 0)</f>
        <v>0</v>
      </c>
      <c r="W338" s="14">
        <f>IF(ISNUMBER('Klisz-Verbräuche'!X173), 'Klisz-Verbräuche'!X173*Emissionsfaktoren!V173/1000, 0)</f>
        <v>0</v>
      </c>
      <c r="X338" s="14">
        <f>IF(ISNUMBER('Klisz-Verbräuche'!Y173), 'Klisz-Verbräuche'!Y173*Emissionsfaktoren!W173/1000, 0)</f>
        <v>0</v>
      </c>
      <c r="Y338" s="14">
        <f>IF(ISNUMBER('Klisz-Verbräuche'!Z173), 'Klisz-Verbräuche'!Z173*Emissionsfaktoren!X173/1000, 0)</f>
        <v>0</v>
      </c>
    </row>
    <row r="339" spans="2:26" ht="16.5">
      <c r="B339" s="14">
        <v>157</v>
      </c>
      <c r="C339" s="14">
        <f>'Refsz-Verbräuche'!C174</f>
        <v>0</v>
      </c>
      <c r="D339" s="19">
        <f>'Refsz-Verbräuche'!D174</f>
        <v>0</v>
      </c>
      <c r="E339" t="s">
        <v>195</v>
      </c>
      <c r="F339" s="14">
        <f>IF(ISNUMBER('Klisz-Verbräuche'!G174), 'Klisz-Verbräuche'!G174*Emissionsfaktoren!E174/1000, 0)</f>
        <v>0</v>
      </c>
      <c r="G339" s="14">
        <f>IF(ISNUMBER('Klisz-Verbräuche'!H174), 'Klisz-Verbräuche'!H174*Emissionsfaktoren!F174/1000, 0)</f>
        <v>0</v>
      </c>
      <c r="H339" s="14">
        <f>IF(ISNUMBER('Klisz-Verbräuche'!I174), 'Klisz-Verbräuche'!I174*Emissionsfaktoren!G174/1000, 0)</f>
        <v>0</v>
      </c>
      <c r="I339" s="14">
        <f>IF(ISNUMBER('Klisz-Verbräuche'!J174), 'Klisz-Verbräuche'!J174*Emissionsfaktoren!H174/1000, 0)</f>
        <v>0</v>
      </c>
      <c r="J339" s="14">
        <f>IF(ISNUMBER('Klisz-Verbräuche'!K174), 'Klisz-Verbräuche'!K174*Emissionsfaktoren!I174/1000, 0)</f>
        <v>0</v>
      </c>
      <c r="K339" s="14">
        <f>IF(ISNUMBER('Klisz-Verbräuche'!L174), 'Klisz-Verbräuche'!L174*Emissionsfaktoren!J174/1000, 0)</f>
        <v>0</v>
      </c>
      <c r="L339" s="14">
        <f>IF(ISNUMBER('Klisz-Verbräuche'!M174), 'Klisz-Verbräuche'!M174*Emissionsfaktoren!K174/1000, 0)</f>
        <v>0</v>
      </c>
      <c r="M339" s="14">
        <f>IF(ISNUMBER('Klisz-Verbräuche'!N174), 'Klisz-Verbräuche'!N174*Emissionsfaktoren!L174/1000, 0)</f>
        <v>0</v>
      </c>
      <c r="N339" s="14">
        <f>IF(ISNUMBER('Klisz-Verbräuche'!O174), 'Klisz-Verbräuche'!O174*Emissionsfaktoren!M174/1000, 0)</f>
        <v>0</v>
      </c>
      <c r="O339" s="14">
        <f>IF(ISNUMBER('Klisz-Verbräuche'!P174), 'Klisz-Verbräuche'!P174*Emissionsfaktoren!N174/1000, 0)</f>
        <v>0</v>
      </c>
      <c r="P339" s="14">
        <f>IF(ISNUMBER('Klisz-Verbräuche'!Q174), 'Klisz-Verbräuche'!Q174*Emissionsfaktoren!O174/1000, 0)</f>
        <v>0</v>
      </c>
      <c r="Q339" s="14">
        <f>IF(ISNUMBER('Klisz-Verbräuche'!R174), 'Klisz-Verbräuche'!R174*Emissionsfaktoren!P174/1000, 0)</f>
        <v>0</v>
      </c>
      <c r="R339" s="14">
        <f>IF(ISNUMBER('Klisz-Verbräuche'!S174), 'Klisz-Verbräuche'!S174*Emissionsfaktoren!Q174/1000, 0)</f>
        <v>0</v>
      </c>
      <c r="S339" s="14">
        <f>IF(ISNUMBER('Klisz-Verbräuche'!T174), 'Klisz-Verbräuche'!T174*Emissionsfaktoren!R174/1000, 0)</f>
        <v>0</v>
      </c>
      <c r="T339" s="14">
        <f>IF(ISNUMBER('Klisz-Verbräuche'!U174), 'Klisz-Verbräuche'!U174*Emissionsfaktoren!S174/1000, 0)</f>
        <v>0</v>
      </c>
      <c r="U339" s="14">
        <f>IF(ISNUMBER('Klisz-Verbräuche'!V174), 'Klisz-Verbräuche'!V174*Emissionsfaktoren!T174/1000, 0)</f>
        <v>0</v>
      </c>
      <c r="V339" s="14">
        <f>IF(ISNUMBER('Klisz-Verbräuche'!W174), 'Klisz-Verbräuche'!W174*Emissionsfaktoren!U174/1000, 0)</f>
        <v>0</v>
      </c>
      <c r="W339" s="14">
        <f>IF(ISNUMBER('Klisz-Verbräuche'!X174), 'Klisz-Verbräuche'!X174*Emissionsfaktoren!V174/1000, 0)</f>
        <v>0</v>
      </c>
      <c r="X339" s="14">
        <f>IF(ISNUMBER('Klisz-Verbräuche'!Y174), 'Klisz-Verbräuche'!Y174*Emissionsfaktoren!W174/1000, 0)</f>
        <v>0</v>
      </c>
      <c r="Y339" s="14">
        <f>IF(ISNUMBER('Klisz-Verbräuche'!Z174), 'Klisz-Verbräuche'!Z174*Emissionsfaktoren!X174/1000, 0)</f>
        <v>0</v>
      </c>
    </row>
    <row r="340" spans="2:26" ht="16.5">
      <c r="B340" s="14">
        <v>158</v>
      </c>
      <c r="C340" s="14">
        <f>'Refsz-Verbräuche'!C175</f>
        <v>0</v>
      </c>
      <c r="D340" s="19">
        <f>'Refsz-Verbräuche'!D175</f>
        <v>0</v>
      </c>
      <c r="E340" t="s">
        <v>195</v>
      </c>
      <c r="F340" s="14">
        <f>IF(ISNUMBER('Klisz-Verbräuche'!G175), 'Klisz-Verbräuche'!G175*Emissionsfaktoren!E175/1000, 0)</f>
        <v>0</v>
      </c>
      <c r="G340" s="14">
        <f>IF(ISNUMBER('Klisz-Verbräuche'!H175), 'Klisz-Verbräuche'!H175*Emissionsfaktoren!F175/1000, 0)</f>
        <v>0</v>
      </c>
      <c r="H340" s="14">
        <f>IF(ISNUMBER('Klisz-Verbräuche'!I175), 'Klisz-Verbräuche'!I175*Emissionsfaktoren!G175/1000, 0)</f>
        <v>0</v>
      </c>
      <c r="I340" s="14">
        <f>IF(ISNUMBER('Klisz-Verbräuche'!J175), 'Klisz-Verbräuche'!J175*Emissionsfaktoren!H175/1000, 0)</f>
        <v>0</v>
      </c>
      <c r="J340" s="14">
        <f>IF(ISNUMBER('Klisz-Verbräuche'!K175), 'Klisz-Verbräuche'!K175*Emissionsfaktoren!I175/1000, 0)</f>
        <v>0</v>
      </c>
      <c r="K340" s="14">
        <f>IF(ISNUMBER('Klisz-Verbräuche'!L175), 'Klisz-Verbräuche'!L175*Emissionsfaktoren!J175/1000, 0)</f>
        <v>0</v>
      </c>
      <c r="L340" s="14">
        <f>IF(ISNUMBER('Klisz-Verbräuche'!M175), 'Klisz-Verbräuche'!M175*Emissionsfaktoren!K175/1000, 0)</f>
        <v>0</v>
      </c>
      <c r="M340" s="14">
        <f>IF(ISNUMBER('Klisz-Verbräuche'!N175), 'Klisz-Verbräuche'!N175*Emissionsfaktoren!L175/1000, 0)</f>
        <v>0</v>
      </c>
      <c r="N340" s="14">
        <f>IF(ISNUMBER('Klisz-Verbräuche'!O175), 'Klisz-Verbräuche'!O175*Emissionsfaktoren!M175/1000, 0)</f>
        <v>0</v>
      </c>
      <c r="O340" s="14">
        <f>IF(ISNUMBER('Klisz-Verbräuche'!P175), 'Klisz-Verbräuche'!P175*Emissionsfaktoren!N175/1000, 0)</f>
        <v>0</v>
      </c>
      <c r="P340" s="14">
        <f>IF(ISNUMBER('Klisz-Verbräuche'!Q175), 'Klisz-Verbräuche'!Q175*Emissionsfaktoren!O175/1000, 0)</f>
        <v>0</v>
      </c>
      <c r="Q340" s="14">
        <f>IF(ISNUMBER('Klisz-Verbräuche'!R175), 'Klisz-Verbräuche'!R175*Emissionsfaktoren!P175/1000, 0)</f>
        <v>0</v>
      </c>
      <c r="R340" s="14">
        <f>IF(ISNUMBER('Klisz-Verbräuche'!S175), 'Klisz-Verbräuche'!S175*Emissionsfaktoren!Q175/1000, 0)</f>
        <v>0</v>
      </c>
      <c r="S340" s="14">
        <f>IF(ISNUMBER('Klisz-Verbräuche'!T175), 'Klisz-Verbräuche'!T175*Emissionsfaktoren!R175/1000, 0)</f>
        <v>0</v>
      </c>
      <c r="T340" s="14">
        <f>IF(ISNUMBER('Klisz-Verbräuche'!U175), 'Klisz-Verbräuche'!U175*Emissionsfaktoren!S175/1000, 0)</f>
        <v>0</v>
      </c>
      <c r="U340" s="14">
        <f>IF(ISNUMBER('Klisz-Verbräuche'!V175), 'Klisz-Verbräuche'!V175*Emissionsfaktoren!T175/1000, 0)</f>
        <v>0</v>
      </c>
      <c r="V340" s="14">
        <f>IF(ISNUMBER('Klisz-Verbräuche'!W175), 'Klisz-Verbräuche'!W175*Emissionsfaktoren!U175/1000, 0)</f>
        <v>0</v>
      </c>
      <c r="W340" s="14">
        <f>IF(ISNUMBER('Klisz-Verbräuche'!X175), 'Klisz-Verbräuche'!X175*Emissionsfaktoren!V175/1000, 0)</f>
        <v>0</v>
      </c>
      <c r="X340" s="14">
        <f>IF(ISNUMBER('Klisz-Verbräuche'!Y175), 'Klisz-Verbräuche'!Y175*Emissionsfaktoren!W175/1000, 0)</f>
        <v>0</v>
      </c>
      <c r="Y340" s="14">
        <f>IF(ISNUMBER('Klisz-Verbräuche'!Z175), 'Klisz-Verbräuche'!Z175*Emissionsfaktoren!X175/1000, 0)</f>
        <v>0</v>
      </c>
    </row>
    <row r="341" spans="2:26" ht="16.5">
      <c r="B341" s="14">
        <v>159</v>
      </c>
      <c r="C341" s="14">
        <f>'Refsz-Verbräuche'!C176</f>
        <v>0</v>
      </c>
      <c r="D341" s="19">
        <f>'Refsz-Verbräuche'!D176</f>
        <v>0</v>
      </c>
      <c r="E341" t="s">
        <v>195</v>
      </c>
      <c r="F341" s="14">
        <f>IF(ISNUMBER('Klisz-Verbräuche'!G176), 'Klisz-Verbräuche'!G176*Emissionsfaktoren!E176/1000, 0)</f>
        <v>0</v>
      </c>
      <c r="G341" s="14">
        <f>IF(ISNUMBER('Klisz-Verbräuche'!H176), 'Klisz-Verbräuche'!H176*Emissionsfaktoren!F176/1000, 0)</f>
        <v>0</v>
      </c>
      <c r="H341" s="14">
        <f>IF(ISNUMBER('Klisz-Verbräuche'!I176), 'Klisz-Verbräuche'!I176*Emissionsfaktoren!G176/1000, 0)</f>
        <v>0</v>
      </c>
      <c r="I341" s="14">
        <f>IF(ISNUMBER('Klisz-Verbräuche'!J176), 'Klisz-Verbräuche'!J176*Emissionsfaktoren!H176/1000, 0)</f>
        <v>0</v>
      </c>
      <c r="J341" s="14">
        <f>IF(ISNUMBER('Klisz-Verbräuche'!K176), 'Klisz-Verbräuche'!K176*Emissionsfaktoren!I176/1000, 0)</f>
        <v>0</v>
      </c>
      <c r="K341" s="14">
        <f>IF(ISNUMBER('Klisz-Verbräuche'!L176), 'Klisz-Verbräuche'!L176*Emissionsfaktoren!J176/1000, 0)</f>
        <v>0</v>
      </c>
      <c r="L341" s="14">
        <f>IF(ISNUMBER('Klisz-Verbräuche'!M176), 'Klisz-Verbräuche'!M176*Emissionsfaktoren!K176/1000, 0)</f>
        <v>0</v>
      </c>
      <c r="M341" s="14">
        <f>IF(ISNUMBER('Klisz-Verbräuche'!N176), 'Klisz-Verbräuche'!N176*Emissionsfaktoren!L176/1000, 0)</f>
        <v>0</v>
      </c>
      <c r="N341" s="14">
        <f>IF(ISNUMBER('Klisz-Verbräuche'!O176), 'Klisz-Verbräuche'!O176*Emissionsfaktoren!M176/1000, 0)</f>
        <v>0</v>
      </c>
      <c r="O341" s="14">
        <f>IF(ISNUMBER('Klisz-Verbräuche'!P176), 'Klisz-Verbräuche'!P176*Emissionsfaktoren!N176/1000, 0)</f>
        <v>0</v>
      </c>
      <c r="P341" s="14">
        <f>IF(ISNUMBER('Klisz-Verbräuche'!Q176), 'Klisz-Verbräuche'!Q176*Emissionsfaktoren!O176/1000, 0)</f>
        <v>0</v>
      </c>
      <c r="Q341" s="14">
        <f>IF(ISNUMBER('Klisz-Verbräuche'!R176), 'Klisz-Verbräuche'!R176*Emissionsfaktoren!P176/1000, 0)</f>
        <v>0</v>
      </c>
      <c r="R341" s="14">
        <f>IF(ISNUMBER('Klisz-Verbräuche'!S176), 'Klisz-Verbräuche'!S176*Emissionsfaktoren!Q176/1000, 0)</f>
        <v>0</v>
      </c>
      <c r="S341" s="14">
        <f>IF(ISNUMBER('Klisz-Verbräuche'!T176), 'Klisz-Verbräuche'!T176*Emissionsfaktoren!R176/1000, 0)</f>
        <v>0</v>
      </c>
      <c r="T341" s="14">
        <f>IF(ISNUMBER('Klisz-Verbräuche'!U176), 'Klisz-Verbräuche'!U176*Emissionsfaktoren!S176/1000, 0)</f>
        <v>0</v>
      </c>
      <c r="U341" s="14">
        <f>IF(ISNUMBER('Klisz-Verbräuche'!V176), 'Klisz-Verbräuche'!V176*Emissionsfaktoren!T176/1000, 0)</f>
        <v>0</v>
      </c>
      <c r="V341" s="14">
        <f>IF(ISNUMBER('Klisz-Verbräuche'!W176), 'Klisz-Verbräuche'!W176*Emissionsfaktoren!U176/1000, 0)</f>
        <v>0</v>
      </c>
      <c r="W341" s="14">
        <f>IF(ISNUMBER('Klisz-Verbräuche'!X176), 'Klisz-Verbräuche'!X176*Emissionsfaktoren!V176/1000, 0)</f>
        <v>0</v>
      </c>
      <c r="X341" s="14">
        <f>IF(ISNUMBER('Klisz-Verbräuche'!Y176), 'Klisz-Verbräuche'!Y176*Emissionsfaktoren!W176/1000, 0)</f>
        <v>0</v>
      </c>
      <c r="Y341" s="14">
        <f>IF(ISNUMBER('Klisz-Verbräuche'!Z176), 'Klisz-Verbräuche'!Z176*Emissionsfaktoren!X176/1000, 0)</f>
        <v>0</v>
      </c>
    </row>
    <row r="342" spans="2:26" ht="16.5">
      <c r="B342" s="14">
        <v>160</v>
      </c>
      <c r="C342" s="14">
        <f>'Refsz-Verbräuche'!C177</f>
        <v>0</v>
      </c>
      <c r="D342" s="19">
        <f>'Refsz-Verbräuche'!D177</f>
        <v>0</v>
      </c>
      <c r="E342" t="s">
        <v>195</v>
      </c>
      <c r="F342" s="14">
        <f>IF(ISNUMBER('Klisz-Verbräuche'!G177), 'Klisz-Verbräuche'!G177*Emissionsfaktoren!E177/1000, 0)</f>
        <v>0</v>
      </c>
      <c r="G342" s="14">
        <f>IF(ISNUMBER('Klisz-Verbräuche'!H177), 'Klisz-Verbräuche'!H177*Emissionsfaktoren!F177/1000, 0)</f>
        <v>0</v>
      </c>
      <c r="H342" s="14">
        <f>IF(ISNUMBER('Klisz-Verbräuche'!I177), 'Klisz-Verbräuche'!I177*Emissionsfaktoren!G177/1000, 0)</f>
        <v>0</v>
      </c>
      <c r="I342" s="14">
        <f>IF(ISNUMBER('Klisz-Verbräuche'!J177), 'Klisz-Verbräuche'!J177*Emissionsfaktoren!H177/1000, 0)</f>
        <v>0</v>
      </c>
      <c r="J342" s="14">
        <f>IF(ISNUMBER('Klisz-Verbräuche'!K177), 'Klisz-Verbräuche'!K177*Emissionsfaktoren!I177/1000, 0)</f>
        <v>0</v>
      </c>
      <c r="K342" s="14">
        <f>IF(ISNUMBER('Klisz-Verbräuche'!L177), 'Klisz-Verbräuche'!L177*Emissionsfaktoren!J177/1000, 0)</f>
        <v>0</v>
      </c>
      <c r="L342" s="14">
        <f>IF(ISNUMBER('Klisz-Verbräuche'!M177), 'Klisz-Verbräuche'!M177*Emissionsfaktoren!K177/1000, 0)</f>
        <v>0</v>
      </c>
      <c r="M342" s="14">
        <f>IF(ISNUMBER('Klisz-Verbräuche'!N177), 'Klisz-Verbräuche'!N177*Emissionsfaktoren!L177/1000, 0)</f>
        <v>0</v>
      </c>
      <c r="N342" s="14">
        <f>IF(ISNUMBER('Klisz-Verbräuche'!O177), 'Klisz-Verbräuche'!O177*Emissionsfaktoren!M177/1000, 0)</f>
        <v>0</v>
      </c>
      <c r="O342" s="14">
        <f>IF(ISNUMBER('Klisz-Verbräuche'!P177), 'Klisz-Verbräuche'!P177*Emissionsfaktoren!N177/1000, 0)</f>
        <v>0</v>
      </c>
      <c r="P342" s="14">
        <f>IF(ISNUMBER('Klisz-Verbräuche'!Q177), 'Klisz-Verbräuche'!Q177*Emissionsfaktoren!O177/1000, 0)</f>
        <v>0</v>
      </c>
      <c r="Q342" s="14">
        <f>IF(ISNUMBER('Klisz-Verbräuche'!R177), 'Klisz-Verbräuche'!R177*Emissionsfaktoren!P177/1000, 0)</f>
        <v>0</v>
      </c>
      <c r="R342" s="14">
        <f>IF(ISNUMBER('Klisz-Verbräuche'!S177), 'Klisz-Verbräuche'!S177*Emissionsfaktoren!Q177/1000, 0)</f>
        <v>0</v>
      </c>
      <c r="S342" s="14">
        <f>IF(ISNUMBER('Klisz-Verbräuche'!T177), 'Klisz-Verbräuche'!T177*Emissionsfaktoren!R177/1000, 0)</f>
        <v>0</v>
      </c>
      <c r="T342" s="14">
        <f>IF(ISNUMBER('Klisz-Verbräuche'!U177), 'Klisz-Verbräuche'!U177*Emissionsfaktoren!S177/1000, 0)</f>
        <v>0</v>
      </c>
      <c r="U342" s="14">
        <f>IF(ISNUMBER('Klisz-Verbräuche'!V177), 'Klisz-Verbräuche'!V177*Emissionsfaktoren!T177/1000, 0)</f>
        <v>0</v>
      </c>
      <c r="V342" s="14">
        <f>IF(ISNUMBER('Klisz-Verbräuche'!W177), 'Klisz-Verbräuche'!W177*Emissionsfaktoren!U177/1000, 0)</f>
        <v>0</v>
      </c>
      <c r="W342" s="14">
        <f>IF(ISNUMBER('Klisz-Verbräuche'!X177), 'Klisz-Verbräuche'!X177*Emissionsfaktoren!V177/1000, 0)</f>
        <v>0</v>
      </c>
      <c r="X342" s="14">
        <f>IF(ISNUMBER('Klisz-Verbräuche'!Y177), 'Klisz-Verbräuche'!Y177*Emissionsfaktoren!W177/1000, 0)</f>
        <v>0</v>
      </c>
      <c r="Y342" s="14">
        <f>IF(ISNUMBER('Klisz-Verbräuche'!Z177), 'Klisz-Verbräuche'!Z177*Emissionsfaktoren!X177/1000, 0)</f>
        <v>0</v>
      </c>
    </row>
    <row r="343" spans="2:26" ht="16.5">
      <c r="B343" s="14">
        <v>161</v>
      </c>
      <c r="C343" s="14">
        <f>'Refsz-Verbräuche'!C178</f>
        <v>0</v>
      </c>
      <c r="D343" s="19">
        <f>'Refsz-Verbräuche'!D178</f>
        <v>0</v>
      </c>
      <c r="E343" t="s">
        <v>195</v>
      </c>
      <c r="F343" s="14">
        <f>IF(ISNUMBER('Klisz-Verbräuche'!G178), 'Klisz-Verbräuche'!G178*Emissionsfaktoren!E178/1000, 0)</f>
        <v>0</v>
      </c>
      <c r="G343" s="14">
        <f>IF(ISNUMBER('Klisz-Verbräuche'!H178), 'Klisz-Verbräuche'!H178*Emissionsfaktoren!F178/1000, 0)</f>
        <v>0</v>
      </c>
      <c r="H343" s="14">
        <f>IF(ISNUMBER('Klisz-Verbräuche'!I178), 'Klisz-Verbräuche'!I178*Emissionsfaktoren!G178/1000, 0)</f>
        <v>0</v>
      </c>
      <c r="I343" s="14">
        <f>IF(ISNUMBER('Klisz-Verbräuche'!J178), 'Klisz-Verbräuche'!J178*Emissionsfaktoren!H178/1000, 0)</f>
        <v>0</v>
      </c>
      <c r="J343" s="14">
        <f>IF(ISNUMBER('Klisz-Verbräuche'!K178), 'Klisz-Verbräuche'!K178*Emissionsfaktoren!I178/1000, 0)</f>
        <v>0</v>
      </c>
      <c r="K343" s="14">
        <f>IF(ISNUMBER('Klisz-Verbräuche'!L178), 'Klisz-Verbräuche'!L178*Emissionsfaktoren!J178/1000, 0)</f>
        <v>0</v>
      </c>
      <c r="L343" s="14">
        <f>IF(ISNUMBER('Klisz-Verbräuche'!M178), 'Klisz-Verbräuche'!M178*Emissionsfaktoren!K178/1000, 0)</f>
        <v>0</v>
      </c>
      <c r="M343" s="14">
        <f>IF(ISNUMBER('Klisz-Verbräuche'!N178), 'Klisz-Verbräuche'!N178*Emissionsfaktoren!L178/1000, 0)</f>
        <v>0</v>
      </c>
      <c r="N343" s="14">
        <f>IF(ISNUMBER('Klisz-Verbräuche'!O178), 'Klisz-Verbräuche'!O178*Emissionsfaktoren!M178/1000, 0)</f>
        <v>0</v>
      </c>
      <c r="O343" s="14">
        <f>IF(ISNUMBER('Klisz-Verbräuche'!P178), 'Klisz-Verbräuche'!P178*Emissionsfaktoren!N178/1000, 0)</f>
        <v>0</v>
      </c>
      <c r="P343" s="14">
        <f>IF(ISNUMBER('Klisz-Verbräuche'!Q178), 'Klisz-Verbräuche'!Q178*Emissionsfaktoren!O178/1000, 0)</f>
        <v>0</v>
      </c>
      <c r="Q343" s="14">
        <f>IF(ISNUMBER('Klisz-Verbräuche'!R178), 'Klisz-Verbräuche'!R178*Emissionsfaktoren!P178/1000, 0)</f>
        <v>0</v>
      </c>
      <c r="R343" s="14">
        <f>IF(ISNUMBER('Klisz-Verbräuche'!S178), 'Klisz-Verbräuche'!S178*Emissionsfaktoren!Q178/1000, 0)</f>
        <v>0</v>
      </c>
      <c r="S343" s="14">
        <f>IF(ISNUMBER('Klisz-Verbräuche'!T178), 'Klisz-Verbräuche'!T178*Emissionsfaktoren!R178/1000, 0)</f>
        <v>0</v>
      </c>
      <c r="T343" s="14">
        <f>IF(ISNUMBER('Klisz-Verbräuche'!U178), 'Klisz-Verbräuche'!U178*Emissionsfaktoren!S178/1000, 0)</f>
        <v>0</v>
      </c>
      <c r="U343" s="14">
        <f>IF(ISNUMBER('Klisz-Verbräuche'!V178), 'Klisz-Verbräuche'!V178*Emissionsfaktoren!T178/1000, 0)</f>
        <v>0</v>
      </c>
      <c r="V343" s="14">
        <f>IF(ISNUMBER('Klisz-Verbräuche'!W178), 'Klisz-Verbräuche'!W178*Emissionsfaktoren!U178/1000, 0)</f>
        <v>0</v>
      </c>
      <c r="W343" s="14">
        <f>IF(ISNUMBER('Klisz-Verbräuche'!X178), 'Klisz-Verbräuche'!X178*Emissionsfaktoren!V178/1000, 0)</f>
        <v>0</v>
      </c>
      <c r="X343" s="14">
        <f>IF(ISNUMBER('Klisz-Verbräuche'!Y178), 'Klisz-Verbräuche'!Y178*Emissionsfaktoren!W178/1000, 0)</f>
        <v>0</v>
      </c>
      <c r="Y343" s="14">
        <f>IF(ISNUMBER('Klisz-Verbräuche'!Z178), 'Klisz-Verbräuche'!Z178*Emissionsfaktoren!X178/1000, 0)</f>
        <v>0</v>
      </c>
    </row>
    <row r="346" spans="2:26">
      <c r="B346" s="1" t="s">
        <v>604</v>
      </c>
    </row>
    <row r="347" spans="2:26">
      <c r="B347" t="s">
        <v>38</v>
      </c>
      <c r="C347" t="s">
        <v>28</v>
      </c>
      <c r="D347" s="14" t="s">
        <v>435</v>
      </c>
      <c r="E347" t="s">
        <v>2</v>
      </c>
      <c r="F347" t="s">
        <v>3</v>
      </c>
      <c r="G347" t="s">
        <v>4</v>
      </c>
      <c r="H347" t="s">
        <v>5</v>
      </c>
      <c r="I347" t="s">
        <v>6</v>
      </c>
      <c r="J347" t="s">
        <v>7</v>
      </c>
      <c r="K347" t="s">
        <v>8</v>
      </c>
      <c r="L347" t="s">
        <v>9</v>
      </c>
      <c r="M347" t="s">
        <v>10</v>
      </c>
      <c r="N347" t="s">
        <v>11</v>
      </c>
      <c r="O347" t="s">
        <v>12</v>
      </c>
      <c r="P347" t="s">
        <v>13</v>
      </c>
      <c r="Q347" t="s">
        <v>14</v>
      </c>
      <c r="R347" t="s">
        <v>216</v>
      </c>
      <c r="S347" t="s">
        <v>217</v>
      </c>
      <c r="T347" t="s">
        <v>218</v>
      </c>
      <c r="U347" t="s">
        <v>15</v>
      </c>
      <c r="V347" t="s">
        <v>16</v>
      </c>
      <c r="W347" t="s">
        <v>17</v>
      </c>
      <c r="X347" t="s">
        <v>18</v>
      </c>
      <c r="Y347" t="s">
        <v>19</v>
      </c>
      <c r="Z347" t="s">
        <v>45</v>
      </c>
    </row>
    <row r="348" spans="2:26" ht="16.5">
      <c r="B348" s="14">
        <v>1</v>
      </c>
      <c r="C348" s="14" t="str">
        <f>'Refsz-Verbräuche'!C18</f>
        <v>Elektrischer Strom</v>
      </c>
      <c r="D348" s="19" t="str">
        <f>'Refsz-Verbräuche'!D18</f>
        <v>Bundesmix</v>
      </c>
      <c r="E348" t="s">
        <v>195</v>
      </c>
      <c r="F348" s="14">
        <f>IF(ISNUMBER('Klisz-Verbräuche'!G18), 'Klisz-Verbräuche'!G18*Emissionsfaktoren!E18/1000, 0)</f>
        <v>0</v>
      </c>
      <c r="G348" s="14">
        <f>IF(ISNUMBER('Klisz-Verbräuche'!H18), 'Klisz-Verbräuche'!H18*Emissionsfaktoren!F18/1000, 0)</f>
        <v>0</v>
      </c>
      <c r="H348" s="14">
        <f>IF(ISNUMBER('Klisz-Verbräuche'!I18), 'Klisz-Verbräuche'!I18*Emissionsfaktoren!G18/1000, 0)</f>
        <v>0</v>
      </c>
      <c r="I348" s="14">
        <f>IF(ISNUMBER('Klisz-Verbräuche'!J18), 'Klisz-Verbräuche'!J18*Emissionsfaktoren!H18/1000, 0)</f>
        <v>0</v>
      </c>
      <c r="J348" s="14">
        <f>IF(ISNUMBER('Klisz-Verbräuche'!K18), 'Klisz-Verbräuche'!K18*Emissionsfaktoren!I18/1000, 0)</f>
        <v>0</v>
      </c>
      <c r="K348" s="14">
        <f>IF(ISNUMBER('Klisz-Verbräuche'!L18), 'Klisz-Verbräuche'!L18*Emissionsfaktoren!J18/1000, 0)</f>
        <v>0</v>
      </c>
      <c r="L348" s="14">
        <f>IF(ISNUMBER('Klisz-Verbräuche'!M18), 'Klisz-Verbräuche'!M18*Emissionsfaktoren!K18/1000, 0)</f>
        <v>0</v>
      </c>
      <c r="M348" s="14">
        <f>IF(Startseite!$D$68=Klisz_Emissionen_Regiomix[[#Headers],[2022]],
   (SUM('Klisz-Verbräuche'!N18:N25))*Emissionsfaktoren!L18/1000,
IF(Startseite!$D$68&gt;Klisz_Verbräuche[[#Headers],[2022]],
   (SUM('Klisz-Verbräuche'!N18:N25))*Emissionsfaktoren!L18/1000,
IF(Startseite!$D$68&lt;Klisz_Verbräuche[[#Headers],[2022]],
   (SUM('Klisz-Verbräuche'!N18:N25))*Emissionsfaktoren!L18/1000)))</f>
        <v>0</v>
      </c>
      <c r="N348" s="14">
        <f>IF(Startseite!$D$68=Klisz_Emissionen_Regiomix[[#Headers],[2023]],
   (SUM('Klisz-Verbräuche'!O18:O25))*Emissionsfaktoren!M18/1000,
IF(Startseite!$D$68&gt;Klisz_Verbräuche[[#Headers],[2023]],
   (SUM('Klisz-Verbräuche'!O18:O25))*Emissionsfaktoren!M18/1000,
IF(Startseite!$D$68&lt;Klisz_Verbräuche[[#Headers],[2023]],
   (SUM('Klisz-Verbräuche'!O18:O25))*Emissionsfaktoren!M18/1000)))</f>
        <v>0</v>
      </c>
      <c r="O348" s="14">
        <f>IF(Startseite!$D$68=Klisz_Emissionen_Regiomix[[#Headers],[2024]],
   (SUM('Klisz-Verbräuche'!P18:P25))*Emissionsfaktoren!N18/1000,
IF(Startseite!$D$68&gt;Klisz_Verbräuche[[#Headers],[2024]],
   (SUM('Klisz-Verbräuche'!P18:P25))*Emissionsfaktoren!N18/1000,
IF(Startseite!$D$68&lt;Klisz_Verbräuche[[#Headers],[2024]],
   (SUM('Klisz-Verbräuche'!P18:P25))*Emissionsfaktoren!N18/1000)))</f>
        <v>0</v>
      </c>
      <c r="P348" s="14">
        <f>IF(Startseite!$D$68=Klisz_Emissionen_Regiomix[[#Headers],[2025]],
   (SUM('Klisz-Verbräuche'!Q18:Q25))*Emissionsfaktoren!O18/1000,
IF(Startseite!$D$68&gt;Klisz_Verbräuche[[#Headers],[2025]],
   (SUM('Klisz-Verbräuche'!Q18:Q25))*Emissionsfaktoren!O18/1000,
IF(Startseite!$D$68&lt;Klisz_Verbräuche[[#Headers],[2025]],
   (SUM('Klisz-Verbräuche'!Q18:Q25))*Emissionsfaktoren!O18/1000)))</f>
        <v>0</v>
      </c>
      <c r="Q348" s="14">
        <f>IF(Startseite!$D$68=Klisz_Emissionen_Regiomix[[#Headers],[2026]],
   (SUM('Klisz-Verbräuche'!R18:R25))*Emissionsfaktoren!P18/1000,
IF(Startseite!$D$68&gt;Klisz_Verbräuche[[#Headers],[2026]],
   (SUM('Klisz-Verbräuche'!R18:R25))*Emissionsfaktoren!P18/1000,
IF(Startseite!$D$68&lt;Klisz_Verbräuche[[#Headers],[2026]],
   (SUM('Klisz-Verbräuche'!R18:R25))*Emissionsfaktoren!P18/1000)))</f>
        <v>0</v>
      </c>
      <c r="R348" s="14">
        <f>IF(Startseite!$D$68=Klisz_Emissionen_Regiomix[[#Headers],[2027]],
   (SUM('Klisz-Verbräuche'!S18:S25))*Emissionsfaktoren!Q18/1000,
IF(Startseite!$D$68&gt;Klisz_Verbräuche[[#Headers],[2027]],
   (SUM('Klisz-Verbräuche'!S18:S25))*Emissionsfaktoren!Q18/1000,
IF(Startseite!$D$68&lt;Klisz_Verbräuche[[#Headers],[2027]],
   (SUM('Klisz-Verbräuche'!S18:S25))*Emissionsfaktoren!Q18/1000)))</f>
        <v>0</v>
      </c>
      <c r="S348" s="14">
        <f>IF(Startseite!$D$68=Klisz_Emissionen_Regiomix[[#Headers],[2028]],
   (SUM('Klisz-Verbräuche'!T18:T25))*Emissionsfaktoren!R18/1000,
IF(Startseite!$D$68&gt;Klisz_Verbräuche[[#Headers],[2028]],
   (SUM('Klisz-Verbräuche'!T18:T25))*Emissionsfaktoren!R18/1000,
IF(Startseite!$D$68&lt;Klisz_Verbräuche[[#Headers],[2028]],
   (SUM('Klisz-Verbräuche'!T18:T25))*Emissionsfaktoren!R18/1000)))</f>
        <v>0</v>
      </c>
      <c r="T348" s="14">
        <f>IF(Startseite!$D$68=Klisz_Emissionen_Regiomix[[#Headers],[2029]],
   (SUM('Klisz-Verbräuche'!U18:U25))*Emissionsfaktoren!S18/1000,
IF(Startseite!$D$68&gt;Klisz_Verbräuche[[#Headers],[2029]],
   (SUM('Klisz-Verbräuche'!U18:U25))*Emissionsfaktoren!S18/1000,
IF(Startseite!$D$68&lt;Klisz_Verbräuche[[#Headers],[2029]],
   (SUM('Klisz-Verbräuche'!U18:U25))*Emissionsfaktoren!S18/1000)))</f>
        <v>0</v>
      </c>
      <c r="U348" s="14">
        <f>IF(Startseite!$D$68=Klisz_Emissionen_Regiomix[[#Headers],[2030]],
   (SUM('Klisz-Verbräuche'!V18:V25))*Emissionsfaktoren!T18/1000,
IF(Startseite!$D$68&gt;Klisz_Verbräuche[[#Headers],[2030]],
   (SUM('Klisz-Verbräuche'!V18:V25))*Emissionsfaktoren!T18/1000,
IF(Startseite!$D$68&lt;Klisz_Verbräuche[[#Headers],[2030]],
   (SUM('Klisz-Verbräuche'!V18:V25))*Emissionsfaktoren!T18/1000)))</f>
        <v>0</v>
      </c>
      <c r="V348" s="14">
        <f>IF(Startseite!$D$68=Klisz_Emissionen_Regiomix[[#Headers],[2035]],
   (SUM('Klisz-Verbräuche'!W18:W25))*Emissionsfaktoren!U18/1000,
IF(Startseite!$D$68&gt;Klisz_Verbräuche[[#Headers],[2035]],
   (SUM('Klisz-Verbräuche'!W18:W25))*Emissionsfaktoren!U18/1000,
IF(Startseite!$D$68&lt;Klisz_Verbräuche[[#Headers],[2035]],
   (SUM('Klisz-Verbräuche'!W18:W25))*Emissionsfaktoren!U18/1000)))</f>
        <v>0</v>
      </c>
      <c r="W348" s="14">
        <f>IF(Startseite!$D$68=Klisz_Emissionen_Regiomix[[#Headers],[2040]],
   (SUM('Klisz-Verbräuche'!X18:X25))*Emissionsfaktoren!V18/1000,
IF(Startseite!$D$68&gt;Klisz_Verbräuche[[#Headers],[2040]],
   (SUM('Klisz-Verbräuche'!X18:X25))*Emissionsfaktoren!V18/1000,
IF(Startseite!$D$68&lt;Klisz_Verbräuche[[#Headers],[2040]],
   (SUM('Klisz-Verbräuche'!X18:X25))*Emissionsfaktoren!V18/1000)))</f>
        <v>0</v>
      </c>
      <c r="X348" s="14">
        <f>IF(Startseite!$D$68=Klisz_Emissionen_Regiomix[[#Headers],[2045]],
   (SUM('Klisz-Verbräuche'!Y18:Y25))*Emissionsfaktoren!W18/1000,
IF(Startseite!$D$68&gt;Klisz_Verbräuche[[#Headers],[2045]],
   (SUM('Klisz-Verbräuche'!Y18:Y25))*Emissionsfaktoren!W18/1000,
IF(Startseite!$D$68&lt;Klisz_Verbräuche[[#Headers],[2045]],
   (SUM('Klisz-Verbräuche'!Y18:Y25))*Emissionsfaktoren!W18/1000)))</f>
        <v>0</v>
      </c>
      <c r="Y348" s="14">
        <f>IF(Startseite!$D$68=Klisz_Emissionen_Regiomix[[#Headers],[2050]],
   (SUM('Klisz-Verbräuche'!Z18:Z25))*Emissionsfaktoren!X18/1000,
IF(Startseite!$D$68&gt;Klisz_Verbräuche[[#Headers],[2050]],
   (SUM('Klisz-Verbräuche'!Z18:Z25))*Emissionsfaktoren!X18/1000,
IF(Startseite!$D$68&lt;Klisz_Verbräuche[[#Headers],[2050]],
   (SUM('Klisz-Verbräuche'!Z18:Z25))*Emissionsfaktoren!X18/1000)))</f>
        <v>0</v>
      </c>
    </row>
    <row r="349" spans="2:26" ht="16.5">
      <c r="B349" s="14">
        <v>2</v>
      </c>
      <c r="C349" s="14" t="str">
        <f>'Refsz-Verbräuche'!C19</f>
        <v>Elektrischer Strom</v>
      </c>
      <c r="D349" s="19" t="str">
        <f>'Refsz-Verbräuche'!D19</f>
        <v>Bundesmix KS80</v>
      </c>
      <c r="E349" t="s">
        <v>195</v>
      </c>
      <c r="F349" s="14">
        <f>IF(ISNUMBER('Klisz-Verbräuche'!G19), 'Klisz-Verbräuche'!G19*Emissionsfaktoren!E19/1000, 0)</f>
        <v>0</v>
      </c>
      <c r="G349" s="14">
        <f>IF(ISNUMBER('Klisz-Verbräuche'!H19), 'Klisz-Verbräuche'!H19*Emissionsfaktoren!F19/1000, 0)</f>
        <v>0</v>
      </c>
      <c r="H349" s="14">
        <f>IF(ISNUMBER('Klisz-Verbräuche'!I19), 'Klisz-Verbräuche'!I19*Emissionsfaktoren!G19/1000, 0)</f>
        <v>0</v>
      </c>
      <c r="I349" s="14">
        <f>IF(ISNUMBER('Klisz-Verbräuche'!J19), 'Klisz-Verbräuche'!J19*Emissionsfaktoren!H19/1000, 0)</f>
        <v>0</v>
      </c>
      <c r="J349" s="14">
        <f>IF(ISNUMBER('Klisz-Verbräuche'!K19), 'Klisz-Verbräuche'!K19*Emissionsfaktoren!I19/1000, 0)</f>
        <v>0</v>
      </c>
      <c r="K349" s="14">
        <f>IF(ISNUMBER('Klisz-Verbräuche'!L19), 'Klisz-Verbräuche'!L19*Emissionsfaktoren!J19/1000, 0)</f>
        <v>0</v>
      </c>
      <c r="L349" s="14">
        <f>IF(ISNUMBER('Klisz-Verbräuche'!M19), 'Klisz-Verbräuche'!M19*Emissionsfaktoren!K19/1000, 0)</f>
        <v>0</v>
      </c>
      <c r="M349" s="14">
        <f>IF(ISNUMBER('Klisz-Verbräuche'!N19), 'Klisz-Verbräuche'!N19*Emissionsfaktoren!L19/1000, 0)</f>
        <v>0</v>
      </c>
      <c r="N349" s="14">
        <f>IF(ISNUMBER('Klisz-Verbräuche'!O19), 'Klisz-Verbräuche'!O19*Emissionsfaktoren!M19/1000, 0)</f>
        <v>0</v>
      </c>
      <c r="O349" s="14">
        <f>IF(ISNUMBER('Klisz-Verbräuche'!P19), 'Klisz-Verbräuche'!P19*Emissionsfaktoren!N19/1000, 0)</f>
        <v>0</v>
      </c>
      <c r="P349" s="14">
        <f>IF(ISNUMBER('Klisz-Verbräuche'!Q19), 'Klisz-Verbräuche'!Q19*Emissionsfaktoren!O19/1000, 0)</f>
        <v>0</v>
      </c>
      <c r="Q349" s="14">
        <f>IF(ISNUMBER('Klisz-Verbräuche'!R19), 'Klisz-Verbräuche'!R19*Emissionsfaktoren!P19/1000, 0)</f>
        <v>0</v>
      </c>
      <c r="R349" s="14">
        <f>IF(ISNUMBER('Klisz-Verbräuche'!S19), 'Klisz-Verbräuche'!S19*Emissionsfaktoren!Q19/1000, 0)</f>
        <v>0</v>
      </c>
      <c r="S349" s="14">
        <f>IF(ISNUMBER('Klisz-Verbräuche'!T19), 'Klisz-Verbräuche'!T19*Emissionsfaktoren!R19/1000, 0)</f>
        <v>0</v>
      </c>
      <c r="T349" s="14">
        <f>IF(ISNUMBER('Klisz-Verbräuche'!U19), 'Klisz-Verbräuche'!U19*Emissionsfaktoren!S19/1000, 0)</f>
        <v>0</v>
      </c>
      <c r="U349" s="14">
        <f>IF(ISNUMBER('Klisz-Verbräuche'!V19), 'Klisz-Verbräuche'!V19*Emissionsfaktoren!T19/1000, 0)</f>
        <v>0</v>
      </c>
      <c r="V349" s="14">
        <f>IF(ISNUMBER('Klisz-Verbräuche'!W19), 'Klisz-Verbräuche'!W19*Emissionsfaktoren!U19/1000, 0)</f>
        <v>0</v>
      </c>
      <c r="W349" s="14">
        <f>IF(ISNUMBER('Klisz-Verbräuche'!X19), 'Klisz-Verbräuche'!X19*Emissionsfaktoren!V19/1000, 0)</f>
        <v>0</v>
      </c>
      <c r="X349" s="14">
        <f>IF(ISNUMBER('Klisz-Verbräuche'!Y19), 'Klisz-Verbräuche'!Y19*Emissionsfaktoren!W19/1000, 0)</f>
        <v>0</v>
      </c>
      <c r="Y349" s="14">
        <f>IF(ISNUMBER('Klisz-Verbräuche'!Z19), 'Klisz-Verbräuche'!Z19*Emissionsfaktoren!X19/1000, 0)</f>
        <v>0</v>
      </c>
    </row>
    <row r="350" spans="2:26" ht="16.5">
      <c r="B350" s="14">
        <v>3</v>
      </c>
      <c r="C350" s="14" t="str">
        <f>'Refsz-Verbräuche'!C20</f>
        <v>Elektrischer Strom</v>
      </c>
      <c r="D350" s="19" t="str">
        <f>'Refsz-Verbräuche'!D20</f>
        <v>Individueller Strommix Einrichtung 1</v>
      </c>
      <c r="E350" t="s">
        <v>195</v>
      </c>
      <c r="F350" s="14">
        <f>IF(ISNUMBER('Klisz-Verbräuche'!G20), 'Klisz-Verbräuche'!G20*Emissionsfaktoren!E20/1000, 0)</f>
        <v>0</v>
      </c>
      <c r="G350" s="14">
        <f>IF(ISNUMBER('Klisz-Verbräuche'!H20), 'Klisz-Verbräuche'!H20*Emissionsfaktoren!F20/1000, 0)</f>
        <v>0</v>
      </c>
      <c r="H350" s="14">
        <f>IF(ISNUMBER('Klisz-Verbräuche'!I20), 'Klisz-Verbräuche'!I20*Emissionsfaktoren!G20/1000, 0)</f>
        <v>0</v>
      </c>
      <c r="I350" s="14">
        <f>IF(ISNUMBER('Klisz-Verbräuche'!J20), 'Klisz-Verbräuche'!J20*Emissionsfaktoren!H20/1000, 0)</f>
        <v>0</v>
      </c>
      <c r="J350" s="14">
        <f>IF(ISNUMBER('Klisz-Verbräuche'!K20), 'Klisz-Verbräuche'!K20*Emissionsfaktoren!I20/1000, 0)</f>
        <v>0</v>
      </c>
      <c r="K350" s="14">
        <f>IF(ISNUMBER('Klisz-Verbräuche'!L20), 'Klisz-Verbräuche'!L20*Emissionsfaktoren!J20/1000, 0)</f>
        <v>0</v>
      </c>
      <c r="L350" s="14">
        <f>IF(ISNUMBER('Klisz-Verbräuche'!M20), 'Klisz-Verbräuche'!M20*Emissionsfaktoren!K20/1000, 0)</f>
        <v>0</v>
      </c>
      <c r="M350" s="14">
        <f>IF(ISNUMBER('Klisz-Verbräuche'!N20), 'Klisz-Verbräuche'!N20*Emissionsfaktoren!L20/1000, 0)</f>
        <v>0</v>
      </c>
      <c r="N350" s="14">
        <f>IF(ISNUMBER('Klisz-Verbräuche'!O20), 'Klisz-Verbräuche'!O20*Emissionsfaktoren!M20/1000, 0)</f>
        <v>0</v>
      </c>
      <c r="O350" s="14">
        <f>IF(ISNUMBER('Klisz-Verbräuche'!P20), 'Klisz-Verbräuche'!P20*Emissionsfaktoren!N20/1000, 0)</f>
        <v>0</v>
      </c>
      <c r="P350" s="14">
        <f>IF(ISNUMBER('Klisz-Verbräuche'!Q20), 'Klisz-Verbräuche'!Q20*Emissionsfaktoren!O20/1000, 0)</f>
        <v>0</v>
      </c>
      <c r="Q350" s="14">
        <f>IF(ISNUMBER('Klisz-Verbräuche'!R20), 'Klisz-Verbräuche'!R20*Emissionsfaktoren!P20/1000, 0)</f>
        <v>0</v>
      </c>
      <c r="R350" s="14">
        <f>IF(ISNUMBER('Klisz-Verbräuche'!S20), 'Klisz-Verbräuche'!S20*Emissionsfaktoren!Q20/1000, 0)</f>
        <v>0</v>
      </c>
      <c r="S350" s="14">
        <f>IF(ISNUMBER('Klisz-Verbräuche'!T20), 'Klisz-Verbräuche'!T20*Emissionsfaktoren!R20/1000, 0)</f>
        <v>0</v>
      </c>
      <c r="T350" s="14">
        <f>IF(ISNUMBER('Klisz-Verbräuche'!U20), 'Klisz-Verbräuche'!U20*Emissionsfaktoren!S20/1000, 0)</f>
        <v>0</v>
      </c>
      <c r="U350" s="14">
        <f>IF(ISNUMBER('Klisz-Verbräuche'!V20), 'Klisz-Verbräuche'!V20*Emissionsfaktoren!T20/1000, 0)</f>
        <v>0</v>
      </c>
      <c r="V350" s="14">
        <f>IF(ISNUMBER('Klisz-Verbräuche'!W20), 'Klisz-Verbräuche'!W20*Emissionsfaktoren!U20/1000, 0)</f>
        <v>0</v>
      </c>
      <c r="W350" s="14">
        <f>IF(ISNUMBER('Klisz-Verbräuche'!X20), 'Klisz-Verbräuche'!X20*Emissionsfaktoren!V20/1000, 0)</f>
        <v>0</v>
      </c>
      <c r="X350" s="14">
        <f>IF(ISNUMBER('Klisz-Verbräuche'!Y20), 'Klisz-Verbräuche'!Y20*Emissionsfaktoren!W20/1000, 0)</f>
        <v>0</v>
      </c>
      <c r="Y350" s="14">
        <f>IF(ISNUMBER('Klisz-Verbräuche'!Z20), 'Klisz-Verbräuche'!Z20*Emissionsfaktoren!X20/1000, 0)</f>
        <v>0</v>
      </c>
    </row>
    <row r="351" spans="2:26" ht="16.5">
      <c r="B351" s="14">
        <v>4</v>
      </c>
      <c r="C351" s="14" t="str">
        <f>'Refsz-Verbräuche'!C21</f>
        <v>Elektrischer Strom</v>
      </c>
      <c r="D351" s="19" t="str">
        <f>'Refsz-Verbräuche'!D21</f>
        <v>Individueller Strommix Einrichtung 2</v>
      </c>
      <c r="E351" t="s">
        <v>195</v>
      </c>
      <c r="F351" s="14">
        <f>IF(ISNUMBER('Klisz-Verbräuche'!G21), 'Klisz-Verbräuche'!G21*Emissionsfaktoren!E21/1000, 0)</f>
        <v>0</v>
      </c>
      <c r="G351" s="14">
        <f>IF(ISNUMBER('Klisz-Verbräuche'!H21), 'Klisz-Verbräuche'!H21*Emissionsfaktoren!F21/1000, 0)</f>
        <v>0</v>
      </c>
      <c r="H351" s="14">
        <f>IF(ISNUMBER('Klisz-Verbräuche'!I21), 'Klisz-Verbräuche'!I21*Emissionsfaktoren!G21/1000, 0)</f>
        <v>0</v>
      </c>
      <c r="I351" s="14">
        <f>IF(ISNUMBER('Klisz-Verbräuche'!J21), 'Klisz-Verbräuche'!J21*Emissionsfaktoren!H21/1000, 0)</f>
        <v>0</v>
      </c>
      <c r="J351" s="14">
        <f>IF(ISNUMBER('Klisz-Verbräuche'!K21), 'Klisz-Verbräuche'!K21*Emissionsfaktoren!I21/1000, 0)</f>
        <v>0</v>
      </c>
      <c r="K351" s="14">
        <f>IF(ISNUMBER('Klisz-Verbräuche'!L21), 'Klisz-Verbräuche'!L21*Emissionsfaktoren!J21/1000, 0)</f>
        <v>0</v>
      </c>
      <c r="L351" s="14">
        <f>IF(ISNUMBER('Klisz-Verbräuche'!M21), 'Klisz-Verbräuche'!M21*Emissionsfaktoren!K21/1000, 0)</f>
        <v>0</v>
      </c>
      <c r="M351" s="14">
        <f>IF(ISNUMBER('Klisz-Verbräuche'!N21), 'Klisz-Verbräuche'!N21*Emissionsfaktoren!L21/1000, 0)</f>
        <v>0</v>
      </c>
      <c r="N351" s="14">
        <f>IF(ISNUMBER('Klisz-Verbräuche'!O21), 'Klisz-Verbräuche'!O21*Emissionsfaktoren!M21/1000, 0)</f>
        <v>0</v>
      </c>
      <c r="O351" s="14">
        <f>IF(ISNUMBER('Klisz-Verbräuche'!P21), 'Klisz-Verbräuche'!P21*Emissionsfaktoren!N21/1000, 0)</f>
        <v>0</v>
      </c>
      <c r="P351" s="14">
        <f>IF(ISNUMBER('Klisz-Verbräuche'!Q21), 'Klisz-Verbräuche'!Q21*Emissionsfaktoren!O21/1000, 0)</f>
        <v>0</v>
      </c>
      <c r="Q351" s="14">
        <f>IF(ISNUMBER('Klisz-Verbräuche'!R21), 'Klisz-Verbräuche'!R21*Emissionsfaktoren!P21/1000, 0)</f>
        <v>0</v>
      </c>
      <c r="R351" s="14">
        <f>IF(ISNUMBER('Klisz-Verbräuche'!S21), 'Klisz-Verbräuche'!S21*Emissionsfaktoren!Q21/1000, 0)</f>
        <v>0</v>
      </c>
      <c r="S351" s="14">
        <f>IF(ISNUMBER('Klisz-Verbräuche'!T21), 'Klisz-Verbräuche'!T21*Emissionsfaktoren!R21/1000, 0)</f>
        <v>0</v>
      </c>
      <c r="T351" s="14">
        <f>IF(ISNUMBER('Klisz-Verbräuche'!U21), 'Klisz-Verbräuche'!U21*Emissionsfaktoren!S21/1000, 0)</f>
        <v>0</v>
      </c>
      <c r="U351" s="14">
        <f>IF(ISNUMBER('Klisz-Verbräuche'!V21), 'Klisz-Verbräuche'!V21*Emissionsfaktoren!T21/1000, 0)</f>
        <v>0</v>
      </c>
      <c r="V351" s="14">
        <f>IF(ISNUMBER('Klisz-Verbräuche'!W21), 'Klisz-Verbräuche'!W21*Emissionsfaktoren!U21/1000, 0)</f>
        <v>0</v>
      </c>
      <c r="W351" s="14">
        <f>IF(ISNUMBER('Klisz-Verbräuche'!X21), 'Klisz-Verbräuche'!X21*Emissionsfaktoren!V21/1000, 0)</f>
        <v>0</v>
      </c>
      <c r="X351" s="14">
        <f>IF(ISNUMBER('Klisz-Verbräuche'!Y21), 'Klisz-Verbräuche'!Y21*Emissionsfaktoren!W21/1000, 0)</f>
        <v>0</v>
      </c>
      <c r="Y351" s="14">
        <f>IF(ISNUMBER('Klisz-Verbräuche'!Z21), 'Klisz-Verbräuche'!Z21*Emissionsfaktoren!X21/1000, 0)</f>
        <v>0</v>
      </c>
    </row>
    <row r="352" spans="2:26" ht="16.5">
      <c r="B352" s="14">
        <v>5</v>
      </c>
      <c r="C352" s="14" t="str">
        <f>'Refsz-Verbräuche'!C22</f>
        <v>Elektrischer Strom</v>
      </c>
      <c r="D352" s="19" t="str">
        <f>'Refsz-Verbräuche'!D22</f>
        <v>Individueller Strommix Einrichtung 3</v>
      </c>
      <c r="E352" t="s">
        <v>195</v>
      </c>
      <c r="F352" s="14">
        <f>IF(ISNUMBER('Klisz-Verbräuche'!G22), 'Klisz-Verbräuche'!G22*Emissionsfaktoren!E22/1000, 0)</f>
        <v>0</v>
      </c>
      <c r="G352" s="14">
        <f>IF(ISNUMBER('Klisz-Verbräuche'!H22), 'Klisz-Verbräuche'!H22*Emissionsfaktoren!F22/1000, 0)</f>
        <v>0</v>
      </c>
      <c r="H352" s="14">
        <f>IF(ISNUMBER('Klisz-Verbräuche'!I22), 'Klisz-Verbräuche'!I22*Emissionsfaktoren!G22/1000, 0)</f>
        <v>0</v>
      </c>
      <c r="I352" s="14">
        <f>IF(ISNUMBER('Klisz-Verbräuche'!J22), 'Klisz-Verbräuche'!J22*Emissionsfaktoren!H22/1000, 0)</f>
        <v>0</v>
      </c>
      <c r="J352" s="14">
        <f>IF(ISNUMBER('Klisz-Verbräuche'!K22), 'Klisz-Verbräuche'!K22*Emissionsfaktoren!I22/1000, 0)</f>
        <v>0</v>
      </c>
      <c r="K352" s="14">
        <f>IF(ISNUMBER('Klisz-Verbräuche'!L22), 'Klisz-Verbräuche'!L22*Emissionsfaktoren!J22/1000, 0)</f>
        <v>0</v>
      </c>
      <c r="L352" s="14">
        <f>IF(ISNUMBER('Klisz-Verbräuche'!M22), 'Klisz-Verbräuche'!M22*Emissionsfaktoren!K22/1000, 0)</f>
        <v>0</v>
      </c>
      <c r="M352" s="14">
        <f>IF(ISNUMBER('Klisz-Verbräuche'!N22), 'Klisz-Verbräuche'!N22*Emissionsfaktoren!L22/1000, 0)</f>
        <v>0</v>
      </c>
      <c r="N352" s="14">
        <f>IF(ISNUMBER('Klisz-Verbräuche'!O22), 'Klisz-Verbräuche'!O22*Emissionsfaktoren!M22/1000, 0)</f>
        <v>0</v>
      </c>
      <c r="O352" s="14">
        <f>IF(ISNUMBER('Klisz-Verbräuche'!P22), 'Klisz-Verbräuche'!P22*Emissionsfaktoren!N22/1000, 0)</f>
        <v>0</v>
      </c>
      <c r="P352" s="14">
        <f>IF(ISNUMBER('Klisz-Verbräuche'!Q22), 'Klisz-Verbräuche'!Q22*Emissionsfaktoren!O22/1000, 0)</f>
        <v>0</v>
      </c>
      <c r="Q352" s="14">
        <f>IF(ISNUMBER('Klisz-Verbräuche'!R22), 'Klisz-Verbräuche'!R22*Emissionsfaktoren!P22/1000, 0)</f>
        <v>0</v>
      </c>
      <c r="R352" s="14">
        <f>IF(ISNUMBER('Klisz-Verbräuche'!S22), 'Klisz-Verbräuche'!S22*Emissionsfaktoren!Q22/1000, 0)</f>
        <v>0</v>
      </c>
      <c r="S352" s="14">
        <f>IF(ISNUMBER('Klisz-Verbräuche'!T22), 'Klisz-Verbräuche'!T22*Emissionsfaktoren!R22/1000, 0)</f>
        <v>0</v>
      </c>
      <c r="T352" s="14">
        <f>IF(ISNUMBER('Klisz-Verbräuche'!U22), 'Klisz-Verbräuche'!U22*Emissionsfaktoren!S22/1000, 0)</f>
        <v>0</v>
      </c>
      <c r="U352" s="14">
        <f>IF(ISNUMBER('Klisz-Verbräuche'!V22), 'Klisz-Verbräuche'!V22*Emissionsfaktoren!T22/1000, 0)</f>
        <v>0</v>
      </c>
      <c r="V352" s="14">
        <f>IF(ISNUMBER('Klisz-Verbräuche'!W22), 'Klisz-Verbräuche'!W22*Emissionsfaktoren!U22/1000, 0)</f>
        <v>0</v>
      </c>
      <c r="W352" s="14">
        <f>IF(ISNUMBER('Klisz-Verbräuche'!X22), 'Klisz-Verbräuche'!X22*Emissionsfaktoren!V22/1000, 0)</f>
        <v>0</v>
      </c>
      <c r="X352" s="14">
        <f>IF(ISNUMBER('Klisz-Verbräuche'!Y22), 'Klisz-Verbräuche'!Y22*Emissionsfaktoren!W22/1000, 0)</f>
        <v>0</v>
      </c>
      <c r="Y352" s="14">
        <f>IF(ISNUMBER('Klisz-Verbräuche'!Z22), 'Klisz-Verbräuche'!Z22*Emissionsfaktoren!X22/1000, 0)</f>
        <v>0</v>
      </c>
    </row>
    <row r="353" spans="2:25" ht="16.5">
      <c r="B353" s="14">
        <v>6</v>
      </c>
      <c r="C353" s="14" t="str">
        <f>'Refsz-Verbräuche'!C23</f>
        <v>Elektrischer Strom</v>
      </c>
      <c r="D353" s="19" t="str">
        <f>'Refsz-Verbräuche'!D23</f>
        <v>Individueller Strommix Einrichtung 4</v>
      </c>
      <c r="E353" t="s">
        <v>195</v>
      </c>
      <c r="F353" s="14">
        <f>IF(ISNUMBER('Klisz-Verbräuche'!G23), 'Klisz-Verbräuche'!G23*Emissionsfaktoren!E23/1000, 0)</f>
        <v>0</v>
      </c>
      <c r="G353" s="14">
        <f>IF(ISNUMBER('Klisz-Verbräuche'!H23), 'Klisz-Verbräuche'!H23*Emissionsfaktoren!F23/1000, 0)</f>
        <v>0</v>
      </c>
      <c r="H353" s="14">
        <f>IF(ISNUMBER('Klisz-Verbräuche'!I23), 'Klisz-Verbräuche'!I23*Emissionsfaktoren!G23/1000, 0)</f>
        <v>0</v>
      </c>
      <c r="I353" s="14">
        <f>IF(ISNUMBER('Klisz-Verbräuche'!J23), 'Klisz-Verbräuche'!J23*Emissionsfaktoren!H23/1000, 0)</f>
        <v>0</v>
      </c>
      <c r="J353" s="14">
        <f>IF(ISNUMBER('Klisz-Verbräuche'!K23), 'Klisz-Verbräuche'!K23*Emissionsfaktoren!I23/1000, 0)</f>
        <v>0</v>
      </c>
      <c r="K353" s="14">
        <f>IF(ISNUMBER('Klisz-Verbräuche'!L23), 'Klisz-Verbräuche'!L23*Emissionsfaktoren!J23/1000, 0)</f>
        <v>0</v>
      </c>
      <c r="L353" s="14">
        <f>IF(ISNUMBER('Klisz-Verbräuche'!M23), 'Klisz-Verbräuche'!M23*Emissionsfaktoren!K23/1000, 0)</f>
        <v>0</v>
      </c>
      <c r="M353" s="14">
        <f>IF(ISNUMBER('Klisz-Verbräuche'!N23), 'Klisz-Verbräuche'!N23*Emissionsfaktoren!L23/1000, 0)</f>
        <v>0</v>
      </c>
      <c r="N353" s="14">
        <f>IF(ISNUMBER('Klisz-Verbräuche'!O23), 'Klisz-Verbräuche'!O23*Emissionsfaktoren!M23/1000, 0)</f>
        <v>0</v>
      </c>
      <c r="O353" s="14">
        <f>IF(ISNUMBER('Klisz-Verbräuche'!P23), 'Klisz-Verbräuche'!P23*Emissionsfaktoren!N23/1000, 0)</f>
        <v>0</v>
      </c>
      <c r="P353" s="14">
        <f>IF(ISNUMBER('Klisz-Verbräuche'!Q23), 'Klisz-Verbräuche'!Q23*Emissionsfaktoren!O23/1000, 0)</f>
        <v>0</v>
      </c>
      <c r="Q353" s="14">
        <f>IF(ISNUMBER('Klisz-Verbräuche'!R23), 'Klisz-Verbräuche'!R23*Emissionsfaktoren!P23/1000, 0)</f>
        <v>0</v>
      </c>
      <c r="R353" s="14">
        <f>IF(ISNUMBER('Klisz-Verbräuche'!S23), 'Klisz-Verbräuche'!S23*Emissionsfaktoren!Q23/1000, 0)</f>
        <v>0</v>
      </c>
      <c r="S353" s="14">
        <f>IF(ISNUMBER('Klisz-Verbräuche'!T23), 'Klisz-Verbräuche'!T23*Emissionsfaktoren!R23/1000, 0)</f>
        <v>0</v>
      </c>
      <c r="T353" s="14">
        <f>IF(ISNUMBER('Klisz-Verbräuche'!U23), 'Klisz-Verbräuche'!U23*Emissionsfaktoren!S23/1000, 0)</f>
        <v>0</v>
      </c>
      <c r="U353" s="14">
        <f>IF(ISNUMBER('Klisz-Verbräuche'!V23), 'Klisz-Verbräuche'!V23*Emissionsfaktoren!T23/1000, 0)</f>
        <v>0</v>
      </c>
      <c r="V353" s="14">
        <f>IF(ISNUMBER('Klisz-Verbräuche'!W23), 'Klisz-Verbräuche'!W23*Emissionsfaktoren!U23/1000, 0)</f>
        <v>0</v>
      </c>
      <c r="W353" s="14">
        <f>IF(ISNUMBER('Klisz-Verbräuche'!X23), 'Klisz-Verbräuche'!X23*Emissionsfaktoren!V23/1000, 0)</f>
        <v>0</v>
      </c>
      <c r="X353" s="14">
        <f>IF(ISNUMBER('Klisz-Verbräuche'!Y23), 'Klisz-Verbräuche'!Y23*Emissionsfaktoren!W23/1000, 0)</f>
        <v>0</v>
      </c>
      <c r="Y353" s="14">
        <f>IF(ISNUMBER('Klisz-Verbräuche'!Z23), 'Klisz-Verbräuche'!Z23*Emissionsfaktoren!X23/1000, 0)</f>
        <v>0</v>
      </c>
    </row>
    <row r="354" spans="2:25" ht="16.5">
      <c r="B354" s="14">
        <v>7</v>
      </c>
      <c r="C354" s="14" t="str">
        <f>'Refsz-Verbräuche'!C24</f>
        <v>Elektrischer Strom</v>
      </c>
      <c r="D354" s="19" t="str">
        <f>'Refsz-Verbräuche'!D24</f>
        <v>Individueller Strommix Einrichtung 5</v>
      </c>
      <c r="E354" t="s">
        <v>195</v>
      </c>
      <c r="F354" s="14">
        <f>IF(ISNUMBER('Klisz-Verbräuche'!G24), 'Klisz-Verbräuche'!G24*Emissionsfaktoren!E24/1000, 0)</f>
        <v>0</v>
      </c>
      <c r="G354" s="14">
        <f>IF(ISNUMBER('Klisz-Verbräuche'!H24), 'Klisz-Verbräuche'!H24*Emissionsfaktoren!F24/1000, 0)</f>
        <v>0</v>
      </c>
      <c r="H354" s="14">
        <f>IF(ISNUMBER('Klisz-Verbräuche'!I24), 'Klisz-Verbräuche'!I24*Emissionsfaktoren!G24/1000, 0)</f>
        <v>0</v>
      </c>
      <c r="I354" s="14">
        <f>IF(ISNUMBER('Klisz-Verbräuche'!J24), 'Klisz-Verbräuche'!J24*Emissionsfaktoren!H24/1000, 0)</f>
        <v>0</v>
      </c>
      <c r="J354" s="14">
        <f>IF(ISNUMBER('Klisz-Verbräuche'!K24), 'Klisz-Verbräuche'!K24*Emissionsfaktoren!I24/1000, 0)</f>
        <v>0</v>
      </c>
      <c r="K354" s="14">
        <f>IF(ISNUMBER('Klisz-Verbräuche'!L24), 'Klisz-Verbräuche'!L24*Emissionsfaktoren!J24/1000, 0)</f>
        <v>0</v>
      </c>
      <c r="L354" s="14">
        <f>IF(ISNUMBER('Klisz-Verbräuche'!M24), 'Klisz-Verbräuche'!M24*Emissionsfaktoren!K24/1000, 0)</f>
        <v>0</v>
      </c>
      <c r="M354" s="14">
        <f>IF(ISNUMBER('Klisz-Verbräuche'!N24), 'Klisz-Verbräuche'!N24*Emissionsfaktoren!L24/1000, 0)</f>
        <v>0</v>
      </c>
      <c r="N354" s="14">
        <f>IF(ISNUMBER('Klisz-Verbräuche'!O24), 'Klisz-Verbräuche'!O24*Emissionsfaktoren!M24/1000, 0)</f>
        <v>0</v>
      </c>
      <c r="O354" s="14">
        <f>IF(ISNUMBER('Klisz-Verbräuche'!P24), 'Klisz-Verbräuche'!P24*Emissionsfaktoren!N24/1000, 0)</f>
        <v>0</v>
      </c>
      <c r="P354" s="14">
        <f>IF(ISNUMBER('Klisz-Verbräuche'!Q24), 'Klisz-Verbräuche'!Q24*Emissionsfaktoren!O24/1000, 0)</f>
        <v>0</v>
      </c>
      <c r="Q354" s="14">
        <f>IF(ISNUMBER('Klisz-Verbräuche'!R24), 'Klisz-Verbräuche'!R24*Emissionsfaktoren!P24/1000, 0)</f>
        <v>0</v>
      </c>
      <c r="R354" s="14">
        <f>IF(ISNUMBER('Klisz-Verbräuche'!S24), 'Klisz-Verbräuche'!S24*Emissionsfaktoren!Q24/1000, 0)</f>
        <v>0</v>
      </c>
      <c r="S354" s="14">
        <f>IF(ISNUMBER('Klisz-Verbräuche'!T24), 'Klisz-Verbräuche'!T24*Emissionsfaktoren!R24/1000, 0)</f>
        <v>0</v>
      </c>
      <c r="T354" s="14">
        <f>IF(ISNUMBER('Klisz-Verbräuche'!U24), 'Klisz-Verbräuche'!U24*Emissionsfaktoren!S24/1000, 0)</f>
        <v>0</v>
      </c>
      <c r="U354" s="14">
        <f>IF(ISNUMBER('Klisz-Verbräuche'!V24), 'Klisz-Verbräuche'!V24*Emissionsfaktoren!T24/1000, 0)</f>
        <v>0</v>
      </c>
      <c r="V354" s="14">
        <f>IF(ISNUMBER('Klisz-Verbräuche'!W24), 'Klisz-Verbräuche'!W24*Emissionsfaktoren!U24/1000, 0)</f>
        <v>0</v>
      </c>
      <c r="W354" s="14">
        <f>IF(ISNUMBER('Klisz-Verbräuche'!X24), 'Klisz-Verbräuche'!X24*Emissionsfaktoren!V24/1000, 0)</f>
        <v>0</v>
      </c>
      <c r="X354" s="14">
        <f>IF(ISNUMBER('Klisz-Verbräuche'!Y24), 'Klisz-Verbräuche'!Y24*Emissionsfaktoren!W24/1000, 0)</f>
        <v>0</v>
      </c>
      <c r="Y354" s="14">
        <f>IF(ISNUMBER('Klisz-Verbräuche'!Z24), 'Klisz-Verbräuche'!Z24*Emissionsfaktoren!X24/1000, 0)</f>
        <v>0</v>
      </c>
    </row>
    <row r="355" spans="2:25" ht="16.5">
      <c r="B355" s="14">
        <v>8</v>
      </c>
      <c r="C355" s="14" t="str">
        <f>'Refsz-Verbräuche'!C25</f>
        <v>Elektrischer Strom</v>
      </c>
      <c r="D355" s="19" t="str">
        <f>'Refsz-Verbräuche'!D25</f>
        <v>Individueller Strommix Einrichtung 6</v>
      </c>
      <c r="E355" t="s">
        <v>195</v>
      </c>
      <c r="F355" s="14">
        <f>IF(ISNUMBER('Klisz-Verbräuche'!G25), 'Klisz-Verbräuche'!G25*Emissionsfaktoren!E25/1000, 0)</f>
        <v>0</v>
      </c>
      <c r="G355" s="14">
        <f>IF(ISNUMBER('Klisz-Verbräuche'!H25), 'Klisz-Verbräuche'!H25*Emissionsfaktoren!F25/1000, 0)</f>
        <v>0</v>
      </c>
      <c r="H355" s="14">
        <f>IF(ISNUMBER('Klisz-Verbräuche'!I25), 'Klisz-Verbräuche'!I25*Emissionsfaktoren!G25/1000, 0)</f>
        <v>0</v>
      </c>
      <c r="I355" s="14">
        <f>IF(ISNUMBER('Klisz-Verbräuche'!J25), 'Klisz-Verbräuche'!J25*Emissionsfaktoren!H25/1000, 0)</f>
        <v>0</v>
      </c>
      <c r="J355" s="14">
        <f>IF(ISNUMBER('Klisz-Verbräuche'!K25), 'Klisz-Verbräuche'!K25*Emissionsfaktoren!I25/1000, 0)</f>
        <v>0</v>
      </c>
      <c r="K355" s="14">
        <f>IF(ISNUMBER('Klisz-Verbräuche'!L25), 'Klisz-Verbräuche'!L25*Emissionsfaktoren!J25/1000, 0)</f>
        <v>0</v>
      </c>
      <c r="L355" s="14">
        <f>IF(ISNUMBER('Klisz-Verbräuche'!M25), 'Klisz-Verbräuche'!M25*Emissionsfaktoren!K25/1000, 0)</f>
        <v>0</v>
      </c>
      <c r="M355" s="14">
        <f>IF(ISNUMBER('Klisz-Verbräuche'!N25), 'Klisz-Verbräuche'!N25*Emissionsfaktoren!L25/1000, 0)</f>
        <v>0</v>
      </c>
      <c r="N355" s="14">
        <f>IF(ISNUMBER('Klisz-Verbräuche'!O25), 'Klisz-Verbräuche'!O25*Emissionsfaktoren!M25/1000, 0)</f>
        <v>0</v>
      </c>
      <c r="O355" s="14">
        <f>IF(ISNUMBER('Klisz-Verbräuche'!P25), 'Klisz-Verbräuche'!P25*Emissionsfaktoren!N25/1000, 0)</f>
        <v>0</v>
      </c>
      <c r="P355" s="14">
        <f>IF(ISNUMBER('Klisz-Verbräuche'!Q25), 'Klisz-Verbräuche'!Q25*Emissionsfaktoren!O25/1000, 0)</f>
        <v>0</v>
      </c>
      <c r="Q355" s="14">
        <f>IF(ISNUMBER('Klisz-Verbräuche'!R25), 'Klisz-Verbräuche'!R25*Emissionsfaktoren!P25/1000, 0)</f>
        <v>0</v>
      </c>
      <c r="R355" s="14">
        <f>IF(ISNUMBER('Klisz-Verbräuche'!S25), 'Klisz-Verbräuche'!S25*Emissionsfaktoren!Q25/1000, 0)</f>
        <v>0</v>
      </c>
      <c r="S355" s="14">
        <f>IF(ISNUMBER('Klisz-Verbräuche'!T25), 'Klisz-Verbräuche'!T25*Emissionsfaktoren!R25/1000, 0)</f>
        <v>0</v>
      </c>
      <c r="T355" s="14">
        <f>IF(ISNUMBER('Klisz-Verbräuche'!U25), 'Klisz-Verbräuche'!U25*Emissionsfaktoren!S25/1000, 0)</f>
        <v>0</v>
      </c>
      <c r="U355" s="14">
        <f>IF(ISNUMBER('Klisz-Verbräuche'!V25), 'Klisz-Verbräuche'!V25*Emissionsfaktoren!T25/1000, 0)</f>
        <v>0</v>
      </c>
      <c r="V355" s="14">
        <f>IF(ISNUMBER('Klisz-Verbräuche'!W25), 'Klisz-Verbräuche'!W25*Emissionsfaktoren!U25/1000, 0)</f>
        <v>0</v>
      </c>
      <c r="W355" s="14">
        <f>IF(ISNUMBER('Klisz-Verbräuche'!X25), 'Klisz-Verbräuche'!X25*Emissionsfaktoren!V25/1000, 0)</f>
        <v>0</v>
      </c>
      <c r="X355" s="14">
        <f>IF(ISNUMBER('Klisz-Verbräuche'!Y25), 'Klisz-Verbräuche'!Y25*Emissionsfaktoren!W25/1000, 0)</f>
        <v>0</v>
      </c>
      <c r="Y355" s="14">
        <f>IF(ISNUMBER('Klisz-Verbräuche'!Z25), 'Klisz-Verbräuche'!Z25*Emissionsfaktoren!X25/1000, 0)</f>
        <v>0</v>
      </c>
    </row>
    <row r="356" spans="2:25" ht="16.5">
      <c r="B356" s="14">
        <v>9</v>
      </c>
      <c r="C356" s="14" t="str">
        <f>'Refsz-Verbräuche'!C26</f>
        <v>Elektrischer Strom</v>
      </c>
      <c r="D356" s="19" t="str">
        <f>'Refsz-Verbräuche'!D26</f>
        <v>BHKW</v>
      </c>
      <c r="E356" t="s">
        <v>195</v>
      </c>
      <c r="F356" s="14">
        <f>'Strommix &amp; BHKW'!D187+'Strommix &amp; BHKW'!D203+'Strommix &amp; BHKW'!D209+'Strommix &amp; BHKW'!D215</f>
        <v>0</v>
      </c>
      <c r="G356" s="14">
        <f>'Strommix &amp; BHKW'!E187+'Strommix &amp; BHKW'!E203+'Strommix &amp; BHKW'!E209+'Strommix &amp; BHKW'!E215</f>
        <v>0</v>
      </c>
      <c r="H356" s="14">
        <f>'Strommix &amp; BHKW'!F187+'Strommix &amp; BHKW'!F203+'Strommix &amp; BHKW'!F209+'Strommix &amp; BHKW'!F215</f>
        <v>0</v>
      </c>
      <c r="I356" s="14">
        <f>'Strommix &amp; BHKW'!G187+'Strommix &amp; BHKW'!G203+'Strommix &amp; BHKW'!G209+'Strommix &amp; BHKW'!G215</f>
        <v>0</v>
      </c>
      <c r="J356" s="14">
        <f>'Strommix &amp; BHKW'!H187+'Strommix &amp; BHKW'!H203+'Strommix &amp; BHKW'!H209+'Strommix &amp; BHKW'!H215</f>
        <v>0</v>
      </c>
      <c r="K356" s="14">
        <f>'Strommix &amp; BHKW'!I187+'Strommix &amp; BHKW'!I203+'Strommix &amp; BHKW'!I209+'Strommix &amp; BHKW'!I215</f>
        <v>0</v>
      </c>
      <c r="L356" s="14">
        <f>'Strommix &amp; BHKW'!J187+'Strommix &amp; BHKW'!J203+'Strommix &amp; BHKW'!J209+'Strommix &amp; BHKW'!J215</f>
        <v>0</v>
      </c>
      <c r="M356" s="14">
        <f>'Strommix &amp; BHKW'!K187+'Strommix &amp; BHKW'!K203+'Strommix &amp; BHKW'!K209+'Strommix &amp; BHKW'!K215</f>
        <v>0</v>
      </c>
      <c r="N356" s="14">
        <f>'Strommix &amp; BHKW'!L187+'Strommix &amp; BHKW'!L203+'Strommix &amp; BHKW'!L209+'Strommix &amp; BHKW'!L215</f>
        <v>0</v>
      </c>
      <c r="O356" s="14">
        <f>'Strommix &amp; BHKW'!M187+'Strommix &amp; BHKW'!M203+'Strommix &amp; BHKW'!M209+'Strommix &amp; BHKW'!M215</f>
        <v>0</v>
      </c>
      <c r="P356" s="14">
        <f>'Strommix &amp; BHKW'!N187+'Strommix &amp; BHKW'!N203+'Strommix &amp; BHKW'!N209+'Strommix &amp; BHKW'!N215</f>
        <v>0</v>
      </c>
      <c r="Q356" s="14">
        <f>'Strommix &amp; BHKW'!O187+'Strommix &amp; BHKW'!O203+'Strommix &amp; BHKW'!O209+'Strommix &amp; BHKW'!O215</f>
        <v>0</v>
      </c>
      <c r="R356" s="14">
        <f>'Strommix &amp; BHKW'!P187+'Strommix &amp; BHKW'!P203+'Strommix &amp; BHKW'!P209+'Strommix &amp; BHKW'!P215</f>
        <v>0</v>
      </c>
      <c r="S356" s="14">
        <f>'Strommix &amp; BHKW'!Q187+'Strommix &amp; BHKW'!Q203+'Strommix &amp; BHKW'!Q209+'Strommix &amp; BHKW'!Q215</f>
        <v>0</v>
      </c>
      <c r="T356" s="14">
        <f>'Strommix &amp; BHKW'!R187+'Strommix &amp; BHKW'!R203+'Strommix &amp; BHKW'!R209+'Strommix &amp; BHKW'!R215</f>
        <v>0</v>
      </c>
      <c r="U356" s="14">
        <f>'Strommix &amp; BHKW'!S187+'Strommix &amp; BHKW'!S203+'Strommix &amp; BHKW'!S209+'Strommix &amp; BHKW'!S215</f>
        <v>0</v>
      </c>
      <c r="V356" s="14">
        <f>'Strommix &amp; BHKW'!T187+'Strommix &amp; BHKW'!T203+'Strommix &amp; BHKW'!T209+'Strommix &amp; BHKW'!T215</f>
        <v>0</v>
      </c>
      <c r="W356" s="14">
        <f>'Strommix &amp; BHKW'!U187+'Strommix &amp; BHKW'!U203+'Strommix &amp; BHKW'!U209+'Strommix &amp; BHKW'!U215</f>
        <v>0</v>
      </c>
      <c r="X356" s="14">
        <f>'Strommix &amp; BHKW'!V187+'Strommix &amp; BHKW'!V203+'Strommix &amp; BHKW'!V209+'Strommix &amp; BHKW'!V215</f>
        <v>0</v>
      </c>
      <c r="Y356" s="14">
        <f>'Strommix &amp; BHKW'!W187+'Strommix &amp; BHKW'!W203+'Strommix &amp; BHKW'!W209+'Strommix &amp; BHKW'!W215</f>
        <v>0</v>
      </c>
    </row>
    <row r="357" spans="2:25" ht="16.5">
      <c r="B357" s="14">
        <v>10</v>
      </c>
      <c r="C357" s="14" t="str">
        <f>'Refsz-Verbräuche'!C27</f>
        <v>Elektrischer Strom</v>
      </c>
      <c r="D357" s="19" t="str">
        <f>'Refsz-Verbräuche'!D27</f>
        <v>Ökostrom</v>
      </c>
      <c r="E357" t="s">
        <v>195</v>
      </c>
      <c r="F357" s="14">
        <f>IF(ISNUMBER('Klisz-Verbräuche'!G27), 'Klisz-Verbräuche'!G27*Emissionsfaktoren!E27/1000, 0)</f>
        <v>0</v>
      </c>
      <c r="G357" s="14">
        <f>IF(ISNUMBER('Klisz-Verbräuche'!H27), 'Klisz-Verbräuche'!H27*Emissionsfaktoren!F27/1000, 0)</f>
        <v>0</v>
      </c>
      <c r="H357" s="14">
        <f>IF(ISNUMBER('Klisz-Verbräuche'!I27), 'Klisz-Verbräuche'!I27*Emissionsfaktoren!G27/1000, 0)</f>
        <v>0</v>
      </c>
      <c r="I357" s="14">
        <f>IF(ISNUMBER('Klisz-Verbräuche'!J27), 'Klisz-Verbräuche'!J27*Emissionsfaktoren!H27/1000, 0)</f>
        <v>0</v>
      </c>
      <c r="J357" s="14">
        <f>IF(ISNUMBER('Klisz-Verbräuche'!K27), 'Klisz-Verbräuche'!K27*Emissionsfaktoren!I27/1000, 0)</f>
        <v>0</v>
      </c>
      <c r="K357" s="14">
        <f>IF(ISNUMBER('Klisz-Verbräuche'!L27), 'Klisz-Verbräuche'!L27*Emissionsfaktoren!J27/1000, 0)</f>
        <v>0</v>
      </c>
      <c r="L357" s="14">
        <f>IF(ISNUMBER('Klisz-Verbräuche'!M27), 'Klisz-Verbräuche'!M27*Emissionsfaktoren!K27/1000, 0)</f>
        <v>0</v>
      </c>
      <c r="M357" s="14">
        <f>IF(ISNUMBER('Klisz-Verbräuche'!N27), 'Klisz-Verbräuche'!N27*Emissionsfaktoren!L27/1000, 0)</f>
        <v>0</v>
      </c>
      <c r="N357" s="14">
        <f>IF(ISNUMBER('Klisz-Verbräuche'!O27), 'Klisz-Verbräuche'!O27*Emissionsfaktoren!M27/1000, 0)</f>
        <v>0</v>
      </c>
      <c r="O357" s="14">
        <f>IF(ISNUMBER('Klisz-Verbräuche'!P27), 'Klisz-Verbräuche'!P27*Emissionsfaktoren!N27/1000, 0)</f>
        <v>0</v>
      </c>
      <c r="P357" s="14">
        <f>IF(ISNUMBER('Klisz-Verbräuche'!Q27), 'Klisz-Verbräuche'!Q27*Emissionsfaktoren!O27/1000, 0)</f>
        <v>0</v>
      </c>
      <c r="Q357" s="14">
        <f>IF(ISNUMBER('Klisz-Verbräuche'!R27), 'Klisz-Verbräuche'!R27*Emissionsfaktoren!P27/1000, 0)</f>
        <v>0</v>
      </c>
      <c r="R357" s="14">
        <f>IF(ISNUMBER('Klisz-Verbräuche'!S27), 'Klisz-Verbräuche'!S27*Emissionsfaktoren!Q27/1000, 0)</f>
        <v>0</v>
      </c>
      <c r="S357" s="14">
        <f>IF(ISNUMBER('Klisz-Verbräuche'!T27), 'Klisz-Verbräuche'!T27*Emissionsfaktoren!R27/1000, 0)</f>
        <v>0</v>
      </c>
      <c r="T357" s="14">
        <f>IF(ISNUMBER('Klisz-Verbräuche'!U27), 'Klisz-Verbräuche'!U27*Emissionsfaktoren!S27/1000, 0)</f>
        <v>0</v>
      </c>
      <c r="U357" s="14">
        <f>IF(ISNUMBER('Klisz-Verbräuche'!V27), 'Klisz-Verbräuche'!V27*Emissionsfaktoren!T27/1000, 0)</f>
        <v>0</v>
      </c>
      <c r="V357" s="14">
        <f>IF(ISNUMBER('Klisz-Verbräuche'!W27), 'Klisz-Verbräuche'!W27*Emissionsfaktoren!U27/1000, 0)</f>
        <v>0</v>
      </c>
      <c r="W357" s="14">
        <f>IF(ISNUMBER('Klisz-Verbräuche'!X27), 'Klisz-Verbräuche'!X27*Emissionsfaktoren!V27/1000, 0)</f>
        <v>0</v>
      </c>
      <c r="X357" s="14">
        <f>IF(ISNUMBER('Klisz-Verbräuche'!Y27), 'Klisz-Verbräuche'!Y27*Emissionsfaktoren!W27/1000, 0)</f>
        <v>0</v>
      </c>
      <c r="Y357" s="14">
        <f>IF(ISNUMBER('Klisz-Verbräuche'!Z27), 'Klisz-Verbräuche'!Z27*Emissionsfaktoren!X27/1000, 0)</f>
        <v>0</v>
      </c>
    </row>
    <row r="358" spans="2:25" ht="16.5">
      <c r="B358" s="14">
        <v>11</v>
      </c>
      <c r="C358" s="14" t="str">
        <f>'Refsz-Verbräuche'!C28</f>
        <v>Elektrischer Strom</v>
      </c>
      <c r="D358" s="19" t="str">
        <f>'Refsz-Verbräuche'!D28</f>
        <v>PV-Eigennutzung</v>
      </c>
      <c r="E358" t="s">
        <v>195</v>
      </c>
      <c r="F358" s="14">
        <f>IF(ISNUMBER('Klisz-Verbräuche'!G28), 'Klisz-Verbräuche'!G28*Emissionsfaktoren!E28/1000, 0)</f>
        <v>0</v>
      </c>
      <c r="G358" s="14">
        <f>IF(ISNUMBER('Klisz-Verbräuche'!H28), 'Klisz-Verbräuche'!H28*Emissionsfaktoren!F28/1000, 0)</f>
        <v>0</v>
      </c>
      <c r="H358" s="14">
        <f>IF(ISNUMBER('Klisz-Verbräuche'!I28), 'Klisz-Verbräuche'!I28*Emissionsfaktoren!G28/1000, 0)</f>
        <v>0</v>
      </c>
      <c r="I358" s="14">
        <f>IF(ISNUMBER('Klisz-Verbräuche'!J28), 'Klisz-Verbräuche'!J28*Emissionsfaktoren!H28/1000, 0)</f>
        <v>0</v>
      </c>
      <c r="J358" s="14">
        <f>IF(ISNUMBER('Klisz-Verbräuche'!K28), 'Klisz-Verbräuche'!K28*Emissionsfaktoren!I28/1000, 0)</f>
        <v>0</v>
      </c>
      <c r="K358" s="14">
        <f>IF(ISNUMBER('Klisz-Verbräuche'!L28), 'Klisz-Verbräuche'!L28*Emissionsfaktoren!J28/1000, 0)</f>
        <v>0</v>
      </c>
      <c r="L358" s="14">
        <f>IF(ISNUMBER('Klisz-Verbräuche'!M28), 'Klisz-Verbräuche'!M28*Emissionsfaktoren!K28/1000, 0)</f>
        <v>0</v>
      </c>
      <c r="M358" s="14">
        <f>IF(ISNUMBER('Klisz-Verbräuche'!N28), 'Klisz-Verbräuche'!N28*Emissionsfaktoren!L28/1000, 0)</f>
        <v>0</v>
      </c>
      <c r="N358" s="14">
        <f>IF(ISNUMBER('Klisz-Verbräuche'!O28), 'Klisz-Verbräuche'!O28*Emissionsfaktoren!M28/1000, 0)</f>
        <v>0</v>
      </c>
      <c r="O358" s="14">
        <f>IF(ISNUMBER('Klisz-Verbräuche'!P28), 'Klisz-Verbräuche'!P28*Emissionsfaktoren!N28/1000, 0)</f>
        <v>0</v>
      </c>
      <c r="P358" s="14">
        <f>IF(ISNUMBER('Klisz-Verbräuche'!Q28), 'Klisz-Verbräuche'!Q28*Emissionsfaktoren!O28/1000, 0)</f>
        <v>0</v>
      </c>
      <c r="Q358" s="14">
        <f>IF(ISNUMBER('Klisz-Verbräuche'!R28), 'Klisz-Verbräuche'!R28*Emissionsfaktoren!P28/1000, 0)</f>
        <v>0</v>
      </c>
      <c r="R358" s="14">
        <f>IF(ISNUMBER('Klisz-Verbräuche'!S28), 'Klisz-Verbräuche'!S28*Emissionsfaktoren!Q28/1000, 0)</f>
        <v>0</v>
      </c>
      <c r="S358" s="14">
        <f>IF(ISNUMBER('Klisz-Verbräuche'!T28), 'Klisz-Verbräuche'!T28*Emissionsfaktoren!R28/1000, 0)</f>
        <v>0</v>
      </c>
      <c r="T358" s="14">
        <f>IF(ISNUMBER('Klisz-Verbräuche'!U28), 'Klisz-Verbräuche'!U28*Emissionsfaktoren!S28/1000, 0)</f>
        <v>0</v>
      </c>
      <c r="U358" s="14">
        <f>IF(ISNUMBER('Klisz-Verbräuche'!V28), 'Klisz-Verbräuche'!V28*Emissionsfaktoren!T28/1000, 0)</f>
        <v>0</v>
      </c>
      <c r="V358" s="14">
        <f>IF(ISNUMBER('Klisz-Verbräuche'!W28), 'Klisz-Verbräuche'!W28*Emissionsfaktoren!U28/1000, 0)</f>
        <v>0</v>
      </c>
      <c r="W358" s="14">
        <f>IF(ISNUMBER('Klisz-Verbräuche'!X28), 'Klisz-Verbräuche'!X28*Emissionsfaktoren!V28/1000, 0)</f>
        <v>0</v>
      </c>
      <c r="X358" s="14">
        <f>IF(ISNUMBER('Klisz-Verbräuche'!Y28), 'Klisz-Verbräuche'!Y28*Emissionsfaktoren!W28/1000, 0)</f>
        <v>0</v>
      </c>
      <c r="Y358" s="14">
        <f>IF(ISNUMBER('Klisz-Verbräuche'!Z28), 'Klisz-Verbräuche'!Z28*Emissionsfaktoren!X28/1000, 0)</f>
        <v>0</v>
      </c>
    </row>
    <row r="359" spans="2:25" ht="16.5">
      <c r="B359" s="14">
        <v>12</v>
      </c>
      <c r="C359" s="14" t="str">
        <f>'Refsz-Verbräuche'!C29</f>
        <v>Wärme</v>
      </c>
      <c r="D359" s="19" t="str">
        <f>'Refsz-Verbräuche'!D29</f>
        <v>Erdgas</v>
      </c>
      <c r="E359" t="s">
        <v>195</v>
      </c>
      <c r="F359" s="14">
        <f>IF(ISNUMBER('Klisz-Verbräuche'!G29), 'Klisz-Verbräuche'!G29*Emissionsfaktoren!E29/1000, 0)</f>
        <v>0</v>
      </c>
      <c r="G359" s="14">
        <f>IF(ISNUMBER('Klisz-Verbräuche'!H29), 'Klisz-Verbräuche'!H29*Emissionsfaktoren!F29/1000, 0)</f>
        <v>0</v>
      </c>
      <c r="H359" s="14">
        <f>IF(ISNUMBER('Klisz-Verbräuche'!I29), 'Klisz-Verbräuche'!I29*Emissionsfaktoren!G29/1000, 0)</f>
        <v>0</v>
      </c>
      <c r="I359" s="14">
        <f>IF(ISNUMBER('Klisz-Verbräuche'!J29), 'Klisz-Verbräuche'!J29*Emissionsfaktoren!H29/1000, 0)</f>
        <v>0</v>
      </c>
      <c r="J359" s="14">
        <f>IF(ISNUMBER('Klisz-Verbräuche'!K29), 'Klisz-Verbräuche'!K29*Emissionsfaktoren!I29/1000, 0)</f>
        <v>0</v>
      </c>
      <c r="K359" s="14">
        <f>IF(ISNUMBER('Klisz-Verbräuche'!L29), 'Klisz-Verbräuche'!L29*Emissionsfaktoren!J29/1000, 0)</f>
        <v>0</v>
      </c>
      <c r="L359" s="14">
        <f>IF(ISNUMBER('Klisz-Verbräuche'!M29), 'Klisz-Verbräuche'!M29*Emissionsfaktoren!K29/1000, 0)</f>
        <v>0</v>
      </c>
      <c r="M359" s="14">
        <f>IF(ISNUMBER('Klisz-Verbräuche'!N29), 'Klisz-Verbräuche'!N29*Emissionsfaktoren!L29/1000, 0)</f>
        <v>0</v>
      </c>
      <c r="N359" s="14">
        <f>IF(ISNUMBER('Klisz-Verbräuche'!O29), 'Klisz-Verbräuche'!O29*Emissionsfaktoren!M29/1000, 0)</f>
        <v>0</v>
      </c>
      <c r="O359" s="14">
        <f>IF(ISNUMBER('Klisz-Verbräuche'!P29), 'Klisz-Verbräuche'!P29*Emissionsfaktoren!N29/1000, 0)</f>
        <v>0</v>
      </c>
      <c r="P359" s="14">
        <f>IF(ISNUMBER('Klisz-Verbräuche'!Q29), 'Klisz-Verbräuche'!Q29*Emissionsfaktoren!O29/1000, 0)</f>
        <v>0</v>
      </c>
      <c r="Q359" s="14">
        <f>IF(ISNUMBER('Klisz-Verbräuche'!R29), 'Klisz-Verbräuche'!R29*Emissionsfaktoren!P29/1000, 0)</f>
        <v>0</v>
      </c>
      <c r="R359" s="14">
        <f>IF(ISNUMBER('Klisz-Verbräuche'!S29), 'Klisz-Verbräuche'!S29*Emissionsfaktoren!Q29/1000, 0)</f>
        <v>0</v>
      </c>
      <c r="S359" s="14">
        <f>IF(ISNUMBER('Klisz-Verbräuche'!T29), 'Klisz-Verbräuche'!T29*Emissionsfaktoren!R29/1000, 0)</f>
        <v>0</v>
      </c>
      <c r="T359" s="14">
        <f>IF(ISNUMBER('Klisz-Verbräuche'!U29), 'Klisz-Verbräuche'!U29*Emissionsfaktoren!S29/1000, 0)</f>
        <v>0</v>
      </c>
      <c r="U359" s="14">
        <f>IF(ISNUMBER('Klisz-Verbräuche'!V29), 'Klisz-Verbräuche'!V29*Emissionsfaktoren!T29/1000, 0)</f>
        <v>0</v>
      </c>
      <c r="V359" s="14">
        <f>IF(ISNUMBER('Klisz-Verbräuche'!W29), 'Klisz-Verbräuche'!W29*Emissionsfaktoren!U29/1000, 0)</f>
        <v>0</v>
      </c>
      <c r="W359" s="14">
        <f>IF(ISNUMBER('Klisz-Verbräuche'!X29), 'Klisz-Verbräuche'!X29*Emissionsfaktoren!V29/1000, 0)</f>
        <v>0</v>
      </c>
      <c r="X359" s="14">
        <f>IF(ISNUMBER('Klisz-Verbräuche'!Y29), 'Klisz-Verbräuche'!Y29*Emissionsfaktoren!W29/1000, 0)</f>
        <v>0</v>
      </c>
      <c r="Y359" s="14">
        <f>IF(ISNUMBER('Klisz-Verbräuche'!Z29), 'Klisz-Verbräuche'!Z29*Emissionsfaktoren!X29/1000, 0)</f>
        <v>0</v>
      </c>
    </row>
    <row r="360" spans="2:25" ht="16.5">
      <c r="B360" s="14">
        <v>13</v>
      </c>
      <c r="C360" s="14" t="str">
        <f>'Refsz-Verbräuche'!C30</f>
        <v>Wärme</v>
      </c>
      <c r="D360" s="19" t="str">
        <f>'Refsz-Verbräuche'!D30</f>
        <v>BHKW</v>
      </c>
      <c r="E360" t="s">
        <v>195</v>
      </c>
      <c r="F360" s="14">
        <f>'Strommix &amp; BHKW'!D186+'Strommix &amp; BHKW'!D204+'Strommix &amp; BHKW'!D210+'Strommix &amp; BHKW'!D216</f>
        <v>0</v>
      </c>
      <c r="G360" s="14">
        <f>'Strommix &amp; BHKW'!E186+'Strommix &amp; BHKW'!E204+'Strommix &amp; BHKW'!E210+'Strommix &amp; BHKW'!E216</f>
        <v>0</v>
      </c>
      <c r="H360" s="14">
        <f>'Strommix &amp; BHKW'!F186+'Strommix &amp; BHKW'!F204+'Strommix &amp; BHKW'!F210+'Strommix &amp; BHKW'!F216</f>
        <v>0</v>
      </c>
      <c r="I360" s="14">
        <f>'Strommix &amp; BHKW'!G186+'Strommix &amp; BHKW'!G204+'Strommix &amp; BHKW'!G210+'Strommix &amp; BHKW'!G216</f>
        <v>0</v>
      </c>
      <c r="J360" s="14">
        <f>'Strommix &amp; BHKW'!H186+'Strommix &amp; BHKW'!H204+'Strommix &amp; BHKW'!H210+'Strommix &amp; BHKW'!H216</f>
        <v>0</v>
      </c>
      <c r="K360" s="14">
        <f>'Strommix &amp; BHKW'!I186+'Strommix &amp; BHKW'!I204+'Strommix &amp; BHKW'!I210+'Strommix &amp; BHKW'!I216</f>
        <v>0</v>
      </c>
      <c r="L360" s="14">
        <f>'Strommix &amp; BHKW'!J186+'Strommix &amp; BHKW'!J204+'Strommix &amp; BHKW'!J210+'Strommix &amp; BHKW'!J216</f>
        <v>0</v>
      </c>
      <c r="M360" s="14">
        <f>'Strommix &amp; BHKW'!K186+'Strommix &amp; BHKW'!K204+'Strommix &amp; BHKW'!K210+'Strommix &amp; BHKW'!K216</f>
        <v>0</v>
      </c>
      <c r="N360" s="14">
        <f>'Strommix &amp; BHKW'!L186+'Strommix &amp; BHKW'!L204+'Strommix &amp; BHKW'!L210+'Strommix &amp; BHKW'!L216</f>
        <v>0</v>
      </c>
      <c r="O360" s="14">
        <f>'Strommix &amp; BHKW'!M186+'Strommix &amp; BHKW'!M204+'Strommix &amp; BHKW'!M210+'Strommix &amp; BHKW'!M216</f>
        <v>0</v>
      </c>
      <c r="P360" s="14">
        <f>'Strommix &amp; BHKW'!N186+'Strommix &amp; BHKW'!N204+'Strommix &amp; BHKW'!N210+'Strommix &amp; BHKW'!N216</f>
        <v>0</v>
      </c>
      <c r="Q360" s="14">
        <f>'Strommix &amp; BHKW'!O186+'Strommix &amp; BHKW'!O204+'Strommix &amp; BHKW'!O210+'Strommix &amp; BHKW'!O216</f>
        <v>0</v>
      </c>
      <c r="R360" s="14">
        <f>'Strommix &amp; BHKW'!P186+'Strommix &amp; BHKW'!P204+'Strommix &amp; BHKW'!P210+'Strommix &amp; BHKW'!P216</f>
        <v>0</v>
      </c>
      <c r="S360" s="14">
        <f>'Strommix &amp; BHKW'!Q186+'Strommix &amp; BHKW'!Q204+'Strommix &amp; BHKW'!Q210+'Strommix &amp; BHKW'!Q216</f>
        <v>0</v>
      </c>
      <c r="T360" s="14">
        <f>'Strommix &amp; BHKW'!R186+'Strommix &amp; BHKW'!R204+'Strommix &amp; BHKW'!R210+'Strommix &amp; BHKW'!R216</f>
        <v>0</v>
      </c>
      <c r="U360" s="14">
        <f>'Strommix &amp; BHKW'!S186+'Strommix &amp; BHKW'!S204+'Strommix &amp; BHKW'!S210+'Strommix &amp; BHKW'!S216</f>
        <v>0</v>
      </c>
      <c r="V360" s="14">
        <f>'Strommix &amp; BHKW'!T186+'Strommix &amp; BHKW'!T204+'Strommix &amp; BHKW'!T210+'Strommix &amp; BHKW'!T216</f>
        <v>0</v>
      </c>
      <c r="W360" s="14">
        <f>'Strommix &amp; BHKW'!U186+'Strommix &amp; BHKW'!U204+'Strommix &amp; BHKW'!U210+'Strommix &amp; BHKW'!U216</f>
        <v>0</v>
      </c>
      <c r="X360" s="14">
        <f>'Strommix &amp; BHKW'!V186+'Strommix &amp; BHKW'!V204+'Strommix &amp; BHKW'!V210+'Strommix &amp; BHKW'!V216</f>
        <v>0</v>
      </c>
      <c r="Y360" s="14">
        <f>'Strommix &amp; BHKW'!W186+'Strommix &amp; BHKW'!W204+'Strommix &amp; BHKW'!W210+'Strommix &amp; BHKW'!W216</f>
        <v>0</v>
      </c>
    </row>
    <row r="361" spans="2:25" ht="16.5">
      <c r="B361" s="14">
        <v>14</v>
      </c>
      <c r="C361" s="14" t="str">
        <f>'Refsz-Verbräuche'!C31</f>
        <v>Wärme</v>
      </c>
      <c r="D361" s="19" t="str">
        <f>'Refsz-Verbräuche'!D31</f>
        <v>Biogas</v>
      </c>
      <c r="E361" t="s">
        <v>195</v>
      </c>
      <c r="F361" s="14">
        <f>IF(ISNUMBER('Klisz-Verbräuche'!G31), 'Klisz-Verbräuche'!G31*Emissionsfaktoren!E31/1000, 0)</f>
        <v>0</v>
      </c>
      <c r="G361" s="14">
        <f>IF(ISNUMBER('Klisz-Verbräuche'!H31), 'Klisz-Verbräuche'!H31*Emissionsfaktoren!F31/1000, 0)</f>
        <v>0</v>
      </c>
      <c r="H361" s="14">
        <f>IF(ISNUMBER('Klisz-Verbräuche'!I31), 'Klisz-Verbräuche'!I31*Emissionsfaktoren!G31/1000, 0)</f>
        <v>0</v>
      </c>
      <c r="I361" s="14">
        <f>IF(ISNUMBER('Klisz-Verbräuche'!J31), 'Klisz-Verbräuche'!J31*Emissionsfaktoren!H31/1000, 0)</f>
        <v>0</v>
      </c>
      <c r="J361" s="14">
        <f>IF(ISNUMBER('Klisz-Verbräuche'!K31), 'Klisz-Verbräuche'!K31*Emissionsfaktoren!I31/1000, 0)</f>
        <v>0</v>
      </c>
      <c r="K361" s="14">
        <f>IF(ISNUMBER('Klisz-Verbräuche'!L31), 'Klisz-Verbräuche'!L31*Emissionsfaktoren!J31/1000, 0)</f>
        <v>0</v>
      </c>
      <c r="L361" s="14">
        <f>IF(ISNUMBER('Klisz-Verbräuche'!M31), 'Klisz-Verbräuche'!M31*Emissionsfaktoren!K31/1000, 0)</f>
        <v>0</v>
      </c>
      <c r="M361" s="14">
        <f>IF(ISNUMBER('Klisz-Verbräuche'!N31), 'Klisz-Verbräuche'!N31*Emissionsfaktoren!L31/1000, 0)</f>
        <v>0</v>
      </c>
      <c r="N361" s="14">
        <f>IF(ISNUMBER('Klisz-Verbräuche'!O31), 'Klisz-Verbräuche'!O31*Emissionsfaktoren!M31/1000, 0)</f>
        <v>0</v>
      </c>
      <c r="O361" s="14">
        <f>IF(ISNUMBER('Klisz-Verbräuche'!P31), 'Klisz-Verbräuche'!P31*Emissionsfaktoren!N31/1000, 0)</f>
        <v>0</v>
      </c>
      <c r="P361" s="14">
        <f>IF(ISNUMBER('Klisz-Verbräuche'!Q31), 'Klisz-Verbräuche'!Q31*Emissionsfaktoren!O31/1000, 0)</f>
        <v>0</v>
      </c>
      <c r="Q361" s="14">
        <f>IF(ISNUMBER('Klisz-Verbräuche'!R31), 'Klisz-Verbräuche'!R31*Emissionsfaktoren!P31/1000, 0)</f>
        <v>0</v>
      </c>
      <c r="R361" s="14">
        <f>IF(ISNUMBER('Klisz-Verbräuche'!S31), 'Klisz-Verbräuche'!S31*Emissionsfaktoren!Q31/1000, 0)</f>
        <v>0</v>
      </c>
      <c r="S361" s="14">
        <f>IF(ISNUMBER('Klisz-Verbräuche'!T31), 'Klisz-Verbräuche'!T31*Emissionsfaktoren!R31/1000, 0)</f>
        <v>0</v>
      </c>
      <c r="T361" s="14">
        <f>IF(ISNUMBER('Klisz-Verbräuche'!U31), 'Klisz-Verbräuche'!U31*Emissionsfaktoren!S31/1000, 0)</f>
        <v>0</v>
      </c>
      <c r="U361" s="14">
        <f>IF(ISNUMBER('Klisz-Verbräuche'!V31), 'Klisz-Verbräuche'!V31*Emissionsfaktoren!T31/1000, 0)</f>
        <v>0</v>
      </c>
      <c r="V361" s="14">
        <f>IF(ISNUMBER('Klisz-Verbräuche'!W31), 'Klisz-Verbräuche'!W31*Emissionsfaktoren!U31/1000, 0)</f>
        <v>0</v>
      </c>
      <c r="W361" s="14">
        <f>IF(ISNUMBER('Klisz-Verbräuche'!X31), 'Klisz-Verbräuche'!X31*Emissionsfaktoren!V31/1000, 0)</f>
        <v>0</v>
      </c>
      <c r="X361" s="14">
        <f>IF(ISNUMBER('Klisz-Verbräuche'!Y31), 'Klisz-Verbräuche'!Y31*Emissionsfaktoren!W31/1000, 0)</f>
        <v>0</v>
      </c>
      <c r="Y361" s="14">
        <f>IF(ISNUMBER('Klisz-Verbräuche'!Z31), 'Klisz-Verbräuche'!Z31*Emissionsfaktoren!X31/1000, 0)</f>
        <v>0</v>
      </c>
    </row>
    <row r="362" spans="2:25" ht="16.5">
      <c r="B362" s="14">
        <v>16</v>
      </c>
      <c r="C362" s="14" t="str">
        <f>'Refsz-Verbräuche'!C32</f>
        <v>Wärme</v>
      </c>
      <c r="D362" s="19" t="str">
        <f>'Refsz-Verbräuche'!D32</f>
        <v>Individueller Emissionsfaktor</v>
      </c>
      <c r="E362" t="s">
        <v>195</v>
      </c>
      <c r="F362" s="14">
        <f>IF(ISNUMBER('Klisz-Verbräuche'!G32), 'Klisz-Verbräuche'!G32*Emissionsfaktoren!E32/1000, 0)</f>
        <v>0</v>
      </c>
      <c r="G362" s="14">
        <f>IF(ISNUMBER('Klisz-Verbräuche'!H32), 'Klisz-Verbräuche'!H32*Emissionsfaktoren!F32/1000, 0)</f>
        <v>0</v>
      </c>
      <c r="H362" s="14">
        <f>IF(ISNUMBER('Klisz-Verbräuche'!I32), 'Klisz-Verbräuche'!I32*Emissionsfaktoren!G32/1000, 0)</f>
        <v>0</v>
      </c>
      <c r="I362" s="14">
        <f>IF(ISNUMBER('Klisz-Verbräuche'!J32), 'Klisz-Verbräuche'!J32*Emissionsfaktoren!H32/1000, 0)</f>
        <v>0</v>
      </c>
      <c r="J362" s="14">
        <f>IF(ISNUMBER('Klisz-Verbräuche'!K32), 'Klisz-Verbräuche'!K32*Emissionsfaktoren!I32/1000, 0)</f>
        <v>0</v>
      </c>
      <c r="K362" s="14">
        <f>IF(ISNUMBER('Klisz-Verbräuche'!L32), 'Klisz-Verbräuche'!L32*Emissionsfaktoren!J32/1000, 0)</f>
        <v>0</v>
      </c>
      <c r="L362" s="14">
        <f>IF(ISNUMBER('Klisz-Verbräuche'!M32), 'Klisz-Verbräuche'!M32*Emissionsfaktoren!K32/1000, 0)</f>
        <v>0</v>
      </c>
      <c r="M362" s="14">
        <f>IF(ISNUMBER('Klisz-Verbräuche'!N32), 'Klisz-Verbräuche'!N32*Emissionsfaktoren!L32/1000, 0)</f>
        <v>0</v>
      </c>
      <c r="N362" s="14">
        <f>IF(ISNUMBER('Klisz-Verbräuche'!O32), 'Klisz-Verbräuche'!O32*Emissionsfaktoren!M32/1000, 0)</f>
        <v>0</v>
      </c>
      <c r="O362" s="14">
        <f>IF(ISNUMBER('Klisz-Verbräuche'!P32), 'Klisz-Verbräuche'!P32*Emissionsfaktoren!N32/1000, 0)</f>
        <v>0</v>
      </c>
      <c r="P362" s="14">
        <f>IF(ISNUMBER('Klisz-Verbräuche'!Q32), 'Klisz-Verbräuche'!Q32*Emissionsfaktoren!O32/1000, 0)</f>
        <v>0</v>
      </c>
      <c r="Q362" s="14">
        <f>IF(ISNUMBER('Klisz-Verbräuche'!R32), 'Klisz-Verbräuche'!R32*Emissionsfaktoren!P32/1000, 0)</f>
        <v>0</v>
      </c>
      <c r="R362" s="14">
        <f>IF(ISNUMBER('Klisz-Verbräuche'!S32), 'Klisz-Verbräuche'!S32*Emissionsfaktoren!Q32/1000, 0)</f>
        <v>0</v>
      </c>
      <c r="S362" s="14">
        <f>IF(ISNUMBER('Klisz-Verbräuche'!T32), 'Klisz-Verbräuche'!T32*Emissionsfaktoren!R32/1000, 0)</f>
        <v>0</v>
      </c>
      <c r="T362" s="14">
        <f>IF(ISNUMBER('Klisz-Verbräuche'!U32), 'Klisz-Verbräuche'!U32*Emissionsfaktoren!S32/1000, 0)</f>
        <v>0</v>
      </c>
      <c r="U362" s="14">
        <f>IF(ISNUMBER('Klisz-Verbräuche'!V32), 'Klisz-Verbräuche'!V32*Emissionsfaktoren!T32/1000, 0)</f>
        <v>0</v>
      </c>
      <c r="V362" s="14">
        <f>IF(ISNUMBER('Klisz-Verbräuche'!W32), 'Klisz-Verbräuche'!W32*Emissionsfaktoren!U32/1000, 0)</f>
        <v>0</v>
      </c>
      <c r="W362" s="14">
        <f>IF(ISNUMBER('Klisz-Verbräuche'!X32), 'Klisz-Verbräuche'!X32*Emissionsfaktoren!V32/1000, 0)</f>
        <v>0</v>
      </c>
      <c r="X362" s="14">
        <f>IF(ISNUMBER('Klisz-Verbräuche'!Y32), 'Klisz-Verbräuche'!Y32*Emissionsfaktoren!W32/1000, 0)</f>
        <v>0</v>
      </c>
      <c r="Y362" s="14">
        <f>IF(ISNUMBER('Klisz-Verbräuche'!Z32), 'Klisz-Verbräuche'!Z32*Emissionsfaktoren!X32/1000, 0)</f>
        <v>0</v>
      </c>
    </row>
    <row r="363" spans="2:25" ht="16.5">
      <c r="B363" s="14">
        <v>17</v>
      </c>
      <c r="C363" s="14" t="str">
        <f>'Refsz-Verbräuche'!C33</f>
        <v>Wärme</v>
      </c>
      <c r="D363" s="19" t="str">
        <f>'Refsz-Verbräuche'!D33</f>
        <v>Holzhackschnitzel</v>
      </c>
      <c r="E363" t="s">
        <v>195</v>
      </c>
      <c r="F363" s="14">
        <f>IF(ISNUMBER('Klisz-Verbräuche'!G33), 'Klisz-Verbräuche'!G33*Emissionsfaktoren!E33/1000, 0)</f>
        <v>0</v>
      </c>
      <c r="G363" s="14">
        <f>IF(ISNUMBER('Klisz-Verbräuche'!H33), 'Klisz-Verbräuche'!H33*Emissionsfaktoren!F33/1000, 0)</f>
        <v>0</v>
      </c>
      <c r="H363" s="14">
        <f>IF(ISNUMBER('Klisz-Verbräuche'!I33), 'Klisz-Verbräuche'!I33*Emissionsfaktoren!G33/1000, 0)</f>
        <v>0</v>
      </c>
      <c r="I363" s="14">
        <f>IF(ISNUMBER('Klisz-Verbräuche'!J33), 'Klisz-Verbräuche'!J33*Emissionsfaktoren!H33/1000, 0)</f>
        <v>0</v>
      </c>
      <c r="J363" s="14">
        <f>IF(ISNUMBER('Klisz-Verbräuche'!K33), 'Klisz-Verbräuche'!K33*Emissionsfaktoren!I33/1000, 0)</f>
        <v>0</v>
      </c>
      <c r="K363" s="14">
        <f>IF(ISNUMBER('Klisz-Verbräuche'!L33), 'Klisz-Verbräuche'!L33*Emissionsfaktoren!J33/1000, 0)</f>
        <v>0</v>
      </c>
      <c r="L363" s="14">
        <f>IF(ISNUMBER('Klisz-Verbräuche'!M33), 'Klisz-Verbräuche'!M33*Emissionsfaktoren!K33/1000, 0)</f>
        <v>0</v>
      </c>
      <c r="M363" s="14">
        <f>IF(ISNUMBER('Klisz-Verbräuche'!N33), 'Klisz-Verbräuche'!N33*Emissionsfaktoren!L33/1000, 0)</f>
        <v>0</v>
      </c>
      <c r="N363" s="14">
        <f>IF(ISNUMBER('Klisz-Verbräuche'!O33), 'Klisz-Verbräuche'!O33*Emissionsfaktoren!M33/1000, 0)</f>
        <v>0</v>
      </c>
      <c r="O363" s="14">
        <f>IF(ISNUMBER('Klisz-Verbräuche'!P33), 'Klisz-Verbräuche'!P33*Emissionsfaktoren!N33/1000, 0)</f>
        <v>0</v>
      </c>
      <c r="P363" s="14">
        <f>IF(ISNUMBER('Klisz-Verbräuche'!Q33), 'Klisz-Verbräuche'!Q33*Emissionsfaktoren!O33/1000, 0)</f>
        <v>0</v>
      </c>
      <c r="Q363" s="14">
        <f>IF(ISNUMBER('Klisz-Verbräuche'!R33), 'Klisz-Verbräuche'!R33*Emissionsfaktoren!P33/1000, 0)</f>
        <v>0</v>
      </c>
      <c r="R363" s="14">
        <f>IF(ISNUMBER('Klisz-Verbräuche'!S33), 'Klisz-Verbräuche'!S33*Emissionsfaktoren!Q33/1000, 0)</f>
        <v>0</v>
      </c>
      <c r="S363" s="14">
        <f>IF(ISNUMBER('Klisz-Verbräuche'!T33), 'Klisz-Verbräuche'!T33*Emissionsfaktoren!R33/1000, 0)</f>
        <v>0</v>
      </c>
      <c r="T363" s="14">
        <f>IF(ISNUMBER('Klisz-Verbräuche'!U33), 'Klisz-Verbräuche'!U33*Emissionsfaktoren!S33/1000, 0)</f>
        <v>0</v>
      </c>
      <c r="U363" s="14">
        <f>IF(ISNUMBER('Klisz-Verbräuche'!V33), 'Klisz-Verbräuche'!V33*Emissionsfaktoren!T33/1000, 0)</f>
        <v>0</v>
      </c>
      <c r="V363" s="14">
        <f>IF(ISNUMBER('Klisz-Verbräuche'!W33), 'Klisz-Verbräuche'!W33*Emissionsfaktoren!U33/1000, 0)</f>
        <v>0</v>
      </c>
      <c r="W363" s="14">
        <f>IF(ISNUMBER('Klisz-Verbräuche'!X33), 'Klisz-Verbräuche'!X33*Emissionsfaktoren!V33/1000, 0)</f>
        <v>0</v>
      </c>
      <c r="X363" s="14">
        <f>IF(ISNUMBER('Klisz-Verbräuche'!Y33), 'Klisz-Verbräuche'!Y33*Emissionsfaktoren!W33/1000, 0)</f>
        <v>0</v>
      </c>
      <c r="Y363" s="14">
        <f>IF(ISNUMBER('Klisz-Verbräuche'!Z33), 'Klisz-Verbräuche'!Z33*Emissionsfaktoren!X33/1000, 0)</f>
        <v>0</v>
      </c>
    </row>
    <row r="364" spans="2:25" ht="16.5">
      <c r="B364" s="14">
        <v>18</v>
      </c>
      <c r="C364" s="14" t="str">
        <f>'Refsz-Verbräuche'!C34</f>
        <v>Wärme</v>
      </c>
      <c r="D364" s="19" t="str">
        <f>'Refsz-Verbräuche'!D34</f>
        <v>Holzpellets, 10kW/kleinere Zentralheizung</v>
      </c>
      <c r="E364" t="s">
        <v>195</v>
      </c>
      <c r="F364" s="14">
        <f>IF(ISNUMBER('Klisz-Verbräuche'!G34), 'Klisz-Verbräuche'!G34*Emissionsfaktoren!E34/1000, 0)</f>
        <v>0</v>
      </c>
      <c r="G364" s="14">
        <f>IF(ISNUMBER('Klisz-Verbräuche'!H34), 'Klisz-Verbräuche'!H34*Emissionsfaktoren!F34/1000, 0)</f>
        <v>0</v>
      </c>
      <c r="H364" s="14">
        <f>IF(ISNUMBER('Klisz-Verbräuche'!I34), 'Klisz-Verbräuche'!I34*Emissionsfaktoren!G34/1000, 0)</f>
        <v>0</v>
      </c>
      <c r="I364" s="14">
        <f>IF(ISNUMBER('Klisz-Verbräuche'!J34), 'Klisz-Verbräuche'!J34*Emissionsfaktoren!H34/1000, 0)</f>
        <v>0</v>
      </c>
      <c r="J364" s="14">
        <f>IF(ISNUMBER('Klisz-Verbräuche'!K34), 'Klisz-Verbräuche'!K34*Emissionsfaktoren!I34/1000, 0)</f>
        <v>0</v>
      </c>
      <c r="K364" s="14">
        <f>IF(ISNUMBER('Klisz-Verbräuche'!L34), 'Klisz-Verbräuche'!L34*Emissionsfaktoren!J34/1000, 0)</f>
        <v>0</v>
      </c>
      <c r="L364" s="14">
        <f>IF(ISNUMBER('Klisz-Verbräuche'!M34), 'Klisz-Verbräuche'!M34*Emissionsfaktoren!K34/1000, 0)</f>
        <v>0</v>
      </c>
      <c r="M364" s="14">
        <f>IF(ISNUMBER('Klisz-Verbräuche'!N34), 'Klisz-Verbräuche'!N34*Emissionsfaktoren!L34/1000, 0)</f>
        <v>0</v>
      </c>
      <c r="N364" s="14">
        <f>IF(ISNUMBER('Klisz-Verbräuche'!O34), 'Klisz-Verbräuche'!O34*Emissionsfaktoren!M34/1000, 0)</f>
        <v>0</v>
      </c>
      <c r="O364" s="14">
        <f>IF(ISNUMBER('Klisz-Verbräuche'!P34), 'Klisz-Verbräuche'!P34*Emissionsfaktoren!N34/1000, 0)</f>
        <v>0</v>
      </c>
      <c r="P364" s="14">
        <f>IF(ISNUMBER('Klisz-Verbräuche'!Q34), 'Klisz-Verbräuche'!Q34*Emissionsfaktoren!O34/1000, 0)</f>
        <v>0</v>
      </c>
      <c r="Q364" s="14">
        <f>IF(ISNUMBER('Klisz-Verbräuche'!R34), 'Klisz-Verbräuche'!R34*Emissionsfaktoren!P34/1000, 0)</f>
        <v>0</v>
      </c>
      <c r="R364" s="14">
        <f>IF(ISNUMBER('Klisz-Verbräuche'!S34), 'Klisz-Verbräuche'!S34*Emissionsfaktoren!Q34/1000, 0)</f>
        <v>0</v>
      </c>
      <c r="S364" s="14">
        <f>IF(ISNUMBER('Klisz-Verbräuche'!T34), 'Klisz-Verbräuche'!T34*Emissionsfaktoren!R34/1000, 0)</f>
        <v>0</v>
      </c>
      <c r="T364" s="14">
        <f>IF(ISNUMBER('Klisz-Verbräuche'!U34), 'Klisz-Verbräuche'!U34*Emissionsfaktoren!S34/1000, 0)</f>
        <v>0</v>
      </c>
      <c r="U364" s="14">
        <f>IF(ISNUMBER('Klisz-Verbräuche'!V34), 'Klisz-Verbräuche'!V34*Emissionsfaktoren!T34/1000, 0)</f>
        <v>0</v>
      </c>
      <c r="V364" s="14">
        <f>IF(ISNUMBER('Klisz-Verbräuche'!W34), 'Klisz-Verbräuche'!W34*Emissionsfaktoren!U34/1000, 0)</f>
        <v>0</v>
      </c>
      <c r="W364" s="14">
        <f>IF(ISNUMBER('Klisz-Verbräuche'!X34), 'Klisz-Verbräuche'!X34*Emissionsfaktoren!V34/1000, 0)</f>
        <v>0</v>
      </c>
      <c r="X364" s="14">
        <f>IF(ISNUMBER('Klisz-Verbräuche'!Y34), 'Klisz-Verbräuche'!Y34*Emissionsfaktoren!W34/1000, 0)</f>
        <v>0</v>
      </c>
      <c r="Y364" s="14">
        <f>IF(ISNUMBER('Klisz-Verbräuche'!Z34), 'Klisz-Verbräuche'!Z34*Emissionsfaktoren!X34/1000, 0)</f>
        <v>0</v>
      </c>
    </row>
    <row r="365" spans="2:25" ht="16.5">
      <c r="B365" s="14">
        <v>19</v>
      </c>
      <c r="C365" s="14" t="str">
        <f>'Refsz-Verbräuche'!C35</f>
        <v>Wärme</v>
      </c>
      <c r="D365" s="19" t="str">
        <f>'Refsz-Verbräuche'!D35</f>
        <v>Holzpellets, 50kW/größere Zentralheizung</v>
      </c>
      <c r="E365" t="s">
        <v>195</v>
      </c>
      <c r="F365" s="14">
        <f>IF(ISNUMBER('Klisz-Verbräuche'!G35), 'Klisz-Verbräuche'!G35*Emissionsfaktoren!E35/1000, 0)</f>
        <v>0</v>
      </c>
      <c r="G365" s="14">
        <f>IF(ISNUMBER('Klisz-Verbräuche'!H35), 'Klisz-Verbräuche'!H35*Emissionsfaktoren!F35/1000, 0)</f>
        <v>0</v>
      </c>
      <c r="H365" s="14">
        <f>IF(ISNUMBER('Klisz-Verbräuche'!I35), 'Klisz-Verbräuche'!I35*Emissionsfaktoren!G35/1000, 0)</f>
        <v>0</v>
      </c>
      <c r="I365" s="14">
        <f>IF(ISNUMBER('Klisz-Verbräuche'!J35), 'Klisz-Verbräuche'!J35*Emissionsfaktoren!H35/1000, 0)</f>
        <v>0</v>
      </c>
      <c r="J365" s="14">
        <f>IF(ISNUMBER('Klisz-Verbräuche'!K35), 'Klisz-Verbräuche'!K35*Emissionsfaktoren!I35/1000, 0)</f>
        <v>0</v>
      </c>
      <c r="K365" s="14">
        <f>IF(ISNUMBER('Klisz-Verbräuche'!L35), 'Klisz-Verbräuche'!L35*Emissionsfaktoren!J35/1000, 0)</f>
        <v>0</v>
      </c>
      <c r="L365" s="14">
        <f>IF(ISNUMBER('Klisz-Verbräuche'!M35), 'Klisz-Verbräuche'!M35*Emissionsfaktoren!K35/1000, 0)</f>
        <v>0</v>
      </c>
      <c r="M365" s="14">
        <f>IF(ISNUMBER('Klisz-Verbräuche'!N35), 'Klisz-Verbräuche'!N35*Emissionsfaktoren!L35/1000, 0)</f>
        <v>0</v>
      </c>
      <c r="N365" s="14">
        <f>IF(ISNUMBER('Klisz-Verbräuche'!O35), 'Klisz-Verbräuche'!O35*Emissionsfaktoren!M35/1000, 0)</f>
        <v>0</v>
      </c>
      <c r="O365" s="14">
        <f>IF(ISNUMBER('Klisz-Verbräuche'!P35), 'Klisz-Verbräuche'!P35*Emissionsfaktoren!N35/1000, 0)</f>
        <v>0</v>
      </c>
      <c r="P365" s="14">
        <f>IF(ISNUMBER('Klisz-Verbräuche'!Q35), 'Klisz-Verbräuche'!Q35*Emissionsfaktoren!O35/1000, 0)</f>
        <v>0</v>
      </c>
      <c r="Q365" s="14">
        <f>IF(ISNUMBER('Klisz-Verbräuche'!R35), 'Klisz-Verbräuche'!R35*Emissionsfaktoren!P35/1000, 0)</f>
        <v>0</v>
      </c>
      <c r="R365" s="14">
        <f>IF(ISNUMBER('Klisz-Verbräuche'!S35), 'Klisz-Verbräuche'!S35*Emissionsfaktoren!Q35/1000, 0)</f>
        <v>0</v>
      </c>
      <c r="S365" s="14">
        <f>IF(ISNUMBER('Klisz-Verbräuche'!T35), 'Klisz-Verbräuche'!T35*Emissionsfaktoren!R35/1000, 0)</f>
        <v>0</v>
      </c>
      <c r="T365" s="14">
        <f>IF(ISNUMBER('Klisz-Verbräuche'!U35), 'Klisz-Verbräuche'!U35*Emissionsfaktoren!S35/1000, 0)</f>
        <v>0</v>
      </c>
      <c r="U365" s="14">
        <f>IF(ISNUMBER('Klisz-Verbräuche'!V35), 'Klisz-Verbräuche'!V35*Emissionsfaktoren!T35/1000, 0)</f>
        <v>0</v>
      </c>
      <c r="V365" s="14">
        <f>IF(ISNUMBER('Klisz-Verbräuche'!W35), 'Klisz-Verbräuche'!W35*Emissionsfaktoren!U35/1000, 0)</f>
        <v>0</v>
      </c>
      <c r="W365" s="14">
        <f>IF(ISNUMBER('Klisz-Verbräuche'!X35), 'Klisz-Verbräuche'!X35*Emissionsfaktoren!V35/1000, 0)</f>
        <v>0</v>
      </c>
      <c r="X365" s="14">
        <f>IF(ISNUMBER('Klisz-Verbräuche'!Y35), 'Klisz-Verbräuche'!Y35*Emissionsfaktoren!W35/1000, 0)</f>
        <v>0</v>
      </c>
      <c r="Y365" s="14">
        <f>IF(ISNUMBER('Klisz-Verbräuche'!Z35), 'Klisz-Verbräuche'!Z35*Emissionsfaktoren!X35/1000, 0)</f>
        <v>0</v>
      </c>
    </row>
    <row r="366" spans="2:25" ht="16.5">
      <c r="B366" s="14">
        <v>20</v>
      </c>
      <c r="C366" s="14" t="str">
        <f>'Refsz-Verbräuche'!C36</f>
        <v>Wärme</v>
      </c>
      <c r="D366" s="19" t="str">
        <f>'Refsz-Verbräuche'!D36</f>
        <v>Fernwärme Mix</v>
      </c>
      <c r="E366" t="s">
        <v>195</v>
      </c>
      <c r="F366" s="14">
        <f>IF(ISNUMBER('Klisz-Verbräuche'!G36), 'Klisz-Verbräuche'!G36*Emissionsfaktoren!E36/1000, 0)</f>
        <v>0</v>
      </c>
      <c r="G366" s="14">
        <f>IF(ISNUMBER('Klisz-Verbräuche'!H36), 'Klisz-Verbräuche'!H36*Emissionsfaktoren!F36/1000, 0)</f>
        <v>0</v>
      </c>
      <c r="H366" s="14">
        <f>IF(ISNUMBER('Klisz-Verbräuche'!I36), 'Klisz-Verbräuche'!I36*Emissionsfaktoren!G36/1000, 0)</f>
        <v>0</v>
      </c>
      <c r="I366" s="14">
        <f>IF(ISNUMBER('Klisz-Verbräuche'!J36), 'Klisz-Verbräuche'!J36*Emissionsfaktoren!H36/1000, 0)</f>
        <v>0</v>
      </c>
      <c r="J366" s="14">
        <f>IF(ISNUMBER('Klisz-Verbräuche'!K36), 'Klisz-Verbräuche'!K36*Emissionsfaktoren!I36/1000, 0)</f>
        <v>0</v>
      </c>
      <c r="K366" s="14">
        <f>IF(ISNUMBER('Klisz-Verbräuche'!L36), 'Klisz-Verbräuche'!L36*Emissionsfaktoren!J36/1000, 0)</f>
        <v>0</v>
      </c>
      <c r="L366" s="14">
        <f>IF(ISNUMBER('Klisz-Verbräuche'!M36), 'Klisz-Verbräuche'!M36*Emissionsfaktoren!K36/1000, 0)</f>
        <v>0</v>
      </c>
      <c r="M366" s="14">
        <f>IF(ISNUMBER('Klisz-Verbräuche'!N36), 'Klisz-Verbräuche'!N36*Emissionsfaktoren!L36/1000, 0)</f>
        <v>0</v>
      </c>
      <c r="N366" s="14">
        <f>IF(ISNUMBER('Klisz-Verbräuche'!O36), 'Klisz-Verbräuche'!O36*Emissionsfaktoren!M36/1000, 0)</f>
        <v>0</v>
      </c>
      <c r="O366" s="14">
        <f>IF(ISNUMBER('Klisz-Verbräuche'!P36), 'Klisz-Verbräuche'!P36*Emissionsfaktoren!N36/1000, 0)</f>
        <v>0</v>
      </c>
      <c r="P366" s="14">
        <f>IF(ISNUMBER('Klisz-Verbräuche'!Q36), 'Klisz-Verbräuche'!Q36*Emissionsfaktoren!O36/1000, 0)</f>
        <v>0</v>
      </c>
      <c r="Q366" s="14">
        <f>IF(ISNUMBER('Klisz-Verbräuche'!R36), 'Klisz-Verbräuche'!R36*Emissionsfaktoren!P36/1000, 0)</f>
        <v>0</v>
      </c>
      <c r="R366" s="14">
        <f>IF(ISNUMBER('Klisz-Verbräuche'!S36), 'Klisz-Verbräuche'!S36*Emissionsfaktoren!Q36/1000, 0)</f>
        <v>0</v>
      </c>
      <c r="S366" s="14">
        <f>IF(ISNUMBER('Klisz-Verbräuche'!T36), 'Klisz-Verbräuche'!T36*Emissionsfaktoren!R36/1000, 0)</f>
        <v>0</v>
      </c>
      <c r="T366" s="14">
        <f>IF(ISNUMBER('Klisz-Verbräuche'!U36), 'Klisz-Verbräuche'!U36*Emissionsfaktoren!S36/1000, 0)</f>
        <v>0</v>
      </c>
      <c r="U366" s="14">
        <f>IF(ISNUMBER('Klisz-Verbräuche'!V36), 'Klisz-Verbräuche'!V36*Emissionsfaktoren!T36/1000, 0)</f>
        <v>0</v>
      </c>
      <c r="V366" s="14">
        <f>IF(ISNUMBER('Klisz-Verbräuche'!W36), 'Klisz-Verbräuche'!W36*Emissionsfaktoren!U36/1000, 0)</f>
        <v>0</v>
      </c>
      <c r="W366" s="14">
        <f>IF(ISNUMBER('Klisz-Verbräuche'!X36), 'Klisz-Verbräuche'!X36*Emissionsfaktoren!V36/1000, 0)</f>
        <v>0</v>
      </c>
      <c r="X366" s="14">
        <f>IF(ISNUMBER('Klisz-Verbräuche'!Y36), 'Klisz-Verbräuche'!Y36*Emissionsfaktoren!W36/1000, 0)</f>
        <v>0</v>
      </c>
      <c r="Y366" s="14">
        <f>IF(ISNUMBER('Klisz-Verbräuche'!Z36), 'Klisz-Verbräuche'!Z36*Emissionsfaktoren!X36/1000, 0)</f>
        <v>0</v>
      </c>
    </row>
    <row r="367" spans="2:25" ht="16.5">
      <c r="B367" s="14">
        <v>21</v>
      </c>
      <c r="C367" s="14" t="str">
        <f>'Refsz-Verbräuche'!C37</f>
        <v>Wärme</v>
      </c>
      <c r="D367" s="19" t="str">
        <f>'Refsz-Verbräuche'!D37</f>
        <v>Fernwärme Abfall</v>
      </c>
      <c r="E367" t="s">
        <v>195</v>
      </c>
      <c r="F367" s="14">
        <f>IF(ISNUMBER('Klisz-Verbräuche'!G37), 'Klisz-Verbräuche'!G37*Emissionsfaktoren!E37/1000, 0)</f>
        <v>0</v>
      </c>
      <c r="G367" s="14">
        <f>IF(ISNUMBER('Klisz-Verbräuche'!H37), 'Klisz-Verbräuche'!H37*Emissionsfaktoren!F37/1000, 0)</f>
        <v>0</v>
      </c>
      <c r="H367" s="14">
        <f>IF(ISNUMBER('Klisz-Verbräuche'!I37), 'Klisz-Verbräuche'!I37*Emissionsfaktoren!G37/1000, 0)</f>
        <v>0</v>
      </c>
      <c r="I367" s="14">
        <f>IF(ISNUMBER('Klisz-Verbräuche'!J37), 'Klisz-Verbräuche'!J37*Emissionsfaktoren!H37/1000, 0)</f>
        <v>0</v>
      </c>
      <c r="J367" s="14">
        <f>IF(ISNUMBER('Klisz-Verbräuche'!K37), 'Klisz-Verbräuche'!K37*Emissionsfaktoren!I37/1000, 0)</f>
        <v>0</v>
      </c>
      <c r="K367" s="14">
        <f>IF(ISNUMBER('Klisz-Verbräuche'!L37), 'Klisz-Verbräuche'!L37*Emissionsfaktoren!J37/1000, 0)</f>
        <v>0</v>
      </c>
      <c r="L367" s="14">
        <f>IF(ISNUMBER('Klisz-Verbräuche'!M37), 'Klisz-Verbräuche'!M37*Emissionsfaktoren!K37/1000, 0)</f>
        <v>0</v>
      </c>
      <c r="M367" s="14">
        <f>IF(ISNUMBER('Klisz-Verbräuche'!N37), 'Klisz-Verbräuche'!N37*Emissionsfaktoren!L37/1000, 0)</f>
        <v>0</v>
      </c>
      <c r="N367" s="14">
        <f>IF(ISNUMBER('Klisz-Verbräuche'!O37), 'Klisz-Verbräuche'!O37*Emissionsfaktoren!M37/1000, 0)</f>
        <v>0</v>
      </c>
      <c r="O367" s="14">
        <f>IF(ISNUMBER('Klisz-Verbräuche'!P37), 'Klisz-Verbräuche'!P37*Emissionsfaktoren!N37/1000, 0)</f>
        <v>0</v>
      </c>
      <c r="P367" s="14">
        <f>IF(ISNUMBER('Klisz-Verbräuche'!Q37), 'Klisz-Verbräuche'!Q37*Emissionsfaktoren!O37/1000, 0)</f>
        <v>0</v>
      </c>
      <c r="Q367" s="14">
        <f>IF(ISNUMBER('Klisz-Verbräuche'!R37), 'Klisz-Verbräuche'!R37*Emissionsfaktoren!P37/1000, 0)</f>
        <v>0</v>
      </c>
      <c r="R367" s="14">
        <f>IF(ISNUMBER('Klisz-Verbräuche'!S37), 'Klisz-Verbräuche'!S37*Emissionsfaktoren!Q37/1000, 0)</f>
        <v>0</v>
      </c>
      <c r="S367" s="14">
        <f>IF(ISNUMBER('Klisz-Verbräuche'!T37), 'Klisz-Verbräuche'!T37*Emissionsfaktoren!R37/1000, 0)</f>
        <v>0</v>
      </c>
      <c r="T367" s="14">
        <f>IF(ISNUMBER('Klisz-Verbräuche'!U37), 'Klisz-Verbräuche'!U37*Emissionsfaktoren!S37/1000, 0)</f>
        <v>0</v>
      </c>
      <c r="U367" s="14">
        <f>IF(ISNUMBER('Klisz-Verbräuche'!V37), 'Klisz-Verbräuche'!V37*Emissionsfaktoren!T37/1000, 0)</f>
        <v>0</v>
      </c>
      <c r="V367" s="14">
        <f>IF(ISNUMBER('Klisz-Verbräuche'!W37), 'Klisz-Verbräuche'!W37*Emissionsfaktoren!U37/1000, 0)</f>
        <v>0</v>
      </c>
      <c r="W367" s="14">
        <f>IF(ISNUMBER('Klisz-Verbräuche'!X37), 'Klisz-Verbräuche'!X37*Emissionsfaktoren!V37/1000, 0)</f>
        <v>0</v>
      </c>
      <c r="X367" s="14">
        <f>IF(ISNUMBER('Klisz-Verbräuche'!Y37), 'Klisz-Verbräuche'!Y37*Emissionsfaktoren!W37/1000, 0)</f>
        <v>0</v>
      </c>
      <c r="Y367" s="14">
        <f>IF(ISNUMBER('Klisz-Verbräuche'!Z37), 'Klisz-Verbräuche'!Z37*Emissionsfaktoren!X37/1000, 0)</f>
        <v>0</v>
      </c>
    </row>
    <row r="368" spans="2:25" ht="16.5">
      <c r="B368" s="14">
        <v>22</v>
      </c>
      <c r="C368" s="14" t="str">
        <f>'Refsz-Verbräuche'!C38</f>
        <v>Wärme</v>
      </c>
      <c r="D368" s="19" t="str">
        <f>'Refsz-Verbräuche'!D38</f>
        <v>Heizöl</v>
      </c>
      <c r="E368" t="s">
        <v>195</v>
      </c>
      <c r="F368" s="14">
        <f>IF(ISNUMBER('Klisz-Verbräuche'!G38), 'Klisz-Verbräuche'!G38*Emissionsfaktoren!E38/1000, 0)</f>
        <v>0</v>
      </c>
      <c r="G368" s="14">
        <f>IF(ISNUMBER('Klisz-Verbräuche'!H38), 'Klisz-Verbräuche'!H38*Emissionsfaktoren!F38/1000, 0)</f>
        <v>0</v>
      </c>
      <c r="H368" s="14">
        <f>IF(ISNUMBER('Klisz-Verbräuche'!I38), 'Klisz-Verbräuche'!I38*Emissionsfaktoren!G38/1000, 0)</f>
        <v>0</v>
      </c>
      <c r="I368" s="14">
        <f>IF(ISNUMBER('Klisz-Verbräuche'!J38), 'Klisz-Verbräuche'!J38*Emissionsfaktoren!H38/1000, 0)</f>
        <v>0</v>
      </c>
      <c r="J368" s="14">
        <f>IF(ISNUMBER('Klisz-Verbräuche'!K38), 'Klisz-Verbräuche'!K38*Emissionsfaktoren!I38/1000, 0)</f>
        <v>0</v>
      </c>
      <c r="K368" s="14">
        <f>IF(ISNUMBER('Klisz-Verbräuche'!L38), 'Klisz-Verbräuche'!L38*Emissionsfaktoren!J38/1000, 0)</f>
        <v>0</v>
      </c>
      <c r="L368" s="14">
        <f>IF(ISNUMBER('Klisz-Verbräuche'!M38), 'Klisz-Verbräuche'!M38*Emissionsfaktoren!K38/1000, 0)</f>
        <v>0</v>
      </c>
      <c r="M368" s="14">
        <f>IF(ISNUMBER('Klisz-Verbräuche'!N38), 'Klisz-Verbräuche'!N38*Emissionsfaktoren!L38/1000, 0)</f>
        <v>0</v>
      </c>
      <c r="N368" s="14">
        <f>IF(ISNUMBER('Klisz-Verbräuche'!O38), 'Klisz-Verbräuche'!O38*Emissionsfaktoren!M38/1000, 0)</f>
        <v>0</v>
      </c>
      <c r="O368" s="14">
        <f>IF(ISNUMBER('Klisz-Verbräuche'!P38), 'Klisz-Verbräuche'!P38*Emissionsfaktoren!N38/1000, 0)</f>
        <v>0</v>
      </c>
      <c r="P368" s="14">
        <f>IF(ISNUMBER('Klisz-Verbräuche'!Q38), 'Klisz-Verbräuche'!Q38*Emissionsfaktoren!O38/1000, 0)</f>
        <v>0</v>
      </c>
      <c r="Q368" s="14">
        <f>IF(ISNUMBER('Klisz-Verbräuche'!R38), 'Klisz-Verbräuche'!R38*Emissionsfaktoren!P38/1000, 0)</f>
        <v>0</v>
      </c>
      <c r="R368" s="14">
        <f>IF(ISNUMBER('Klisz-Verbräuche'!S38), 'Klisz-Verbräuche'!S38*Emissionsfaktoren!Q38/1000, 0)</f>
        <v>0</v>
      </c>
      <c r="S368" s="14">
        <f>IF(ISNUMBER('Klisz-Verbräuche'!T38), 'Klisz-Verbräuche'!T38*Emissionsfaktoren!R38/1000, 0)</f>
        <v>0</v>
      </c>
      <c r="T368" s="14">
        <f>IF(ISNUMBER('Klisz-Verbräuche'!U38), 'Klisz-Verbräuche'!U38*Emissionsfaktoren!S38/1000, 0)</f>
        <v>0</v>
      </c>
      <c r="U368" s="14">
        <f>IF(ISNUMBER('Klisz-Verbräuche'!V38), 'Klisz-Verbräuche'!V38*Emissionsfaktoren!T38/1000, 0)</f>
        <v>0</v>
      </c>
      <c r="V368" s="14">
        <f>IF(ISNUMBER('Klisz-Verbräuche'!W38), 'Klisz-Verbräuche'!W38*Emissionsfaktoren!U38/1000, 0)</f>
        <v>0</v>
      </c>
      <c r="W368" s="14">
        <f>IF(ISNUMBER('Klisz-Verbräuche'!X38), 'Klisz-Verbräuche'!X38*Emissionsfaktoren!V38/1000, 0)</f>
        <v>0</v>
      </c>
      <c r="X368" s="14">
        <f>IF(ISNUMBER('Klisz-Verbräuche'!Y38), 'Klisz-Verbräuche'!Y38*Emissionsfaktoren!W38/1000, 0)</f>
        <v>0</v>
      </c>
      <c r="Y368" s="14">
        <f>IF(ISNUMBER('Klisz-Verbräuche'!Z38), 'Klisz-Verbräuche'!Z38*Emissionsfaktoren!X38/1000, 0)</f>
        <v>0</v>
      </c>
    </row>
    <row r="369" spans="2:25" ht="16.5">
      <c r="B369" s="14">
        <v>23</v>
      </c>
      <c r="C369" s="14" t="str">
        <f>'Refsz-Verbräuche'!C39</f>
        <v>Wärme</v>
      </c>
      <c r="D369" s="19" t="str">
        <f>'Refsz-Verbräuche'!D39</f>
        <v>Solarthermie</v>
      </c>
      <c r="E369" t="s">
        <v>195</v>
      </c>
      <c r="F369" s="14">
        <f>IF(ISNUMBER('Klisz-Verbräuche'!G39), 'Klisz-Verbräuche'!G39*Emissionsfaktoren!E39/1000, 0)</f>
        <v>0</v>
      </c>
      <c r="G369" s="14">
        <f>IF(ISNUMBER('Klisz-Verbräuche'!H39), 'Klisz-Verbräuche'!H39*Emissionsfaktoren!F39/1000, 0)</f>
        <v>0</v>
      </c>
      <c r="H369" s="14">
        <f>IF(ISNUMBER('Klisz-Verbräuche'!I39), 'Klisz-Verbräuche'!I39*Emissionsfaktoren!G39/1000, 0)</f>
        <v>0</v>
      </c>
      <c r="I369" s="14">
        <f>IF(ISNUMBER('Klisz-Verbräuche'!J39), 'Klisz-Verbräuche'!J39*Emissionsfaktoren!H39/1000, 0)</f>
        <v>0</v>
      </c>
      <c r="J369" s="14">
        <f>IF(ISNUMBER('Klisz-Verbräuche'!K39), 'Klisz-Verbräuche'!K39*Emissionsfaktoren!I39/1000, 0)</f>
        <v>0</v>
      </c>
      <c r="K369" s="14">
        <f>IF(ISNUMBER('Klisz-Verbräuche'!L39), 'Klisz-Verbräuche'!L39*Emissionsfaktoren!J39/1000, 0)</f>
        <v>0</v>
      </c>
      <c r="L369" s="14">
        <f>IF(ISNUMBER('Klisz-Verbräuche'!M39), 'Klisz-Verbräuche'!M39*Emissionsfaktoren!K39/1000, 0)</f>
        <v>0</v>
      </c>
      <c r="M369" s="14">
        <f>IF(ISNUMBER('Klisz-Verbräuche'!N39), 'Klisz-Verbräuche'!N39*Emissionsfaktoren!L39/1000, 0)</f>
        <v>0</v>
      </c>
      <c r="N369" s="14">
        <f>IF(ISNUMBER('Klisz-Verbräuche'!O39), 'Klisz-Verbräuche'!O39*Emissionsfaktoren!M39/1000, 0)</f>
        <v>0</v>
      </c>
      <c r="O369" s="14">
        <f>IF(ISNUMBER('Klisz-Verbräuche'!P39), 'Klisz-Verbräuche'!P39*Emissionsfaktoren!N39/1000, 0)</f>
        <v>0</v>
      </c>
      <c r="P369" s="14">
        <f>IF(ISNUMBER('Klisz-Verbräuche'!Q39), 'Klisz-Verbräuche'!Q39*Emissionsfaktoren!O39/1000, 0)</f>
        <v>0</v>
      </c>
      <c r="Q369" s="14">
        <f>IF(ISNUMBER('Klisz-Verbräuche'!R39), 'Klisz-Verbräuche'!R39*Emissionsfaktoren!P39/1000, 0)</f>
        <v>0</v>
      </c>
      <c r="R369" s="14">
        <f>IF(ISNUMBER('Klisz-Verbräuche'!S39), 'Klisz-Verbräuche'!S39*Emissionsfaktoren!Q39/1000, 0)</f>
        <v>0</v>
      </c>
      <c r="S369" s="14">
        <f>IF(ISNUMBER('Klisz-Verbräuche'!T39), 'Klisz-Verbräuche'!T39*Emissionsfaktoren!R39/1000, 0)</f>
        <v>0</v>
      </c>
      <c r="T369" s="14">
        <f>IF(ISNUMBER('Klisz-Verbräuche'!U39), 'Klisz-Verbräuche'!U39*Emissionsfaktoren!S39/1000, 0)</f>
        <v>0</v>
      </c>
      <c r="U369" s="14">
        <f>IF(ISNUMBER('Klisz-Verbräuche'!V39), 'Klisz-Verbräuche'!V39*Emissionsfaktoren!T39/1000, 0)</f>
        <v>0</v>
      </c>
      <c r="V369" s="14">
        <f>IF(ISNUMBER('Klisz-Verbräuche'!W39), 'Klisz-Verbräuche'!W39*Emissionsfaktoren!U39/1000, 0)</f>
        <v>0</v>
      </c>
      <c r="W369" s="14">
        <f>IF(ISNUMBER('Klisz-Verbräuche'!X39), 'Klisz-Verbräuche'!X39*Emissionsfaktoren!V39/1000, 0)</f>
        <v>0</v>
      </c>
      <c r="X369" s="14">
        <f>IF(ISNUMBER('Klisz-Verbräuche'!Y39), 'Klisz-Verbräuche'!Y39*Emissionsfaktoren!W39/1000, 0)</f>
        <v>0</v>
      </c>
      <c r="Y369" s="14">
        <f>IF(ISNUMBER('Klisz-Verbräuche'!Z39), 'Klisz-Verbräuche'!Z39*Emissionsfaktoren!X39/1000, 0)</f>
        <v>0</v>
      </c>
    </row>
    <row r="370" spans="2:25" ht="16.5">
      <c r="B370" s="14">
        <v>24</v>
      </c>
      <c r="C370" s="14" t="str">
        <f>'Refsz-Verbräuche'!C40</f>
        <v>Wärme</v>
      </c>
      <c r="D370" s="19" t="str">
        <f>'Refsz-Verbräuche'!D40</f>
        <v>Sole-Wasser-Wärmepumpe; Bundesstrommix</v>
      </c>
      <c r="E370" t="s">
        <v>195</v>
      </c>
      <c r="F370" s="14">
        <f>IF(ISNUMBER('Klisz-Verbräuche'!G40), 'Klisz-Verbräuche'!G40*Emissionsfaktoren!E40/1000, 0)</f>
        <v>0</v>
      </c>
      <c r="G370" s="14">
        <f>IF(ISNUMBER('Klisz-Verbräuche'!H40), 'Klisz-Verbräuche'!H40*Emissionsfaktoren!F40/1000, 0)</f>
        <v>0</v>
      </c>
      <c r="H370" s="14">
        <f>IF(ISNUMBER('Klisz-Verbräuche'!I40), 'Klisz-Verbräuche'!I40*Emissionsfaktoren!G40/1000, 0)</f>
        <v>0</v>
      </c>
      <c r="I370" s="14">
        <f>IF(ISNUMBER('Klisz-Verbräuche'!J40), 'Klisz-Verbräuche'!J40*Emissionsfaktoren!H40/1000, 0)</f>
        <v>0</v>
      </c>
      <c r="J370" s="14">
        <f>IF(ISNUMBER('Klisz-Verbräuche'!K40), 'Klisz-Verbräuche'!K40*Emissionsfaktoren!I40/1000, 0)</f>
        <v>0</v>
      </c>
      <c r="K370" s="14">
        <f>IF(ISNUMBER('Klisz-Verbräuche'!L40), 'Klisz-Verbräuche'!L40*Emissionsfaktoren!J40/1000, 0)</f>
        <v>0</v>
      </c>
      <c r="L370" s="14">
        <f>IF(ISNUMBER('Klisz-Verbräuche'!M40), 'Klisz-Verbräuche'!M40*Emissionsfaktoren!K40/1000, 0)</f>
        <v>0</v>
      </c>
      <c r="M370" s="14">
        <f>IF(ISNUMBER('Klisz-Verbräuche'!N40), 'Klisz-Verbräuche'!N40*Emissionsfaktoren!L40/1000, 0)</f>
        <v>0</v>
      </c>
      <c r="N370" s="14">
        <f>IF(ISNUMBER('Klisz-Verbräuche'!O40), 'Klisz-Verbräuche'!O40*Emissionsfaktoren!M40/1000, 0)</f>
        <v>0</v>
      </c>
      <c r="O370" s="14">
        <f>IF(ISNUMBER('Klisz-Verbräuche'!P40), 'Klisz-Verbräuche'!P40*Emissionsfaktoren!N40/1000, 0)</f>
        <v>0</v>
      </c>
      <c r="P370" s="14">
        <f>IF(ISNUMBER('Klisz-Verbräuche'!Q40), 'Klisz-Verbräuche'!Q40*Emissionsfaktoren!O40/1000, 0)</f>
        <v>0</v>
      </c>
      <c r="Q370" s="14">
        <f>IF(ISNUMBER('Klisz-Verbräuche'!R40), 'Klisz-Verbräuche'!R40*Emissionsfaktoren!P40/1000, 0)</f>
        <v>0</v>
      </c>
      <c r="R370" s="14">
        <f>IF(ISNUMBER('Klisz-Verbräuche'!S40), 'Klisz-Verbräuche'!S40*Emissionsfaktoren!Q40/1000, 0)</f>
        <v>0</v>
      </c>
      <c r="S370" s="14">
        <f>IF(ISNUMBER('Klisz-Verbräuche'!T40), 'Klisz-Verbräuche'!T40*Emissionsfaktoren!R40/1000, 0)</f>
        <v>0</v>
      </c>
      <c r="T370" s="14">
        <f>IF(ISNUMBER('Klisz-Verbräuche'!U40), 'Klisz-Verbräuche'!U40*Emissionsfaktoren!S40/1000, 0)</f>
        <v>0</v>
      </c>
      <c r="U370" s="14">
        <f>IF(ISNUMBER('Klisz-Verbräuche'!V40), 'Klisz-Verbräuche'!V40*Emissionsfaktoren!T40/1000, 0)</f>
        <v>0</v>
      </c>
      <c r="V370" s="14">
        <f>IF(ISNUMBER('Klisz-Verbräuche'!W40), 'Klisz-Verbräuche'!W40*Emissionsfaktoren!U40/1000, 0)</f>
        <v>0</v>
      </c>
      <c r="W370" s="14">
        <f>IF(ISNUMBER('Klisz-Verbräuche'!X40), 'Klisz-Verbräuche'!X40*Emissionsfaktoren!V40/1000, 0)</f>
        <v>0</v>
      </c>
      <c r="X370" s="14">
        <f>IF(ISNUMBER('Klisz-Verbräuche'!Y40), 'Klisz-Verbräuche'!Y40*Emissionsfaktoren!W40/1000, 0)</f>
        <v>0</v>
      </c>
      <c r="Y370" s="14">
        <f>IF(ISNUMBER('Klisz-Verbräuche'!Z40), 'Klisz-Verbräuche'!Z40*Emissionsfaktoren!X40/1000, 0)</f>
        <v>0</v>
      </c>
    </row>
    <row r="371" spans="2:25" ht="16.5">
      <c r="B371" s="14">
        <v>25</v>
      </c>
      <c r="C371" s="14" t="str">
        <f>'Refsz-Verbräuche'!C41</f>
        <v>Wärme</v>
      </c>
      <c r="D371" s="19" t="str">
        <f>'Refsz-Verbräuche'!D41</f>
        <v>Sole-Wasser-Wärmepumpe; Ökostrom</v>
      </c>
      <c r="E371" t="s">
        <v>195</v>
      </c>
      <c r="F371" s="14">
        <f>IF(ISNUMBER('Klisz-Verbräuche'!G41), 'Klisz-Verbräuche'!G41*Emissionsfaktoren!E41/1000, 0)</f>
        <v>0</v>
      </c>
      <c r="G371" s="14">
        <f>IF(ISNUMBER('Klisz-Verbräuche'!H41), 'Klisz-Verbräuche'!H41*Emissionsfaktoren!F41/1000, 0)</f>
        <v>0</v>
      </c>
      <c r="H371" s="14">
        <f>IF(ISNUMBER('Klisz-Verbräuche'!I41), 'Klisz-Verbräuche'!I41*Emissionsfaktoren!G41/1000, 0)</f>
        <v>0</v>
      </c>
      <c r="I371" s="14">
        <f>IF(ISNUMBER('Klisz-Verbräuche'!J41), 'Klisz-Verbräuche'!J41*Emissionsfaktoren!H41/1000, 0)</f>
        <v>0</v>
      </c>
      <c r="J371" s="14">
        <f>IF(ISNUMBER('Klisz-Verbräuche'!K41), 'Klisz-Verbräuche'!K41*Emissionsfaktoren!I41/1000, 0)</f>
        <v>0</v>
      </c>
      <c r="K371" s="14">
        <f>IF(ISNUMBER('Klisz-Verbräuche'!L41), 'Klisz-Verbräuche'!L41*Emissionsfaktoren!J41/1000, 0)</f>
        <v>0</v>
      </c>
      <c r="L371" s="14">
        <f>IF(ISNUMBER('Klisz-Verbräuche'!M41), 'Klisz-Verbräuche'!M41*Emissionsfaktoren!K41/1000, 0)</f>
        <v>0</v>
      </c>
      <c r="M371" s="14">
        <f>IF(ISNUMBER('Klisz-Verbräuche'!N41), 'Klisz-Verbräuche'!N41*Emissionsfaktoren!L41/1000, 0)</f>
        <v>0</v>
      </c>
      <c r="N371" s="14">
        <f>IF(ISNUMBER('Klisz-Verbräuche'!O41), 'Klisz-Verbräuche'!O41*Emissionsfaktoren!M41/1000, 0)</f>
        <v>0</v>
      </c>
      <c r="O371" s="14">
        <f>IF(ISNUMBER('Klisz-Verbräuche'!P41), 'Klisz-Verbräuche'!P41*Emissionsfaktoren!N41/1000, 0)</f>
        <v>0</v>
      </c>
      <c r="P371" s="14">
        <f>IF(ISNUMBER('Klisz-Verbräuche'!Q41), 'Klisz-Verbräuche'!Q41*Emissionsfaktoren!O41/1000, 0)</f>
        <v>0</v>
      </c>
      <c r="Q371" s="14">
        <f>IF(ISNUMBER('Klisz-Verbräuche'!R41), 'Klisz-Verbräuche'!R41*Emissionsfaktoren!P41/1000, 0)</f>
        <v>0</v>
      </c>
      <c r="R371" s="14">
        <f>IF(ISNUMBER('Klisz-Verbräuche'!S41), 'Klisz-Verbräuche'!S41*Emissionsfaktoren!Q41/1000, 0)</f>
        <v>0</v>
      </c>
      <c r="S371" s="14">
        <f>IF(ISNUMBER('Klisz-Verbräuche'!T41), 'Klisz-Verbräuche'!T41*Emissionsfaktoren!R41/1000, 0)</f>
        <v>0</v>
      </c>
      <c r="T371" s="14">
        <f>IF(ISNUMBER('Klisz-Verbräuche'!U41), 'Klisz-Verbräuche'!U41*Emissionsfaktoren!S41/1000, 0)</f>
        <v>0</v>
      </c>
      <c r="U371" s="14">
        <f>IF(ISNUMBER('Klisz-Verbräuche'!V41), 'Klisz-Verbräuche'!V41*Emissionsfaktoren!T41/1000, 0)</f>
        <v>0</v>
      </c>
      <c r="V371" s="14">
        <f>IF(ISNUMBER('Klisz-Verbräuche'!W41), 'Klisz-Verbräuche'!W41*Emissionsfaktoren!U41/1000, 0)</f>
        <v>0</v>
      </c>
      <c r="W371" s="14">
        <f>IF(ISNUMBER('Klisz-Verbräuche'!X41), 'Klisz-Verbräuche'!X41*Emissionsfaktoren!V41/1000, 0)</f>
        <v>0</v>
      </c>
      <c r="X371" s="14">
        <f>IF(ISNUMBER('Klisz-Verbräuche'!Y41), 'Klisz-Verbräuche'!Y41*Emissionsfaktoren!W41/1000, 0)</f>
        <v>0</v>
      </c>
      <c r="Y371" s="14">
        <f>IF(ISNUMBER('Klisz-Verbräuche'!Z41), 'Klisz-Verbräuche'!Z41*Emissionsfaktoren!X41/1000, 0)</f>
        <v>0</v>
      </c>
    </row>
    <row r="372" spans="2:25" ht="16.5">
      <c r="B372" s="14">
        <v>26</v>
      </c>
      <c r="C372" s="14" t="str">
        <f>'Refsz-Verbräuche'!C42</f>
        <v>Wärme</v>
      </c>
      <c r="D372" s="19" t="str">
        <f>'Refsz-Verbräuche'!D42</f>
        <v>Individuelle Wärmepumpe</v>
      </c>
      <c r="E372" t="s">
        <v>195</v>
      </c>
      <c r="F372" s="14">
        <f>IF(ISNUMBER('Klisz-Verbräuche'!G42), 'Klisz-Verbräuche'!G42*Emissionsfaktoren!E42/1000, 0)</f>
        <v>0</v>
      </c>
      <c r="G372" s="14">
        <f>IF(ISNUMBER('Klisz-Verbräuche'!H42), 'Klisz-Verbräuche'!H42*Emissionsfaktoren!F42/1000, 0)</f>
        <v>0</v>
      </c>
      <c r="H372" s="14">
        <f>IF(ISNUMBER('Klisz-Verbräuche'!I42), 'Klisz-Verbräuche'!I42*Emissionsfaktoren!G42/1000, 0)</f>
        <v>0</v>
      </c>
      <c r="I372" s="14">
        <f>IF(ISNUMBER('Klisz-Verbräuche'!J42), 'Klisz-Verbräuche'!J42*Emissionsfaktoren!H42/1000, 0)</f>
        <v>0</v>
      </c>
      <c r="J372" s="14">
        <f>IF(ISNUMBER('Klisz-Verbräuche'!K42), 'Klisz-Verbräuche'!K42*Emissionsfaktoren!I42/1000, 0)</f>
        <v>0</v>
      </c>
      <c r="K372" s="14">
        <f>IF(ISNUMBER('Klisz-Verbräuche'!L42), 'Klisz-Verbräuche'!L42*Emissionsfaktoren!J42/1000, 0)</f>
        <v>0</v>
      </c>
      <c r="L372" s="14">
        <f>IF(ISNUMBER('Klisz-Verbräuche'!M42), 'Klisz-Verbräuche'!M42*Emissionsfaktoren!K42/1000, 0)</f>
        <v>0</v>
      </c>
      <c r="M372" s="14">
        <f>IF(ISNUMBER('Klisz-Verbräuche'!N42), 'Klisz-Verbräuche'!N42*Emissionsfaktoren!L42/1000, 0)</f>
        <v>0</v>
      </c>
      <c r="N372" s="14">
        <f>IF(ISNUMBER('Klisz-Verbräuche'!O42), 'Klisz-Verbräuche'!O42*Emissionsfaktoren!M42/1000, 0)</f>
        <v>0</v>
      </c>
      <c r="O372" s="14">
        <f>IF(ISNUMBER('Klisz-Verbräuche'!P42), 'Klisz-Verbräuche'!P42*Emissionsfaktoren!N42/1000, 0)</f>
        <v>0</v>
      </c>
      <c r="P372" s="14">
        <f>IF(ISNUMBER('Klisz-Verbräuche'!Q42), 'Klisz-Verbräuche'!Q42*Emissionsfaktoren!O42/1000, 0)</f>
        <v>0</v>
      </c>
      <c r="Q372" s="14">
        <f>IF(ISNUMBER('Klisz-Verbräuche'!R42), 'Klisz-Verbräuche'!R42*Emissionsfaktoren!P42/1000, 0)</f>
        <v>0</v>
      </c>
      <c r="R372" s="14">
        <f>IF(ISNUMBER('Klisz-Verbräuche'!S42), 'Klisz-Verbräuche'!S42*Emissionsfaktoren!Q42/1000, 0)</f>
        <v>0</v>
      </c>
      <c r="S372" s="14">
        <f>IF(ISNUMBER('Klisz-Verbräuche'!T42), 'Klisz-Verbräuche'!T42*Emissionsfaktoren!R42/1000, 0)</f>
        <v>0</v>
      </c>
      <c r="T372" s="14">
        <f>IF(ISNUMBER('Klisz-Verbräuche'!U42), 'Klisz-Verbräuche'!U42*Emissionsfaktoren!S42/1000, 0)</f>
        <v>0</v>
      </c>
      <c r="U372" s="14">
        <f>IF(ISNUMBER('Klisz-Verbräuche'!V42), 'Klisz-Verbräuche'!V42*Emissionsfaktoren!T42/1000, 0)</f>
        <v>0</v>
      </c>
      <c r="V372" s="14">
        <f>IF(ISNUMBER('Klisz-Verbräuche'!W42), 'Klisz-Verbräuche'!W42*Emissionsfaktoren!U42/1000, 0)</f>
        <v>0</v>
      </c>
      <c r="W372" s="14">
        <f>IF(ISNUMBER('Klisz-Verbräuche'!X42), 'Klisz-Verbräuche'!X42*Emissionsfaktoren!V42/1000, 0)</f>
        <v>0</v>
      </c>
      <c r="X372" s="14">
        <f>IF(ISNUMBER('Klisz-Verbräuche'!Y42), 'Klisz-Verbräuche'!Y42*Emissionsfaktoren!W42/1000, 0)</f>
        <v>0</v>
      </c>
      <c r="Y372" s="14">
        <f>IF(ISNUMBER('Klisz-Verbräuche'!Z42), 'Klisz-Verbräuche'!Z42*Emissionsfaktoren!X42/1000, 0)</f>
        <v>0</v>
      </c>
    </row>
    <row r="373" spans="2:25" ht="16.5">
      <c r="B373" s="14">
        <v>27</v>
      </c>
      <c r="C373" s="14" t="str">
        <f>'Refsz-Verbräuche'!C43</f>
        <v>Kälte</v>
      </c>
      <c r="D373" s="19" t="str">
        <f>'Refsz-Verbräuche'!D43</f>
        <v>Nachfüllmenge Kältemittel (R22)</v>
      </c>
      <c r="E373" t="s">
        <v>195</v>
      </c>
      <c r="F373" s="14">
        <f>IF(ISNUMBER('Klisz-Verbräuche'!G43), 'Klisz-Verbräuche'!G43*Emissionsfaktoren!E43/1000, 0)</f>
        <v>0</v>
      </c>
      <c r="G373" s="14">
        <f>IF(ISNUMBER('Klisz-Verbräuche'!H43), 'Klisz-Verbräuche'!H43*Emissionsfaktoren!F43/1000, 0)</f>
        <v>0</v>
      </c>
      <c r="H373" s="14">
        <f>IF(ISNUMBER('Klisz-Verbräuche'!I43), 'Klisz-Verbräuche'!I43*Emissionsfaktoren!G43/1000, 0)</f>
        <v>0</v>
      </c>
      <c r="I373" s="14">
        <f>IF(ISNUMBER('Klisz-Verbräuche'!J43), 'Klisz-Verbräuche'!J43*Emissionsfaktoren!H43/1000, 0)</f>
        <v>0</v>
      </c>
      <c r="J373" s="14">
        <f>IF(ISNUMBER('Klisz-Verbräuche'!K43), 'Klisz-Verbräuche'!K43*Emissionsfaktoren!I43/1000, 0)</f>
        <v>0</v>
      </c>
      <c r="K373" s="14">
        <f>IF(ISNUMBER('Klisz-Verbräuche'!L43), 'Klisz-Verbräuche'!L43*Emissionsfaktoren!J43/1000, 0)</f>
        <v>0</v>
      </c>
      <c r="L373" s="14">
        <f>IF(ISNUMBER('Klisz-Verbräuche'!M43), 'Klisz-Verbräuche'!M43*Emissionsfaktoren!K43/1000, 0)</f>
        <v>0</v>
      </c>
      <c r="M373" s="14">
        <f>IF(ISNUMBER('Klisz-Verbräuche'!N43), 'Klisz-Verbräuche'!N43*Emissionsfaktoren!L43/1000, 0)</f>
        <v>0</v>
      </c>
      <c r="N373" s="14">
        <f>IF(ISNUMBER('Klisz-Verbräuche'!O43), 'Klisz-Verbräuche'!O43*Emissionsfaktoren!M43/1000, 0)</f>
        <v>0</v>
      </c>
      <c r="O373" s="14">
        <f>IF(ISNUMBER('Klisz-Verbräuche'!P43), 'Klisz-Verbräuche'!P43*Emissionsfaktoren!N43/1000, 0)</f>
        <v>0</v>
      </c>
      <c r="P373" s="14">
        <f>IF(ISNUMBER('Klisz-Verbräuche'!Q43), 'Klisz-Verbräuche'!Q43*Emissionsfaktoren!O43/1000, 0)</f>
        <v>0</v>
      </c>
      <c r="Q373" s="14">
        <f>IF(ISNUMBER('Klisz-Verbräuche'!R43), 'Klisz-Verbräuche'!R43*Emissionsfaktoren!P43/1000, 0)</f>
        <v>0</v>
      </c>
      <c r="R373" s="14">
        <f>IF(ISNUMBER('Klisz-Verbräuche'!S43), 'Klisz-Verbräuche'!S43*Emissionsfaktoren!Q43/1000, 0)</f>
        <v>0</v>
      </c>
      <c r="S373" s="14">
        <f>IF(ISNUMBER('Klisz-Verbräuche'!T43), 'Klisz-Verbräuche'!T43*Emissionsfaktoren!R43/1000, 0)</f>
        <v>0</v>
      </c>
      <c r="T373" s="14">
        <f>IF(ISNUMBER('Klisz-Verbräuche'!U43), 'Klisz-Verbräuche'!U43*Emissionsfaktoren!S43/1000, 0)</f>
        <v>0</v>
      </c>
      <c r="U373" s="14">
        <f>IF(ISNUMBER('Klisz-Verbräuche'!V43), 'Klisz-Verbräuche'!V43*Emissionsfaktoren!T43/1000, 0)</f>
        <v>0</v>
      </c>
      <c r="V373" s="14">
        <f>IF(ISNUMBER('Klisz-Verbräuche'!W43), 'Klisz-Verbräuche'!W43*Emissionsfaktoren!U43/1000, 0)</f>
        <v>0</v>
      </c>
      <c r="W373" s="14">
        <f>IF(ISNUMBER('Klisz-Verbräuche'!X43), 'Klisz-Verbräuche'!X43*Emissionsfaktoren!V43/1000, 0)</f>
        <v>0</v>
      </c>
      <c r="X373" s="14">
        <f>IF(ISNUMBER('Klisz-Verbräuche'!Y43), 'Klisz-Verbräuche'!Y43*Emissionsfaktoren!W43/1000, 0)</f>
        <v>0</v>
      </c>
      <c r="Y373" s="14">
        <f>IF(ISNUMBER('Klisz-Verbräuche'!Z43), 'Klisz-Verbräuche'!Z43*Emissionsfaktoren!X43/1000, 0)</f>
        <v>0</v>
      </c>
    </row>
    <row r="374" spans="2:25" ht="16.5">
      <c r="B374" s="14">
        <v>28</v>
      </c>
      <c r="C374" s="14" t="str">
        <f>'Refsz-Verbräuche'!C44</f>
        <v>Kälte</v>
      </c>
      <c r="D374" s="19" t="str">
        <f>'Refsz-Verbräuche'!D44</f>
        <v>Nachfüllmenge Kältemittel (R134A)</v>
      </c>
      <c r="E374" t="s">
        <v>195</v>
      </c>
      <c r="F374" s="14">
        <f>IF(ISNUMBER('Klisz-Verbräuche'!G44), 'Klisz-Verbräuche'!G44*Emissionsfaktoren!E44/1000, 0)</f>
        <v>0</v>
      </c>
      <c r="G374" s="14">
        <f>IF(ISNUMBER('Klisz-Verbräuche'!H44), 'Klisz-Verbräuche'!H44*Emissionsfaktoren!F44/1000, 0)</f>
        <v>0</v>
      </c>
      <c r="H374" s="14">
        <f>IF(ISNUMBER('Klisz-Verbräuche'!I44), 'Klisz-Verbräuche'!I44*Emissionsfaktoren!G44/1000, 0)</f>
        <v>0</v>
      </c>
      <c r="I374" s="14">
        <f>IF(ISNUMBER('Klisz-Verbräuche'!J44), 'Klisz-Verbräuche'!J44*Emissionsfaktoren!H44/1000, 0)</f>
        <v>0</v>
      </c>
      <c r="J374" s="14">
        <f>IF(ISNUMBER('Klisz-Verbräuche'!K44), 'Klisz-Verbräuche'!K44*Emissionsfaktoren!I44/1000, 0)</f>
        <v>0</v>
      </c>
      <c r="K374" s="14">
        <f>IF(ISNUMBER('Klisz-Verbräuche'!L44), 'Klisz-Verbräuche'!L44*Emissionsfaktoren!J44/1000, 0)</f>
        <v>0</v>
      </c>
      <c r="L374" s="14">
        <f>IF(ISNUMBER('Klisz-Verbräuche'!M44), 'Klisz-Verbräuche'!M44*Emissionsfaktoren!K44/1000, 0)</f>
        <v>0</v>
      </c>
      <c r="M374" s="14">
        <f>IF(ISNUMBER('Klisz-Verbräuche'!N44), 'Klisz-Verbräuche'!N44*Emissionsfaktoren!L44/1000, 0)</f>
        <v>0</v>
      </c>
      <c r="N374" s="14">
        <f>IF(ISNUMBER('Klisz-Verbräuche'!O44), 'Klisz-Verbräuche'!O44*Emissionsfaktoren!M44/1000, 0)</f>
        <v>0</v>
      </c>
      <c r="O374" s="14">
        <f>IF(ISNUMBER('Klisz-Verbräuche'!P44), 'Klisz-Verbräuche'!P44*Emissionsfaktoren!N44/1000, 0)</f>
        <v>0</v>
      </c>
      <c r="P374" s="14">
        <f>IF(ISNUMBER('Klisz-Verbräuche'!Q44), 'Klisz-Verbräuche'!Q44*Emissionsfaktoren!O44/1000, 0)</f>
        <v>0</v>
      </c>
      <c r="Q374" s="14">
        <f>IF(ISNUMBER('Klisz-Verbräuche'!R44), 'Klisz-Verbräuche'!R44*Emissionsfaktoren!P44/1000, 0)</f>
        <v>0</v>
      </c>
      <c r="R374" s="14">
        <f>IF(ISNUMBER('Klisz-Verbräuche'!S44), 'Klisz-Verbräuche'!S44*Emissionsfaktoren!Q44/1000, 0)</f>
        <v>0</v>
      </c>
      <c r="S374" s="14">
        <f>IF(ISNUMBER('Klisz-Verbräuche'!T44), 'Klisz-Verbräuche'!T44*Emissionsfaktoren!R44/1000, 0)</f>
        <v>0</v>
      </c>
      <c r="T374" s="14">
        <f>IF(ISNUMBER('Klisz-Verbräuche'!U44), 'Klisz-Verbräuche'!U44*Emissionsfaktoren!S44/1000, 0)</f>
        <v>0</v>
      </c>
      <c r="U374" s="14">
        <f>IF(ISNUMBER('Klisz-Verbräuche'!V44), 'Klisz-Verbräuche'!V44*Emissionsfaktoren!T44/1000, 0)</f>
        <v>0</v>
      </c>
      <c r="V374" s="14">
        <f>IF(ISNUMBER('Klisz-Verbräuche'!W44), 'Klisz-Verbräuche'!W44*Emissionsfaktoren!U44/1000, 0)</f>
        <v>0</v>
      </c>
      <c r="W374" s="14">
        <f>IF(ISNUMBER('Klisz-Verbräuche'!X44), 'Klisz-Verbräuche'!X44*Emissionsfaktoren!V44/1000, 0)</f>
        <v>0</v>
      </c>
      <c r="X374" s="14">
        <f>IF(ISNUMBER('Klisz-Verbräuche'!Y44), 'Klisz-Verbräuche'!Y44*Emissionsfaktoren!W44/1000, 0)</f>
        <v>0</v>
      </c>
      <c r="Y374" s="14">
        <f>IF(ISNUMBER('Klisz-Verbräuche'!Z44), 'Klisz-Verbräuche'!Z44*Emissionsfaktoren!X44/1000, 0)</f>
        <v>0</v>
      </c>
    </row>
    <row r="375" spans="2:25" ht="16.5">
      <c r="B375" s="14">
        <v>29</v>
      </c>
      <c r="C375" s="14" t="str">
        <f>'Refsz-Verbräuche'!C45</f>
        <v>Kälte</v>
      </c>
      <c r="D375" s="19" t="str">
        <f>'Refsz-Verbräuche'!D45</f>
        <v>Nachfüllmenge Kältemittel (R404A)</v>
      </c>
      <c r="E375" t="s">
        <v>195</v>
      </c>
      <c r="F375" s="14">
        <f>IF(ISNUMBER('Klisz-Verbräuche'!G45), 'Klisz-Verbräuche'!G45*Emissionsfaktoren!E45/1000, 0)</f>
        <v>0</v>
      </c>
      <c r="G375" s="14">
        <f>IF(ISNUMBER('Klisz-Verbräuche'!H45), 'Klisz-Verbräuche'!H45*Emissionsfaktoren!F45/1000, 0)</f>
        <v>0</v>
      </c>
      <c r="H375" s="14">
        <f>IF(ISNUMBER('Klisz-Verbräuche'!I45), 'Klisz-Verbräuche'!I45*Emissionsfaktoren!G45/1000, 0)</f>
        <v>0</v>
      </c>
      <c r="I375" s="14">
        <f>IF(ISNUMBER('Klisz-Verbräuche'!J45), 'Klisz-Verbräuche'!J45*Emissionsfaktoren!H45/1000, 0)</f>
        <v>0</v>
      </c>
      <c r="J375" s="14">
        <f>IF(ISNUMBER('Klisz-Verbräuche'!K45), 'Klisz-Verbräuche'!K45*Emissionsfaktoren!I45/1000, 0)</f>
        <v>0</v>
      </c>
      <c r="K375" s="14">
        <f>IF(ISNUMBER('Klisz-Verbräuche'!L45), 'Klisz-Verbräuche'!L45*Emissionsfaktoren!J45/1000, 0)</f>
        <v>0</v>
      </c>
      <c r="L375" s="14">
        <f>IF(ISNUMBER('Klisz-Verbräuche'!M45), 'Klisz-Verbräuche'!M45*Emissionsfaktoren!K45/1000, 0)</f>
        <v>0</v>
      </c>
      <c r="M375" s="14">
        <f>IF(ISNUMBER('Klisz-Verbräuche'!N45), 'Klisz-Verbräuche'!N45*Emissionsfaktoren!L45/1000, 0)</f>
        <v>0</v>
      </c>
      <c r="N375" s="14">
        <f>IF(ISNUMBER('Klisz-Verbräuche'!O45), 'Klisz-Verbräuche'!O45*Emissionsfaktoren!M45/1000, 0)</f>
        <v>0</v>
      </c>
      <c r="O375" s="14">
        <f>IF(ISNUMBER('Klisz-Verbräuche'!P45), 'Klisz-Verbräuche'!P45*Emissionsfaktoren!N45/1000, 0)</f>
        <v>0</v>
      </c>
      <c r="P375" s="14">
        <f>IF(ISNUMBER('Klisz-Verbräuche'!Q45), 'Klisz-Verbräuche'!Q45*Emissionsfaktoren!O45/1000, 0)</f>
        <v>0</v>
      </c>
      <c r="Q375" s="14">
        <f>IF(ISNUMBER('Klisz-Verbräuche'!R45), 'Klisz-Verbräuche'!R45*Emissionsfaktoren!P45/1000, 0)</f>
        <v>0</v>
      </c>
      <c r="R375" s="14">
        <f>IF(ISNUMBER('Klisz-Verbräuche'!S45), 'Klisz-Verbräuche'!S45*Emissionsfaktoren!Q45/1000, 0)</f>
        <v>0</v>
      </c>
      <c r="S375" s="14">
        <f>IF(ISNUMBER('Klisz-Verbräuche'!T45), 'Klisz-Verbräuche'!T45*Emissionsfaktoren!R45/1000, 0)</f>
        <v>0</v>
      </c>
      <c r="T375" s="14">
        <f>IF(ISNUMBER('Klisz-Verbräuche'!U45), 'Klisz-Verbräuche'!U45*Emissionsfaktoren!S45/1000, 0)</f>
        <v>0</v>
      </c>
      <c r="U375" s="14">
        <f>IF(ISNUMBER('Klisz-Verbräuche'!V45), 'Klisz-Verbräuche'!V45*Emissionsfaktoren!T45/1000, 0)</f>
        <v>0</v>
      </c>
      <c r="V375" s="14">
        <f>IF(ISNUMBER('Klisz-Verbräuche'!W45), 'Klisz-Verbräuche'!W45*Emissionsfaktoren!U45/1000, 0)</f>
        <v>0</v>
      </c>
      <c r="W375" s="14">
        <f>IF(ISNUMBER('Klisz-Verbräuche'!X45), 'Klisz-Verbräuche'!X45*Emissionsfaktoren!V45/1000, 0)</f>
        <v>0</v>
      </c>
      <c r="X375" s="14">
        <f>IF(ISNUMBER('Klisz-Verbräuche'!Y45), 'Klisz-Verbräuche'!Y45*Emissionsfaktoren!W45/1000, 0)</f>
        <v>0</v>
      </c>
      <c r="Y375" s="14">
        <f>IF(ISNUMBER('Klisz-Verbräuche'!Z45), 'Klisz-Verbräuche'!Z45*Emissionsfaktoren!X45/1000, 0)</f>
        <v>0</v>
      </c>
    </row>
    <row r="376" spans="2:25" ht="16.5">
      <c r="B376" s="14">
        <v>30</v>
      </c>
      <c r="C376" s="14" t="str">
        <f>'Refsz-Verbräuche'!C46</f>
        <v>Kälte</v>
      </c>
      <c r="D376" s="19" t="str">
        <f>'Refsz-Verbräuche'!D46</f>
        <v>Nachfüllmenge Kältemittel (R410A)</v>
      </c>
      <c r="E376" t="s">
        <v>195</v>
      </c>
      <c r="F376" s="14">
        <f>IF(ISNUMBER('Klisz-Verbräuche'!G46), 'Klisz-Verbräuche'!G46*Emissionsfaktoren!E46/1000, 0)</f>
        <v>0</v>
      </c>
      <c r="G376" s="14">
        <f>IF(ISNUMBER('Klisz-Verbräuche'!H46), 'Klisz-Verbräuche'!H46*Emissionsfaktoren!F46/1000, 0)</f>
        <v>0</v>
      </c>
      <c r="H376" s="14">
        <f>IF(ISNUMBER('Klisz-Verbräuche'!I46), 'Klisz-Verbräuche'!I46*Emissionsfaktoren!G46/1000, 0)</f>
        <v>0</v>
      </c>
      <c r="I376" s="14">
        <f>IF(ISNUMBER('Klisz-Verbräuche'!J46), 'Klisz-Verbräuche'!J46*Emissionsfaktoren!H46/1000, 0)</f>
        <v>0</v>
      </c>
      <c r="J376" s="14">
        <f>IF(ISNUMBER('Klisz-Verbräuche'!K46), 'Klisz-Verbräuche'!K46*Emissionsfaktoren!I46/1000, 0)</f>
        <v>0</v>
      </c>
      <c r="K376" s="14">
        <f>IF(ISNUMBER('Klisz-Verbräuche'!L46), 'Klisz-Verbräuche'!L46*Emissionsfaktoren!J46/1000, 0)</f>
        <v>0</v>
      </c>
      <c r="L376" s="14">
        <f>IF(ISNUMBER('Klisz-Verbräuche'!M46), 'Klisz-Verbräuche'!M46*Emissionsfaktoren!K46/1000, 0)</f>
        <v>0</v>
      </c>
      <c r="M376" s="14">
        <f>IF(ISNUMBER('Klisz-Verbräuche'!N46), 'Klisz-Verbräuche'!N46*Emissionsfaktoren!L46/1000, 0)</f>
        <v>0</v>
      </c>
      <c r="N376" s="14">
        <f>IF(ISNUMBER('Klisz-Verbräuche'!O46), 'Klisz-Verbräuche'!O46*Emissionsfaktoren!M46/1000, 0)</f>
        <v>0</v>
      </c>
      <c r="O376" s="14">
        <f>IF(ISNUMBER('Klisz-Verbräuche'!P46), 'Klisz-Verbräuche'!P46*Emissionsfaktoren!N46/1000, 0)</f>
        <v>0</v>
      </c>
      <c r="P376" s="14">
        <f>IF(ISNUMBER('Klisz-Verbräuche'!Q46), 'Klisz-Verbräuche'!Q46*Emissionsfaktoren!O46/1000, 0)</f>
        <v>0</v>
      </c>
      <c r="Q376" s="14">
        <f>IF(ISNUMBER('Klisz-Verbräuche'!R46), 'Klisz-Verbräuche'!R46*Emissionsfaktoren!P46/1000, 0)</f>
        <v>0</v>
      </c>
      <c r="R376" s="14">
        <f>IF(ISNUMBER('Klisz-Verbräuche'!S46), 'Klisz-Verbräuche'!S46*Emissionsfaktoren!Q46/1000, 0)</f>
        <v>0</v>
      </c>
      <c r="S376" s="14">
        <f>IF(ISNUMBER('Klisz-Verbräuche'!T46), 'Klisz-Verbräuche'!T46*Emissionsfaktoren!R46/1000, 0)</f>
        <v>0</v>
      </c>
      <c r="T376" s="14">
        <f>IF(ISNUMBER('Klisz-Verbräuche'!U46), 'Klisz-Verbräuche'!U46*Emissionsfaktoren!S46/1000, 0)</f>
        <v>0</v>
      </c>
      <c r="U376" s="14">
        <f>IF(ISNUMBER('Klisz-Verbräuche'!V46), 'Klisz-Verbräuche'!V46*Emissionsfaktoren!T46/1000, 0)</f>
        <v>0</v>
      </c>
      <c r="V376" s="14">
        <f>IF(ISNUMBER('Klisz-Verbräuche'!W46), 'Klisz-Verbräuche'!W46*Emissionsfaktoren!U46/1000, 0)</f>
        <v>0</v>
      </c>
      <c r="W376" s="14">
        <f>IF(ISNUMBER('Klisz-Verbräuche'!X46), 'Klisz-Verbräuche'!X46*Emissionsfaktoren!V46/1000, 0)</f>
        <v>0</v>
      </c>
      <c r="X376" s="14">
        <f>IF(ISNUMBER('Klisz-Verbräuche'!Y46), 'Klisz-Verbräuche'!Y46*Emissionsfaktoren!W46/1000, 0)</f>
        <v>0</v>
      </c>
      <c r="Y376" s="14">
        <f>IF(ISNUMBER('Klisz-Verbräuche'!Z46), 'Klisz-Verbräuche'!Z46*Emissionsfaktoren!X46/1000, 0)</f>
        <v>0</v>
      </c>
    </row>
    <row r="377" spans="2:25" ht="16.5">
      <c r="B377" s="14">
        <v>31</v>
      </c>
      <c r="C377" s="14">
        <f>'Refsz-Verbräuche'!C47</f>
        <v>0</v>
      </c>
      <c r="D377" s="19">
        <f>'Refsz-Verbräuche'!D47</f>
        <v>0</v>
      </c>
      <c r="E377" t="s">
        <v>195</v>
      </c>
      <c r="F377" s="14">
        <f>IF(ISNUMBER('Klisz-Verbräuche'!G47), 'Klisz-Verbräuche'!G47*Emissionsfaktoren!E47/1000, 0)</f>
        <v>0</v>
      </c>
      <c r="G377" s="14">
        <f>IF(ISNUMBER('Klisz-Verbräuche'!H47), 'Klisz-Verbräuche'!H47*Emissionsfaktoren!F47/1000, 0)</f>
        <v>0</v>
      </c>
      <c r="H377" s="14">
        <f>IF(ISNUMBER('Klisz-Verbräuche'!I47), 'Klisz-Verbräuche'!I47*Emissionsfaktoren!G47/1000, 0)</f>
        <v>0</v>
      </c>
      <c r="I377" s="14">
        <f>IF(ISNUMBER('Klisz-Verbräuche'!J47), 'Klisz-Verbräuche'!J47*Emissionsfaktoren!H47/1000, 0)</f>
        <v>0</v>
      </c>
      <c r="J377" s="14">
        <f>IF(ISNUMBER('Klisz-Verbräuche'!K47), 'Klisz-Verbräuche'!K47*Emissionsfaktoren!I47/1000, 0)</f>
        <v>0</v>
      </c>
      <c r="K377" s="14">
        <f>IF(ISNUMBER('Klisz-Verbräuche'!L47), 'Klisz-Verbräuche'!L47*Emissionsfaktoren!J47/1000, 0)</f>
        <v>0</v>
      </c>
      <c r="L377" s="14">
        <f>IF(ISNUMBER('Klisz-Verbräuche'!M47), 'Klisz-Verbräuche'!M47*Emissionsfaktoren!K47/1000, 0)</f>
        <v>0</v>
      </c>
      <c r="M377" s="14">
        <f>IF(ISNUMBER('Klisz-Verbräuche'!N47), 'Klisz-Verbräuche'!N47*Emissionsfaktoren!L47/1000, 0)</f>
        <v>0</v>
      </c>
      <c r="N377" s="14">
        <f>IF(ISNUMBER('Klisz-Verbräuche'!O47), 'Klisz-Verbräuche'!O47*Emissionsfaktoren!M47/1000, 0)</f>
        <v>0</v>
      </c>
      <c r="O377" s="14">
        <f>IF(ISNUMBER('Klisz-Verbräuche'!P47), 'Klisz-Verbräuche'!P47*Emissionsfaktoren!N47/1000, 0)</f>
        <v>0</v>
      </c>
      <c r="P377" s="14">
        <f>IF(ISNUMBER('Klisz-Verbräuche'!Q47), 'Klisz-Verbräuche'!Q47*Emissionsfaktoren!O47/1000, 0)</f>
        <v>0</v>
      </c>
      <c r="Q377" s="14">
        <f>IF(ISNUMBER('Klisz-Verbräuche'!R47), 'Klisz-Verbräuche'!R47*Emissionsfaktoren!P47/1000, 0)</f>
        <v>0</v>
      </c>
      <c r="R377" s="14">
        <f>IF(ISNUMBER('Klisz-Verbräuche'!S47), 'Klisz-Verbräuche'!S47*Emissionsfaktoren!Q47/1000, 0)</f>
        <v>0</v>
      </c>
      <c r="S377" s="14">
        <f>IF(ISNUMBER('Klisz-Verbräuche'!T47), 'Klisz-Verbräuche'!T47*Emissionsfaktoren!R47/1000, 0)</f>
        <v>0</v>
      </c>
      <c r="T377" s="14">
        <f>IF(ISNUMBER('Klisz-Verbräuche'!U47), 'Klisz-Verbräuche'!U47*Emissionsfaktoren!S47/1000, 0)</f>
        <v>0</v>
      </c>
      <c r="U377" s="14">
        <f>IF(ISNUMBER('Klisz-Verbräuche'!V47), 'Klisz-Verbräuche'!V47*Emissionsfaktoren!T47/1000, 0)</f>
        <v>0</v>
      </c>
      <c r="V377" s="14">
        <f>IF(ISNUMBER('Klisz-Verbräuche'!W47), 'Klisz-Verbräuche'!W47*Emissionsfaktoren!U47/1000, 0)</f>
        <v>0</v>
      </c>
      <c r="W377" s="14">
        <f>IF(ISNUMBER('Klisz-Verbräuche'!X47), 'Klisz-Verbräuche'!X47*Emissionsfaktoren!V47/1000, 0)</f>
        <v>0</v>
      </c>
      <c r="X377" s="14">
        <f>IF(ISNUMBER('Klisz-Verbräuche'!Y47), 'Klisz-Verbräuche'!Y47*Emissionsfaktoren!W47/1000, 0)</f>
        <v>0</v>
      </c>
      <c r="Y377" s="14">
        <f>IF(ISNUMBER('Klisz-Verbräuche'!Z47), 'Klisz-Verbräuche'!Z47*Emissionsfaktoren!X47/1000, 0)</f>
        <v>0</v>
      </c>
    </row>
    <row r="378" spans="2:25" ht="16.5">
      <c r="B378" s="14">
        <v>32</v>
      </c>
      <c r="C378" s="14" t="str">
        <f>'Refsz-Verbräuche'!C48</f>
        <v>Mobilität 1</v>
      </c>
      <c r="D378" s="19" t="str">
        <f>'Refsz-Verbräuche'!D48</f>
        <v>Fuhrpark (Diesel)</v>
      </c>
      <c r="E378" t="s">
        <v>195</v>
      </c>
      <c r="F378" s="14">
        <f>IF(ISNUMBER('Klisz-Verbräuche'!G48), 'Klisz-Verbräuche'!G48*Emissionsfaktoren!E48/1000, 0)</f>
        <v>0</v>
      </c>
      <c r="G378" s="14">
        <f>IF(ISNUMBER('Klisz-Verbräuche'!H48), 'Klisz-Verbräuche'!H48*Emissionsfaktoren!F48/1000, 0)</f>
        <v>0</v>
      </c>
      <c r="H378" s="14">
        <f>IF(ISNUMBER('Klisz-Verbräuche'!I48), 'Klisz-Verbräuche'!I48*Emissionsfaktoren!G48/1000, 0)</f>
        <v>0</v>
      </c>
      <c r="I378" s="14">
        <f>IF(ISNUMBER('Klisz-Verbräuche'!J48), 'Klisz-Verbräuche'!J48*Emissionsfaktoren!H48/1000, 0)</f>
        <v>0</v>
      </c>
      <c r="J378" s="14">
        <f>IF(ISNUMBER('Klisz-Verbräuche'!K48), 'Klisz-Verbräuche'!K48*Emissionsfaktoren!I48/1000, 0)</f>
        <v>0</v>
      </c>
      <c r="K378" s="14">
        <f>IF(ISNUMBER('Klisz-Verbräuche'!L48), 'Klisz-Verbräuche'!L48*Emissionsfaktoren!J48/1000, 0)</f>
        <v>0</v>
      </c>
      <c r="L378" s="14">
        <f>IF(ISNUMBER('Klisz-Verbräuche'!M48), 'Klisz-Verbräuche'!M48*Emissionsfaktoren!K48/1000, 0)</f>
        <v>0</v>
      </c>
      <c r="M378" s="14">
        <f>IF(ISNUMBER('Klisz-Verbräuche'!N48), 'Klisz-Verbräuche'!N48*Emissionsfaktoren!L48/1000, 0)</f>
        <v>0</v>
      </c>
      <c r="N378" s="14">
        <f>IF(ISNUMBER('Klisz-Verbräuche'!O48), 'Klisz-Verbräuche'!O48*Emissionsfaktoren!M48/1000, 0)</f>
        <v>0</v>
      </c>
      <c r="O378" s="14">
        <f>IF(ISNUMBER('Klisz-Verbräuche'!P48), 'Klisz-Verbräuche'!P48*Emissionsfaktoren!N48/1000, 0)</f>
        <v>0</v>
      </c>
      <c r="P378" s="14">
        <f>IF(ISNUMBER('Klisz-Verbräuche'!Q48), 'Klisz-Verbräuche'!Q48*Emissionsfaktoren!O48/1000, 0)</f>
        <v>0</v>
      </c>
      <c r="Q378" s="14">
        <f>IF(ISNUMBER('Klisz-Verbräuche'!R48), 'Klisz-Verbräuche'!R48*Emissionsfaktoren!P48/1000, 0)</f>
        <v>0</v>
      </c>
      <c r="R378" s="14">
        <f>IF(ISNUMBER('Klisz-Verbräuche'!S48), 'Klisz-Verbräuche'!S48*Emissionsfaktoren!Q48/1000, 0)</f>
        <v>0</v>
      </c>
      <c r="S378" s="14">
        <f>IF(ISNUMBER('Klisz-Verbräuche'!T48), 'Klisz-Verbräuche'!T48*Emissionsfaktoren!R48/1000, 0)</f>
        <v>0</v>
      </c>
      <c r="T378" s="14">
        <f>IF(ISNUMBER('Klisz-Verbräuche'!U48), 'Klisz-Verbräuche'!U48*Emissionsfaktoren!S48/1000, 0)</f>
        <v>0</v>
      </c>
      <c r="U378" s="14">
        <f>IF(ISNUMBER('Klisz-Verbräuche'!V48), 'Klisz-Verbräuche'!V48*Emissionsfaktoren!T48/1000, 0)</f>
        <v>0</v>
      </c>
      <c r="V378" s="14">
        <f>IF(ISNUMBER('Klisz-Verbräuche'!W48), 'Klisz-Verbräuche'!W48*Emissionsfaktoren!U48/1000, 0)</f>
        <v>0</v>
      </c>
      <c r="W378" s="14">
        <f>IF(ISNUMBER('Klisz-Verbräuche'!X48), 'Klisz-Verbräuche'!X48*Emissionsfaktoren!V48/1000, 0)</f>
        <v>0</v>
      </c>
      <c r="X378" s="14">
        <f>IF(ISNUMBER('Klisz-Verbräuche'!Y48), 'Klisz-Verbräuche'!Y48*Emissionsfaktoren!W48/1000, 0)</f>
        <v>0</v>
      </c>
      <c r="Y378" s="14">
        <f>IF(ISNUMBER('Klisz-Verbräuche'!Z48), 'Klisz-Verbräuche'!Z48*Emissionsfaktoren!X48/1000, 0)</f>
        <v>0</v>
      </c>
    </row>
    <row r="379" spans="2:25" ht="16.5">
      <c r="B379" s="14">
        <v>33</v>
      </c>
      <c r="C379" s="14" t="str">
        <f>'Refsz-Verbräuche'!C49</f>
        <v>Mobilität 1</v>
      </c>
      <c r="D379" s="19" t="str">
        <f>'Refsz-Verbräuche'!D49</f>
        <v>Fuhrpark (Benzin)</v>
      </c>
      <c r="E379" t="s">
        <v>195</v>
      </c>
      <c r="F379" s="14">
        <f>IF(ISNUMBER('Klisz-Verbräuche'!G49), 'Klisz-Verbräuche'!G49*Emissionsfaktoren!E49/1000, 0)</f>
        <v>0</v>
      </c>
      <c r="G379" s="14">
        <f>IF(ISNUMBER('Klisz-Verbräuche'!H49), 'Klisz-Verbräuche'!H49*Emissionsfaktoren!F49/1000, 0)</f>
        <v>0</v>
      </c>
      <c r="H379" s="14">
        <f>IF(ISNUMBER('Klisz-Verbräuche'!I49), 'Klisz-Verbräuche'!I49*Emissionsfaktoren!G49/1000, 0)</f>
        <v>0</v>
      </c>
      <c r="I379" s="14">
        <f>IF(ISNUMBER('Klisz-Verbräuche'!J49), 'Klisz-Verbräuche'!J49*Emissionsfaktoren!H49/1000, 0)</f>
        <v>0</v>
      </c>
      <c r="J379" s="14">
        <f>IF(ISNUMBER('Klisz-Verbräuche'!K49), 'Klisz-Verbräuche'!K49*Emissionsfaktoren!I49/1000, 0)</f>
        <v>0</v>
      </c>
      <c r="K379" s="14">
        <f>IF(ISNUMBER('Klisz-Verbräuche'!L49), 'Klisz-Verbräuche'!L49*Emissionsfaktoren!J49/1000, 0)</f>
        <v>0</v>
      </c>
      <c r="L379" s="14">
        <f>IF(ISNUMBER('Klisz-Verbräuche'!M49), 'Klisz-Verbräuche'!M49*Emissionsfaktoren!K49/1000, 0)</f>
        <v>0</v>
      </c>
      <c r="M379" s="14">
        <f>IF(ISNUMBER('Klisz-Verbräuche'!N49), 'Klisz-Verbräuche'!N49*Emissionsfaktoren!L49/1000, 0)</f>
        <v>0</v>
      </c>
      <c r="N379" s="14">
        <f>IF(ISNUMBER('Klisz-Verbräuche'!O49), 'Klisz-Verbräuche'!O49*Emissionsfaktoren!M49/1000, 0)</f>
        <v>0</v>
      </c>
      <c r="O379" s="14">
        <f>IF(ISNUMBER('Klisz-Verbräuche'!P49), 'Klisz-Verbräuche'!P49*Emissionsfaktoren!N49/1000, 0)</f>
        <v>0</v>
      </c>
      <c r="P379" s="14">
        <f>IF(ISNUMBER('Klisz-Verbräuche'!Q49), 'Klisz-Verbräuche'!Q49*Emissionsfaktoren!O49/1000, 0)</f>
        <v>0</v>
      </c>
      <c r="Q379" s="14">
        <f>IF(ISNUMBER('Klisz-Verbräuche'!R49), 'Klisz-Verbräuche'!R49*Emissionsfaktoren!P49/1000, 0)</f>
        <v>0</v>
      </c>
      <c r="R379" s="14">
        <f>IF(ISNUMBER('Klisz-Verbräuche'!S49), 'Klisz-Verbräuche'!S49*Emissionsfaktoren!Q49/1000, 0)</f>
        <v>0</v>
      </c>
      <c r="S379" s="14">
        <f>IF(ISNUMBER('Klisz-Verbräuche'!T49), 'Klisz-Verbräuche'!T49*Emissionsfaktoren!R49/1000, 0)</f>
        <v>0</v>
      </c>
      <c r="T379" s="14">
        <f>IF(ISNUMBER('Klisz-Verbräuche'!U49), 'Klisz-Verbräuche'!U49*Emissionsfaktoren!S49/1000, 0)</f>
        <v>0</v>
      </c>
      <c r="U379" s="14">
        <f>IF(ISNUMBER('Klisz-Verbräuche'!V49), 'Klisz-Verbräuche'!V49*Emissionsfaktoren!T49/1000, 0)</f>
        <v>0</v>
      </c>
      <c r="V379" s="14">
        <f>IF(ISNUMBER('Klisz-Verbräuche'!W49), 'Klisz-Verbräuche'!W49*Emissionsfaktoren!U49/1000, 0)</f>
        <v>0</v>
      </c>
      <c r="W379" s="14">
        <f>IF(ISNUMBER('Klisz-Verbräuche'!X49), 'Klisz-Verbräuche'!X49*Emissionsfaktoren!V49/1000, 0)</f>
        <v>0</v>
      </c>
      <c r="X379" s="14">
        <f>IF(ISNUMBER('Klisz-Verbräuche'!Y49), 'Klisz-Verbräuche'!Y49*Emissionsfaktoren!W49/1000, 0)</f>
        <v>0</v>
      </c>
      <c r="Y379" s="14">
        <f>IF(ISNUMBER('Klisz-Verbräuche'!Z49), 'Klisz-Verbräuche'!Z49*Emissionsfaktoren!X49/1000, 0)</f>
        <v>0</v>
      </c>
    </row>
    <row r="380" spans="2:25" ht="16.5">
      <c r="B380" s="14">
        <v>34</v>
      </c>
      <c r="C380" s="14" t="str">
        <f>'Refsz-Verbräuche'!C50</f>
        <v>Mobilität 1</v>
      </c>
      <c r="D380" s="19" t="str">
        <f>'Refsz-Verbräuche'!D50</f>
        <v>Fuhrpark (E-Auto/ BEV)</v>
      </c>
      <c r="E380" t="s">
        <v>195</v>
      </c>
      <c r="F380" s="14">
        <f>IF(ISNUMBER('Klisz-Verbräuche'!G50), 'Klisz-Verbräuche'!G50*Emissionsfaktoren!E50/1000, 0)</f>
        <v>0</v>
      </c>
      <c r="G380" s="14">
        <f>IF(ISNUMBER('Klisz-Verbräuche'!H50), 'Klisz-Verbräuche'!H50*Emissionsfaktoren!F50/1000, 0)</f>
        <v>0</v>
      </c>
      <c r="H380" s="14">
        <f>IF(ISNUMBER('Klisz-Verbräuche'!I50), 'Klisz-Verbräuche'!I50*Emissionsfaktoren!G50/1000, 0)</f>
        <v>0</v>
      </c>
      <c r="I380" s="14">
        <f>IF(ISNUMBER('Klisz-Verbräuche'!J50), 'Klisz-Verbräuche'!J50*Emissionsfaktoren!H50/1000, 0)</f>
        <v>0</v>
      </c>
      <c r="J380" s="14">
        <f>IF(ISNUMBER('Klisz-Verbräuche'!K50), 'Klisz-Verbräuche'!K50*Emissionsfaktoren!I50/1000, 0)</f>
        <v>0</v>
      </c>
      <c r="K380" s="14">
        <f>IF(ISNUMBER('Klisz-Verbräuche'!L50), 'Klisz-Verbräuche'!L50*Emissionsfaktoren!J50/1000, 0)</f>
        <v>0</v>
      </c>
      <c r="L380" s="14">
        <f>IF(ISNUMBER('Klisz-Verbräuche'!M50), 'Klisz-Verbräuche'!M50*Emissionsfaktoren!K50/1000, 0)</f>
        <v>0</v>
      </c>
      <c r="M380" s="14">
        <f>IF(ISNUMBER('Klisz-Verbräuche'!N50), 'Klisz-Verbräuche'!N50*Emissionsfaktoren!L50/1000, 0)</f>
        <v>0</v>
      </c>
      <c r="N380" s="14">
        <f>IF(ISNUMBER('Klisz-Verbräuche'!O50), 'Klisz-Verbräuche'!O50*Emissionsfaktoren!M50/1000, 0)</f>
        <v>0</v>
      </c>
      <c r="O380" s="14">
        <f>IF(ISNUMBER('Klisz-Verbräuche'!P50), 'Klisz-Verbräuche'!P50*Emissionsfaktoren!N50/1000, 0)</f>
        <v>0</v>
      </c>
      <c r="P380" s="14">
        <f>IF(ISNUMBER('Klisz-Verbräuche'!Q50), 'Klisz-Verbräuche'!Q50*Emissionsfaktoren!O50/1000, 0)</f>
        <v>0</v>
      </c>
      <c r="Q380" s="14">
        <f>IF(ISNUMBER('Klisz-Verbräuche'!R50), 'Klisz-Verbräuche'!R50*Emissionsfaktoren!P50/1000, 0)</f>
        <v>0</v>
      </c>
      <c r="R380" s="14">
        <f>IF(ISNUMBER('Klisz-Verbräuche'!S50), 'Klisz-Verbräuche'!S50*Emissionsfaktoren!Q50/1000, 0)</f>
        <v>0</v>
      </c>
      <c r="S380" s="14">
        <f>IF(ISNUMBER('Klisz-Verbräuche'!T50), 'Klisz-Verbräuche'!T50*Emissionsfaktoren!R50/1000, 0)</f>
        <v>0</v>
      </c>
      <c r="T380" s="14">
        <f>IF(ISNUMBER('Klisz-Verbräuche'!U50), 'Klisz-Verbräuche'!U50*Emissionsfaktoren!S50/1000, 0)</f>
        <v>0</v>
      </c>
      <c r="U380" s="14">
        <f>IF(ISNUMBER('Klisz-Verbräuche'!V50), 'Klisz-Verbräuche'!V50*Emissionsfaktoren!T50/1000, 0)</f>
        <v>0</v>
      </c>
      <c r="V380" s="14">
        <f>IF(ISNUMBER('Klisz-Verbräuche'!W50), 'Klisz-Verbräuche'!W50*Emissionsfaktoren!U50/1000, 0)</f>
        <v>0</v>
      </c>
      <c r="W380" s="14">
        <f>IF(ISNUMBER('Klisz-Verbräuche'!X50), 'Klisz-Verbräuche'!X50*Emissionsfaktoren!V50/1000, 0)</f>
        <v>0</v>
      </c>
      <c r="X380" s="14">
        <f>IF(ISNUMBER('Klisz-Verbräuche'!Y50), 'Klisz-Verbräuche'!Y50*Emissionsfaktoren!W50/1000, 0)</f>
        <v>0</v>
      </c>
      <c r="Y380" s="14">
        <f>IF(ISNUMBER('Klisz-Verbräuche'!Z50), 'Klisz-Verbräuche'!Z50*Emissionsfaktoren!X50/1000, 0)</f>
        <v>0</v>
      </c>
    </row>
    <row r="381" spans="2:25" ht="16.5">
      <c r="B381" s="14">
        <v>35</v>
      </c>
      <c r="C381" s="14" t="str">
        <f>'Refsz-Verbräuche'!C51</f>
        <v>Mobilität 1</v>
      </c>
      <c r="D381" s="19" t="str">
        <f>'Refsz-Verbräuche'!D51</f>
        <v>Fuhrpark (Wasserstoff/ FCEV)</v>
      </c>
      <c r="E381" t="s">
        <v>195</v>
      </c>
      <c r="F381" s="14">
        <f>IF(ISNUMBER('Klisz-Verbräuche'!G51), 'Klisz-Verbräuche'!G51*Emissionsfaktoren!E51/1000, 0)</f>
        <v>0</v>
      </c>
      <c r="G381" s="14">
        <f>IF(ISNUMBER('Klisz-Verbräuche'!H51), 'Klisz-Verbräuche'!H51*Emissionsfaktoren!F51/1000, 0)</f>
        <v>0</v>
      </c>
      <c r="H381" s="14">
        <f>IF(ISNUMBER('Klisz-Verbräuche'!I51), 'Klisz-Verbräuche'!I51*Emissionsfaktoren!G51/1000, 0)</f>
        <v>0</v>
      </c>
      <c r="I381" s="14">
        <f>IF(ISNUMBER('Klisz-Verbräuche'!J51), 'Klisz-Verbräuche'!J51*Emissionsfaktoren!H51/1000, 0)</f>
        <v>0</v>
      </c>
      <c r="J381" s="14">
        <f>IF(ISNUMBER('Klisz-Verbräuche'!K51), 'Klisz-Verbräuche'!K51*Emissionsfaktoren!I51/1000, 0)</f>
        <v>0</v>
      </c>
      <c r="K381" s="14">
        <f>IF(ISNUMBER('Klisz-Verbräuche'!L51), 'Klisz-Verbräuche'!L51*Emissionsfaktoren!J51/1000, 0)</f>
        <v>0</v>
      </c>
      <c r="L381" s="14">
        <f>IF(ISNUMBER('Klisz-Verbräuche'!M51), 'Klisz-Verbräuche'!M51*Emissionsfaktoren!K51/1000, 0)</f>
        <v>0</v>
      </c>
      <c r="M381" s="14">
        <f>IF(ISNUMBER('Klisz-Verbräuche'!N51), 'Klisz-Verbräuche'!N51*Emissionsfaktoren!L51/1000, 0)</f>
        <v>0</v>
      </c>
      <c r="N381" s="14">
        <f>IF(ISNUMBER('Klisz-Verbräuche'!O51), 'Klisz-Verbräuche'!O51*Emissionsfaktoren!M51/1000, 0)</f>
        <v>0</v>
      </c>
      <c r="O381" s="14">
        <f>IF(ISNUMBER('Klisz-Verbräuche'!P51), 'Klisz-Verbräuche'!P51*Emissionsfaktoren!N51/1000, 0)</f>
        <v>0</v>
      </c>
      <c r="P381" s="14">
        <f>IF(ISNUMBER('Klisz-Verbräuche'!Q51), 'Klisz-Verbräuche'!Q51*Emissionsfaktoren!O51/1000, 0)</f>
        <v>0</v>
      </c>
      <c r="Q381" s="14">
        <f>IF(ISNUMBER('Klisz-Verbräuche'!R51), 'Klisz-Verbräuche'!R51*Emissionsfaktoren!P51/1000, 0)</f>
        <v>0</v>
      </c>
      <c r="R381" s="14">
        <f>IF(ISNUMBER('Klisz-Verbräuche'!S51), 'Klisz-Verbräuche'!S51*Emissionsfaktoren!Q51/1000, 0)</f>
        <v>0</v>
      </c>
      <c r="S381" s="14">
        <f>IF(ISNUMBER('Klisz-Verbräuche'!T51), 'Klisz-Verbräuche'!T51*Emissionsfaktoren!R51/1000, 0)</f>
        <v>0</v>
      </c>
      <c r="T381" s="14">
        <f>IF(ISNUMBER('Klisz-Verbräuche'!U51), 'Klisz-Verbräuche'!U51*Emissionsfaktoren!S51/1000, 0)</f>
        <v>0</v>
      </c>
      <c r="U381" s="14">
        <f>IF(ISNUMBER('Klisz-Verbräuche'!V51), 'Klisz-Verbräuche'!V51*Emissionsfaktoren!T51/1000, 0)</f>
        <v>0</v>
      </c>
      <c r="V381" s="14">
        <f>IF(ISNUMBER('Klisz-Verbräuche'!W51), 'Klisz-Verbräuche'!W51*Emissionsfaktoren!U51/1000, 0)</f>
        <v>0</v>
      </c>
      <c r="W381" s="14">
        <f>IF(ISNUMBER('Klisz-Verbräuche'!X51), 'Klisz-Verbräuche'!X51*Emissionsfaktoren!V51/1000, 0)</f>
        <v>0</v>
      </c>
      <c r="X381" s="14">
        <f>IF(ISNUMBER('Klisz-Verbräuche'!Y51), 'Klisz-Verbräuche'!Y51*Emissionsfaktoren!W51/1000, 0)</f>
        <v>0</v>
      </c>
      <c r="Y381" s="14">
        <f>IF(ISNUMBER('Klisz-Verbräuche'!Z51), 'Klisz-Verbräuche'!Z51*Emissionsfaktoren!X51/1000, 0)</f>
        <v>0</v>
      </c>
    </row>
    <row r="382" spans="2:25" ht="16.5">
      <c r="B382" s="14">
        <v>36</v>
      </c>
      <c r="C382" s="14" t="str">
        <f>'Refsz-Verbräuche'!C52</f>
        <v>Mobilität 1</v>
      </c>
      <c r="D382" s="19" t="str">
        <f>'Refsz-Verbräuche'!D52</f>
        <v>Fuhrpark (CNG)</v>
      </c>
      <c r="E382" t="s">
        <v>195</v>
      </c>
      <c r="F382" s="14">
        <f>IF(ISNUMBER('Klisz-Verbräuche'!G52), 'Klisz-Verbräuche'!G52*Emissionsfaktoren!E52/1000, 0)</f>
        <v>0</v>
      </c>
      <c r="G382" s="14">
        <f>IF(ISNUMBER('Klisz-Verbräuche'!H52), 'Klisz-Verbräuche'!H52*Emissionsfaktoren!F52/1000, 0)</f>
        <v>0</v>
      </c>
      <c r="H382" s="14">
        <f>IF(ISNUMBER('Klisz-Verbräuche'!I52), 'Klisz-Verbräuche'!I52*Emissionsfaktoren!G52/1000, 0)</f>
        <v>0</v>
      </c>
      <c r="I382" s="14">
        <f>IF(ISNUMBER('Klisz-Verbräuche'!J52), 'Klisz-Verbräuche'!J52*Emissionsfaktoren!H52/1000, 0)</f>
        <v>0</v>
      </c>
      <c r="J382" s="14">
        <f>IF(ISNUMBER('Klisz-Verbräuche'!K52), 'Klisz-Verbräuche'!K52*Emissionsfaktoren!I52/1000, 0)</f>
        <v>0</v>
      </c>
      <c r="K382" s="14">
        <f>IF(ISNUMBER('Klisz-Verbräuche'!L52), 'Klisz-Verbräuche'!L52*Emissionsfaktoren!J52/1000, 0)</f>
        <v>0</v>
      </c>
      <c r="L382" s="14">
        <f>IF(ISNUMBER('Klisz-Verbräuche'!M52), 'Klisz-Verbräuche'!M52*Emissionsfaktoren!K52/1000, 0)</f>
        <v>0</v>
      </c>
      <c r="M382" s="14">
        <f>IF(ISNUMBER('Klisz-Verbräuche'!N52), 'Klisz-Verbräuche'!N52*Emissionsfaktoren!L52/1000, 0)</f>
        <v>0</v>
      </c>
      <c r="N382" s="14">
        <f>IF(ISNUMBER('Klisz-Verbräuche'!O52), 'Klisz-Verbräuche'!O52*Emissionsfaktoren!M52/1000, 0)</f>
        <v>0</v>
      </c>
      <c r="O382" s="14">
        <f>IF(ISNUMBER('Klisz-Verbräuche'!P52), 'Klisz-Verbräuche'!P52*Emissionsfaktoren!N52/1000, 0)</f>
        <v>0</v>
      </c>
      <c r="P382" s="14">
        <f>IF(ISNUMBER('Klisz-Verbräuche'!Q52), 'Klisz-Verbräuche'!Q52*Emissionsfaktoren!O52/1000, 0)</f>
        <v>0</v>
      </c>
      <c r="Q382" s="14">
        <f>IF(ISNUMBER('Klisz-Verbräuche'!R52), 'Klisz-Verbräuche'!R52*Emissionsfaktoren!P52/1000, 0)</f>
        <v>0</v>
      </c>
      <c r="R382" s="14">
        <f>IF(ISNUMBER('Klisz-Verbräuche'!S52), 'Klisz-Verbräuche'!S52*Emissionsfaktoren!Q52/1000, 0)</f>
        <v>0</v>
      </c>
      <c r="S382" s="14">
        <f>IF(ISNUMBER('Klisz-Verbräuche'!T52), 'Klisz-Verbräuche'!T52*Emissionsfaktoren!R52/1000, 0)</f>
        <v>0</v>
      </c>
      <c r="T382" s="14">
        <f>IF(ISNUMBER('Klisz-Verbräuche'!U52), 'Klisz-Verbräuche'!U52*Emissionsfaktoren!S52/1000, 0)</f>
        <v>0</v>
      </c>
      <c r="U382" s="14">
        <f>IF(ISNUMBER('Klisz-Verbräuche'!V52), 'Klisz-Verbräuche'!V52*Emissionsfaktoren!T52/1000, 0)</f>
        <v>0</v>
      </c>
      <c r="V382" s="14">
        <f>IF(ISNUMBER('Klisz-Verbräuche'!W52), 'Klisz-Verbräuche'!W52*Emissionsfaktoren!U52/1000, 0)</f>
        <v>0</v>
      </c>
      <c r="W382" s="14">
        <f>IF(ISNUMBER('Klisz-Verbräuche'!X52), 'Klisz-Verbräuche'!X52*Emissionsfaktoren!V52/1000, 0)</f>
        <v>0</v>
      </c>
      <c r="X382" s="14">
        <f>IF(ISNUMBER('Klisz-Verbräuche'!Y52), 'Klisz-Verbräuche'!Y52*Emissionsfaktoren!W52/1000, 0)</f>
        <v>0</v>
      </c>
      <c r="Y382" s="14">
        <f>IF(ISNUMBER('Klisz-Verbräuche'!Z52), 'Klisz-Verbräuche'!Z52*Emissionsfaktoren!X52/1000, 0)</f>
        <v>0</v>
      </c>
    </row>
    <row r="383" spans="2:25" ht="16.5">
      <c r="B383" s="14">
        <v>37</v>
      </c>
      <c r="C383" s="14" t="str">
        <f>'Refsz-Verbräuche'!C53</f>
        <v>Mobilität 1</v>
      </c>
      <c r="D383" s="19" t="str">
        <f>'Refsz-Verbräuche'!D53</f>
        <v>Fuhrpark (Plug-In-Hybrid, PHEV)</v>
      </c>
      <c r="E383" t="s">
        <v>195</v>
      </c>
      <c r="F383" s="14">
        <f>IF(ISNUMBER('Klisz-Verbräuche'!G53), 'Klisz-Verbräuche'!G53*Emissionsfaktoren!E53/1000, 0)</f>
        <v>0</v>
      </c>
      <c r="G383" s="14">
        <f>IF(ISNUMBER('Klisz-Verbräuche'!H53), 'Klisz-Verbräuche'!H53*Emissionsfaktoren!F53/1000, 0)</f>
        <v>0</v>
      </c>
      <c r="H383" s="14">
        <f>IF(ISNUMBER('Klisz-Verbräuche'!I53), 'Klisz-Verbräuche'!I53*Emissionsfaktoren!G53/1000, 0)</f>
        <v>0</v>
      </c>
      <c r="I383" s="14">
        <f>IF(ISNUMBER('Klisz-Verbräuche'!J53), 'Klisz-Verbräuche'!J53*Emissionsfaktoren!H53/1000, 0)</f>
        <v>0</v>
      </c>
      <c r="J383" s="14">
        <f>IF(ISNUMBER('Klisz-Verbräuche'!K53), 'Klisz-Verbräuche'!K53*Emissionsfaktoren!I53/1000, 0)</f>
        <v>0</v>
      </c>
      <c r="K383" s="14">
        <f>IF(ISNUMBER('Klisz-Verbräuche'!L53), 'Klisz-Verbräuche'!L53*Emissionsfaktoren!J53/1000, 0)</f>
        <v>0</v>
      </c>
      <c r="L383" s="14">
        <f>IF(ISNUMBER('Klisz-Verbräuche'!M53), 'Klisz-Verbräuche'!M53*Emissionsfaktoren!K53/1000, 0)</f>
        <v>0</v>
      </c>
      <c r="M383" s="14">
        <f>IF(ISNUMBER('Klisz-Verbräuche'!N53), 'Klisz-Verbräuche'!N53*Emissionsfaktoren!L53/1000, 0)</f>
        <v>0</v>
      </c>
      <c r="N383" s="14">
        <f>IF(ISNUMBER('Klisz-Verbräuche'!O53), 'Klisz-Verbräuche'!O53*Emissionsfaktoren!M53/1000, 0)</f>
        <v>0</v>
      </c>
      <c r="O383" s="14">
        <f>IF(ISNUMBER('Klisz-Verbräuche'!P53), 'Klisz-Verbräuche'!P53*Emissionsfaktoren!N53/1000, 0)</f>
        <v>0</v>
      </c>
      <c r="P383" s="14">
        <f>IF(ISNUMBER('Klisz-Verbräuche'!Q53), 'Klisz-Verbräuche'!Q53*Emissionsfaktoren!O53/1000, 0)</f>
        <v>0</v>
      </c>
      <c r="Q383" s="14">
        <f>IF(ISNUMBER('Klisz-Verbräuche'!R53), 'Klisz-Verbräuche'!R53*Emissionsfaktoren!P53/1000, 0)</f>
        <v>0</v>
      </c>
      <c r="R383" s="14">
        <f>IF(ISNUMBER('Klisz-Verbräuche'!S53), 'Klisz-Verbräuche'!S53*Emissionsfaktoren!Q53/1000, 0)</f>
        <v>0</v>
      </c>
      <c r="S383" s="14">
        <f>IF(ISNUMBER('Klisz-Verbräuche'!T53), 'Klisz-Verbräuche'!T53*Emissionsfaktoren!R53/1000, 0)</f>
        <v>0</v>
      </c>
      <c r="T383" s="14">
        <f>IF(ISNUMBER('Klisz-Verbräuche'!U53), 'Klisz-Verbräuche'!U53*Emissionsfaktoren!S53/1000, 0)</f>
        <v>0</v>
      </c>
      <c r="U383" s="14">
        <f>IF(ISNUMBER('Klisz-Verbräuche'!V53), 'Klisz-Verbräuche'!V53*Emissionsfaktoren!T53/1000, 0)</f>
        <v>0</v>
      </c>
      <c r="V383" s="14">
        <f>IF(ISNUMBER('Klisz-Verbräuche'!W53), 'Klisz-Verbräuche'!W53*Emissionsfaktoren!U53/1000, 0)</f>
        <v>0</v>
      </c>
      <c r="W383" s="14">
        <f>IF(ISNUMBER('Klisz-Verbräuche'!X53), 'Klisz-Verbräuche'!X53*Emissionsfaktoren!V53/1000, 0)</f>
        <v>0</v>
      </c>
      <c r="X383" s="14">
        <f>IF(ISNUMBER('Klisz-Verbräuche'!Y53), 'Klisz-Verbräuche'!Y53*Emissionsfaktoren!W53/1000, 0)</f>
        <v>0</v>
      </c>
      <c r="Y383" s="14">
        <f>IF(ISNUMBER('Klisz-Verbräuche'!Z53), 'Klisz-Verbräuche'!Z53*Emissionsfaktoren!X53/1000, 0)</f>
        <v>0</v>
      </c>
    </row>
    <row r="384" spans="2:25" ht="16.5">
      <c r="B384" s="14">
        <v>38</v>
      </c>
      <c r="C384" s="14">
        <f>'Refsz-Verbräuche'!C54</f>
        <v>0</v>
      </c>
      <c r="D384" s="19">
        <f>'Refsz-Verbräuche'!D54</f>
        <v>0</v>
      </c>
      <c r="E384" t="s">
        <v>195</v>
      </c>
      <c r="F384" s="14">
        <f>IF(ISNUMBER('Klisz-Verbräuche'!G54), 'Klisz-Verbräuche'!G54*Emissionsfaktoren!E54/1000, 0)</f>
        <v>0</v>
      </c>
      <c r="G384" s="14">
        <f>IF(ISNUMBER('Klisz-Verbräuche'!H54), 'Klisz-Verbräuche'!H54*Emissionsfaktoren!F54/1000, 0)</f>
        <v>0</v>
      </c>
      <c r="H384" s="14">
        <f>IF(ISNUMBER('Klisz-Verbräuche'!I54), 'Klisz-Verbräuche'!I54*Emissionsfaktoren!G54/1000, 0)</f>
        <v>0</v>
      </c>
      <c r="I384" s="14">
        <f>IF(ISNUMBER('Klisz-Verbräuche'!J54), 'Klisz-Verbräuche'!J54*Emissionsfaktoren!H54/1000, 0)</f>
        <v>0</v>
      </c>
      <c r="J384" s="14">
        <f>IF(ISNUMBER('Klisz-Verbräuche'!K54), 'Klisz-Verbräuche'!K54*Emissionsfaktoren!I54/1000, 0)</f>
        <v>0</v>
      </c>
      <c r="K384" s="14">
        <f>IF(ISNUMBER('Klisz-Verbräuche'!L54), 'Klisz-Verbräuche'!L54*Emissionsfaktoren!J54/1000, 0)</f>
        <v>0</v>
      </c>
      <c r="L384" s="14">
        <f>IF(ISNUMBER('Klisz-Verbräuche'!M54), 'Klisz-Verbräuche'!M54*Emissionsfaktoren!K54/1000, 0)</f>
        <v>0</v>
      </c>
      <c r="M384" s="14">
        <f>IF(ISNUMBER('Klisz-Verbräuche'!N54), 'Klisz-Verbräuche'!N54*Emissionsfaktoren!L54/1000, 0)</f>
        <v>0</v>
      </c>
      <c r="N384" s="14">
        <f>IF(ISNUMBER('Klisz-Verbräuche'!O54), 'Klisz-Verbräuche'!O54*Emissionsfaktoren!M54/1000, 0)</f>
        <v>0</v>
      </c>
      <c r="O384" s="14">
        <f>IF(ISNUMBER('Klisz-Verbräuche'!P54), 'Klisz-Verbräuche'!P54*Emissionsfaktoren!N54/1000, 0)</f>
        <v>0</v>
      </c>
      <c r="P384" s="14">
        <f>IF(ISNUMBER('Klisz-Verbräuche'!Q54), 'Klisz-Verbräuche'!Q54*Emissionsfaktoren!O54/1000, 0)</f>
        <v>0</v>
      </c>
      <c r="Q384" s="14">
        <f>IF(ISNUMBER('Klisz-Verbräuche'!R54), 'Klisz-Verbräuche'!R54*Emissionsfaktoren!P54/1000, 0)</f>
        <v>0</v>
      </c>
      <c r="R384" s="14">
        <f>IF(ISNUMBER('Klisz-Verbräuche'!S54), 'Klisz-Verbräuche'!S54*Emissionsfaktoren!Q54/1000, 0)</f>
        <v>0</v>
      </c>
      <c r="S384" s="14">
        <f>IF(ISNUMBER('Klisz-Verbräuche'!T54), 'Klisz-Verbräuche'!T54*Emissionsfaktoren!R54/1000, 0)</f>
        <v>0</v>
      </c>
      <c r="T384" s="14">
        <f>IF(ISNUMBER('Klisz-Verbräuche'!U54), 'Klisz-Verbräuche'!U54*Emissionsfaktoren!S54/1000, 0)</f>
        <v>0</v>
      </c>
      <c r="U384" s="14">
        <f>IF(ISNUMBER('Klisz-Verbräuche'!V54), 'Klisz-Verbräuche'!V54*Emissionsfaktoren!T54/1000, 0)</f>
        <v>0</v>
      </c>
      <c r="V384" s="14">
        <f>IF(ISNUMBER('Klisz-Verbräuche'!W54), 'Klisz-Verbräuche'!W54*Emissionsfaktoren!U54/1000, 0)</f>
        <v>0</v>
      </c>
      <c r="W384" s="14">
        <f>IF(ISNUMBER('Klisz-Verbräuche'!X54), 'Klisz-Verbräuche'!X54*Emissionsfaktoren!V54/1000, 0)</f>
        <v>0</v>
      </c>
      <c r="X384" s="14">
        <f>IF(ISNUMBER('Klisz-Verbräuche'!Y54), 'Klisz-Verbräuche'!Y54*Emissionsfaktoren!W54/1000, 0)</f>
        <v>0</v>
      </c>
      <c r="Y384" s="14">
        <f>IF(ISNUMBER('Klisz-Verbräuche'!Z54), 'Klisz-Verbräuche'!Z54*Emissionsfaktoren!X54/1000, 0)</f>
        <v>0</v>
      </c>
    </row>
    <row r="385" spans="2:25" ht="16.5">
      <c r="B385" s="14">
        <v>39</v>
      </c>
      <c r="C385" s="14" t="str">
        <f>'Refsz-Verbräuche'!C55</f>
        <v>Mobilität 1</v>
      </c>
      <c r="D385" s="19" t="str">
        <f>'Refsz-Verbräuche'!D55</f>
        <v>DR - Flugreisen</v>
      </c>
      <c r="E385" t="s">
        <v>195</v>
      </c>
      <c r="F385" s="14">
        <f>IF(ISNUMBER('Klisz-Verbräuche'!G55), 'Klisz-Verbräuche'!G55*Emissionsfaktoren!E55/1000, 0)</f>
        <v>0</v>
      </c>
      <c r="G385" s="14">
        <f>IF(ISNUMBER('Klisz-Verbräuche'!H55), 'Klisz-Verbräuche'!H55*Emissionsfaktoren!F55/1000, 0)</f>
        <v>0</v>
      </c>
      <c r="H385" s="14">
        <f>IF(ISNUMBER('Klisz-Verbräuche'!I55), 'Klisz-Verbräuche'!I55*Emissionsfaktoren!G55/1000, 0)</f>
        <v>0</v>
      </c>
      <c r="I385" s="14">
        <f>IF(ISNUMBER('Klisz-Verbräuche'!J55), 'Klisz-Verbräuche'!J55*Emissionsfaktoren!H55/1000, 0)</f>
        <v>0</v>
      </c>
      <c r="J385" s="14">
        <f>IF(ISNUMBER('Klisz-Verbräuche'!K55), 'Klisz-Verbräuche'!K55*Emissionsfaktoren!I55/1000, 0)</f>
        <v>0</v>
      </c>
      <c r="K385" s="14">
        <f>IF(ISNUMBER('Klisz-Verbräuche'!L55), 'Klisz-Verbräuche'!L55*Emissionsfaktoren!J55/1000, 0)</f>
        <v>0</v>
      </c>
      <c r="L385" s="14">
        <f>IF(ISNUMBER('Klisz-Verbräuche'!M55), 'Klisz-Verbräuche'!M55*Emissionsfaktoren!K55/1000, 0)</f>
        <v>0</v>
      </c>
      <c r="M385" s="14">
        <f>IF(ISNUMBER('Klisz-Verbräuche'!N55), 'Klisz-Verbräuche'!N55*Emissionsfaktoren!L55/1000, 0)</f>
        <v>0</v>
      </c>
      <c r="N385" s="14">
        <f>IF(ISNUMBER('Klisz-Verbräuche'!O55), 'Klisz-Verbräuche'!O55*Emissionsfaktoren!M55/1000, 0)</f>
        <v>0</v>
      </c>
      <c r="O385" s="14">
        <f>IF(ISNUMBER('Klisz-Verbräuche'!P55), 'Klisz-Verbräuche'!P55*Emissionsfaktoren!N55/1000, 0)</f>
        <v>0</v>
      </c>
      <c r="P385" s="14">
        <f>IF(ISNUMBER('Klisz-Verbräuche'!Q55), 'Klisz-Verbräuche'!Q55*Emissionsfaktoren!O55/1000, 0)</f>
        <v>0</v>
      </c>
      <c r="Q385" s="14">
        <f>IF(ISNUMBER('Klisz-Verbräuche'!R55), 'Klisz-Verbräuche'!R55*Emissionsfaktoren!P55/1000, 0)</f>
        <v>0</v>
      </c>
      <c r="R385" s="14">
        <f>IF(ISNUMBER('Klisz-Verbräuche'!S55), 'Klisz-Verbräuche'!S55*Emissionsfaktoren!Q55/1000, 0)</f>
        <v>0</v>
      </c>
      <c r="S385" s="14">
        <f>IF(ISNUMBER('Klisz-Verbräuche'!T55), 'Klisz-Verbräuche'!T55*Emissionsfaktoren!R55/1000, 0)</f>
        <v>0</v>
      </c>
      <c r="T385" s="14">
        <f>IF(ISNUMBER('Klisz-Verbräuche'!U55), 'Klisz-Verbräuche'!U55*Emissionsfaktoren!S55/1000, 0)</f>
        <v>0</v>
      </c>
      <c r="U385" s="14">
        <f>IF(ISNUMBER('Klisz-Verbräuche'!V55), 'Klisz-Verbräuche'!V55*Emissionsfaktoren!T55/1000, 0)</f>
        <v>0</v>
      </c>
      <c r="V385" s="14">
        <f>IF(ISNUMBER('Klisz-Verbräuche'!W55), 'Klisz-Verbräuche'!W55*Emissionsfaktoren!U55/1000, 0)</f>
        <v>0</v>
      </c>
      <c r="W385" s="14">
        <f>IF(ISNUMBER('Klisz-Verbräuche'!X55), 'Klisz-Verbräuche'!X55*Emissionsfaktoren!V55/1000, 0)</f>
        <v>0</v>
      </c>
      <c r="X385" s="14">
        <f>IF(ISNUMBER('Klisz-Verbräuche'!Y55), 'Klisz-Verbräuche'!Y55*Emissionsfaktoren!W55/1000, 0)</f>
        <v>0</v>
      </c>
      <c r="Y385" s="14">
        <f>IF(ISNUMBER('Klisz-Verbräuche'!Z55), 'Klisz-Verbräuche'!Z55*Emissionsfaktoren!X55/1000, 0)</f>
        <v>0</v>
      </c>
    </row>
    <row r="386" spans="2:25" ht="16.5">
      <c r="B386" s="14">
        <v>40</v>
      </c>
      <c r="C386" s="14" t="str">
        <f>'Refsz-Verbräuche'!C56</f>
        <v>Mobilität 1</v>
      </c>
      <c r="D386" s="19" t="str">
        <f>'Refsz-Verbräuche'!D56</f>
        <v>DR - Eisenbahn (Fernverkehr)</v>
      </c>
      <c r="E386" t="s">
        <v>195</v>
      </c>
      <c r="F386" s="14">
        <f>IF(ISNUMBER('Klisz-Verbräuche'!G56), 'Klisz-Verbräuche'!G56*Emissionsfaktoren!E56/1000, 0)</f>
        <v>0</v>
      </c>
      <c r="G386" s="14">
        <f>IF(ISNUMBER('Klisz-Verbräuche'!H56), 'Klisz-Verbräuche'!H56*Emissionsfaktoren!F56/1000, 0)</f>
        <v>0</v>
      </c>
      <c r="H386" s="14">
        <f>IF(ISNUMBER('Klisz-Verbräuche'!I56), 'Klisz-Verbräuche'!I56*Emissionsfaktoren!G56/1000, 0)</f>
        <v>0</v>
      </c>
      <c r="I386" s="14">
        <f>IF(ISNUMBER('Klisz-Verbräuche'!J56), 'Klisz-Verbräuche'!J56*Emissionsfaktoren!H56/1000, 0)</f>
        <v>0</v>
      </c>
      <c r="J386" s="14">
        <f>IF(ISNUMBER('Klisz-Verbräuche'!K56), 'Klisz-Verbräuche'!K56*Emissionsfaktoren!I56/1000, 0)</f>
        <v>0</v>
      </c>
      <c r="K386" s="14">
        <f>IF(ISNUMBER('Klisz-Verbräuche'!L56), 'Klisz-Verbräuche'!L56*Emissionsfaktoren!J56/1000, 0)</f>
        <v>0</v>
      </c>
      <c r="L386" s="14">
        <f>IF(ISNUMBER('Klisz-Verbräuche'!M56), 'Klisz-Verbräuche'!M56*Emissionsfaktoren!K56/1000, 0)</f>
        <v>0</v>
      </c>
      <c r="M386" s="14">
        <f>IF(ISNUMBER('Klisz-Verbräuche'!N56), 'Klisz-Verbräuche'!N56*Emissionsfaktoren!L56/1000, 0)</f>
        <v>0</v>
      </c>
      <c r="N386" s="14">
        <f>IF(ISNUMBER('Klisz-Verbräuche'!O56), 'Klisz-Verbräuche'!O56*Emissionsfaktoren!M56/1000, 0)</f>
        <v>0</v>
      </c>
      <c r="O386" s="14">
        <f>IF(ISNUMBER('Klisz-Verbräuche'!P56), 'Klisz-Verbräuche'!P56*Emissionsfaktoren!N56/1000, 0)</f>
        <v>0</v>
      </c>
      <c r="P386" s="14">
        <f>IF(ISNUMBER('Klisz-Verbräuche'!Q56), 'Klisz-Verbräuche'!Q56*Emissionsfaktoren!O56/1000, 0)</f>
        <v>0</v>
      </c>
      <c r="Q386" s="14">
        <f>IF(ISNUMBER('Klisz-Verbräuche'!R56), 'Klisz-Verbräuche'!R56*Emissionsfaktoren!P56/1000, 0)</f>
        <v>0</v>
      </c>
      <c r="R386" s="14">
        <f>IF(ISNUMBER('Klisz-Verbräuche'!S56), 'Klisz-Verbräuche'!S56*Emissionsfaktoren!Q56/1000, 0)</f>
        <v>0</v>
      </c>
      <c r="S386" s="14">
        <f>IF(ISNUMBER('Klisz-Verbräuche'!T56), 'Klisz-Verbräuche'!T56*Emissionsfaktoren!R56/1000, 0)</f>
        <v>0</v>
      </c>
      <c r="T386" s="14">
        <f>IF(ISNUMBER('Klisz-Verbräuche'!U56), 'Klisz-Verbräuche'!U56*Emissionsfaktoren!S56/1000, 0)</f>
        <v>0</v>
      </c>
      <c r="U386" s="14">
        <f>IF(ISNUMBER('Klisz-Verbräuche'!V56), 'Klisz-Verbräuche'!V56*Emissionsfaktoren!T56/1000, 0)</f>
        <v>0</v>
      </c>
      <c r="V386" s="14">
        <f>IF(ISNUMBER('Klisz-Verbräuche'!W56), 'Klisz-Verbräuche'!W56*Emissionsfaktoren!U56/1000, 0)</f>
        <v>0</v>
      </c>
      <c r="W386" s="14">
        <f>IF(ISNUMBER('Klisz-Verbräuche'!X56), 'Klisz-Verbräuche'!X56*Emissionsfaktoren!V56/1000, 0)</f>
        <v>0</v>
      </c>
      <c r="X386" s="14">
        <f>IF(ISNUMBER('Klisz-Verbräuche'!Y56), 'Klisz-Verbräuche'!Y56*Emissionsfaktoren!W56/1000, 0)</f>
        <v>0</v>
      </c>
      <c r="Y386" s="14">
        <f>IF(ISNUMBER('Klisz-Verbräuche'!Z56), 'Klisz-Verbräuche'!Z56*Emissionsfaktoren!X56/1000, 0)</f>
        <v>0</v>
      </c>
    </row>
    <row r="387" spans="2:25" ht="16.5">
      <c r="B387" s="14">
        <v>41</v>
      </c>
      <c r="C387" s="14" t="str">
        <f>'Refsz-Verbräuche'!C57</f>
        <v>Mobilität 1</v>
      </c>
      <c r="D387" s="19" t="str">
        <f>'Refsz-Verbräuche'!D57</f>
        <v>DR - Eisenbahn (Nahverkehr)</v>
      </c>
      <c r="E387" t="s">
        <v>195</v>
      </c>
      <c r="F387" s="14">
        <f>IF(ISNUMBER('Klisz-Verbräuche'!G57), 'Klisz-Verbräuche'!G57*Emissionsfaktoren!E57/1000, 0)</f>
        <v>0</v>
      </c>
      <c r="G387" s="14">
        <f>IF(ISNUMBER('Klisz-Verbräuche'!H57), 'Klisz-Verbräuche'!H57*Emissionsfaktoren!F57/1000, 0)</f>
        <v>0</v>
      </c>
      <c r="H387" s="14">
        <f>IF(ISNUMBER('Klisz-Verbräuche'!I57), 'Klisz-Verbräuche'!I57*Emissionsfaktoren!G57/1000, 0)</f>
        <v>0</v>
      </c>
      <c r="I387" s="14">
        <f>IF(ISNUMBER('Klisz-Verbräuche'!J57), 'Klisz-Verbräuche'!J57*Emissionsfaktoren!H57/1000, 0)</f>
        <v>0</v>
      </c>
      <c r="J387" s="14">
        <f>IF(ISNUMBER('Klisz-Verbräuche'!K57), 'Klisz-Verbräuche'!K57*Emissionsfaktoren!I57/1000, 0)</f>
        <v>0</v>
      </c>
      <c r="K387" s="14">
        <f>IF(ISNUMBER('Klisz-Verbräuche'!L57), 'Klisz-Verbräuche'!L57*Emissionsfaktoren!J57/1000, 0)</f>
        <v>0</v>
      </c>
      <c r="L387" s="14">
        <f>IF(ISNUMBER('Klisz-Verbräuche'!M57), 'Klisz-Verbräuche'!M57*Emissionsfaktoren!K57/1000, 0)</f>
        <v>0</v>
      </c>
      <c r="M387" s="14">
        <f>IF(ISNUMBER('Klisz-Verbräuche'!N57), 'Klisz-Verbräuche'!N57*Emissionsfaktoren!L57/1000, 0)</f>
        <v>0</v>
      </c>
      <c r="N387" s="14">
        <f>IF(ISNUMBER('Klisz-Verbräuche'!O57), 'Klisz-Verbräuche'!O57*Emissionsfaktoren!M57/1000, 0)</f>
        <v>0</v>
      </c>
      <c r="O387" s="14">
        <f>IF(ISNUMBER('Klisz-Verbräuche'!P57), 'Klisz-Verbräuche'!P57*Emissionsfaktoren!N57/1000, 0)</f>
        <v>0</v>
      </c>
      <c r="P387" s="14">
        <f>IF(ISNUMBER('Klisz-Verbräuche'!Q57), 'Klisz-Verbräuche'!Q57*Emissionsfaktoren!O57/1000, 0)</f>
        <v>0</v>
      </c>
      <c r="Q387" s="14">
        <f>IF(ISNUMBER('Klisz-Verbräuche'!R57), 'Klisz-Verbräuche'!R57*Emissionsfaktoren!P57/1000, 0)</f>
        <v>0</v>
      </c>
      <c r="R387" s="14">
        <f>IF(ISNUMBER('Klisz-Verbräuche'!S57), 'Klisz-Verbräuche'!S57*Emissionsfaktoren!Q57/1000, 0)</f>
        <v>0</v>
      </c>
      <c r="S387" s="14">
        <f>IF(ISNUMBER('Klisz-Verbräuche'!T57), 'Klisz-Verbräuche'!T57*Emissionsfaktoren!R57/1000, 0)</f>
        <v>0</v>
      </c>
      <c r="T387" s="14">
        <f>IF(ISNUMBER('Klisz-Verbräuche'!U57), 'Klisz-Verbräuche'!U57*Emissionsfaktoren!S57/1000, 0)</f>
        <v>0</v>
      </c>
      <c r="U387" s="14">
        <f>IF(ISNUMBER('Klisz-Verbräuche'!V57), 'Klisz-Verbräuche'!V57*Emissionsfaktoren!T57/1000, 0)</f>
        <v>0</v>
      </c>
      <c r="V387" s="14">
        <f>IF(ISNUMBER('Klisz-Verbräuche'!W57), 'Klisz-Verbräuche'!W57*Emissionsfaktoren!U57/1000, 0)</f>
        <v>0</v>
      </c>
      <c r="W387" s="14">
        <f>IF(ISNUMBER('Klisz-Verbräuche'!X57), 'Klisz-Verbräuche'!X57*Emissionsfaktoren!V57/1000, 0)</f>
        <v>0</v>
      </c>
      <c r="X387" s="14">
        <f>IF(ISNUMBER('Klisz-Verbräuche'!Y57), 'Klisz-Verbräuche'!Y57*Emissionsfaktoren!W57/1000, 0)</f>
        <v>0</v>
      </c>
      <c r="Y387" s="14">
        <f>IF(ISNUMBER('Klisz-Verbräuche'!Z57), 'Klisz-Verbräuche'!Z57*Emissionsfaktoren!X57/1000, 0)</f>
        <v>0</v>
      </c>
    </row>
    <row r="388" spans="2:25" ht="16.5">
      <c r="B388" s="14">
        <v>42</v>
      </c>
      <c r="C388" s="14" t="str">
        <f>'Refsz-Verbräuche'!C58</f>
        <v>Mobilität 1</v>
      </c>
      <c r="D388" s="19" t="str">
        <f>'Refsz-Verbräuche'!D58</f>
        <v>DR - Reisebus, Linienbus (Fernverkehr)</v>
      </c>
      <c r="E388" t="s">
        <v>195</v>
      </c>
      <c r="F388" s="14">
        <f>IF(ISNUMBER('Klisz-Verbräuche'!G58), 'Klisz-Verbräuche'!G58*Emissionsfaktoren!E58/1000, 0)</f>
        <v>0</v>
      </c>
      <c r="G388" s="14">
        <f>IF(ISNUMBER('Klisz-Verbräuche'!H58), 'Klisz-Verbräuche'!H58*Emissionsfaktoren!F58/1000, 0)</f>
        <v>0</v>
      </c>
      <c r="H388" s="14">
        <f>IF(ISNUMBER('Klisz-Verbräuche'!I58), 'Klisz-Verbräuche'!I58*Emissionsfaktoren!G58/1000, 0)</f>
        <v>0</v>
      </c>
      <c r="I388" s="14">
        <f>IF(ISNUMBER('Klisz-Verbräuche'!J58), 'Klisz-Verbräuche'!J58*Emissionsfaktoren!H58/1000, 0)</f>
        <v>0</v>
      </c>
      <c r="J388" s="14">
        <f>IF(ISNUMBER('Klisz-Verbräuche'!K58), 'Klisz-Verbräuche'!K58*Emissionsfaktoren!I58/1000, 0)</f>
        <v>0</v>
      </c>
      <c r="K388" s="14">
        <f>IF(ISNUMBER('Klisz-Verbräuche'!L58), 'Klisz-Verbräuche'!L58*Emissionsfaktoren!J58/1000, 0)</f>
        <v>0</v>
      </c>
      <c r="L388" s="14">
        <f>IF(ISNUMBER('Klisz-Verbräuche'!M58), 'Klisz-Verbräuche'!M58*Emissionsfaktoren!K58/1000, 0)</f>
        <v>0</v>
      </c>
      <c r="M388" s="14">
        <f>IF(ISNUMBER('Klisz-Verbräuche'!N58), 'Klisz-Verbräuche'!N58*Emissionsfaktoren!L58/1000, 0)</f>
        <v>0</v>
      </c>
      <c r="N388" s="14">
        <f>IF(ISNUMBER('Klisz-Verbräuche'!O58), 'Klisz-Verbräuche'!O58*Emissionsfaktoren!M58/1000, 0)</f>
        <v>0</v>
      </c>
      <c r="O388" s="14">
        <f>IF(ISNUMBER('Klisz-Verbräuche'!P58), 'Klisz-Verbräuche'!P58*Emissionsfaktoren!N58/1000, 0)</f>
        <v>0</v>
      </c>
      <c r="P388" s="14">
        <f>IF(ISNUMBER('Klisz-Verbräuche'!Q58), 'Klisz-Verbräuche'!Q58*Emissionsfaktoren!O58/1000, 0)</f>
        <v>0</v>
      </c>
      <c r="Q388" s="14">
        <f>IF(ISNUMBER('Klisz-Verbräuche'!R58), 'Klisz-Verbräuche'!R58*Emissionsfaktoren!P58/1000, 0)</f>
        <v>0</v>
      </c>
      <c r="R388" s="14">
        <f>IF(ISNUMBER('Klisz-Verbräuche'!S58), 'Klisz-Verbräuche'!S58*Emissionsfaktoren!Q58/1000, 0)</f>
        <v>0</v>
      </c>
      <c r="S388" s="14">
        <f>IF(ISNUMBER('Klisz-Verbräuche'!T58), 'Klisz-Verbräuche'!T58*Emissionsfaktoren!R58/1000, 0)</f>
        <v>0</v>
      </c>
      <c r="T388" s="14">
        <f>IF(ISNUMBER('Klisz-Verbräuche'!U58), 'Klisz-Verbräuche'!U58*Emissionsfaktoren!S58/1000, 0)</f>
        <v>0</v>
      </c>
      <c r="U388" s="14">
        <f>IF(ISNUMBER('Klisz-Verbräuche'!V58), 'Klisz-Verbräuche'!V58*Emissionsfaktoren!T58/1000, 0)</f>
        <v>0</v>
      </c>
      <c r="V388" s="14">
        <f>IF(ISNUMBER('Klisz-Verbräuche'!W58), 'Klisz-Verbräuche'!W58*Emissionsfaktoren!U58/1000, 0)</f>
        <v>0</v>
      </c>
      <c r="W388" s="14">
        <f>IF(ISNUMBER('Klisz-Verbräuche'!X58), 'Klisz-Verbräuche'!X58*Emissionsfaktoren!V58/1000, 0)</f>
        <v>0</v>
      </c>
      <c r="X388" s="14">
        <f>IF(ISNUMBER('Klisz-Verbräuche'!Y58), 'Klisz-Verbräuche'!Y58*Emissionsfaktoren!W58/1000, 0)</f>
        <v>0</v>
      </c>
      <c r="Y388" s="14">
        <f>IF(ISNUMBER('Klisz-Verbräuche'!Z58), 'Klisz-Verbräuche'!Z58*Emissionsfaktoren!X58/1000, 0)</f>
        <v>0</v>
      </c>
    </row>
    <row r="389" spans="2:25" ht="16.5">
      <c r="B389" s="14">
        <v>43</v>
      </c>
      <c r="C389" s="14" t="str">
        <f>'Refsz-Verbräuche'!C59</f>
        <v>Mobilität 1</v>
      </c>
      <c r="D389" s="19" t="str">
        <f>'Refsz-Verbräuche'!D59</f>
        <v>DR - Linienbus (Nahverkehr)</v>
      </c>
      <c r="E389" t="s">
        <v>195</v>
      </c>
      <c r="F389" s="14">
        <f>IF(ISNUMBER('Klisz-Verbräuche'!G59), 'Klisz-Verbräuche'!G59*Emissionsfaktoren!E59/1000, 0)</f>
        <v>0</v>
      </c>
      <c r="G389" s="14">
        <f>IF(ISNUMBER('Klisz-Verbräuche'!H59), 'Klisz-Verbräuche'!H59*Emissionsfaktoren!F59/1000, 0)</f>
        <v>0</v>
      </c>
      <c r="H389" s="14">
        <f>IF(ISNUMBER('Klisz-Verbräuche'!I59), 'Klisz-Verbräuche'!I59*Emissionsfaktoren!G59/1000, 0)</f>
        <v>0</v>
      </c>
      <c r="I389" s="14">
        <f>IF(ISNUMBER('Klisz-Verbräuche'!J59), 'Klisz-Verbräuche'!J59*Emissionsfaktoren!H59/1000, 0)</f>
        <v>0</v>
      </c>
      <c r="J389" s="14">
        <f>IF(ISNUMBER('Klisz-Verbräuche'!K59), 'Klisz-Verbräuche'!K59*Emissionsfaktoren!I59/1000, 0)</f>
        <v>0</v>
      </c>
      <c r="K389" s="14">
        <f>IF(ISNUMBER('Klisz-Verbräuche'!L59), 'Klisz-Verbräuche'!L59*Emissionsfaktoren!J59/1000, 0)</f>
        <v>0</v>
      </c>
      <c r="L389" s="14">
        <f>IF(ISNUMBER('Klisz-Verbräuche'!M59), 'Klisz-Verbräuche'!M59*Emissionsfaktoren!K59/1000, 0)</f>
        <v>0</v>
      </c>
      <c r="M389" s="14">
        <f>IF(ISNUMBER('Klisz-Verbräuche'!N59), 'Klisz-Verbräuche'!N59*Emissionsfaktoren!L59/1000, 0)</f>
        <v>0</v>
      </c>
      <c r="N389" s="14">
        <f>IF(ISNUMBER('Klisz-Verbräuche'!O59), 'Klisz-Verbräuche'!O59*Emissionsfaktoren!M59/1000, 0)</f>
        <v>0</v>
      </c>
      <c r="O389" s="14">
        <f>IF(ISNUMBER('Klisz-Verbräuche'!P59), 'Klisz-Verbräuche'!P59*Emissionsfaktoren!N59/1000, 0)</f>
        <v>0</v>
      </c>
      <c r="P389" s="14">
        <f>IF(ISNUMBER('Klisz-Verbräuche'!Q59), 'Klisz-Verbräuche'!Q59*Emissionsfaktoren!O59/1000, 0)</f>
        <v>0</v>
      </c>
      <c r="Q389" s="14">
        <f>IF(ISNUMBER('Klisz-Verbräuche'!R59), 'Klisz-Verbräuche'!R59*Emissionsfaktoren!P59/1000, 0)</f>
        <v>0</v>
      </c>
      <c r="R389" s="14">
        <f>IF(ISNUMBER('Klisz-Verbräuche'!S59), 'Klisz-Verbräuche'!S59*Emissionsfaktoren!Q59/1000, 0)</f>
        <v>0</v>
      </c>
      <c r="S389" s="14">
        <f>IF(ISNUMBER('Klisz-Verbräuche'!T59), 'Klisz-Verbräuche'!T59*Emissionsfaktoren!R59/1000, 0)</f>
        <v>0</v>
      </c>
      <c r="T389" s="14">
        <f>IF(ISNUMBER('Klisz-Verbräuche'!U59), 'Klisz-Verbräuche'!U59*Emissionsfaktoren!S59/1000, 0)</f>
        <v>0</v>
      </c>
      <c r="U389" s="14">
        <f>IF(ISNUMBER('Klisz-Verbräuche'!V59), 'Klisz-Verbräuche'!V59*Emissionsfaktoren!T59/1000, 0)</f>
        <v>0</v>
      </c>
      <c r="V389" s="14">
        <f>IF(ISNUMBER('Klisz-Verbräuche'!W59), 'Klisz-Verbräuche'!W59*Emissionsfaktoren!U59/1000, 0)</f>
        <v>0</v>
      </c>
      <c r="W389" s="14">
        <f>IF(ISNUMBER('Klisz-Verbräuche'!X59), 'Klisz-Verbräuche'!X59*Emissionsfaktoren!V59/1000, 0)</f>
        <v>0</v>
      </c>
      <c r="X389" s="14">
        <f>IF(ISNUMBER('Klisz-Verbräuche'!Y59), 'Klisz-Verbräuche'!Y59*Emissionsfaktoren!W59/1000, 0)</f>
        <v>0</v>
      </c>
      <c r="Y389" s="14">
        <f>IF(ISNUMBER('Klisz-Verbräuche'!Z59), 'Klisz-Verbräuche'!Z59*Emissionsfaktoren!X59/1000, 0)</f>
        <v>0</v>
      </c>
    </row>
    <row r="390" spans="2:25" ht="16.5">
      <c r="B390" s="14">
        <v>44</v>
      </c>
      <c r="C390" s="14" t="str">
        <f>'Refsz-Verbräuche'!C60</f>
        <v>Mobilität 1</v>
      </c>
      <c r="D390" s="19" t="str">
        <f>'Refsz-Verbräuche'!D60</f>
        <v>DR - Privater PKW (alle Antriebsarten)</v>
      </c>
      <c r="E390" t="s">
        <v>195</v>
      </c>
      <c r="F390" s="14">
        <f>IF(ISNUMBER('Klisz-Verbräuche'!G60), 'Klisz-Verbräuche'!G60*Emissionsfaktoren!E60/1000, 0)</f>
        <v>0</v>
      </c>
      <c r="G390" s="14">
        <f>IF(ISNUMBER('Klisz-Verbräuche'!H60), 'Klisz-Verbräuche'!H60*Emissionsfaktoren!F60/1000, 0)</f>
        <v>0</v>
      </c>
      <c r="H390" s="14">
        <f>IF(ISNUMBER('Klisz-Verbräuche'!I60), 'Klisz-Verbräuche'!I60*Emissionsfaktoren!G60/1000, 0)</f>
        <v>0</v>
      </c>
      <c r="I390" s="14">
        <f>IF(ISNUMBER('Klisz-Verbräuche'!J60), 'Klisz-Verbräuche'!J60*Emissionsfaktoren!H60/1000, 0)</f>
        <v>0</v>
      </c>
      <c r="J390" s="14">
        <f>IF(ISNUMBER('Klisz-Verbräuche'!K60), 'Klisz-Verbräuche'!K60*Emissionsfaktoren!I60/1000, 0)</f>
        <v>0</v>
      </c>
      <c r="K390" s="14">
        <f>IF(ISNUMBER('Klisz-Verbräuche'!L60), 'Klisz-Verbräuche'!L60*Emissionsfaktoren!J60/1000, 0)</f>
        <v>0</v>
      </c>
      <c r="L390" s="14">
        <f>IF(ISNUMBER('Klisz-Verbräuche'!M60), 'Klisz-Verbräuche'!M60*Emissionsfaktoren!K60/1000, 0)</f>
        <v>0</v>
      </c>
      <c r="M390" s="14">
        <f>IF(ISNUMBER('Klisz-Verbräuche'!N60), 'Klisz-Verbräuche'!N60*Emissionsfaktoren!L60/1000, 0)</f>
        <v>0</v>
      </c>
      <c r="N390" s="14">
        <f>IF(ISNUMBER('Klisz-Verbräuche'!O60), 'Klisz-Verbräuche'!O60*Emissionsfaktoren!M60/1000, 0)</f>
        <v>0</v>
      </c>
      <c r="O390" s="14">
        <f>IF(ISNUMBER('Klisz-Verbräuche'!P60), 'Klisz-Verbräuche'!P60*Emissionsfaktoren!N60/1000, 0)</f>
        <v>0</v>
      </c>
      <c r="P390" s="14">
        <f>IF(ISNUMBER('Klisz-Verbräuche'!Q60), 'Klisz-Verbräuche'!Q60*Emissionsfaktoren!O60/1000, 0)</f>
        <v>0</v>
      </c>
      <c r="Q390" s="14">
        <f>IF(ISNUMBER('Klisz-Verbräuche'!R60), 'Klisz-Verbräuche'!R60*Emissionsfaktoren!P60/1000, 0)</f>
        <v>0</v>
      </c>
      <c r="R390" s="14">
        <f>IF(ISNUMBER('Klisz-Verbräuche'!S60), 'Klisz-Verbräuche'!S60*Emissionsfaktoren!Q60/1000, 0)</f>
        <v>0</v>
      </c>
      <c r="S390" s="14">
        <f>IF(ISNUMBER('Klisz-Verbräuche'!T60), 'Klisz-Verbräuche'!T60*Emissionsfaktoren!R60/1000, 0)</f>
        <v>0</v>
      </c>
      <c r="T390" s="14">
        <f>IF(ISNUMBER('Klisz-Verbräuche'!U60), 'Klisz-Verbräuche'!U60*Emissionsfaktoren!S60/1000, 0)</f>
        <v>0</v>
      </c>
      <c r="U390" s="14">
        <f>IF(ISNUMBER('Klisz-Verbräuche'!V60), 'Klisz-Verbräuche'!V60*Emissionsfaktoren!T60/1000, 0)</f>
        <v>0</v>
      </c>
      <c r="V390" s="14">
        <f>IF(ISNUMBER('Klisz-Verbräuche'!W60), 'Klisz-Verbräuche'!W60*Emissionsfaktoren!U60/1000, 0)</f>
        <v>0</v>
      </c>
      <c r="W390" s="14">
        <f>IF(ISNUMBER('Klisz-Verbräuche'!X60), 'Klisz-Verbräuche'!X60*Emissionsfaktoren!V60/1000, 0)</f>
        <v>0</v>
      </c>
      <c r="X390" s="14">
        <f>IF(ISNUMBER('Klisz-Verbräuche'!Y60), 'Klisz-Verbräuche'!Y60*Emissionsfaktoren!W60/1000, 0)</f>
        <v>0</v>
      </c>
      <c r="Y390" s="14">
        <f>IF(ISNUMBER('Klisz-Verbräuche'!Z60), 'Klisz-Verbräuche'!Z60*Emissionsfaktoren!X60/1000, 0)</f>
        <v>0</v>
      </c>
    </row>
    <row r="391" spans="2:25" ht="16.5">
      <c r="B391" s="14">
        <v>45</v>
      </c>
      <c r="C391" s="14" t="str">
        <f>'Refsz-Verbräuche'!C61</f>
        <v>Mobilität 1</v>
      </c>
      <c r="D391" s="19" t="str">
        <f>'Refsz-Verbräuche'!D61</f>
        <v>DR - Privater PKW (Diesel)</v>
      </c>
      <c r="E391" t="s">
        <v>195</v>
      </c>
      <c r="F391" s="14">
        <f>IF(ISNUMBER('Klisz-Verbräuche'!G61), 'Klisz-Verbräuche'!G61*Emissionsfaktoren!E61/1000, 0)</f>
        <v>0</v>
      </c>
      <c r="G391" s="14">
        <f>IF(ISNUMBER('Klisz-Verbräuche'!H61), 'Klisz-Verbräuche'!H61*Emissionsfaktoren!F61/1000, 0)</f>
        <v>0</v>
      </c>
      <c r="H391" s="14">
        <f>IF(ISNUMBER('Klisz-Verbräuche'!I61), 'Klisz-Verbräuche'!I61*Emissionsfaktoren!G61/1000, 0)</f>
        <v>0</v>
      </c>
      <c r="I391" s="14">
        <f>IF(ISNUMBER('Klisz-Verbräuche'!J61), 'Klisz-Verbräuche'!J61*Emissionsfaktoren!H61/1000, 0)</f>
        <v>0</v>
      </c>
      <c r="J391" s="14">
        <f>IF(ISNUMBER('Klisz-Verbräuche'!K61), 'Klisz-Verbräuche'!K61*Emissionsfaktoren!I61/1000, 0)</f>
        <v>0</v>
      </c>
      <c r="K391" s="14">
        <f>IF(ISNUMBER('Klisz-Verbräuche'!L61), 'Klisz-Verbräuche'!L61*Emissionsfaktoren!J61/1000, 0)</f>
        <v>0</v>
      </c>
      <c r="L391" s="14">
        <f>IF(ISNUMBER('Klisz-Verbräuche'!M61), 'Klisz-Verbräuche'!M61*Emissionsfaktoren!K61/1000, 0)</f>
        <v>0</v>
      </c>
      <c r="M391" s="14">
        <f>IF(ISNUMBER('Klisz-Verbräuche'!N61), 'Klisz-Verbräuche'!N61*Emissionsfaktoren!L61/1000, 0)</f>
        <v>0</v>
      </c>
      <c r="N391" s="14">
        <f>IF(ISNUMBER('Klisz-Verbräuche'!O61), 'Klisz-Verbräuche'!O61*Emissionsfaktoren!M61/1000, 0)</f>
        <v>0</v>
      </c>
      <c r="O391" s="14">
        <f>IF(ISNUMBER('Klisz-Verbräuche'!P61), 'Klisz-Verbräuche'!P61*Emissionsfaktoren!N61/1000, 0)</f>
        <v>0</v>
      </c>
      <c r="P391" s="14">
        <f>IF(ISNUMBER('Klisz-Verbräuche'!Q61), 'Klisz-Verbräuche'!Q61*Emissionsfaktoren!O61/1000, 0)</f>
        <v>0</v>
      </c>
      <c r="Q391" s="14">
        <f>IF(ISNUMBER('Klisz-Verbräuche'!R61), 'Klisz-Verbräuche'!R61*Emissionsfaktoren!P61/1000, 0)</f>
        <v>0</v>
      </c>
      <c r="R391" s="14">
        <f>IF(ISNUMBER('Klisz-Verbräuche'!S61), 'Klisz-Verbräuche'!S61*Emissionsfaktoren!Q61/1000, 0)</f>
        <v>0</v>
      </c>
      <c r="S391" s="14">
        <f>IF(ISNUMBER('Klisz-Verbräuche'!T61), 'Klisz-Verbräuche'!T61*Emissionsfaktoren!R61/1000, 0)</f>
        <v>0</v>
      </c>
      <c r="T391" s="14">
        <f>IF(ISNUMBER('Klisz-Verbräuche'!U61), 'Klisz-Verbräuche'!U61*Emissionsfaktoren!S61/1000, 0)</f>
        <v>0</v>
      </c>
      <c r="U391" s="14">
        <f>IF(ISNUMBER('Klisz-Verbräuche'!V61), 'Klisz-Verbräuche'!V61*Emissionsfaktoren!T61/1000, 0)</f>
        <v>0</v>
      </c>
      <c r="V391" s="14">
        <f>IF(ISNUMBER('Klisz-Verbräuche'!W61), 'Klisz-Verbräuche'!W61*Emissionsfaktoren!U61/1000, 0)</f>
        <v>0</v>
      </c>
      <c r="W391" s="14">
        <f>IF(ISNUMBER('Klisz-Verbräuche'!X61), 'Klisz-Verbräuche'!X61*Emissionsfaktoren!V61/1000, 0)</f>
        <v>0</v>
      </c>
      <c r="X391" s="14">
        <f>IF(ISNUMBER('Klisz-Verbräuche'!Y61), 'Klisz-Verbräuche'!Y61*Emissionsfaktoren!W61/1000, 0)</f>
        <v>0</v>
      </c>
      <c r="Y391" s="14">
        <f>IF(ISNUMBER('Klisz-Verbräuche'!Z61), 'Klisz-Verbräuche'!Z61*Emissionsfaktoren!X61/1000, 0)</f>
        <v>0</v>
      </c>
    </row>
    <row r="392" spans="2:25" ht="16.5">
      <c r="B392" s="14">
        <v>46</v>
      </c>
      <c r="C392" s="14" t="str">
        <f>'Refsz-Verbräuche'!C62</f>
        <v>Mobilität 1</v>
      </c>
      <c r="D392" s="19" t="str">
        <f>'Refsz-Verbräuche'!D62</f>
        <v>DR - Privater PKW (Benzin)</v>
      </c>
      <c r="E392" t="s">
        <v>195</v>
      </c>
      <c r="F392" s="14">
        <f>IF(ISNUMBER('Klisz-Verbräuche'!G62), 'Klisz-Verbräuche'!G62*Emissionsfaktoren!E62/1000, 0)</f>
        <v>0</v>
      </c>
      <c r="G392" s="14">
        <f>IF(ISNUMBER('Klisz-Verbräuche'!H62), 'Klisz-Verbräuche'!H62*Emissionsfaktoren!F62/1000, 0)</f>
        <v>0</v>
      </c>
      <c r="H392" s="14">
        <f>IF(ISNUMBER('Klisz-Verbräuche'!I62), 'Klisz-Verbräuche'!I62*Emissionsfaktoren!G62/1000, 0)</f>
        <v>0</v>
      </c>
      <c r="I392" s="14">
        <f>IF(ISNUMBER('Klisz-Verbräuche'!J62), 'Klisz-Verbräuche'!J62*Emissionsfaktoren!H62/1000, 0)</f>
        <v>0</v>
      </c>
      <c r="J392" s="14">
        <f>IF(ISNUMBER('Klisz-Verbräuche'!K62), 'Klisz-Verbräuche'!K62*Emissionsfaktoren!I62/1000, 0)</f>
        <v>0</v>
      </c>
      <c r="K392" s="14">
        <f>IF(ISNUMBER('Klisz-Verbräuche'!L62), 'Klisz-Verbräuche'!L62*Emissionsfaktoren!J62/1000, 0)</f>
        <v>0</v>
      </c>
      <c r="L392" s="14">
        <f>IF(ISNUMBER('Klisz-Verbräuche'!M62), 'Klisz-Verbräuche'!M62*Emissionsfaktoren!K62/1000, 0)</f>
        <v>0</v>
      </c>
      <c r="M392" s="14">
        <f>IF(ISNUMBER('Klisz-Verbräuche'!N62), 'Klisz-Verbräuche'!N62*Emissionsfaktoren!L62/1000, 0)</f>
        <v>0</v>
      </c>
      <c r="N392" s="14">
        <f>IF(ISNUMBER('Klisz-Verbräuche'!O62), 'Klisz-Verbräuche'!O62*Emissionsfaktoren!M62/1000, 0)</f>
        <v>0</v>
      </c>
      <c r="O392" s="14">
        <f>IF(ISNUMBER('Klisz-Verbräuche'!P62), 'Klisz-Verbräuche'!P62*Emissionsfaktoren!N62/1000, 0)</f>
        <v>0</v>
      </c>
      <c r="P392" s="14">
        <f>IF(ISNUMBER('Klisz-Verbräuche'!Q62), 'Klisz-Verbräuche'!Q62*Emissionsfaktoren!O62/1000, 0)</f>
        <v>0</v>
      </c>
      <c r="Q392" s="14">
        <f>IF(ISNUMBER('Klisz-Verbräuche'!R62), 'Klisz-Verbräuche'!R62*Emissionsfaktoren!P62/1000, 0)</f>
        <v>0</v>
      </c>
      <c r="R392" s="14">
        <f>IF(ISNUMBER('Klisz-Verbräuche'!S62), 'Klisz-Verbräuche'!S62*Emissionsfaktoren!Q62/1000, 0)</f>
        <v>0</v>
      </c>
      <c r="S392" s="14">
        <f>IF(ISNUMBER('Klisz-Verbräuche'!T62), 'Klisz-Verbräuche'!T62*Emissionsfaktoren!R62/1000, 0)</f>
        <v>0</v>
      </c>
      <c r="T392" s="14">
        <f>IF(ISNUMBER('Klisz-Verbräuche'!U62), 'Klisz-Verbräuche'!U62*Emissionsfaktoren!S62/1000, 0)</f>
        <v>0</v>
      </c>
      <c r="U392" s="14">
        <f>IF(ISNUMBER('Klisz-Verbräuche'!V62), 'Klisz-Verbräuche'!V62*Emissionsfaktoren!T62/1000, 0)</f>
        <v>0</v>
      </c>
      <c r="V392" s="14">
        <f>IF(ISNUMBER('Klisz-Verbräuche'!W62), 'Klisz-Verbräuche'!W62*Emissionsfaktoren!U62/1000, 0)</f>
        <v>0</v>
      </c>
      <c r="W392" s="14">
        <f>IF(ISNUMBER('Klisz-Verbräuche'!X62), 'Klisz-Verbräuche'!X62*Emissionsfaktoren!V62/1000, 0)</f>
        <v>0</v>
      </c>
      <c r="X392" s="14">
        <f>IF(ISNUMBER('Klisz-Verbräuche'!Y62), 'Klisz-Verbräuche'!Y62*Emissionsfaktoren!W62/1000, 0)</f>
        <v>0</v>
      </c>
      <c r="Y392" s="14">
        <f>IF(ISNUMBER('Klisz-Verbräuche'!Z62), 'Klisz-Verbräuche'!Z62*Emissionsfaktoren!X62/1000, 0)</f>
        <v>0</v>
      </c>
    </row>
    <row r="393" spans="2:25" ht="16.5">
      <c r="B393" s="14">
        <v>47</v>
      </c>
      <c r="C393" s="14" t="str">
        <f>'Refsz-Verbräuche'!C63</f>
        <v>Mobilität 1</v>
      </c>
      <c r="D393" s="19" t="str">
        <f>'Refsz-Verbräuche'!D63</f>
        <v>DR - Mietwägen (Diesel)</v>
      </c>
      <c r="E393" t="s">
        <v>195</v>
      </c>
      <c r="F393" s="14">
        <f>IF(ISNUMBER('Klisz-Verbräuche'!G63), 'Klisz-Verbräuche'!G63*Emissionsfaktoren!E63/1000, 0)</f>
        <v>0</v>
      </c>
      <c r="G393" s="14">
        <f>IF(ISNUMBER('Klisz-Verbräuche'!H63), 'Klisz-Verbräuche'!H63*Emissionsfaktoren!F63/1000, 0)</f>
        <v>0</v>
      </c>
      <c r="H393" s="14">
        <f>IF(ISNUMBER('Klisz-Verbräuche'!I63), 'Klisz-Verbräuche'!I63*Emissionsfaktoren!G63/1000, 0)</f>
        <v>0</v>
      </c>
      <c r="I393" s="14">
        <f>IF(ISNUMBER('Klisz-Verbräuche'!J63), 'Klisz-Verbräuche'!J63*Emissionsfaktoren!H63/1000, 0)</f>
        <v>0</v>
      </c>
      <c r="J393" s="14">
        <f>IF(ISNUMBER('Klisz-Verbräuche'!K63), 'Klisz-Verbräuche'!K63*Emissionsfaktoren!I63/1000, 0)</f>
        <v>0</v>
      </c>
      <c r="K393" s="14">
        <f>IF(ISNUMBER('Klisz-Verbräuche'!L63), 'Klisz-Verbräuche'!L63*Emissionsfaktoren!J63/1000, 0)</f>
        <v>0</v>
      </c>
      <c r="L393" s="14">
        <f>IF(ISNUMBER('Klisz-Verbräuche'!M63), 'Klisz-Verbräuche'!M63*Emissionsfaktoren!K63/1000, 0)</f>
        <v>0</v>
      </c>
      <c r="M393" s="14">
        <f>IF(ISNUMBER('Klisz-Verbräuche'!N63), 'Klisz-Verbräuche'!N63*Emissionsfaktoren!L63/1000, 0)</f>
        <v>0</v>
      </c>
      <c r="N393" s="14">
        <f>IF(ISNUMBER('Klisz-Verbräuche'!O63), 'Klisz-Verbräuche'!O63*Emissionsfaktoren!M63/1000, 0)</f>
        <v>0</v>
      </c>
      <c r="O393" s="14">
        <f>IF(ISNUMBER('Klisz-Verbräuche'!P63), 'Klisz-Verbräuche'!P63*Emissionsfaktoren!N63/1000, 0)</f>
        <v>0</v>
      </c>
      <c r="P393" s="14">
        <f>IF(ISNUMBER('Klisz-Verbräuche'!Q63), 'Klisz-Verbräuche'!Q63*Emissionsfaktoren!O63/1000, 0)</f>
        <v>0</v>
      </c>
      <c r="Q393" s="14">
        <f>IF(ISNUMBER('Klisz-Verbräuche'!R63), 'Klisz-Verbräuche'!R63*Emissionsfaktoren!P63/1000, 0)</f>
        <v>0</v>
      </c>
      <c r="R393" s="14">
        <f>IF(ISNUMBER('Klisz-Verbräuche'!S63), 'Klisz-Verbräuche'!S63*Emissionsfaktoren!Q63/1000, 0)</f>
        <v>0</v>
      </c>
      <c r="S393" s="14">
        <f>IF(ISNUMBER('Klisz-Verbräuche'!T63), 'Klisz-Verbräuche'!T63*Emissionsfaktoren!R63/1000, 0)</f>
        <v>0</v>
      </c>
      <c r="T393" s="14">
        <f>IF(ISNUMBER('Klisz-Verbräuche'!U63), 'Klisz-Verbräuche'!U63*Emissionsfaktoren!S63/1000, 0)</f>
        <v>0</v>
      </c>
      <c r="U393" s="14">
        <f>IF(ISNUMBER('Klisz-Verbräuche'!V63), 'Klisz-Verbräuche'!V63*Emissionsfaktoren!T63/1000, 0)</f>
        <v>0</v>
      </c>
      <c r="V393" s="14">
        <f>IF(ISNUMBER('Klisz-Verbräuche'!W63), 'Klisz-Verbräuche'!W63*Emissionsfaktoren!U63/1000, 0)</f>
        <v>0</v>
      </c>
      <c r="W393" s="14">
        <f>IF(ISNUMBER('Klisz-Verbräuche'!X63), 'Klisz-Verbräuche'!X63*Emissionsfaktoren!V63/1000, 0)</f>
        <v>0</v>
      </c>
      <c r="X393" s="14">
        <f>IF(ISNUMBER('Klisz-Verbräuche'!Y63), 'Klisz-Verbräuche'!Y63*Emissionsfaktoren!W63/1000, 0)</f>
        <v>0</v>
      </c>
      <c r="Y393" s="14">
        <f>IF(ISNUMBER('Klisz-Verbräuche'!Z63), 'Klisz-Verbräuche'!Z63*Emissionsfaktoren!X63/1000, 0)</f>
        <v>0</v>
      </c>
    </row>
    <row r="394" spans="2:25" ht="16.5">
      <c r="B394" s="14">
        <v>48</v>
      </c>
      <c r="C394" s="14" t="str">
        <f>'Refsz-Verbräuche'!C64</f>
        <v>Mobilität 1</v>
      </c>
      <c r="D394" s="19" t="str">
        <f>'Refsz-Verbräuche'!D64</f>
        <v>DR - Mietwägen (Benzin)</v>
      </c>
      <c r="E394" t="s">
        <v>195</v>
      </c>
      <c r="F394" s="14">
        <f>IF(ISNUMBER('Klisz-Verbräuche'!G64), 'Klisz-Verbräuche'!G64*Emissionsfaktoren!E64/1000, 0)</f>
        <v>0</v>
      </c>
      <c r="G394" s="14">
        <f>IF(ISNUMBER('Klisz-Verbräuche'!H64), 'Klisz-Verbräuche'!H64*Emissionsfaktoren!F64/1000, 0)</f>
        <v>0</v>
      </c>
      <c r="H394" s="14">
        <f>IF(ISNUMBER('Klisz-Verbräuche'!I64), 'Klisz-Verbräuche'!I64*Emissionsfaktoren!G64/1000, 0)</f>
        <v>0</v>
      </c>
      <c r="I394" s="14">
        <f>IF(ISNUMBER('Klisz-Verbräuche'!J64), 'Klisz-Verbräuche'!J64*Emissionsfaktoren!H64/1000, 0)</f>
        <v>0</v>
      </c>
      <c r="J394" s="14">
        <f>IF(ISNUMBER('Klisz-Verbräuche'!K64), 'Klisz-Verbräuche'!K64*Emissionsfaktoren!I64/1000, 0)</f>
        <v>0</v>
      </c>
      <c r="K394" s="14">
        <f>IF(ISNUMBER('Klisz-Verbräuche'!L64), 'Klisz-Verbräuche'!L64*Emissionsfaktoren!J64/1000, 0)</f>
        <v>0</v>
      </c>
      <c r="L394" s="14">
        <f>IF(ISNUMBER('Klisz-Verbräuche'!M64), 'Klisz-Verbräuche'!M64*Emissionsfaktoren!K64/1000, 0)</f>
        <v>0</v>
      </c>
      <c r="M394" s="14">
        <f>IF(ISNUMBER('Klisz-Verbräuche'!N64), 'Klisz-Verbräuche'!N64*Emissionsfaktoren!L64/1000, 0)</f>
        <v>0</v>
      </c>
      <c r="N394" s="14">
        <f>IF(ISNUMBER('Klisz-Verbräuche'!O64), 'Klisz-Verbräuche'!O64*Emissionsfaktoren!M64/1000, 0)</f>
        <v>0</v>
      </c>
      <c r="O394" s="14">
        <f>IF(ISNUMBER('Klisz-Verbräuche'!P64), 'Klisz-Verbräuche'!P64*Emissionsfaktoren!N64/1000, 0)</f>
        <v>0</v>
      </c>
      <c r="P394" s="14">
        <f>IF(ISNUMBER('Klisz-Verbräuche'!Q64), 'Klisz-Verbräuche'!Q64*Emissionsfaktoren!O64/1000, 0)</f>
        <v>0</v>
      </c>
      <c r="Q394" s="14">
        <f>IF(ISNUMBER('Klisz-Verbräuche'!R64), 'Klisz-Verbräuche'!R64*Emissionsfaktoren!P64/1000, 0)</f>
        <v>0</v>
      </c>
      <c r="R394" s="14">
        <f>IF(ISNUMBER('Klisz-Verbräuche'!S64), 'Klisz-Verbräuche'!S64*Emissionsfaktoren!Q64/1000, 0)</f>
        <v>0</v>
      </c>
      <c r="S394" s="14">
        <f>IF(ISNUMBER('Klisz-Verbräuche'!T64), 'Klisz-Verbräuche'!T64*Emissionsfaktoren!R64/1000, 0)</f>
        <v>0</v>
      </c>
      <c r="T394" s="14">
        <f>IF(ISNUMBER('Klisz-Verbräuche'!U64), 'Klisz-Verbräuche'!U64*Emissionsfaktoren!S64/1000, 0)</f>
        <v>0</v>
      </c>
      <c r="U394" s="14">
        <f>IF(ISNUMBER('Klisz-Verbräuche'!V64), 'Klisz-Verbräuche'!V64*Emissionsfaktoren!T64/1000, 0)</f>
        <v>0</v>
      </c>
      <c r="V394" s="14">
        <f>IF(ISNUMBER('Klisz-Verbräuche'!W64), 'Klisz-Verbräuche'!W64*Emissionsfaktoren!U64/1000, 0)</f>
        <v>0</v>
      </c>
      <c r="W394" s="14">
        <f>IF(ISNUMBER('Klisz-Verbräuche'!X64), 'Klisz-Verbräuche'!X64*Emissionsfaktoren!V64/1000, 0)</f>
        <v>0</v>
      </c>
      <c r="X394" s="14">
        <f>IF(ISNUMBER('Klisz-Verbräuche'!Y64), 'Klisz-Verbräuche'!Y64*Emissionsfaktoren!W64/1000, 0)</f>
        <v>0</v>
      </c>
      <c r="Y394" s="14">
        <f>IF(ISNUMBER('Klisz-Verbräuche'!Z64), 'Klisz-Verbräuche'!Z64*Emissionsfaktoren!X64/1000, 0)</f>
        <v>0</v>
      </c>
    </row>
    <row r="395" spans="2:25" ht="16.5">
      <c r="B395" s="14">
        <v>49</v>
      </c>
      <c r="C395" s="14" t="str">
        <f>'Refsz-Verbräuche'!C65</f>
        <v>Mobilität 1</v>
      </c>
      <c r="D395" s="19" t="str">
        <f>'Refsz-Verbräuche'!D65</f>
        <v>DR - Mietwägen (E-Auto/ BEV)</v>
      </c>
      <c r="E395" t="s">
        <v>195</v>
      </c>
      <c r="F395" s="14">
        <f>IF(ISNUMBER('Klisz-Verbräuche'!G65), 'Klisz-Verbräuche'!G65*Emissionsfaktoren!E65/1000, 0)</f>
        <v>0</v>
      </c>
      <c r="G395" s="14">
        <f>IF(ISNUMBER('Klisz-Verbräuche'!H65), 'Klisz-Verbräuche'!H65*Emissionsfaktoren!F65/1000, 0)</f>
        <v>0</v>
      </c>
      <c r="H395" s="14">
        <f>IF(ISNUMBER('Klisz-Verbräuche'!I65), 'Klisz-Verbräuche'!I65*Emissionsfaktoren!G65/1000, 0)</f>
        <v>0</v>
      </c>
      <c r="I395" s="14">
        <f>IF(ISNUMBER('Klisz-Verbräuche'!J65), 'Klisz-Verbräuche'!J65*Emissionsfaktoren!H65/1000, 0)</f>
        <v>0</v>
      </c>
      <c r="J395" s="14">
        <f>IF(ISNUMBER('Klisz-Verbräuche'!K65), 'Klisz-Verbräuche'!K65*Emissionsfaktoren!I65/1000, 0)</f>
        <v>0</v>
      </c>
      <c r="K395" s="14">
        <f>IF(ISNUMBER('Klisz-Verbräuche'!L65), 'Klisz-Verbräuche'!L65*Emissionsfaktoren!J65/1000, 0)</f>
        <v>0</v>
      </c>
      <c r="L395" s="14">
        <f>IF(ISNUMBER('Klisz-Verbräuche'!M65), 'Klisz-Verbräuche'!M65*Emissionsfaktoren!K65/1000, 0)</f>
        <v>0</v>
      </c>
      <c r="M395" s="14">
        <f>IF(ISNUMBER('Klisz-Verbräuche'!N65), 'Klisz-Verbräuche'!N65*Emissionsfaktoren!L65/1000, 0)</f>
        <v>0</v>
      </c>
      <c r="N395" s="14">
        <f>IF(ISNUMBER('Klisz-Verbräuche'!O65), 'Klisz-Verbräuche'!O65*Emissionsfaktoren!M65/1000, 0)</f>
        <v>0</v>
      </c>
      <c r="O395" s="14">
        <f>IF(ISNUMBER('Klisz-Verbräuche'!P65), 'Klisz-Verbräuche'!P65*Emissionsfaktoren!N65/1000, 0)</f>
        <v>0</v>
      </c>
      <c r="P395" s="14">
        <f>IF(ISNUMBER('Klisz-Verbräuche'!Q65), 'Klisz-Verbräuche'!Q65*Emissionsfaktoren!O65/1000, 0)</f>
        <v>0</v>
      </c>
      <c r="Q395" s="14">
        <f>IF(ISNUMBER('Klisz-Verbräuche'!R65), 'Klisz-Verbräuche'!R65*Emissionsfaktoren!P65/1000, 0)</f>
        <v>0</v>
      </c>
      <c r="R395" s="14">
        <f>IF(ISNUMBER('Klisz-Verbräuche'!S65), 'Klisz-Verbräuche'!S65*Emissionsfaktoren!Q65/1000, 0)</f>
        <v>0</v>
      </c>
      <c r="S395" s="14">
        <f>IF(ISNUMBER('Klisz-Verbräuche'!T65), 'Klisz-Verbräuche'!T65*Emissionsfaktoren!R65/1000, 0)</f>
        <v>0</v>
      </c>
      <c r="T395" s="14">
        <f>IF(ISNUMBER('Klisz-Verbräuche'!U65), 'Klisz-Verbräuche'!U65*Emissionsfaktoren!S65/1000, 0)</f>
        <v>0</v>
      </c>
      <c r="U395" s="14">
        <f>IF(ISNUMBER('Klisz-Verbräuche'!V65), 'Klisz-Verbräuche'!V65*Emissionsfaktoren!T65/1000, 0)</f>
        <v>0</v>
      </c>
      <c r="V395" s="14">
        <f>IF(ISNUMBER('Klisz-Verbräuche'!W65), 'Klisz-Verbräuche'!W65*Emissionsfaktoren!U65/1000, 0)</f>
        <v>0</v>
      </c>
      <c r="W395" s="14">
        <f>IF(ISNUMBER('Klisz-Verbräuche'!X65), 'Klisz-Verbräuche'!X65*Emissionsfaktoren!V65/1000, 0)</f>
        <v>0</v>
      </c>
      <c r="X395" s="14">
        <f>IF(ISNUMBER('Klisz-Verbräuche'!Y65), 'Klisz-Verbräuche'!Y65*Emissionsfaktoren!W65/1000, 0)</f>
        <v>0</v>
      </c>
      <c r="Y395" s="14">
        <f>IF(ISNUMBER('Klisz-Verbräuche'!Z65), 'Klisz-Verbräuche'!Z65*Emissionsfaktoren!X65/1000, 0)</f>
        <v>0</v>
      </c>
    </row>
    <row r="396" spans="2:25" ht="16.5">
      <c r="B396" s="14">
        <v>50</v>
      </c>
      <c r="C396" s="14" t="str">
        <f>'Refsz-Verbräuche'!C66</f>
        <v>Mobilität 1</v>
      </c>
      <c r="D396" s="19" t="str">
        <f>'Refsz-Verbräuche'!D66</f>
        <v>DR - Mietwägen (Wasserstoff/ FCEV)</v>
      </c>
      <c r="E396" t="s">
        <v>195</v>
      </c>
      <c r="F396" s="14">
        <f>IF(ISNUMBER('Klisz-Verbräuche'!G66), 'Klisz-Verbräuche'!G66*Emissionsfaktoren!E66/1000, 0)</f>
        <v>0</v>
      </c>
      <c r="G396" s="14">
        <f>IF(ISNUMBER('Klisz-Verbräuche'!H66), 'Klisz-Verbräuche'!H66*Emissionsfaktoren!F66/1000, 0)</f>
        <v>0</v>
      </c>
      <c r="H396" s="14">
        <f>IF(ISNUMBER('Klisz-Verbräuche'!I66), 'Klisz-Verbräuche'!I66*Emissionsfaktoren!G66/1000, 0)</f>
        <v>0</v>
      </c>
      <c r="I396" s="14">
        <f>IF(ISNUMBER('Klisz-Verbräuche'!J66), 'Klisz-Verbräuche'!J66*Emissionsfaktoren!H66/1000, 0)</f>
        <v>0</v>
      </c>
      <c r="J396" s="14">
        <f>IF(ISNUMBER('Klisz-Verbräuche'!K66), 'Klisz-Verbräuche'!K66*Emissionsfaktoren!I66/1000, 0)</f>
        <v>0</v>
      </c>
      <c r="K396" s="14">
        <f>IF(ISNUMBER('Klisz-Verbräuche'!L66), 'Klisz-Verbräuche'!L66*Emissionsfaktoren!J66/1000, 0)</f>
        <v>0</v>
      </c>
      <c r="L396" s="14">
        <f>IF(ISNUMBER('Klisz-Verbräuche'!M66), 'Klisz-Verbräuche'!M66*Emissionsfaktoren!K66/1000, 0)</f>
        <v>0</v>
      </c>
      <c r="M396" s="14">
        <f>IF(ISNUMBER('Klisz-Verbräuche'!N66), 'Klisz-Verbräuche'!N66*Emissionsfaktoren!L66/1000, 0)</f>
        <v>0</v>
      </c>
      <c r="N396" s="14">
        <f>IF(ISNUMBER('Klisz-Verbräuche'!O66), 'Klisz-Verbräuche'!O66*Emissionsfaktoren!M66/1000, 0)</f>
        <v>0</v>
      </c>
      <c r="O396" s="14">
        <f>IF(ISNUMBER('Klisz-Verbräuche'!P66), 'Klisz-Verbräuche'!P66*Emissionsfaktoren!N66/1000, 0)</f>
        <v>0</v>
      </c>
      <c r="P396" s="14">
        <f>IF(ISNUMBER('Klisz-Verbräuche'!Q66), 'Klisz-Verbräuche'!Q66*Emissionsfaktoren!O66/1000, 0)</f>
        <v>0</v>
      </c>
      <c r="Q396" s="14">
        <f>IF(ISNUMBER('Klisz-Verbräuche'!R66), 'Klisz-Verbräuche'!R66*Emissionsfaktoren!P66/1000, 0)</f>
        <v>0</v>
      </c>
      <c r="R396" s="14">
        <f>IF(ISNUMBER('Klisz-Verbräuche'!S66), 'Klisz-Verbräuche'!S66*Emissionsfaktoren!Q66/1000, 0)</f>
        <v>0</v>
      </c>
      <c r="S396" s="14">
        <f>IF(ISNUMBER('Klisz-Verbräuche'!T66), 'Klisz-Verbräuche'!T66*Emissionsfaktoren!R66/1000, 0)</f>
        <v>0</v>
      </c>
      <c r="T396" s="14">
        <f>IF(ISNUMBER('Klisz-Verbräuche'!U66), 'Klisz-Verbräuche'!U66*Emissionsfaktoren!S66/1000, 0)</f>
        <v>0</v>
      </c>
      <c r="U396" s="14">
        <f>IF(ISNUMBER('Klisz-Verbräuche'!V66), 'Klisz-Verbräuche'!V66*Emissionsfaktoren!T66/1000, 0)</f>
        <v>0</v>
      </c>
      <c r="V396" s="14">
        <f>IF(ISNUMBER('Klisz-Verbräuche'!W66), 'Klisz-Verbräuche'!W66*Emissionsfaktoren!U66/1000, 0)</f>
        <v>0</v>
      </c>
      <c r="W396" s="14">
        <f>IF(ISNUMBER('Klisz-Verbräuche'!X66), 'Klisz-Verbräuche'!X66*Emissionsfaktoren!V66/1000, 0)</f>
        <v>0</v>
      </c>
      <c r="X396" s="14">
        <f>IF(ISNUMBER('Klisz-Verbräuche'!Y66), 'Klisz-Verbräuche'!Y66*Emissionsfaktoren!W66/1000, 0)</f>
        <v>0</v>
      </c>
      <c r="Y396" s="14">
        <f>IF(ISNUMBER('Klisz-Verbräuche'!Z66), 'Klisz-Verbräuche'!Z66*Emissionsfaktoren!X66/1000, 0)</f>
        <v>0</v>
      </c>
    </row>
    <row r="397" spans="2:25" ht="16.5">
      <c r="B397" s="14">
        <v>51</v>
      </c>
      <c r="C397" s="14" t="str">
        <f>'Refsz-Verbräuche'!C67</f>
        <v>Mobilität 1</v>
      </c>
      <c r="D397" s="19" t="str">
        <f>'Refsz-Verbräuche'!D67</f>
        <v>DR - Mietwägen (CNG)</v>
      </c>
      <c r="E397" t="s">
        <v>195</v>
      </c>
      <c r="F397" s="14">
        <f>IF(ISNUMBER('Klisz-Verbräuche'!G67), 'Klisz-Verbräuche'!G67*Emissionsfaktoren!E67/1000, 0)</f>
        <v>0</v>
      </c>
      <c r="G397" s="14">
        <f>IF(ISNUMBER('Klisz-Verbräuche'!H67), 'Klisz-Verbräuche'!H67*Emissionsfaktoren!F67/1000, 0)</f>
        <v>0</v>
      </c>
      <c r="H397" s="14">
        <f>IF(ISNUMBER('Klisz-Verbräuche'!I67), 'Klisz-Verbräuche'!I67*Emissionsfaktoren!G67/1000, 0)</f>
        <v>0</v>
      </c>
      <c r="I397" s="14">
        <f>IF(ISNUMBER('Klisz-Verbräuche'!J67), 'Klisz-Verbräuche'!J67*Emissionsfaktoren!H67/1000, 0)</f>
        <v>0</v>
      </c>
      <c r="J397" s="14">
        <f>IF(ISNUMBER('Klisz-Verbräuche'!K67), 'Klisz-Verbräuche'!K67*Emissionsfaktoren!I67/1000, 0)</f>
        <v>0</v>
      </c>
      <c r="K397" s="14">
        <f>IF(ISNUMBER('Klisz-Verbräuche'!L67), 'Klisz-Verbräuche'!L67*Emissionsfaktoren!J67/1000, 0)</f>
        <v>0</v>
      </c>
      <c r="L397" s="14">
        <f>IF(ISNUMBER('Klisz-Verbräuche'!M67), 'Klisz-Verbräuche'!M67*Emissionsfaktoren!K67/1000, 0)</f>
        <v>0</v>
      </c>
      <c r="M397" s="14">
        <f>IF(ISNUMBER('Klisz-Verbräuche'!N67), 'Klisz-Verbräuche'!N67*Emissionsfaktoren!L67/1000, 0)</f>
        <v>0</v>
      </c>
      <c r="N397" s="14">
        <f>IF(ISNUMBER('Klisz-Verbräuche'!O67), 'Klisz-Verbräuche'!O67*Emissionsfaktoren!M67/1000, 0)</f>
        <v>0</v>
      </c>
      <c r="O397" s="14">
        <f>IF(ISNUMBER('Klisz-Verbräuche'!P67), 'Klisz-Verbräuche'!P67*Emissionsfaktoren!N67/1000, 0)</f>
        <v>0</v>
      </c>
      <c r="P397" s="14">
        <f>IF(ISNUMBER('Klisz-Verbräuche'!Q67), 'Klisz-Verbräuche'!Q67*Emissionsfaktoren!O67/1000, 0)</f>
        <v>0</v>
      </c>
      <c r="Q397" s="14">
        <f>IF(ISNUMBER('Klisz-Verbräuche'!R67), 'Klisz-Verbräuche'!R67*Emissionsfaktoren!P67/1000, 0)</f>
        <v>0</v>
      </c>
      <c r="R397" s="14">
        <f>IF(ISNUMBER('Klisz-Verbräuche'!S67), 'Klisz-Verbräuche'!S67*Emissionsfaktoren!Q67/1000, 0)</f>
        <v>0</v>
      </c>
      <c r="S397" s="14">
        <f>IF(ISNUMBER('Klisz-Verbräuche'!T67), 'Klisz-Verbräuche'!T67*Emissionsfaktoren!R67/1000, 0)</f>
        <v>0</v>
      </c>
      <c r="T397" s="14">
        <f>IF(ISNUMBER('Klisz-Verbräuche'!U67), 'Klisz-Verbräuche'!U67*Emissionsfaktoren!S67/1000, 0)</f>
        <v>0</v>
      </c>
      <c r="U397" s="14">
        <f>IF(ISNUMBER('Klisz-Verbräuche'!V67), 'Klisz-Verbräuche'!V67*Emissionsfaktoren!T67/1000, 0)</f>
        <v>0</v>
      </c>
      <c r="V397" s="14">
        <f>IF(ISNUMBER('Klisz-Verbräuche'!W67), 'Klisz-Verbräuche'!W67*Emissionsfaktoren!U67/1000, 0)</f>
        <v>0</v>
      </c>
      <c r="W397" s="14">
        <f>IF(ISNUMBER('Klisz-Verbräuche'!X67), 'Klisz-Verbräuche'!X67*Emissionsfaktoren!V67/1000, 0)</f>
        <v>0</v>
      </c>
      <c r="X397" s="14">
        <f>IF(ISNUMBER('Klisz-Verbräuche'!Y67), 'Klisz-Verbräuche'!Y67*Emissionsfaktoren!W67/1000, 0)</f>
        <v>0</v>
      </c>
      <c r="Y397" s="14">
        <f>IF(ISNUMBER('Klisz-Verbräuche'!Z67), 'Klisz-Verbräuche'!Z67*Emissionsfaktoren!X67/1000, 0)</f>
        <v>0</v>
      </c>
    </row>
    <row r="398" spans="2:25" ht="16.5">
      <c r="B398" s="14">
        <v>52</v>
      </c>
      <c r="C398" s="14" t="str">
        <f>'Refsz-Verbräuche'!C68</f>
        <v>Mobilität 1</v>
      </c>
      <c r="D398" s="19" t="str">
        <f>'Refsz-Verbräuche'!D68</f>
        <v>DR - Mietwägen (Plug-In-Hybrid/ PHEV)</v>
      </c>
      <c r="E398" t="s">
        <v>195</v>
      </c>
      <c r="F398" s="14">
        <f>IF(ISNUMBER('Klisz-Verbräuche'!G68), 'Klisz-Verbräuche'!G68*Emissionsfaktoren!E68/1000, 0)</f>
        <v>0</v>
      </c>
      <c r="G398" s="14">
        <f>IF(ISNUMBER('Klisz-Verbräuche'!H68), 'Klisz-Verbräuche'!H68*Emissionsfaktoren!F68/1000, 0)</f>
        <v>0</v>
      </c>
      <c r="H398" s="14">
        <f>IF(ISNUMBER('Klisz-Verbräuche'!I68), 'Klisz-Verbräuche'!I68*Emissionsfaktoren!G68/1000, 0)</f>
        <v>0</v>
      </c>
      <c r="I398" s="14">
        <f>IF(ISNUMBER('Klisz-Verbräuche'!J68), 'Klisz-Verbräuche'!J68*Emissionsfaktoren!H68/1000, 0)</f>
        <v>0</v>
      </c>
      <c r="J398" s="14">
        <f>IF(ISNUMBER('Klisz-Verbräuche'!K68), 'Klisz-Verbräuche'!K68*Emissionsfaktoren!I68/1000, 0)</f>
        <v>0</v>
      </c>
      <c r="K398" s="14">
        <f>IF(ISNUMBER('Klisz-Verbräuche'!L68), 'Klisz-Verbräuche'!L68*Emissionsfaktoren!J68/1000, 0)</f>
        <v>0</v>
      </c>
      <c r="L398" s="14">
        <f>IF(ISNUMBER('Klisz-Verbräuche'!M68), 'Klisz-Verbräuche'!M68*Emissionsfaktoren!K68/1000, 0)</f>
        <v>0</v>
      </c>
      <c r="M398" s="14">
        <f>IF(ISNUMBER('Klisz-Verbräuche'!N68), 'Klisz-Verbräuche'!N68*Emissionsfaktoren!L68/1000, 0)</f>
        <v>0</v>
      </c>
      <c r="N398" s="14">
        <f>IF(ISNUMBER('Klisz-Verbräuche'!O68), 'Klisz-Verbräuche'!O68*Emissionsfaktoren!M68/1000, 0)</f>
        <v>0</v>
      </c>
      <c r="O398" s="14">
        <f>IF(ISNUMBER('Klisz-Verbräuche'!P68), 'Klisz-Verbräuche'!P68*Emissionsfaktoren!N68/1000, 0)</f>
        <v>0</v>
      </c>
      <c r="P398" s="14">
        <f>IF(ISNUMBER('Klisz-Verbräuche'!Q68), 'Klisz-Verbräuche'!Q68*Emissionsfaktoren!O68/1000, 0)</f>
        <v>0</v>
      </c>
      <c r="Q398" s="14">
        <f>IF(ISNUMBER('Klisz-Verbräuche'!R68), 'Klisz-Verbräuche'!R68*Emissionsfaktoren!P68/1000, 0)</f>
        <v>0</v>
      </c>
      <c r="R398" s="14">
        <f>IF(ISNUMBER('Klisz-Verbräuche'!S68), 'Klisz-Verbräuche'!S68*Emissionsfaktoren!Q68/1000, 0)</f>
        <v>0</v>
      </c>
      <c r="S398" s="14">
        <f>IF(ISNUMBER('Klisz-Verbräuche'!T68), 'Klisz-Verbräuche'!T68*Emissionsfaktoren!R68/1000, 0)</f>
        <v>0</v>
      </c>
      <c r="T398" s="14">
        <f>IF(ISNUMBER('Klisz-Verbräuche'!U68), 'Klisz-Verbräuche'!U68*Emissionsfaktoren!S68/1000, 0)</f>
        <v>0</v>
      </c>
      <c r="U398" s="14">
        <f>IF(ISNUMBER('Klisz-Verbräuche'!V68), 'Klisz-Verbräuche'!V68*Emissionsfaktoren!T68/1000, 0)</f>
        <v>0</v>
      </c>
      <c r="V398" s="14">
        <f>IF(ISNUMBER('Klisz-Verbräuche'!W68), 'Klisz-Verbräuche'!W68*Emissionsfaktoren!U68/1000, 0)</f>
        <v>0</v>
      </c>
      <c r="W398" s="14">
        <f>IF(ISNUMBER('Klisz-Verbräuche'!X68), 'Klisz-Verbräuche'!X68*Emissionsfaktoren!V68/1000, 0)</f>
        <v>0</v>
      </c>
      <c r="X398" s="14">
        <f>IF(ISNUMBER('Klisz-Verbräuche'!Y68), 'Klisz-Verbräuche'!Y68*Emissionsfaktoren!W68/1000, 0)</f>
        <v>0</v>
      </c>
      <c r="Y398" s="14">
        <f>IF(ISNUMBER('Klisz-Verbräuche'!Z68), 'Klisz-Verbräuche'!Z68*Emissionsfaktoren!X68/1000, 0)</f>
        <v>0</v>
      </c>
    </row>
    <row r="399" spans="2:25" ht="16.5">
      <c r="B399" s="14">
        <v>53</v>
      </c>
      <c r="C399" s="14" t="str">
        <f>'Refsz-Verbräuche'!C69</f>
        <v>Mobilität 1</v>
      </c>
      <c r="D399" s="19" t="str">
        <f>'Refsz-Verbräuche'!D69</f>
        <v>DR - E-Bike</v>
      </c>
      <c r="E399" t="s">
        <v>195</v>
      </c>
      <c r="F399" s="14">
        <f>IF(ISNUMBER('Klisz-Verbräuche'!G69), 'Klisz-Verbräuche'!G69*Emissionsfaktoren!E69/1000, 0)</f>
        <v>0</v>
      </c>
      <c r="G399" s="14">
        <f>IF(ISNUMBER('Klisz-Verbräuche'!H69), 'Klisz-Verbräuche'!H69*Emissionsfaktoren!F69/1000, 0)</f>
        <v>0</v>
      </c>
      <c r="H399" s="14">
        <f>IF(ISNUMBER('Klisz-Verbräuche'!I69), 'Klisz-Verbräuche'!I69*Emissionsfaktoren!G69/1000, 0)</f>
        <v>0</v>
      </c>
      <c r="I399" s="14">
        <f>IF(ISNUMBER('Klisz-Verbräuche'!J69), 'Klisz-Verbräuche'!J69*Emissionsfaktoren!H69/1000, 0)</f>
        <v>0</v>
      </c>
      <c r="J399" s="14">
        <f>IF(ISNUMBER('Klisz-Verbräuche'!K69), 'Klisz-Verbräuche'!K69*Emissionsfaktoren!I69/1000, 0)</f>
        <v>0</v>
      </c>
      <c r="K399" s="14">
        <f>IF(ISNUMBER('Klisz-Verbräuche'!L69), 'Klisz-Verbräuche'!L69*Emissionsfaktoren!J69/1000, 0)</f>
        <v>0</v>
      </c>
      <c r="L399" s="14">
        <f>IF(ISNUMBER('Klisz-Verbräuche'!M69), 'Klisz-Verbräuche'!M69*Emissionsfaktoren!K69/1000, 0)</f>
        <v>0</v>
      </c>
      <c r="M399" s="14">
        <f>IF(ISNUMBER('Klisz-Verbräuche'!N69), 'Klisz-Verbräuche'!N69*Emissionsfaktoren!L69/1000, 0)</f>
        <v>0</v>
      </c>
      <c r="N399" s="14">
        <f>IF(ISNUMBER('Klisz-Verbräuche'!O69), 'Klisz-Verbräuche'!O69*Emissionsfaktoren!M69/1000, 0)</f>
        <v>0</v>
      </c>
      <c r="O399" s="14">
        <f>IF(ISNUMBER('Klisz-Verbräuche'!P69), 'Klisz-Verbräuche'!P69*Emissionsfaktoren!N69/1000, 0)</f>
        <v>0</v>
      </c>
      <c r="P399" s="14">
        <f>IF(ISNUMBER('Klisz-Verbräuche'!Q69), 'Klisz-Verbräuche'!Q69*Emissionsfaktoren!O69/1000, 0)</f>
        <v>0</v>
      </c>
      <c r="Q399" s="14">
        <f>IF(ISNUMBER('Klisz-Verbräuche'!R69), 'Klisz-Verbräuche'!R69*Emissionsfaktoren!P69/1000, 0)</f>
        <v>0</v>
      </c>
      <c r="R399" s="14">
        <f>IF(ISNUMBER('Klisz-Verbräuche'!S69), 'Klisz-Verbräuche'!S69*Emissionsfaktoren!Q69/1000, 0)</f>
        <v>0</v>
      </c>
      <c r="S399" s="14">
        <f>IF(ISNUMBER('Klisz-Verbräuche'!T69), 'Klisz-Verbräuche'!T69*Emissionsfaktoren!R69/1000, 0)</f>
        <v>0</v>
      </c>
      <c r="T399" s="14">
        <f>IF(ISNUMBER('Klisz-Verbräuche'!U69), 'Klisz-Verbräuche'!U69*Emissionsfaktoren!S69/1000, 0)</f>
        <v>0</v>
      </c>
      <c r="U399" s="14">
        <f>IF(ISNUMBER('Klisz-Verbräuche'!V69), 'Klisz-Verbräuche'!V69*Emissionsfaktoren!T69/1000, 0)</f>
        <v>0</v>
      </c>
      <c r="V399" s="14">
        <f>IF(ISNUMBER('Klisz-Verbräuche'!W69), 'Klisz-Verbräuche'!W69*Emissionsfaktoren!U69/1000, 0)</f>
        <v>0</v>
      </c>
      <c r="W399" s="14">
        <f>IF(ISNUMBER('Klisz-Verbräuche'!X69), 'Klisz-Verbräuche'!X69*Emissionsfaktoren!V69/1000, 0)</f>
        <v>0</v>
      </c>
      <c r="X399" s="14">
        <f>IF(ISNUMBER('Klisz-Verbräuche'!Y69), 'Klisz-Verbräuche'!Y69*Emissionsfaktoren!W69/1000, 0)</f>
        <v>0</v>
      </c>
      <c r="Y399" s="14">
        <f>IF(ISNUMBER('Klisz-Verbräuche'!Z69), 'Klisz-Verbräuche'!Z69*Emissionsfaktoren!X69/1000, 0)</f>
        <v>0</v>
      </c>
    </row>
    <row r="400" spans="2:25" ht="16.5">
      <c r="B400" s="14">
        <v>54</v>
      </c>
      <c r="C400" s="14" t="str">
        <f>'Refsz-Verbräuche'!C70</f>
        <v>Mobilität 1</v>
      </c>
      <c r="D400" s="19" t="str">
        <f>'Refsz-Verbräuche'!D70</f>
        <v>DR - Fahrrad</v>
      </c>
      <c r="E400" t="s">
        <v>195</v>
      </c>
      <c r="F400" s="14">
        <f>IF(ISNUMBER('Klisz-Verbräuche'!G70), 'Klisz-Verbräuche'!G70*Emissionsfaktoren!E70/1000, 0)</f>
        <v>0</v>
      </c>
      <c r="G400" s="14">
        <f>IF(ISNUMBER('Klisz-Verbräuche'!H70), 'Klisz-Verbräuche'!H70*Emissionsfaktoren!F70/1000, 0)</f>
        <v>0</v>
      </c>
      <c r="H400" s="14">
        <f>IF(ISNUMBER('Klisz-Verbräuche'!I70), 'Klisz-Verbräuche'!I70*Emissionsfaktoren!G70/1000, 0)</f>
        <v>0</v>
      </c>
      <c r="I400" s="14">
        <f>IF(ISNUMBER('Klisz-Verbräuche'!J70), 'Klisz-Verbräuche'!J70*Emissionsfaktoren!H70/1000, 0)</f>
        <v>0</v>
      </c>
      <c r="J400" s="14">
        <f>IF(ISNUMBER('Klisz-Verbräuche'!K70), 'Klisz-Verbräuche'!K70*Emissionsfaktoren!I70/1000, 0)</f>
        <v>0</v>
      </c>
      <c r="K400" s="14">
        <f>IF(ISNUMBER('Klisz-Verbräuche'!L70), 'Klisz-Verbräuche'!L70*Emissionsfaktoren!J70/1000, 0)</f>
        <v>0</v>
      </c>
      <c r="L400" s="14">
        <f>IF(ISNUMBER('Klisz-Verbräuche'!M70), 'Klisz-Verbräuche'!M70*Emissionsfaktoren!K70/1000, 0)</f>
        <v>0</v>
      </c>
      <c r="M400" s="14">
        <f>IF(ISNUMBER('Klisz-Verbräuche'!N70), 'Klisz-Verbräuche'!N70*Emissionsfaktoren!L70/1000, 0)</f>
        <v>0</v>
      </c>
      <c r="N400" s="14">
        <f>IF(ISNUMBER('Klisz-Verbräuche'!O70), 'Klisz-Verbräuche'!O70*Emissionsfaktoren!M70/1000, 0)</f>
        <v>0</v>
      </c>
      <c r="O400" s="14">
        <f>IF(ISNUMBER('Klisz-Verbräuche'!P70), 'Klisz-Verbräuche'!P70*Emissionsfaktoren!N70/1000, 0)</f>
        <v>0</v>
      </c>
      <c r="P400" s="14">
        <f>IF(ISNUMBER('Klisz-Verbräuche'!Q70), 'Klisz-Verbräuche'!Q70*Emissionsfaktoren!O70/1000, 0)</f>
        <v>0</v>
      </c>
      <c r="Q400" s="14">
        <f>IF(ISNUMBER('Klisz-Verbräuche'!R70), 'Klisz-Verbräuche'!R70*Emissionsfaktoren!P70/1000, 0)</f>
        <v>0</v>
      </c>
      <c r="R400" s="14">
        <f>IF(ISNUMBER('Klisz-Verbräuche'!S70), 'Klisz-Verbräuche'!S70*Emissionsfaktoren!Q70/1000, 0)</f>
        <v>0</v>
      </c>
      <c r="S400" s="14">
        <f>IF(ISNUMBER('Klisz-Verbräuche'!T70), 'Klisz-Verbräuche'!T70*Emissionsfaktoren!R70/1000, 0)</f>
        <v>0</v>
      </c>
      <c r="T400" s="14">
        <f>IF(ISNUMBER('Klisz-Verbräuche'!U70), 'Klisz-Verbräuche'!U70*Emissionsfaktoren!S70/1000, 0)</f>
        <v>0</v>
      </c>
      <c r="U400" s="14">
        <f>IF(ISNUMBER('Klisz-Verbräuche'!V70), 'Klisz-Verbräuche'!V70*Emissionsfaktoren!T70/1000, 0)</f>
        <v>0</v>
      </c>
      <c r="V400" s="14">
        <f>IF(ISNUMBER('Klisz-Verbräuche'!W70), 'Klisz-Verbräuche'!W70*Emissionsfaktoren!U70/1000, 0)</f>
        <v>0</v>
      </c>
      <c r="W400" s="14">
        <f>IF(ISNUMBER('Klisz-Verbräuche'!X70), 'Klisz-Verbräuche'!X70*Emissionsfaktoren!V70/1000, 0)</f>
        <v>0</v>
      </c>
      <c r="X400" s="14">
        <f>IF(ISNUMBER('Klisz-Verbräuche'!Y70), 'Klisz-Verbräuche'!Y70*Emissionsfaktoren!W70/1000, 0)</f>
        <v>0</v>
      </c>
      <c r="Y400" s="14">
        <f>IF(ISNUMBER('Klisz-Verbräuche'!Z70), 'Klisz-Verbräuche'!Z70*Emissionsfaktoren!X70/1000, 0)</f>
        <v>0</v>
      </c>
    </row>
    <row r="401" spans="2:25" ht="16.5">
      <c r="B401" s="14">
        <v>55</v>
      </c>
      <c r="C401" s="14">
        <f>'Refsz-Verbräuche'!C71</f>
        <v>0</v>
      </c>
      <c r="D401" s="19">
        <f>'Refsz-Verbräuche'!D71</f>
        <v>0</v>
      </c>
      <c r="E401" t="s">
        <v>195</v>
      </c>
      <c r="F401" s="14">
        <f>IF(ISNUMBER('Klisz-Verbräuche'!G71), 'Klisz-Verbräuche'!G71*Emissionsfaktoren!E71/1000, 0)</f>
        <v>0</v>
      </c>
      <c r="G401" s="14">
        <f>IF(ISNUMBER('Klisz-Verbräuche'!H71), 'Klisz-Verbräuche'!H71*Emissionsfaktoren!F71/1000, 0)</f>
        <v>0</v>
      </c>
      <c r="H401" s="14">
        <f>IF(ISNUMBER('Klisz-Verbräuche'!I71), 'Klisz-Verbräuche'!I71*Emissionsfaktoren!G71/1000, 0)</f>
        <v>0</v>
      </c>
      <c r="I401" s="14">
        <f>IF(ISNUMBER('Klisz-Verbräuche'!J71), 'Klisz-Verbräuche'!J71*Emissionsfaktoren!H71/1000, 0)</f>
        <v>0</v>
      </c>
      <c r="J401" s="14">
        <f>IF(ISNUMBER('Klisz-Verbräuche'!K71), 'Klisz-Verbräuche'!K71*Emissionsfaktoren!I71/1000, 0)</f>
        <v>0</v>
      </c>
      <c r="K401" s="14">
        <f>IF(ISNUMBER('Klisz-Verbräuche'!L71), 'Klisz-Verbräuche'!L71*Emissionsfaktoren!J71/1000, 0)</f>
        <v>0</v>
      </c>
      <c r="L401" s="14">
        <f>IF(ISNUMBER('Klisz-Verbräuche'!M71), 'Klisz-Verbräuche'!M71*Emissionsfaktoren!K71/1000, 0)</f>
        <v>0</v>
      </c>
      <c r="M401" s="14">
        <f>IF(ISNUMBER('Klisz-Verbräuche'!N71), 'Klisz-Verbräuche'!N71*Emissionsfaktoren!L71/1000, 0)</f>
        <v>0</v>
      </c>
      <c r="N401" s="14">
        <f>IF(ISNUMBER('Klisz-Verbräuche'!O71), 'Klisz-Verbräuche'!O71*Emissionsfaktoren!M71/1000, 0)</f>
        <v>0</v>
      </c>
      <c r="O401" s="14">
        <f>IF(ISNUMBER('Klisz-Verbräuche'!P71), 'Klisz-Verbräuche'!P71*Emissionsfaktoren!N71/1000, 0)</f>
        <v>0</v>
      </c>
      <c r="P401" s="14">
        <f>IF(ISNUMBER('Klisz-Verbräuche'!Q71), 'Klisz-Verbräuche'!Q71*Emissionsfaktoren!O71/1000, 0)</f>
        <v>0</v>
      </c>
      <c r="Q401" s="14">
        <f>IF(ISNUMBER('Klisz-Verbräuche'!R71), 'Klisz-Verbräuche'!R71*Emissionsfaktoren!P71/1000, 0)</f>
        <v>0</v>
      </c>
      <c r="R401" s="14">
        <f>IF(ISNUMBER('Klisz-Verbräuche'!S71), 'Klisz-Verbräuche'!S71*Emissionsfaktoren!Q71/1000, 0)</f>
        <v>0</v>
      </c>
      <c r="S401" s="14">
        <f>IF(ISNUMBER('Klisz-Verbräuche'!T71), 'Klisz-Verbräuche'!T71*Emissionsfaktoren!R71/1000, 0)</f>
        <v>0</v>
      </c>
      <c r="T401" s="14">
        <f>IF(ISNUMBER('Klisz-Verbräuche'!U71), 'Klisz-Verbräuche'!U71*Emissionsfaktoren!S71/1000, 0)</f>
        <v>0</v>
      </c>
      <c r="U401" s="14">
        <f>IF(ISNUMBER('Klisz-Verbräuche'!V71), 'Klisz-Verbräuche'!V71*Emissionsfaktoren!T71/1000, 0)</f>
        <v>0</v>
      </c>
      <c r="V401" s="14">
        <f>IF(ISNUMBER('Klisz-Verbräuche'!W71), 'Klisz-Verbräuche'!W71*Emissionsfaktoren!U71/1000, 0)</f>
        <v>0</v>
      </c>
      <c r="W401" s="14">
        <f>IF(ISNUMBER('Klisz-Verbräuche'!X71), 'Klisz-Verbräuche'!X71*Emissionsfaktoren!V71/1000, 0)</f>
        <v>0</v>
      </c>
      <c r="X401" s="14">
        <f>IF(ISNUMBER('Klisz-Verbräuche'!Y71), 'Klisz-Verbräuche'!Y71*Emissionsfaktoren!W71/1000, 0)</f>
        <v>0</v>
      </c>
      <c r="Y401" s="14">
        <f>IF(ISNUMBER('Klisz-Verbräuche'!Z71), 'Klisz-Verbräuche'!Z71*Emissionsfaktoren!X71/1000, 0)</f>
        <v>0</v>
      </c>
    </row>
    <row r="402" spans="2:25" ht="16.5">
      <c r="B402" s="14">
        <v>56</v>
      </c>
      <c r="C402" s="14" t="str">
        <f>'Refsz-Verbräuche'!C72</f>
        <v>Mobilität 1</v>
      </c>
      <c r="D402" s="19" t="str">
        <f>'Refsz-Verbräuche'!D72</f>
        <v>Studierendenreisen (Outgoing) - Flugreisen</v>
      </c>
      <c r="E402" t="s">
        <v>195</v>
      </c>
      <c r="F402" s="14">
        <f>IF(ISNUMBER('Klisz-Verbräuche'!G72), 'Klisz-Verbräuche'!G72*Emissionsfaktoren!E72/1000, 0)</f>
        <v>0</v>
      </c>
      <c r="G402" s="14">
        <f>IF(ISNUMBER('Klisz-Verbräuche'!H72), 'Klisz-Verbräuche'!H72*Emissionsfaktoren!F72/1000, 0)</f>
        <v>0</v>
      </c>
      <c r="H402" s="14">
        <f>IF(ISNUMBER('Klisz-Verbräuche'!I72), 'Klisz-Verbräuche'!I72*Emissionsfaktoren!G72/1000, 0)</f>
        <v>0</v>
      </c>
      <c r="I402" s="14">
        <f>IF(ISNUMBER('Klisz-Verbräuche'!J72), 'Klisz-Verbräuche'!J72*Emissionsfaktoren!H72/1000, 0)</f>
        <v>0</v>
      </c>
      <c r="J402" s="14">
        <f>IF(ISNUMBER('Klisz-Verbräuche'!K72), 'Klisz-Verbräuche'!K72*Emissionsfaktoren!I72/1000, 0)</f>
        <v>0</v>
      </c>
      <c r="K402" s="14">
        <f>IF(ISNUMBER('Klisz-Verbräuche'!L72), 'Klisz-Verbräuche'!L72*Emissionsfaktoren!J72/1000, 0)</f>
        <v>0</v>
      </c>
      <c r="L402" s="14">
        <f>IF(ISNUMBER('Klisz-Verbräuche'!M72), 'Klisz-Verbräuche'!M72*Emissionsfaktoren!K72/1000, 0)</f>
        <v>0</v>
      </c>
      <c r="M402" s="14">
        <f>IF(ISNUMBER('Klisz-Verbräuche'!N72), 'Klisz-Verbräuche'!N72*Emissionsfaktoren!L72/1000, 0)</f>
        <v>0</v>
      </c>
      <c r="N402" s="14">
        <f>IF(ISNUMBER('Klisz-Verbräuche'!O72), 'Klisz-Verbräuche'!O72*Emissionsfaktoren!M72/1000, 0)</f>
        <v>0</v>
      </c>
      <c r="O402" s="14">
        <f>IF(ISNUMBER('Klisz-Verbräuche'!P72), 'Klisz-Verbräuche'!P72*Emissionsfaktoren!N72/1000, 0)</f>
        <v>0</v>
      </c>
      <c r="P402" s="14">
        <f>IF(ISNUMBER('Klisz-Verbräuche'!Q72), 'Klisz-Verbräuche'!Q72*Emissionsfaktoren!O72/1000, 0)</f>
        <v>0</v>
      </c>
      <c r="Q402" s="14">
        <f>IF(ISNUMBER('Klisz-Verbräuche'!R72), 'Klisz-Verbräuche'!R72*Emissionsfaktoren!P72/1000, 0)</f>
        <v>0</v>
      </c>
      <c r="R402" s="14">
        <f>IF(ISNUMBER('Klisz-Verbräuche'!S72), 'Klisz-Verbräuche'!S72*Emissionsfaktoren!Q72/1000, 0)</f>
        <v>0</v>
      </c>
      <c r="S402" s="14">
        <f>IF(ISNUMBER('Klisz-Verbräuche'!T72), 'Klisz-Verbräuche'!T72*Emissionsfaktoren!R72/1000, 0)</f>
        <v>0</v>
      </c>
      <c r="T402" s="14">
        <f>IF(ISNUMBER('Klisz-Verbräuche'!U72), 'Klisz-Verbräuche'!U72*Emissionsfaktoren!S72/1000, 0)</f>
        <v>0</v>
      </c>
      <c r="U402" s="14">
        <f>IF(ISNUMBER('Klisz-Verbräuche'!V72), 'Klisz-Verbräuche'!V72*Emissionsfaktoren!T72/1000, 0)</f>
        <v>0</v>
      </c>
      <c r="V402" s="14">
        <f>IF(ISNUMBER('Klisz-Verbräuche'!W72), 'Klisz-Verbräuche'!W72*Emissionsfaktoren!U72/1000, 0)</f>
        <v>0</v>
      </c>
      <c r="W402" s="14">
        <f>IF(ISNUMBER('Klisz-Verbräuche'!X72), 'Klisz-Verbräuche'!X72*Emissionsfaktoren!V72/1000, 0)</f>
        <v>0</v>
      </c>
      <c r="X402" s="14">
        <f>IF(ISNUMBER('Klisz-Verbräuche'!Y72), 'Klisz-Verbräuche'!Y72*Emissionsfaktoren!W72/1000, 0)</f>
        <v>0</v>
      </c>
      <c r="Y402" s="14">
        <f>IF(ISNUMBER('Klisz-Verbräuche'!Z72), 'Klisz-Verbräuche'!Z72*Emissionsfaktoren!X72/1000, 0)</f>
        <v>0</v>
      </c>
    </row>
    <row r="403" spans="2:25" ht="16.5">
      <c r="B403" s="14">
        <v>57</v>
      </c>
      <c r="C403" s="14" t="str">
        <f>'Refsz-Verbräuche'!C73</f>
        <v>Mobilität 1</v>
      </c>
      <c r="D403" s="19" t="str">
        <f>'Refsz-Verbräuche'!D73</f>
        <v>Studierendenreisen (Outgoing) - Eisenbahn (Nahverkehr)</v>
      </c>
      <c r="E403" t="s">
        <v>195</v>
      </c>
      <c r="F403" s="14">
        <f>IF(ISNUMBER('Klisz-Verbräuche'!G73), 'Klisz-Verbräuche'!G73*Emissionsfaktoren!E73/1000, 0)</f>
        <v>0</v>
      </c>
      <c r="G403" s="14">
        <f>IF(ISNUMBER('Klisz-Verbräuche'!H73), 'Klisz-Verbräuche'!H73*Emissionsfaktoren!F73/1000, 0)</f>
        <v>0</v>
      </c>
      <c r="H403" s="14">
        <f>IF(ISNUMBER('Klisz-Verbräuche'!I73), 'Klisz-Verbräuche'!I73*Emissionsfaktoren!G73/1000, 0)</f>
        <v>0</v>
      </c>
      <c r="I403" s="14">
        <f>IF(ISNUMBER('Klisz-Verbräuche'!J73), 'Klisz-Verbräuche'!J73*Emissionsfaktoren!H73/1000, 0)</f>
        <v>0</v>
      </c>
      <c r="J403" s="14">
        <f>IF(ISNUMBER('Klisz-Verbräuche'!K73), 'Klisz-Verbräuche'!K73*Emissionsfaktoren!I73/1000, 0)</f>
        <v>0</v>
      </c>
      <c r="K403" s="14">
        <f>IF(ISNUMBER('Klisz-Verbräuche'!L73), 'Klisz-Verbräuche'!L73*Emissionsfaktoren!J73/1000, 0)</f>
        <v>0</v>
      </c>
      <c r="L403" s="14">
        <f>IF(ISNUMBER('Klisz-Verbräuche'!M73), 'Klisz-Verbräuche'!M73*Emissionsfaktoren!K73/1000, 0)</f>
        <v>0</v>
      </c>
      <c r="M403" s="14">
        <f>IF(ISNUMBER('Klisz-Verbräuche'!N73), 'Klisz-Verbräuche'!N73*Emissionsfaktoren!L73/1000, 0)</f>
        <v>0</v>
      </c>
      <c r="N403" s="14">
        <f>IF(ISNUMBER('Klisz-Verbräuche'!O73), 'Klisz-Verbräuche'!O73*Emissionsfaktoren!M73/1000, 0)</f>
        <v>0</v>
      </c>
      <c r="O403" s="14">
        <f>IF(ISNUMBER('Klisz-Verbräuche'!P73), 'Klisz-Verbräuche'!P73*Emissionsfaktoren!N73/1000, 0)</f>
        <v>0</v>
      </c>
      <c r="P403" s="14">
        <f>IF(ISNUMBER('Klisz-Verbräuche'!Q73), 'Klisz-Verbräuche'!Q73*Emissionsfaktoren!O73/1000, 0)</f>
        <v>0</v>
      </c>
      <c r="Q403" s="14">
        <f>IF(ISNUMBER('Klisz-Verbräuche'!R73), 'Klisz-Verbräuche'!R73*Emissionsfaktoren!P73/1000, 0)</f>
        <v>0</v>
      </c>
      <c r="R403" s="14">
        <f>IF(ISNUMBER('Klisz-Verbräuche'!S73), 'Klisz-Verbräuche'!S73*Emissionsfaktoren!Q73/1000, 0)</f>
        <v>0</v>
      </c>
      <c r="S403" s="14">
        <f>IF(ISNUMBER('Klisz-Verbräuche'!T73), 'Klisz-Verbräuche'!T73*Emissionsfaktoren!R73/1000, 0)</f>
        <v>0</v>
      </c>
      <c r="T403" s="14">
        <f>IF(ISNUMBER('Klisz-Verbräuche'!U73), 'Klisz-Verbräuche'!U73*Emissionsfaktoren!S73/1000, 0)</f>
        <v>0</v>
      </c>
      <c r="U403" s="14">
        <f>IF(ISNUMBER('Klisz-Verbräuche'!V73), 'Klisz-Verbräuche'!V73*Emissionsfaktoren!T73/1000, 0)</f>
        <v>0</v>
      </c>
      <c r="V403" s="14">
        <f>IF(ISNUMBER('Klisz-Verbräuche'!W73), 'Klisz-Verbräuche'!W73*Emissionsfaktoren!U73/1000, 0)</f>
        <v>0</v>
      </c>
      <c r="W403" s="14">
        <f>IF(ISNUMBER('Klisz-Verbräuche'!X73), 'Klisz-Verbräuche'!X73*Emissionsfaktoren!V73/1000, 0)</f>
        <v>0</v>
      </c>
      <c r="X403" s="14">
        <f>IF(ISNUMBER('Klisz-Verbräuche'!Y73), 'Klisz-Verbräuche'!Y73*Emissionsfaktoren!W73/1000, 0)</f>
        <v>0</v>
      </c>
      <c r="Y403" s="14">
        <f>IF(ISNUMBER('Klisz-Verbräuche'!Z73), 'Klisz-Verbräuche'!Z73*Emissionsfaktoren!X73/1000, 0)</f>
        <v>0</v>
      </c>
    </row>
    <row r="404" spans="2:25" ht="16.5">
      <c r="B404" s="14">
        <v>58</v>
      </c>
      <c r="C404" s="14" t="str">
        <f>'Refsz-Verbräuche'!C74</f>
        <v>Mobilität 1</v>
      </c>
      <c r="D404" s="19" t="str">
        <f>'Refsz-Verbräuche'!D74</f>
        <v>Studierendenreisen (Outgoing) - Privater PKW (alle Antriebsarten)</v>
      </c>
      <c r="E404" t="s">
        <v>195</v>
      </c>
      <c r="F404" s="14">
        <f>IF(ISNUMBER('Klisz-Verbräuche'!G74), 'Klisz-Verbräuche'!G74*Emissionsfaktoren!E74/1000, 0)</f>
        <v>0</v>
      </c>
      <c r="G404" s="14">
        <f>IF(ISNUMBER('Klisz-Verbräuche'!H74), 'Klisz-Verbräuche'!H74*Emissionsfaktoren!F74/1000, 0)</f>
        <v>0</v>
      </c>
      <c r="H404" s="14">
        <f>IF(ISNUMBER('Klisz-Verbräuche'!I74), 'Klisz-Verbräuche'!I74*Emissionsfaktoren!G74/1000, 0)</f>
        <v>0</v>
      </c>
      <c r="I404" s="14">
        <f>IF(ISNUMBER('Klisz-Verbräuche'!J74), 'Klisz-Verbräuche'!J74*Emissionsfaktoren!H74/1000, 0)</f>
        <v>0</v>
      </c>
      <c r="J404" s="14">
        <f>IF(ISNUMBER('Klisz-Verbräuche'!K74), 'Klisz-Verbräuche'!K74*Emissionsfaktoren!I74/1000, 0)</f>
        <v>0</v>
      </c>
      <c r="K404" s="14">
        <f>IF(ISNUMBER('Klisz-Verbräuche'!L74), 'Klisz-Verbräuche'!L74*Emissionsfaktoren!J74/1000, 0)</f>
        <v>0</v>
      </c>
      <c r="L404" s="14">
        <f>IF(ISNUMBER('Klisz-Verbräuche'!M74), 'Klisz-Verbräuche'!M74*Emissionsfaktoren!K74/1000, 0)</f>
        <v>0</v>
      </c>
      <c r="M404" s="14">
        <f>IF(ISNUMBER('Klisz-Verbräuche'!N74), 'Klisz-Verbräuche'!N74*Emissionsfaktoren!L74/1000, 0)</f>
        <v>0</v>
      </c>
      <c r="N404" s="14">
        <f>IF(ISNUMBER('Klisz-Verbräuche'!O74), 'Klisz-Verbräuche'!O74*Emissionsfaktoren!M74/1000, 0)</f>
        <v>0</v>
      </c>
      <c r="O404" s="14">
        <f>IF(ISNUMBER('Klisz-Verbräuche'!P74), 'Klisz-Verbräuche'!P74*Emissionsfaktoren!N74/1000, 0)</f>
        <v>0</v>
      </c>
      <c r="P404" s="14">
        <f>IF(ISNUMBER('Klisz-Verbräuche'!Q74), 'Klisz-Verbräuche'!Q74*Emissionsfaktoren!O74/1000, 0)</f>
        <v>0</v>
      </c>
      <c r="Q404" s="14">
        <f>IF(ISNUMBER('Klisz-Verbräuche'!R74), 'Klisz-Verbräuche'!R74*Emissionsfaktoren!P74/1000, 0)</f>
        <v>0</v>
      </c>
      <c r="R404" s="14">
        <f>IF(ISNUMBER('Klisz-Verbräuche'!S74), 'Klisz-Verbräuche'!S74*Emissionsfaktoren!Q74/1000, 0)</f>
        <v>0</v>
      </c>
      <c r="S404" s="14">
        <f>IF(ISNUMBER('Klisz-Verbräuche'!T74), 'Klisz-Verbräuche'!T74*Emissionsfaktoren!R74/1000, 0)</f>
        <v>0</v>
      </c>
      <c r="T404" s="14">
        <f>IF(ISNUMBER('Klisz-Verbräuche'!U74), 'Klisz-Verbräuche'!U74*Emissionsfaktoren!S74/1000, 0)</f>
        <v>0</v>
      </c>
      <c r="U404" s="14">
        <f>IF(ISNUMBER('Klisz-Verbräuche'!V74), 'Klisz-Verbräuche'!V74*Emissionsfaktoren!T74/1000, 0)</f>
        <v>0</v>
      </c>
      <c r="V404" s="14">
        <f>IF(ISNUMBER('Klisz-Verbräuche'!W74), 'Klisz-Verbräuche'!W74*Emissionsfaktoren!U74/1000, 0)</f>
        <v>0</v>
      </c>
      <c r="W404" s="14">
        <f>IF(ISNUMBER('Klisz-Verbräuche'!X74), 'Klisz-Verbräuche'!X74*Emissionsfaktoren!V74/1000, 0)</f>
        <v>0</v>
      </c>
      <c r="X404" s="14">
        <f>IF(ISNUMBER('Klisz-Verbräuche'!Y74), 'Klisz-Verbräuche'!Y74*Emissionsfaktoren!W74/1000, 0)</f>
        <v>0</v>
      </c>
      <c r="Y404" s="14">
        <f>IF(ISNUMBER('Klisz-Verbräuche'!Z74), 'Klisz-Verbräuche'!Z74*Emissionsfaktoren!X74/1000, 0)</f>
        <v>0</v>
      </c>
    </row>
    <row r="405" spans="2:25" ht="16.5">
      <c r="B405" s="14">
        <v>59</v>
      </c>
      <c r="C405" s="14">
        <f>'Refsz-Verbräuche'!C75</f>
        <v>0</v>
      </c>
      <c r="D405" s="19">
        <f>'Refsz-Verbräuche'!D75</f>
        <v>0</v>
      </c>
      <c r="E405" t="s">
        <v>195</v>
      </c>
      <c r="F405" s="14">
        <f>IF(ISNUMBER('Klisz-Verbräuche'!G75), 'Klisz-Verbräuche'!G75*Emissionsfaktoren!E75/1000, 0)</f>
        <v>0</v>
      </c>
      <c r="G405" s="14">
        <f>IF(ISNUMBER('Klisz-Verbräuche'!H75), 'Klisz-Verbräuche'!H75*Emissionsfaktoren!F75/1000, 0)</f>
        <v>0</v>
      </c>
      <c r="H405" s="14">
        <f>IF(ISNUMBER('Klisz-Verbräuche'!I75), 'Klisz-Verbräuche'!I75*Emissionsfaktoren!G75/1000, 0)</f>
        <v>0</v>
      </c>
      <c r="I405" s="14">
        <f>IF(ISNUMBER('Klisz-Verbräuche'!J75), 'Klisz-Verbräuche'!J75*Emissionsfaktoren!H75/1000, 0)</f>
        <v>0</v>
      </c>
      <c r="J405" s="14">
        <f>IF(ISNUMBER('Klisz-Verbräuche'!K75), 'Klisz-Verbräuche'!K75*Emissionsfaktoren!I75/1000, 0)</f>
        <v>0</v>
      </c>
      <c r="K405" s="14">
        <f>IF(ISNUMBER('Klisz-Verbräuche'!L75), 'Klisz-Verbräuche'!L75*Emissionsfaktoren!J75/1000, 0)</f>
        <v>0</v>
      </c>
      <c r="L405" s="14">
        <f>IF(ISNUMBER('Klisz-Verbräuche'!M75), 'Klisz-Verbräuche'!M75*Emissionsfaktoren!K75/1000, 0)</f>
        <v>0</v>
      </c>
      <c r="M405" s="14">
        <f>IF(ISNUMBER('Klisz-Verbräuche'!N75), 'Klisz-Verbräuche'!N75*Emissionsfaktoren!L75/1000, 0)</f>
        <v>0</v>
      </c>
      <c r="N405" s="14">
        <f>IF(ISNUMBER('Klisz-Verbräuche'!O75), 'Klisz-Verbräuche'!O75*Emissionsfaktoren!M75/1000, 0)</f>
        <v>0</v>
      </c>
      <c r="O405" s="14">
        <f>IF(ISNUMBER('Klisz-Verbräuche'!P75), 'Klisz-Verbräuche'!P75*Emissionsfaktoren!N75/1000, 0)</f>
        <v>0</v>
      </c>
      <c r="P405" s="14">
        <f>IF(ISNUMBER('Klisz-Verbräuche'!Q75), 'Klisz-Verbräuche'!Q75*Emissionsfaktoren!O75/1000, 0)</f>
        <v>0</v>
      </c>
      <c r="Q405" s="14">
        <f>IF(ISNUMBER('Klisz-Verbräuche'!R75), 'Klisz-Verbräuche'!R75*Emissionsfaktoren!P75/1000, 0)</f>
        <v>0</v>
      </c>
      <c r="R405" s="14">
        <f>IF(ISNUMBER('Klisz-Verbräuche'!S75), 'Klisz-Verbräuche'!S75*Emissionsfaktoren!Q75/1000, 0)</f>
        <v>0</v>
      </c>
      <c r="S405" s="14">
        <f>IF(ISNUMBER('Klisz-Verbräuche'!T75), 'Klisz-Verbräuche'!T75*Emissionsfaktoren!R75/1000, 0)</f>
        <v>0</v>
      </c>
      <c r="T405" s="14">
        <f>IF(ISNUMBER('Klisz-Verbräuche'!U75), 'Klisz-Verbräuche'!U75*Emissionsfaktoren!S75/1000, 0)</f>
        <v>0</v>
      </c>
      <c r="U405" s="14">
        <f>IF(ISNUMBER('Klisz-Verbräuche'!V75), 'Klisz-Verbräuche'!V75*Emissionsfaktoren!T75/1000, 0)</f>
        <v>0</v>
      </c>
      <c r="V405" s="14">
        <f>IF(ISNUMBER('Klisz-Verbräuche'!W75), 'Klisz-Verbräuche'!W75*Emissionsfaktoren!U75/1000, 0)</f>
        <v>0</v>
      </c>
      <c r="W405" s="14">
        <f>IF(ISNUMBER('Klisz-Verbräuche'!X75), 'Klisz-Verbräuche'!X75*Emissionsfaktoren!V75/1000, 0)</f>
        <v>0</v>
      </c>
      <c r="X405" s="14">
        <f>IF(ISNUMBER('Klisz-Verbräuche'!Y75), 'Klisz-Verbräuche'!Y75*Emissionsfaktoren!W75/1000, 0)</f>
        <v>0</v>
      </c>
      <c r="Y405" s="14">
        <f>IF(ISNUMBER('Klisz-Verbräuche'!Z75), 'Klisz-Verbräuche'!Z75*Emissionsfaktoren!X75/1000, 0)</f>
        <v>0</v>
      </c>
    </row>
    <row r="406" spans="2:25" ht="16.5">
      <c r="B406" s="14">
        <v>60</v>
      </c>
      <c r="C406" s="14" t="str">
        <f>'Refsz-Verbräuche'!C76</f>
        <v>Mobilität 1</v>
      </c>
      <c r="D406" s="19" t="str">
        <f>'Refsz-Verbräuche'!D76</f>
        <v>Exkursionen - Flugreisen</v>
      </c>
      <c r="E406" t="s">
        <v>195</v>
      </c>
      <c r="F406" s="14">
        <f>IF(ISNUMBER('Klisz-Verbräuche'!G76), 'Klisz-Verbräuche'!G76*Emissionsfaktoren!E76/1000, 0)</f>
        <v>0</v>
      </c>
      <c r="G406" s="14">
        <f>IF(ISNUMBER('Klisz-Verbräuche'!H76), 'Klisz-Verbräuche'!H76*Emissionsfaktoren!F76/1000, 0)</f>
        <v>0</v>
      </c>
      <c r="H406" s="14">
        <f>IF(ISNUMBER('Klisz-Verbräuche'!I76), 'Klisz-Verbräuche'!I76*Emissionsfaktoren!G76/1000, 0)</f>
        <v>0</v>
      </c>
      <c r="I406" s="14">
        <f>IF(ISNUMBER('Klisz-Verbräuche'!J76), 'Klisz-Verbräuche'!J76*Emissionsfaktoren!H76/1000, 0)</f>
        <v>0</v>
      </c>
      <c r="J406" s="14">
        <f>IF(ISNUMBER('Klisz-Verbräuche'!K76), 'Klisz-Verbräuche'!K76*Emissionsfaktoren!I76/1000, 0)</f>
        <v>0</v>
      </c>
      <c r="K406" s="14">
        <f>IF(ISNUMBER('Klisz-Verbräuche'!L76), 'Klisz-Verbräuche'!L76*Emissionsfaktoren!J76/1000, 0)</f>
        <v>0</v>
      </c>
      <c r="L406" s="14">
        <f>IF(ISNUMBER('Klisz-Verbräuche'!M76), 'Klisz-Verbräuche'!M76*Emissionsfaktoren!K76/1000, 0)</f>
        <v>0</v>
      </c>
      <c r="M406" s="14">
        <f>IF(ISNUMBER('Klisz-Verbräuche'!N76), 'Klisz-Verbräuche'!N76*Emissionsfaktoren!L76/1000, 0)</f>
        <v>0</v>
      </c>
      <c r="N406" s="14">
        <f>IF(ISNUMBER('Klisz-Verbräuche'!O76), 'Klisz-Verbräuche'!O76*Emissionsfaktoren!M76/1000, 0)</f>
        <v>0</v>
      </c>
      <c r="O406" s="14">
        <f>IF(ISNUMBER('Klisz-Verbräuche'!P76), 'Klisz-Verbräuche'!P76*Emissionsfaktoren!N76/1000, 0)</f>
        <v>0</v>
      </c>
      <c r="P406" s="14">
        <f>IF(ISNUMBER('Klisz-Verbräuche'!Q76), 'Klisz-Verbräuche'!Q76*Emissionsfaktoren!O76/1000, 0)</f>
        <v>0</v>
      </c>
      <c r="Q406" s="14">
        <f>IF(ISNUMBER('Klisz-Verbräuche'!R76), 'Klisz-Verbräuche'!R76*Emissionsfaktoren!P76/1000, 0)</f>
        <v>0</v>
      </c>
      <c r="R406" s="14">
        <f>IF(ISNUMBER('Klisz-Verbräuche'!S76), 'Klisz-Verbräuche'!S76*Emissionsfaktoren!Q76/1000, 0)</f>
        <v>0</v>
      </c>
      <c r="S406" s="14">
        <f>IF(ISNUMBER('Klisz-Verbräuche'!T76), 'Klisz-Verbräuche'!T76*Emissionsfaktoren!R76/1000, 0)</f>
        <v>0</v>
      </c>
      <c r="T406" s="14">
        <f>IF(ISNUMBER('Klisz-Verbräuche'!U76), 'Klisz-Verbräuche'!U76*Emissionsfaktoren!S76/1000, 0)</f>
        <v>0</v>
      </c>
      <c r="U406" s="14">
        <f>IF(ISNUMBER('Klisz-Verbräuche'!V76), 'Klisz-Verbräuche'!V76*Emissionsfaktoren!T76/1000, 0)</f>
        <v>0</v>
      </c>
      <c r="V406" s="14">
        <f>IF(ISNUMBER('Klisz-Verbräuche'!W76), 'Klisz-Verbräuche'!W76*Emissionsfaktoren!U76/1000, 0)</f>
        <v>0</v>
      </c>
      <c r="W406" s="14">
        <f>IF(ISNUMBER('Klisz-Verbräuche'!X76), 'Klisz-Verbräuche'!X76*Emissionsfaktoren!V76/1000, 0)</f>
        <v>0</v>
      </c>
      <c r="X406" s="14">
        <f>IF(ISNUMBER('Klisz-Verbräuche'!Y76), 'Klisz-Verbräuche'!Y76*Emissionsfaktoren!W76/1000, 0)</f>
        <v>0</v>
      </c>
      <c r="Y406" s="14">
        <f>IF(ISNUMBER('Klisz-Verbräuche'!Z76), 'Klisz-Verbräuche'!Z76*Emissionsfaktoren!X76/1000, 0)</f>
        <v>0</v>
      </c>
    </row>
    <row r="407" spans="2:25" ht="16.5">
      <c r="B407" s="14">
        <v>61</v>
      </c>
      <c r="C407" s="14" t="str">
        <f>'Refsz-Verbräuche'!C77</f>
        <v>Mobilität 1</v>
      </c>
      <c r="D407" s="19" t="str">
        <f>'Refsz-Verbräuche'!D77</f>
        <v>Exkursionen - Eisenbahn (Nahverkehr)</v>
      </c>
      <c r="E407" t="s">
        <v>195</v>
      </c>
      <c r="F407" s="14">
        <f>IF(ISNUMBER('Klisz-Verbräuche'!G77), 'Klisz-Verbräuche'!G77*Emissionsfaktoren!E77/1000, 0)</f>
        <v>0</v>
      </c>
      <c r="G407" s="14">
        <f>IF(ISNUMBER('Klisz-Verbräuche'!H77), 'Klisz-Verbräuche'!H77*Emissionsfaktoren!F77/1000, 0)</f>
        <v>0</v>
      </c>
      <c r="H407" s="14">
        <f>IF(ISNUMBER('Klisz-Verbräuche'!I77), 'Klisz-Verbräuche'!I77*Emissionsfaktoren!G77/1000, 0)</f>
        <v>0</v>
      </c>
      <c r="I407" s="14">
        <f>IF(ISNUMBER('Klisz-Verbräuche'!J77), 'Klisz-Verbräuche'!J77*Emissionsfaktoren!H77/1000, 0)</f>
        <v>0</v>
      </c>
      <c r="J407" s="14">
        <f>IF(ISNUMBER('Klisz-Verbräuche'!K77), 'Klisz-Verbräuche'!K77*Emissionsfaktoren!I77/1000, 0)</f>
        <v>0</v>
      </c>
      <c r="K407" s="14">
        <f>IF(ISNUMBER('Klisz-Verbräuche'!L77), 'Klisz-Verbräuche'!L77*Emissionsfaktoren!J77/1000, 0)</f>
        <v>0</v>
      </c>
      <c r="L407" s="14">
        <f>IF(ISNUMBER('Klisz-Verbräuche'!M77), 'Klisz-Verbräuche'!M77*Emissionsfaktoren!K77/1000, 0)</f>
        <v>0</v>
      </c>
      <c r="M407" s="14">
        <f>IF(ISNUMBER('Klisz-Verbräuche'!N77), 'Klisz-Verbräuche'!N77*Emissionsfaktoren!L77/1000, 0)</f>
        <v>0</v>
      </c>
      <c r="N407" s="14">
        <f>IF(ISNUMBER('Klisz-Verbräuche'!O77), 'Klisz-Verbräuche'!O77*Emissionsfaktoren!M77/1000, 0)</f>
        <v>0</v>
      </c>
      <c r="O407" s="14">
        <f>IF(ISNUMBER('Klisz-Verbräuche'!P77), 'Klisz-Verbräuche'!P77*Emissionsfaktoren!N77/1000, 0)</f>
        <v>0</v>
      </c>
      <c r="P407" s="14">
        <f>IF(ISNUMBER('Klisz-Verbräuche'!Q77), 'Klisz-Verbräuche'!Q77*Emissionsfaktoren!O77/1000, 0)</f>
        <v>0</v>
      </c>
      <c r="Q407" s="14">
        <f>IF(ISNUMBER('Klisz-Verbräuche'!R77), 'Klisz-Verbräuche'!R77*Emissionsfaktoren!P77/1000, 0)</f>
        <v>0</v>
      </c>
      <c r="R407" s="14">
        <f>IF(ISNUMBER('Klisz-Verbräuche'!S77), 'Klisz-Verbräuche'!S77*Emissionsfaktoren!Q77/1000, 0)</f>
        <v>0</v>
      </c>
      <c r="S407" s="14">
        <f>IF(ISNUMBER('Klisz-Verbräuche'!T77), 'Klisz-Verbräuche'!T77*Emissionsfaktoren!R77/1000, 0)</f>
        <v>0</v>
      </c>
      <c r="T407" s="14">
        <f>IF(ISNUMBER('Klisz-Verbräuche'!U77), 'Klisz-Verbräuche'!U77*Emissionsfaktoren!S77/1000, 0)</f>
        <v>0</v>
      </c>
      <c r="U407" s="14">
        <f>IF(ISNUMBER('Klisz-Verbräuche'!V77), 'Klisz-Verbräuche'!V77*Emissionsfaktoren!T77/1000, 0)</f>
        <v>0</v>
      </c>
      <c r="V407" s="14">
        <f>IF(ISNUMBER('Klisz-Verbräuche'!W77), 'Klisz-Verbräuche'!W77*Emissionsfaktoren!U77/1000, 0)</f>
        <v>0</v>
      </c>
      <c r="W407" s="14">
        <f>IF(ISNUMBER('Klisz-Verbräuche'!X77), 'Klisz-Verbräuche'!X77*Emissionsfaktoren!V77/1000, 0)</f>
        <v>0</v>
      </c>
      <c r="X407" s="14">
        <f>IF(ISNUMBER('Klisz-Verbräuche'!Y77), 'Klisz-Verbräuche'!Y77*Emissionsfaktoren!W77/1000, 0)</f>
        <v>0</v>
      </c>
      <c r="Y407" s="14">
        <f>IF(ISNUMBER('Klisz-Verbräuche'!Z77), 'Klisz-Verbräuche'!Z77*Emissionsfaktoren!X77/1000, 0)</f>
        <v>0</v>
      </c>
    </row>
    <row r="408" spans="2:25" ht="16.5">
      <c r="B408" s="14">
        <v>62</v>
      </c>
      <c r="C408" s="14" t="str">
        <f>'Refsz-Verbräuche'!C78</f>
        <v>Mobilität 1</v>
      </c>
      <c r="D408" s="19" t="str">
        <f>'Refsz-Verbräuche'!D78</f>
        <v>Exkursionen - Privater PKW (alle Antriebsarten)</v>
      </c>
      <c r="E408" t="s">
        <v>195</v>
      </c>
      <c r="F408" s="14">
        <f>IF(ISNUMBER('Klisz-Verbräuche'!G78), 'Klisz-Verbräuche'!G78*Emissionsfaktoren!E78/1000, 0)</f>
        <v>0</v>
      </c>
      <c r="G408" s="14">
        <f>IF(ISNUMBER('Klisz-Verbräuche'!H78), 'Klisz-Verbräuche'!H78*Emissionsfaktoren!F78/1000, 0)</f>
        <v>0</v>
      </c>
      <c r="H408" s="14">
        <f>IF(ISNUMBER('Klisz-Verbräuche'!I78), 'Klisz-Verbräuche'!I78*Emissionsfaktoren!G78/1000, 0)</f>
        <v>0</v>
      </c>
      <c r="I408" s="14">
        <f>IF(ISNUMBER('Klisz-Verbräuche'!J78), 'Klisz-Verbräuche'!J78*Emissionsfaktoren!H78/1000, 0)</f>
        <v>0</v>
      </c>
      <c r="J408" s="14">
        <f>IF(ISNUMBER('Klisz-Verbräuche'!K78), 'Klisz-Verbräuche'!K78*Emissionsfaktoren!I78/1000, 0)</f>
        <v>0</v>
      </c>
      <c r="K408" s="14">
        <f>IF(ISNUMBER('Klisz-Verbräuche'!L78), 'Klisz-Verbräuche'!L78*Emissionsfaktoren!J78/1000, 0)</f>
        <v>0</v>
      </c>
      <c r="L408" s="14">
        <f>IF(ISNUMBER('Klisz-Verbräuche'!M78), 'Klisz-Verbräuche'!M78*Emissionsfaktoren!K78/1000, 0)</f>
        <v>0</v>
      </c>
      <c r="M408" s="14">
        <f>IF(ISNUMBER('Klisz-Verbräuche'!N78), 'Klisz-Verbräuche'!N78*Emissionsfaktoren!L78/1000, 0)</f>
        <v>0</v>
      </c>
      <c r="N408" s="14">
        <f>IF(ISNUMBER('Klisz-Verbräuche'!O78), 'Klisz-Verbräuche'!O78*Emissionsfaktoren!M78/1000, 0)</f>
        <v>0</v>
      </c>
      <c r="O408" s="14">
        <f>IF(ISNUMBER('Klisz-Verbräuche'!P78), 'Klisz-Verbräuche'!P78*Emissionsfaktoren!N78/1000, 0)</f>
        <v>0</v>
      </c>
      <c r="P408" s="14">
        <f>IF(ISNUMBER('Klisz-Verbräuche'!Q78), 'Klisz-Verbräuche'!Q78*Emissionsfaktoren!O78/1000, 0)</f>
        <v>0</v>
      </c>
      <c r="Q408" s="14">
        <f>IF(ISNUMBER('Klisz-Verbräuche'!R78), 'Klisz-Verbräuche'!R78*Emissionsfaktoren!P78/1000, 0)</f>
        <v>0</v>
      </c>
      <c r="R408" s="14">
        <f>IF(ISNUMBER('Klisz-Verbräuche'!S78), 'Klisz-Verbräuche'!S78*Emissionsfaktoren!Q78/1000, 0)</f>
        <v>0</v>
      </c>
      <c r="S408" s="14">
        <f>IF(ISNUMBER('Klisz-Verbräuche'!T78), 'Klisz-Verbräuche'!T78*Emissionsfaktoren!R78/1000, 0)</f>
        <v>0</v>
      </c>
      <c r="T408" s="14">
        <f>IF(ISNUMBER('Klisz-Verbräuche'!U78), 'Klisz-Verbräuche'!U78*Emissionsfaktoren!S78/1000, 0)</f>
        <v>0</v>
      </c>
      <c r="U408" s="14">
        <f>IF(ISNUMBER('Klisz-Verbräuche'!V78), 'Klisz-Verbräuche'!V78*Emissionsfaktoren!T78/1000, 0)</f>
        <v>0</v>
      </c>
      <c r="V408" s="14">
        <f>IF(ISNUMBER('Klisz-Verbräuche'!W78), 'Klisz-Verbräuche'!W78*Emissionsfaktoren!U78/1000, 0)</f>
        <v>0</v>
      </c>
      <c r="W408" s="14">
        <f>IF(ISNUMBER('Klisz-Verbräuche'!X78), 'Klisz-Verbräuche'!X78*Emissionsfaktoren!V78/1000, 0)</f>
        <v>0</v>
      </c>
      <c r="X408" s="14">
        <f>IF(ISNUMBER('Klisz-Verbräuche'!Y78), 'Klisz-Verbräuche'!Y78*Emissionsfaktoren!W78/1000, 0)</f>
        <v>0</v>
      </c>
      <c r="Y408" s="14">
        <f>IF(ISNUMBER('Klisz-Verbräuche'!Z78), 'Klisz-Verbräuche'!Z78*Emissionsfaktoren!X78/1000, 0)</f>
        <v>0</v>
      </c>
    </row>
    <row r="409" spans="2:25" ht="16.5">
      <c r="B409" s="14">
        <v>63</v>
      </c>
      <c r="C409" s="14">
        <f>'Refsz-Verbräuche'!C79</f>
        <v>0</v>
      </c>
      <c r="D409" s="19">
        <f>'Refsz-Verbräuche'!D79</f>
        <v>0</v>
      </c>
      <c r="E409" t="s">
        <v>195</v>
      </c>
      <c r="F409" s="14">
        <f>IF(ISNUMBER('Klisz-Verbräuche'!G79), 'Klisz-Verbräuche'!G79*Emissionsfaktoren!E79/1000, 0)</f>
        <v>0</v>
      </c>
      <c r="G409" s="14">
        <f>IF(ISNUMBER('Klisz-Verbräuche'!H79), 'Klisz-Verbräuche'!H79*Emissionsfaktoren!F79/1000, 0)</f>
        <v>0</v>
      </c>
      <c r="H409" s="14">
        <f>IF(ISNUMBER('Klisz-Verbräuche'!I79), 'Klisz-Verbräuche'!I79*Emissionsfaktoren!G79/1000, 0)</f>
        <v>0</v>
      </c>
      <c r="I409" s="14">
        <f>IF(ISNUMBER('Klisz-Verbräuche'!J79), 'Klisz-Verbräuche'!J79*Emissionsfaktoren!H79/1000, 0)</f>
        <v>0</v>
      </c>
      <c r="J409" s="14">
        <f>IF(ISNUMBER('Klisz-Verbräuche'!K79), 'Klisz-Verbräuche'!K79*Emissionsfaktoren!I79/1000, 0)</f>
        <v>0</v>
      </c>
      <c r="K409" s="14">
        <f>IF(ISNUMBER('Klisz-Verbräuche'!L79), 'Klisz-Verbräuche'!L79*Emissionsfaktoren!J79/1000, 0)</f>
        <v>0</v>
      </c>
      <c r="L409" s="14">
        <f>IF(ISNUMBER('Klisz-Verbräuche'!M79), 'Klisz-Verbräuche'!M79*Emissionsfaktoren!K79/1000, 0)</f>
        <v>0</v>
      </c>
      <c r="M409" s="14">
        <f>IF(ISNUMBER('Klisz-Verbräuche'!N79), 'Klisz-Verbräuche'!N79*Emissionsfaktoren!L79/1000, 0)</f>
        <v>0</v>
      </c>
      <c r="N409" s="14">
        <f>IF(ISNUMBER('Klisz-Verbräuche'!O79), 'Klisz-Verbräuche'!O79*Emissionsfaktoren!M79/1000, 0)</f>
        <v>0</v>
      </c>
      <c r="O409" s="14">
        <f>IF(ISNUMBER('Klisz-Verbräuche'!P79), 'Klisz-Verbräuche'!P79*Emissionsfaktoren!N79/1000, 0)</f>
        <v>0</v>
      </c>
      <c r="P409" s="14">
        <f>IF(ISNUMBER('Klisz-Verbräuche'!Q79), 'Klisz-Verbräuche'!Q79*Emissionsfaktoren!O79/1000, 0)</f>
        <v>0</v>
      </c>
      <c r="Q409" s="14">
        <f>IF(ISNUMBER('Klisz-Verbräuche'!R79), 'Klisz-Verbräuche'!R79*Emissionsfaktoren!P79/1000, 0)</f>
        <v>0</v>
      </c>
      <c r="R409" s="14">
        <f>IF(ISNUMBER('Klisz-Verbräuche'!S79), 'Klisz-Verbräuche'!S79*Emissionsfaktoren!Q79/1000, 0)</f>
        <v>0</v>
      </c>
      <c r="S409" s="14">
        <f>IF(ISNUMBER('Klisz-Verbräuche'!T79), 'Klisz-Verbräuche'!T79*Emissionsfaktoren!R79/1000, 0)</f>
        <v>0</v>
      </c>
      <c r="T409" s="14">
        <f>IF(ISNUMBER('Klisz-Verbräuche'!U79), 'Klisz-Verbräuche'!U79*Emissionsfaktoren!S79/1000, 0)</f>
        <v>0</v>
      </c>
      <c r="U409" s="14">
        <f>IF(ISNUMBER('Klisz-Verbräuche'!V79), 'Klisz-Verbräuche'!V79*Emissionsfaktoren!T79/1000, 0)</f>
        <v>0</v>
      </c>
      <c r="V409" s="14">
        <f>IF(ISNUMBER('Klisz-Verbräuche'!W79), 'Klisz-Verbräuche'!W79*Emissionsfaktoren!U79/1000, 0)</f>
        <v>0</v>
      </c>
      <c r="W409" s="14">
        <f>IF(ISNUMBER('Klisz-Verbräuche'!X79), 'Klisz-Verbräuche'!X79*Emissionsfaktoren!V79/1000, 0)</f>
        <v>0</v>
      </c>
      <c r="X409" s="14">
        <f>IF(ISNUMBER('Klisz-Verbräuche'!Y79), 'Klisz-Verbräuche'!Y79*Emissionsfaktoren!W79/1000, 0)</f>
        <v>0</v>
      </c>
      <c r="Y409" s="14">
        <f>IF(ISNUMBER('Klisz-Verbräuche'!Z79), 'Klisz-Verbräuche'!Z79*Emissionsfaktoren!X79/1000, 0)</f>
        <v>0</v>
      </c>
    </row>
    <row r="410" spans="2:25" ht="16.5">
      <c r="B410" s="14">
        <v>64</v>
      </c>
      <c r="C410" s="14" t="str">
        <f>'Refsz-Verbräuche'!C80</f>
        <v>Mobilität 2</v>
      </c>
      <c r="D410" s="19" t="str">
        <f>'Refsz-Verbräuche'!D80</f>
        <v>Pendeln - Eisenbahn (Fernverkehr)</v>
      </c>
      <c r="E410" t="s">
        <v>195</v>
      </c>
      <c r="F410" s="14">
        <f>IF(ISNUMBER('Klisz-Verbräuche'!G80), 'Klisz-Verbräuche'!G80*Emissionsfaktoren!E80/1000, 0)</f>
        <v>0</v>
      </c>
      <c r="G410" s="14">
        <f>IF(ISNUMBER('Klisz-Verbräuche'!H80), 'Klisz-Verbräuche'!H80*Emissionsfaktoren!F80/1000, 0)</f>
        <v>0</v>
      </c>
      <c r="H410" s="14">
        <f>IF(ISNUMBER('Klisz-Verbräuche'!I80), 'Klisz-Verbräuche'!I80*Emissionsfaktoren!G80/1000, 0)</f>
        <v>0</v>
      </c>
      <c r="I410" s="14">
        <f>IF(ISNUMBER('Klisz-Verbräuche'!J80), 'Klisz-Verbräuche'!J80*Emissionsfaktoren!H80/1000, 0)</f>
        <v>0</v>
      </c>
      <c r="J410" s="14">
        <f>IF(ISNUMBER('Klisz-Verbräuche'!K80), 'Klisz-Verbräuche'!K80*Emissionsfaktoren!I80/1000, 0)</f>
        <v>0</v>
      </c>
      <c r="K410" s="14">
        <f>IF(ISNUMBER('Klisz-Verbräuche'!L80), 'Klisz-Verbräuche'!L80*Emissionsfaktoren!J80/1000, 0)</f>
        <v>0</v>
      </c>
      <c r="L410" s="14">
        <f>IF(ISNUMBER('Klisz-Verbräuche'!M80), 'Klisz-Verbräuche'!M80*Emissionsfaktoren!K80/1000, 0)</f>
        <v>0</v>
      </c>
      <c r="M410" s="14">
        <f>IF(ISNUMBER('Klisz-Verbräuche'!N80), 'Klisz-Verbräuche'!N80*Emissionsfaktoren!L80/1000, 0)</f>
        <v>0</v>
      </c>
      <c r="N410" s="14">
        <f>IF(ISNUMBER('Klisz-Verbräuche'!O80), 'Klisz-Verbräuche'!O80*Emissionsfaktoren!M80/1000, 0)</f>
        <v>0</v>
      </c>
      <c r="O410" s="14">
        <f>IF(ISNUMBER('Klisz-Verbräuche'!P80), 'Klisz-Verbräuche'!P80*Emissionsfaktoren!N80/1000, 0)</f>
        <v>0</v>
      </c>
      <c r="P410" s="14">
        <f>IF(ISNUMBER('Klisz-Verbräuche'!Q80), 'Klisz-Verbräuche'!Q80*Emissionsfaktoren!O80/1000, 0)</f>
        <v>0</v>
      </c>
      <c r="Q410" s="14">
        <f>IF(ISNUMBER('Klisz-Verbräuche'!R80), 'Klisz-Verbräuche'!R80*Emissionsfaktoren!P80/1000, 0)</f>
        <v>0</v>
      </c>
      <c r="R410" s="14">
        <f>IF(ISNUMBER('Klisz-Verbräuche'!S80), 'Klisz-Verbräuche'!S80*Emissionsfaktoren!Q80/1000, 0)</f>
        <v>0</v>
      </c>
      <c r="S410" s="14">
        <f>IF(ISNUMBER('Klisz-Verbräuche'!T80), 'Klisz-Verbräuche'!T80*Emissionsfaktoren!R80/1000, 0)</f>
        <v>0</v>
      </c>
      <c r="T410" s="14">
        <f>IF(ISNUMBER('Klisz-Verbräuche'!U80), 'Klisz-Verbräuche'!U80*Emissionsfaktoren!S80/1000, 0)</f>
        <v>0</v>
      </c>
      <c r="U410" s="14">
        <f>IF(ISNUMBER('Klisz-Verbräuche'!V80), 'Klisz-Verbräuche'!V80*Emissionsfaktoren!T80/1000, 0)</f>
        <v>0</v>
      </c>
      <c r="V410" s="14">
        <f>IF(ISNUMBER('Klisz-Verbräuche'!W80), 'Klisz-Verbräuche'!W80*Emissionsfaktoren!U80/1000, 0)</f>
        <v>0</v>
      </c>
      <c r="W410" s="14">
        <f>IF(ISNUMBER('Klisz-Verbräuche'!X80), 'Klisz-Verbräuche'!X80*Emissionsfaktoren!V80/1000, 0)</f>
        <v>0</v>
      </c>
      <c r="X410" s="14">
        <f>IF(ISNUMBER('Klisz-Verbräuche'!Y80), 'Klisz-Verbräuche'!Y80*Emissionsfaktoren!W80/1000, 0)</f>
        <v>0</v>
      </c>
      <c r="Y410" s="14">
        <f>IF(ISNUMBER('Klisz-Verbräuche'!Z80), 'Klisz-Verbräuche'!Z80*Emissionsfaktoren!X80/1000, 0)</f>
        <v>0</v>
      </c>
    </row>
    <row r="411" spans="2:25" ht="16.5">
      <c r="B411" s="14">
        <v>65</v>
      </c>
      <c r="C411" s="14" t="str">
        <f>'Refsz-Verbräuche'!C81</f>
        <v>Mobilität 2</v>
      </c>
      <c r="D411" s="19" t="str">
        <f>'Refsz-Verbräuche'!D81</f>
        <v>Pendeln - Eisenbahn (Nahverkehr)</v>
      </c>
      <c r="E411" t="s">
        <v>195</v>
      </c>
      <c r="F411" s="14">
        <f>IF(ISNUMBER('Klisz-Verbräuche'!G81), 'Klisz-Verbräuche'!G81*Emissionsfaktoren!E81/1000, 0)</f>
        <v>0</v>
      </c>
      <c r="G411" s="14">
        <f>IF(ISNUMBER('Klisz-Verbräuche'!H81), 'Klisz-Verbräuche'!H81*Emissionsfaktoren!F81/1000, 0)</f>
        <v>0</v>
      </c>
      <c r="H411" s="14">
        <f>IF(ISNUMBER('Klisz-Verbräuche'!I81), 'Klisz-Verbräuche'!I81*Emissionsfaktoren!G81/1000, 0)</f>
        <v>0</v>
      </c>
      <c r="I411" s="14">
        <f>IF(ISNUMBER('Klisz-Verbräuche'!J81), 'Klisz-Verbräuche'!J81*Emissionsfaktoren!H81/1000, 0)</f>
        <v>0</v>
      </c>
      <c r="J411" s="14">
        <f>IF(ISNUMBER('Klisz-Verbräuche'!K81), 'Klisz-Verbräuche'!K81*Emissionsfaktoren!I81/1000, 0)</f>
        <v>0</v>
      </c>
      <c r="K411" s="14">
        <f>IF(ISNUMBER('Klisz-Verbräuche'!L81), 'Klisz-Verbräuche'!L81*Emissionsfaktoren!J81/1000, 0)</f>
        <v>0</v>
      </c>
      <c r="L411" s="14">
        <f>IF(ISNUMBER('Klisz-Verbräuche'!M81), 'Klisz-Verbräuche'!M81*Emissionsfaktoren!K81/1000, 0)</f>
        <v>0</v>
      </c>
      <c r="M411" s="14">
        <f>IF(ISNUMBER('Klisz-Verbräuche'!N81), 'Klisz-Verbräuche'!N81*Emissionsfaktoren!L81/1000, 0)</f>
        <v>0</v>
      </c>
      <c r="N411" s="14">
        <f>IF(ISNUMBER('Klisz-Verbräuche'!O81), 'Klisz-Verbräuche'!O81*Emissionsfaktoren!M81/1000, 0)</f>
        <v>0</v>
      </c>
      <c r="O411" s="14">
        <f>IF(ISNUMBER('Klisz-Verbräuche'!P81), 'Klisz-Verbräuche'!P81*Emissionsfaktoren!N81/1000, 0)</f>
        <v>0</v>
      </c>
      <c r="P411" s="14">
        <f>IF(ISNUMBER('Klisz-Verbräuche'!Q81), 'Klisz-Verbräuche'!Q81*Emissionsfaktoren!O81/1000, 0)</f>
        <v>0</v>
      </c>
      <c r="Q411" s="14">
        <f>IF(ISNUMBER('Klisz-Verbräuche'!R81), 'Klisz-Verbräuche'!R81*Emissionsfaktoren!P81/1000, 0)</f>
        <v>0</v>
      </c>
      <c r="R411" s="14">
        <f>IF(ISNUMBER('Klisz-Verbräuche'!S81), 'Klisz-Verbräuche'!S81*Emissionsfaktoren!Q81/1000, 0)</f>
        <v>0</v>
      </c>
      <c r="S411" s="14">
        <f>IF(ISNUMBER('Klisz-Verbräuche'!T81), 'Klisz-Verbräuche'!T81*Emissionsfaktoren!R81/1000, 0)</f>
        <v>0</v>
      </c>
      <c r="T411" s="14">
        <f>IF(ISNUMBER('Klisz-Verbräuche'!U81), 'Klisz-Verbräuche'!U81*Emissionsfaktoren!S81/1000, 0)</f>
        <v>0</v>
      </c>
      <c r="U411" s="14">
        <f>IF(ISNUMBER('Klisz-Verbräuche'!V81), 'Klisz-Verbräuche'!V81*Emissionsfaktoren!T81/1000, 0)</f>
        <v>0</v>
      </c>
      <c r="V411" s="14">
        <f>IF(ISNUMBER('Klisz-Verbräuche'!W81), 'Klisz-Verbräuche'!W81*Emissionsfaktoren!U81/1000, 0)</f>
        <v>0</v>
      </c>
      <c r="W411" s="14">
        <f>IF(ISNUMBER('Klisz-Verbräuche'!X81), 'Klisz-Verbräuche'!X81*Emissionsfaktoren!V81/1000, 0)</f>
        <v>0</v>
      </c>
      <c r="X411" s="14">
        <f>IF(ISNUMBER('Klisz-Verbräuche'!Y81), 'Klisz-Verbräuche'!Y81*Emissionsfaktoren!W81/1000, 0)</f>
        <v>0</v>
      </c>
      <c r="Y411" s="14">
        <f>IF(ISNUMBER('Klisz-Verbräuche'!Z81), 'Klisz-Verbräuche'!Z81*Emissionsfaktoren!X81/1000, 0)</f>
        <v>0</v>
      </c>
    </row>
    <row r="412" spans="2:25" ht="16.5">
      <c r="B412" s="14">
        <v>66</v>
      </c>
      <c r="C412" s="14" t="str">
        <f>'Refsz-Verbräuche'!C82</f>
        <v>Mobilität 2</v>
      </c>
      <c r="D412" s="19" t="str">
        <f>'Refsz-Verbräuche'!D82</f>
        <v>Pendeln - Linienbus (Nahverkehr)</v>
      </c>
      <c r="E412" t="s">
        <v>195</v>
      </c>
      <c r="F412" s="14">
        <f>IF(ISNUMBER('Klisz-Verbräuche'!G82), 'Klisz-Verbräuche'!G82*Emissionsfaktoren!E82/1000, 0)</f>
        <v>0</v>
      </c>
      <c r="G412" s="14">
        <f>IF(ISNUMBER('Klisz-Verbräuche'!H82), 'Klisz-Verbräuche'!H82*Emissionsfaktoren!F82/1000, 0)</f>
        <v>0</v>
      </c>
      <c r="H412" s="14">
        <f>IF(ISNUMBER('Klisz-Verbräuche'!I82), 'Klisz-Verbräuche'!I82*Emissionsfaktoren!G82/1000, 0)</f>
        <v>0</v>
      </c>
      <c r="I412" s="14">
        <f>IF(ISNUMBER('Klisz-Verbräuche'!J82), 'Klisz-Verbräuche'!J82*Emissionsfaktoren!H82/1000, 0)</f>
        <v>0</v>
      </c>
      <c r="J412" s="14">
        <f>IF(ISNUMBER('Klisz-Verbräuche'!K82), 'Klisz-Verbräuche'!K82*Emissionsfaktoren!I82/1000, 0)</f>
        <v>0</v>
      </c>
      <c r="K412" s="14">
        <f>IF(ISNUMBER('Klisz-Verbräuche'!L82), 'Klisz-Verbräuche'!L82*Emissionsfaktoren!J82/1000, 0)</f>
        <v>0</v>
      </c>
      <c r="L412" s="14">
        <f>IF(ISNUMBER('Klisz-Verbräuche'!M82), 'Klisz-Verbräuche'!M82*Emissionsfaktoren!K82/1000, 0)</f>
        <v>0</v>
      </c>
      <c r="M412" s="14">
        <f>IF(ISNUMBER('Klisz-Verbräuche'!N82), 'Klisz-Verbräuche'!N82*Emissionsfaktoren!L82/1000, 0)</f>
        <v>0</v>
      </c>
      <c r="N412" s="14">
        <f>IF(ISNUMBER('Klisz-Verbräuche'!O82), 'Klisz-Verbräuche'!O82*Emissionsfaktoren!M82/1000, 0)</f>
        <v>0</v>
      </c>
      <c r="O412" s="14">
        <f>IF(ISNUMBER('Klisz-Verbräuche'!P82), 'Klisz-Verbräuche'!P82*Emissionsfaktoren!N82/1000, 0)</f>
        <v>0</v>
      </c>
      <c r="P412" s="14">
        <f>IF(ISNUMBER('Klisz-Verbräuche'!Q82), 'Klisz-Verbräuche'!Q82*Emissionsfaktoren!O82/1000, 0)</f>
        <v>0</v>
      </c>
      <c r="Q412" s="14">
        <f>IF(ISNUMBER('Klisz-Verbräuche'!R82), 'Klisz-Verbräuche'!R82*Emissionsfaktoren!P82/1000, 0)</f>
        <v>0</v>
      </c>
      <c r="R412" s="14">
        <f>IF(ISNUMBER('Klisz-Verbräuche'!S82), 'Klisz-Verbräuche'!S82*Emissionsfaktoren!Q82/1000, 0)</f>
        <v>0</v>
      </c>
      <c r="S412" s="14">
        <f>IF(ISNUMBER('Klisz-Verbräuche'!T82), 'Klisz-Verbräuche'!T82*Emissionsfaktoren!R82/1000, 0)</f>
        <v>0</v>
      </c>
      <c r="T412" s="14">
        <f>IF(ISNUMBER('Klisz-Verbräuche'!U82), 'Klisz-Verbräuche'!U82*Emissionsfaktoren!S82/1000, 0)</f>
        <v>0</v>
      </c>
      <c r="U412" s="14">
        <f>IF(ISNUMBER('Klisz-Verbräuche'!V82), 'Klisz-Verbräuche'!V82*Emissionsfaktoren!T82/1000, 0)</f>
        <v>0</v>
      </c>
      <c r="V412" s="14">
        <f>IF(ISNUMBER('Klisz-Verbräuche'!W82), 'Klisz-Verbräuche'!W82*Emissionsfaktoren!U82/1000, 0)</f>
        <v>0</v>
      </c>
      <c r="W412" s="14">
        <f>IF(ISNUMBER('Klisz-Verbräuche'!X82), 'Klisz-Verbräuche'!X82*Emissionsfaktoren!V82/1000, 0)</f>
        <v>0</v>
      </c>
      <c r="X412" s="14">
        <f>IF(ISNUMBER('Klisz-Verbräuche'!Y82), 'Klisz-Verbräuche'!Y82*Emissionsfaktoren!W82/1000, 0)</f>
        <v>0</v>
      </c>
      <c r="Y412" s="14">
        <f>IF(ISNUMBER('Klisz-Verbräuche'!Z82), 'Klisz-Verbräuche'!Z82*Emissionsfaktoren!X82/1000, 0)</f>
        <v>0</v>
      </c>
    </row>
    <row r="413" spans="2:25" ht="16.5">
      <c r="B413" s="14">
        <v>67</v>
      </c>
      <c r="C413" s="14" t="str">
        <f>'Refsz-Verbräuche'!C83</f>
        <v>Mobilität 2</v>
      </c>
      <c r="D413" s="19" t="str">
        <f>'Refsz-Verbräuche'!D83</f>
        <v>Pendeln - PKW (alle Antriebsarten)</v>
      </c>
      <c r="E413" t="s">
        <v>195</v>
      </c>
      <c r="F413" s="14">
        <f>IF(ISNUMBER('Klisz-Verbräuche'!G83), 'Klisz-Verbräuche'!G83*Emissionsfaktoren!E83/1000, 0)</f>
        <v>0</v>
      </c>
      <c r="G413" s="14">
        <f>IF(ISNUMBER('Klisz-Verbräuche'!H83), 'Klisz-Verbräuche'!H83*Emissionsfaktoren!F83/1000, 0)</f>
        <v>0</v>
      </c>
      <c r="H413" s="14">
        <f>IF(ISNUMBER('Klisz-Verbräuche'!I83), 'Klisz-Verbräuche'!I83*Emissionsfaktoren!G83/1000, 0)</f>
        <v>0</v>
      </c>
      <c r="I413" s="14">
        <f>IF(ISNUMBER('Klisz-Verbräuche'!J83), 'Klisz-Verbräuche'!J83*Emissionsfaktoren!H83/1000, 0)</f>
        <v>0</v>
      </c>
      <c r="J413" s="14">
        <f>IF(ISNUMBER('Klisz-Verbräuche'!K83), 'Klisz-Verbräuche'!K83*Emissionsfaktoren!I83/1000, 0)</f>
        <v>0</v>
      </c>
      <c r="K413" s="14">
        <f>IF(ISNUMBER('Klisz-Verbräuche'!L83), 'Klisz-Verbräuche'!L83*Emissionsfaktoren!J83/1000, 0)</f>
        <v>0</v>
      </c>
      <c r="L413" s="14">
        <f>IF(ISNUMBER('Klisz-Verbräuche'!M83), 'Klisz-Verbräuche'!M83*Emissionsfaktoren!K83/1000, 0)</f>
        <v>0</v>
      </c>
      <c r="M413" s="14">
        <f>IF(ISNUMBER('Klisz-Verbräuche'!N83), 'Klisz-Verbräuche'!N83*Emissionsfaktoren!L83/1000, 0)</f>
        <v>0</v>
      </c>
      <c r="N413" s="14">
        <f>IF(ISNUMBER('Klisz-Verbräuche'!O83), 'Klisz-Verbräuche'!O83*Emissionsfaktoren!M83/1000, 0)</f>
        <v>0</v>
      </c>
      <c r="O413" s="14">
        <f>IF(ISNUMBER('Klisz-Verbräuche'!P83), 'Klisz-Verbräuche'!P83*Emissionsfaktoren!N83/1000, 0)</f>
        <v>0</v>
      </c>
      <c r="P413" s="14">
        <f>IF(ISNUMBER('Klisz-Verbräuche'!Q83), 'Klisz-Verbräuche'!Q83*Emissionsfaktoren!O83/1000, 0)</f>
        <v>0</v>
      </c>
      <c r="Q413" s="14">
        <f>IF(ISNUMBER('Klisz-Verbräuche'!R83), 'Klisz-Verbräuche'!R83*Emissionsfaktoren!P83/1000, 0)</f>
        <v>0</v>
      </c>
      <c r="R413" s="14">
        <f>IF(ISNUMBER('Klisz-Verbräuche'!S83), 'Klisz-Verbräuche'!S83*Emissionsfaktoren!Q83/1000, 0)</f>
        <v>0</v>
      </c>
      <c r="S413" s="14">
        <f>IF(ISNUMBER('Klisz-Verbräuche'!T83), 'Klisz-Verbräuche'!T83*Emissionsfaktoren!R83/1000, 0)</f>
        <v>0</v>
      </c>
      <c r="T413" s="14">
        <f>IF(ISNUMBER('Klisz-Verbräuche'!U83), 'Klisz-Verbräuche'!U83*Emissionsfaktoren!S83/1000, 0)</f>
        <v>0</v>
      </c>
      <c r="U413" s="14">
        <f>IF(ISNUMBER('Klisz-Verbräuche'!V83), 'Klisz-Verbräuche'!V83*Emissionsfaktoren!T83/1000, 0)</f>
        <v>0</v>
      </c>
      <c r="V413" s="14">
        <f>IF(ISNUMBER('Klisz-Verbräuche'!W83), 'Klisz-Verbräuche'!W83*Emissionsfaktoren!U83/1000, 0)</f>
        <v>0</v>
      </c>
      <c r="W413" s="14">
        <f>IF(ISNUMBER('Klisz-Verbräuche'!X83), 'Klisz-Verbräuche'!X83*Emissionsfaktoren!V83/1000, 0)</f>
        <v>0</v>
      </c>
      <c r="X413" s="14">
        <f>IF(ISNUMBER('Klisz-Verbräuche'!Y83), 'Klisz-Verbräuche'!Y83*Emissionsfaktoren!W83/1000, 0)</f>
        <v>0</v>
      </c>
      <c r="Y413" s="14">
        <f>IF(ISNUMBER('Klisz-Verbräuche'!Z83), 'Klisz-Verbräuche'!Z83*Emissionsfaktoren!X83/1000, 0)</f>
        <v>0</v>
      </c>
    </row>
    <row r="414" spans="2:25" ht="16.5">
      <c r="B414" s="14">
        <v>68</v>
      </c>
      <c r="C414" s="14" t="str">
        <f>'Refsz-Verbräuche'!C84</f>
        <v>Mobilität 2</v>
      </c>
      <c r="D414" s="19" t="str">
        <f>'Refsz-Verbräuche'!D84</f>
        <v>Pendeln - PKW (Diesel)</v>
      </c>
      <c r="E414" t="s">
        <v>195</v>
      </c>
      <c r="F414" s="14">
        <f>IF(ISNUMBER('Klisz-Verbräuche'!G84), 'Klisz-Verbräuche'!G84*Emissionsfaktoren!E84/1000, 0)</f>
        <v>0</v>
      </c>
      <c r="G414" s="14">
        <f>IF(ISNUMBER('Klisz-Verbräuche'!H84), 'Klisz-Verbräuche'!H84*Emissionsfaktoren!F84/1000, 0)</f>
        <v>0</v>
      </c>
      <c r="H414" s="14">
        <f>IF(ISNUMBER('Klisz-Verbräuche'!I84), 'Klisz-Verbräuche'!I84*Emissionsfaktoren!G84/1000, 0)</f>
        <v>0</v>
      </c>
      <c r="I414" s="14">
        <f>IF(ISNUMBER('Klisz-Verbräuche'!J84), 'Klisz-Verbräuche'!J84*Emissionsfaktoren!H84/1000, 0)</f>
        <v>0</v>
      </c>
      <c r="J414" s="14">
        <f>IF(ISNUMBER('Klisz-Verbräuche'!K84), 'Klisz-Verbräuche'!K84*Emissionsfaktoren!I84/1000, 0)</f>
        <v>0</v>
      </c>
      <c r="K414" s="14">
        <f>IF(ISNUMBER('Klisz-Verbräuche'!L84), 'Klisz-Verbräuche'!L84*Emissionsfaktoren!J84/1000, 0)</f>
        <v>0</v>
      </c>
      <c r="L414" s="14">
        <f>IF(ISNUMBER('Klisz-Verbräuche'!M84), 'Klisz-Verbräuche'!M84*Emissionsfaktoren!K84/1000, 0)</f>
        <v>0</v>
      </c>
      <c r="M414" s="14">
        <f>IF(ISNUMBER('Klisz-Verbräuche'!N84), 'Klisz-Verbräuche'!N84*Emissionsfaktoren!L84/1000, 0)</f>
        <v>0</v>
      </c>
      <c r="N414" s="14">
        <f>IF(ISNUMBER('Klisz-Verbräuche'!O84), 'Klisz-Verbräuche'!O84*Emissionsfaktoren!M84/1000, 0)</f>
        <v>0</v>
      </c>
      <c r="O414" s="14">
        <f>IF(ISNUMBER('Klisz-Verbräuche'!P84), 'Klisz-Verbräuche'!P84*Emissionsfaktoren!N84/1000, 0)</f>
        <v>0</v>
      </c>
      <c r="P414" s="14">
        <f>IF(ISNUMBER('Klisz-Verbräuche'!Q84), 'Klisz-Verbräuche'!Q84*Emissionsfaktoren!O84/1000, 0)</f>
        <v>0</v>
      </c>
      <c r="Q414" s="14">
        <f>IF(ISNUMBER('Klisz-Verbräuche'!R84), 'Klisz-Verbräuche'!R84*Emissionsfaktoren!P84/1000, 0)</f>
        <v>0</v>
      </c>
      <c r="R414" s="14">
        <f>IF(ISNUMBER('Klisz-Verbräuche'!S84), 'Klisz-Verbräuche'!S84*Emissionsfaktoren!Q84/1000, 0)</f>
        <v>0</v>
      </c>
      <c r="S414" s="14">
        <f>IF(ISNUMBER('Klisz-Verbräuche'!T84), 'Klisz-Verbräuche'!T84*Emissionsfaktoren!R84/1000, 0)</f>
        <v>0</v>
      </c>
      <c r="T414" s="14">
        <f>IF(ISNUMBER('Klisz-Verbräuche'!U84), 'Klisz-Verbräuche'!U84*Emissionsfaktoren!S84/1000, 0)</f>
        <v>0</v>
      </c>
      <c r="U414" s="14">
        <f>IF(ISNUMBER('Klisz-Verbräuche'!V84), 'Klisz-Verbräuche'!V84*Emissionsfaktoren!T84/1000, 0)</f>
        <v>0</v>
      </c>
      <c r="V414" s="14">
        <f>IF(ISNUMBER('Klisz-Verbräuche'!W84), 'Klisz-Verbräuche'!W84*Emissionsfaktoren!U84/1000, 0)</f>
        <v>0</v>
      </c>
      <c r="W414" s="14">
        <f>IF(ISNUMBER('Klisz-Verbräuche'!X84), 'Klisz-Verbräuche'!X84*Emissionsfaktoren!V84/1000, 0)</f>
        <v>0</v>
      </c>
      <c r="X414" s="14">
        <f>IF(ISNUMBER('Klisz-Verbräuche'!Y84), 'Klisz-Verbräuche'!Y84*Emissionsfaktoren!W84/1000, 0)</f>
        <v>0</v>
      </c>
      <c r="Y414" s="14">
        <f>IF(ISNUMBER('Klisz-Verbräuche'!Z84), 'Klisz-Verbräuche'!Z84*Emissionsfaktoren!X84/1000, 0)</f>
        <v>0</v>
      </c>
    </row>
    <row r="415" spans="2:25" ht="16.5">
      <c r="B415" s="14">
        <v>69</v>
      </c>
      <c r="C415" s="14" t="str">
        <f>'Refsz-Verbräuche'!C85</f>
        <v>Mobilität 2</v>
      </c>
      <c r="D415" s="19" t="str">
        <f>'Refsz-Verbräuche'!D85</f>
        <v>Pendeln - PKW (Benzin)</v>
      </c>
      <c r="E415" t="s">
        <v>195</v>
      </c>
      <c r="F415" s="14">
        <f>IF(ISNUMBER('Klisz-Verbräuche'!G85), 'Klisz-Verbräuche'!G85*Emissionsfaktoren!E85/1000, 0)</f>
        <v>0</v>
      </c>
      <c r="G415" s="14">
        <f>IF(ISNUMBER('Klisz-Verbräuche'!H85), 'Klisz-Verbräuche'!H85*Emissionsfaktoren!F85/1000, 0)</f>
        <v>0</v>
      </c>
      <c r="H415" s="14">
        <f>IF(ISNUMBER('Klisz-Verbräuche'!I85), 'Klisz-Verbräuche'!I85*Emissionsfaktoren!G85/1000, 0)</f>
        <v>0</v>
      </c>
      <c r="I415" s="14">
        <f>IF(ISNUMBER('Klisz-Verbräuche'!J85), 'Klisz-Verbräuche'!J85*Emissionsfaktoren!H85/1000, 0)</f>
        <v>0</v>
      </c>
      <c r="J415" s="14">
        <f>IF(ISNUMBER('Klisz-Verbräuche'!K85), 'Klisz-Verbräuche'!K85*Emissionsfaktoren!I85/1000, 0)</f>
        <v>0</v>
      </c>
      <c r="K415" s="14">
        <f>IF(ISNUMBER('Klisz-Verbräuche'!L85), 'Klisz-Verbräuche'!L85*Emissionsfaktoren!J85/1000, 0)</f>
        <v>0</v>
      </c>
      <c r="L415" s="14">
        <f>IF(ISNUMBER('Klisz-Verbräuche'!M85), 'Klisz-Verbräuche'!M85*Emissionsfaktoren!K85/1000, 0)</f>
        <v>0</v>
      </c>
      <c r="M415" s="14">
        <f>IF(ISNUMBER('Klisz-Verbräuche'!N85), 'Klisz-Verbräuche'!N85*Emissionsfaktoren!L85/1000, 0)</f>
        <v>0</v>
      </c>
      <c r="N415" s="14">
        <f>IF(ISNUMBER('Klisz-Verbräuche'!O85), 'Klisz-Verbräuche'!O85*Emissionsfaktoren!M85/1000, 0)</f>
        <v>0</v>
      </c>
      <c r="O415" s="14">
        <f>IF(ISNUMBER('Klisz-Verbräuche'!P85), 'Klisz-Verbräuche'!P85*Emissionsfaktoren!N85/1000, 0)</f>
        <v>0</v>
      </c>
      <c r="P415" s="14">
        <f>IF(ISNUMBER('Klisz-Verbräuche'!Q85), 'Klisz-Verbräuche'!Q85*Emissionsfaktoren!O85/1000, 0)</f>
        <v>0</v>
      </c>
      <c r="Q415" s="14">
        <f>IF(ISNUMBER('Klisz-Verbräuche'!R85), 'Klisz-Verbräuche'!R85*Emissionsfaktoren!P85/1000, 0)</f>
        <v>0</v>
      </c>
      <c r="R415" s="14">
        <f>IF(ISNUMBER('Klisz-Verbräuche'!S85), 'Klisz-Verbräuche'!S85*Emissionsfaktoren!Q85/1000, 0)</f>
        <v>0</v>
      </c>
      <c r="S415" s="14">
        <f>IF(ISNUMBER('Klisz-Verbräuche'!T85), 'Klisz-Verbräuche'!T85*Emissionsfaktoren!R85/1000, 0)</f>
        <v>0</v>
      </c>
      <c r="T415" s="14">
        <f>IF(ISNUMBER('Klisz-Verbräuche'!U85), 'Klisz-Verbräuche'!U85*Emissionsfaktoren!S85/1000, 0)</f>
        <v>0</v>
      </c>
      <c r="U415" s="14">
        <f>IF(ISNUMBER('Klisz-Verbräuche'!V85), 'Klisz-Verbräuche'!V85*Emissionsfaktoren!T85/1000, 0)</f>
        <v>0</v>
      </c>
      <c r="V415" s="14">
        <f>IF(ISNUMBER('Klisz-Verbräuche'!W85), 'Klisz-Verbräuche'!W85*Emissionsfaktoren!U85/1000, 0)</f>
        <v>0</v>
      </c>
      <c r="W415" s="14">
        <f>IF(ISNUMBER('Klisz-Verbräuche'!X85), 'Klisz-Verbräuche'!X85*Emissionsfaktoren!V85/1000, 0)</f>
        <v>0</v>
      </c>
      <c r="X415" s="14">
        <f>IF(ISNUMBER('Klisz-Verbräuche'!Y85), 'Klisz-Verbräuche'!Y85*Emissionsfaktoren!W85/1000, 0)</f>
        <v>0</v>
      </c>
      <c r="Y415" s="14">
        <f>IF(ISNUMBER('Klisz-Verbräuche'!Z85), 'Klisz-Verbräuche'!Z85*Emissionsfaktoren!X85/1000, 0)</f>
        <v>0</v>
      </c>
    </row>
    <row r="416" spans="2:25" ht="16.5">
      <c r="B416" s="14">
        <v>70</v>
      </c>
      <c r="C416" s="14" t="str">
        <f>'Refsz-Verbräuche'!C86</f>
        <v>Mobilität 2</v>
      </c>
      <c r="D416" s="19" t="str">
        <f>'Refsz-Verbräuche'!D86</f>
        <v>Pendeln - PKW (E-Auto/ BEV)</v>
      </c>
      <c r="E416" t="s">
        <v>195</v>
      </c>
      <c r="F416" s="14">
        <f>IF(ISNUMBER('Klisz-Verbräuche'!G86), 'Klisz-Verbräuche'!G86*Emissionsfaktoren!E86/1000, 0)</f>
        <v>0</v>
      </c>
      <c r="G416" s="14">
        <f>IF(ISNUMBER('Klisz-Verbräuche'!H86), 'Klisz-Verbräuche'!H86*Emissionsfaktoren!F86/1000, 0)</f>
        <v>0</v>
      </c>
      <c r="H416" s="14">
        <f>IF(ISNUMBER('Klisz-Verbräuche'!I86), 'Klisz-Verbräuche'!I86*Emissionsfaktoren!G86/1000, 0)</f>
        <v>0</v>
      </c>
      <c r="I416" s="14">
        <f>IF(ISNUMBER('Klisz-Verbräuche'!J86), 'Klisz-Verbräuche'!J86*Emissionsfaktoren!H86/1000, 0)</f>
        <v>0</v>
      </c>
      <c r="J416" s="14">
        <f>IF(ISNUMBER('Klisz-Verbräuche'!K86), 'Klisz-Verbräuche'!K86*Emissionsfaktoren!I86/1000, 0)</f>
        <v>0</v>
      </c>
      <c r="K416" s="14">
        <f>IF(ISNUMBER('Klisz-Verbräuche'!L86), 'Klisz-Verbräuche'!L86*Emissionsfaktoren!J86/1000, 0)</f>
        <v>0</v>
      </c>
      <c r="L416" s="14">
        <f>IF(ISNUMBER('Klisz-Verbräuche'!M86), 'Klisz-Verbräuche'!M86*Emissionsfaktoren!K86/1000, 0)</f>
        <v>0</v>
      </c>
      <c r="M416" s="14">
        <f>IF(ISNUMBER('Klisz-Verbräuche'!N86), 'Klisz-Verbräuche'!N86*Emissionsfaktoren!L86/1000, 0)</f>
        <v>0</v>
      </c>
      <c r="N416" s="14">
        <f>IF(ISNUMBER('Klisz-Verbräuche'!O86), 'Klisz-Verbräuche'!O86*Emissionsfaktoren!M86/1000, 0)</f>
        <v>0</v>
      </c>
      <c r="O416" s="14">
        <f>IF(ISNUMBER('Klisz-Verbräuche'!P86), 'Klisz-Verbräuche'!P86*Emissionsfaktoren!N86/1000, 0)</f>
        <v>0</v>
      </c>
      <c r="P416" s="14">
        <f>IF(ISNUMBER('Klisz-Verbräuche'!Q86), 'Klisz-Verbräuche'!Q86*Emissionsfaktoren!O86/1000, 0)</f>
        <v>0</v>
      </c>
      <c r="Q416" s="14">
        <f>IF(ISNUMBER('Klisz-Verbräuche'!R86), 'Klisz-Verbräuche'!R86*Emissionsfaktoren!P86/1000, 0)</f>
        <v>0</v>
      </c>
      <c r="R416" s="14">
        <f>IF(ISNUMBER('Klisz-Verbräuche'!S86), 'Klisz-Verbräuche'!S86*Emissionsfaktoren!Q86/1000, 0)</f>
        <v>0</v>
      </c>
      <c r="S416" s="14">
        <f>IF(ISNUMBER('Klisz-Verbräuche'!T86), 'Klisz-Verbräuche'!T86*Emissionsfaktoren!R86/1000, 0)</f>
        <v>0</v>
      </c>
      <c r="T416" s="14">
        <f>IF(ISNUMBER('Klisz-Verbräuche'!U86), 'Klisz-Verbräuche'!U86*Emissionsfaktoren!S86/1000, 0)</f>
        <v>0</v>
      </c>
      <c r="U416" s="14">
        <f>IF(ISNUMBER('Klisz-Verbräuche'!V86), 'Klisz-Verbräuche'!V86*Emissionsfaktoren!T86/1000, 0)</f>
        <v>0</v>
      </c>
      <c r="V416" s="14">
        <f>IF(ISNUMBER('Klisz-Verbräuche'!W86), 'Klisz-Verbräuche'!W86*Emissionsfaktoren!U86/1000, 0)</f>
        <v>0</v>
      </c>
      <c r="W416" s="14">
        <f>IF(ISNUMBER('Klisz-Verbräuche'!X86), 'Klisz-Verbräuche'!X86*Emissionsfaktoren!V86/1000, 0)</f>
        <v>0</v>
      </c>
      <c r="X416" s="14">
        <f>IF(ISNUMBER('Klisz-Verbräuche'!Y86), 'Klisz-Verbräuche'!Y86*Emissionsfaktoren!W86/1000, 0)</f>
        <v>0</v>
      </c>
      <c r="Y416" s="14">
        <f>IF(ISNUMBER('Klisz-Verbräuche'!Z86), 'Klisz-Verbräuche'!Z86*Emissionsfaktoren!X86/1000, 0)</f>
        <v>0</v>
      </c>
    </row>
    <row r="417" spans="2:25" ht="16.5">
      <c r="B417" s="14">
        <v>71</v>
      </c>
      <c r="C417" s="14" t="str">
        <f>'Refsz-Verbräuche'!C87</f>
        <v>Mobilität 2</v>
      </c>
      <c r="D417" s="19" t="str">
        <f>'Refsz-Verbräuche'!D87</f>
        <v>Pendeln - PKW (Wasserstoff/ FCEV)</v>
      </c>
      <c r="E417" t="s">
        <v>195</v>
      </c>
      <c r="F417" s="14">
        <f>IF(ISNUMBER('Klisz-Verbräuche'!G87), 'Klisz-Verbräuche'!G87*Emissionsfaktoren!E87/1000, 0)</f>
        <v>0</v>
      </c>
      <c r="G417" s="14">
        <f>IF(ISNUMBER('Klisz-Verbräuche'!H87), 'Klisz-Verbräuche'!H87*Emissionsfaktoren!F87/1000, 0)</f>
        <v>0</v>
      </c>
      <c r="H417" s="14">
        <f>IF(ISNUMBER('Klisz-Verbräuche'!I87), 'Klisz-Verbräuche'!I87*Emissionsfaktoren!G87/1000, 0)</f>
        <v>0</v>
      </c>
      <c r="I417" s="14">
        <f>IF(ISNUMBER('Klisz-Verbräuche'!J87), 'Klisz-Verbräuche'!J87*Emissionsfaktoren!H87/1000, 0)</f>
        <v>0</v>
      </c>
      <c r="J417" s="14">
        <f>IF(ISNUMBER('Klisz-Verbräuche'!K87), 'Klisz-Verbräuche'!K87*Emissionsfaktoren!I87/1000, 0)</f>
        <v>0</v>
      </c>
      <c r="K417" s="14">
        <f>IF(ISNUMBER('Klisz-Verbräuche'!L87), 'Klisz-Verbräuche'!L87*Emissionsfaktoren!J87/1000, 0)</f>
        <v>0</v>
      </c>
      <c r="L417" s="14">
        <f>IF(ISNUMBER('Klisz-Verbräuche'!M87), 'Klisz-Verbräuche'!M87*Emissionsfaktoren!K87/1000, 0)</f>
        <v>0</v>
      </c>
      <c r="M417" s="14">
        <f>IF(ISNUMBER('Klisz-Verbräuche'!N87), 'Klisz-Verbräuche'!N87*Emissionsfaktoren!L87/1000, 0)</f>
        <v>0</v>
      </c>
      <c r="N417" s="14">
        <f>IF(ISNUMBER('Klisz-Verbräuche'!O87), 'Klisz-Verbräuche'!O87*Emissionsfaktoren!M87/1000, 0)</f>
        <v>0</v>
      </c>
      <c r="O417" s="14">
        <f>IF(ISNUMBER('Klisz-Verbräuche'!P87), 'Klisz-Verbräuche'!P87*Emissionsfaktoren!N87/1000, 0)</f>
        <v>0</v>
      </c>
      <c r="P417" s="14">
        <f>IF(ISNUMBER('Klisz-Verbräuche'!Q87), 'Klisz-Verbräuche'!Q87*Emissionsfaktoren!O87/1000, 0)</f>
        <v>0</v>
      </c>
      <c r="Q417" s="14">
        <f>IF(ISNUMBER('Klisz-Verbräuche'!R87), 'Klisz-Verbräuche'!R87*Emissionsfaktoren!P87/1000, 0)</f>
        <v>0</v>
      </c>
      <c r="R417" s="14">
        <f>IF(ISNUMBER('Klisz-Verbräuche'!S87), 'Klisz-Verbräuche'!S87*Emissionsfaktoren!Q87/1000, 0)</f>
        <v>0</v>
      </c>
      <c r="S417" s="14">
        <f>IF(ISNUMBER('Klisz-Verbräuche'!T87), 'Klisz-Verbräuche'!T87*Emissionsfaktoren!R87/1000, 0)</f>
        <v>0</v>
      </c>
      <c r="T417" s="14">
        <f>IF(ISNUMBER('Klisz-Verbräuche'!U87), 'Klisz-Verbräuche'!U87*Emissionsfaktoren!S87/1000, 0)</f>
        <v>0</v>
      </c>
      <c r="U417" s="14">
        <f>IF(ISNUMBER('Klisz-Verbräuche'!V87), 'Klisz-Verbräuche'!V87*Emissionsfaktoren!T87/1000, 0)</f>
        <v>0</v>
      </c>
      <c r="V417" s="14">
        <f>IF(ISNUMBER('Klisz-Verbräuche'!W87), 'Klisz-Verbräuche'!W87*Emissionsfaktoren!U87/1000, 0)</f>
        <v>0</v>
      </c>
      <c r="W417" s="14">
        <f>IF(ISNUMBER('Klisz-Verbräuche'!X87), 'Klisz-Verbräuche'!X87*Emissionsfaktoren!V87/1000, 0)</f>
        <v>0</v>
      </c>
      <c r="X417" s="14">
        <f>IF(ISNUMBER('Klisz-Verbräuche'!Y87), 'Klisz-Verbräuche'!Y87*Emissionsfaktoren!W87/1000, 0)</f>
        <v>0</v>
      </c>
      <c r="Y417" s="14">
        <f>IF(ISNUMBER('Klisz-Verbräuche'!Z87), 'Klisz-Verbräuche'!Z87*Emissionsfaktoren!X87/1000, 0)</f>
        <v>0</v>
      </c>
    </row>
    <row r="418" spans="2:25" ht="16.5">
      <c r="B418" s="14">
        <v>72</v>
      </c>
      <c r="C418" s="14" t="str">
        <f>'Refsz-Verbräuche'!C88</f>
        <v>Mobilität 2</v>
      </c>
      <c r="D418" s="19" t="str">
        <f>'Refsz-Verbräuche'!D88</f>
        <v>Pendeln - PKW (CNG)</v>
      </c>
      <c r="E418" t="s">
        <v>195</v>
      </c>
      <c r="F418" s="14">
        <f>IF(ISNUMBER('Klisz-Verbräuche'!G88), 'Klisz-Verbräuche'!G88*Emissionsfaktoren!E88/1000, 0)</f>
        <v>0</v>
      </c>
      <c r="G418" s="14">
        <f>IF(ISNUMBER('Klisz-Verbräuche'!H88), 'Klisz-Verbräuche'!H88*Emissionsfaktoren!F88/1000, 0)</f>
        <v>0</v>
      </c>
      <c r="H418" s="14">
        <f>IF(ISNUMBER('Klisz-Verbräuche'!I88), 'Klisz-Verbräuche'!I88*Emissionsfaktoren!G88/1000, 0)</f>
        <v>0</v>
      </c>
      <c r="I418" s="14">
        <f>IF(ISNUMBER('Klisz-Verbräuche'!J88), 'Klisz-Verbräuche'!J88*Emissionsfaktoren!H88/1000, 0)</f>
        <v>0</v>
      </c>
      <c r="J418" s="14">
        <f>IF(ISNUMBER('Klisz-Verbräuche'!K88), 'Klisz-Verbräuche'!K88*Emissionsfaktoren!I88/1000, 0)</f>
        <v>0</v>
      </c>
      <c r="K418" s="14">
        <f>IF(ISNUMBER('Klisz-Verbräuche'!L88), 'Klisz-Verbräuche'!L88*Emissionsfaktoren!J88/1000, 0)</f>
        <v>0</v>
      </c>
      <c r="L418" s="14">
        <f>IF(ISNUMBER('Klisz-Verbräuche'!M88), 'Klisz-Verbräuche'!M88*Emissionsfaktoren!K88/1000, 0)</f>
        <v>0</v>
      </c>
      <c r="M418" s="14">
        <f>IF(ISNUMBER('Klisz-Verbräuche'!N88), 'Klisz-Verbräuche'!N88*Emissionsfaktoren!L88/1000, 0)</f>
        <v>0</v>
      </c>
      <c r="N418" s="14">
        <f>IF(ISNUMBER('Klisz-Verbräuche'!O88), 'Klisz-Verbräuche'!O88*Emissionsfaktoren!M88/1000, 0)</f>
        <v>0</v>
      </c>
      <c r="O418" s="14">
        <f>IF(ISNUMBER('Klisz-Verbräuche'!P88), 'Klisz-Verbräuche'!P88*Emissionsfaktoren!N88/1000, 0)</f>
        <v>0</v>
      </c>
      <c r="P418" s="14">
        <f>IF(ISNUMBER('Klisz-Verbräuche'!Q88), 'Klisz-Verbräuche'!Q88*Emissionsfaktoren!O88/1000, 0)</f>
        <v>0</v>
      </c>
      <c r="Q418" s="14">
        <f>IF(ISNUMBER('Klisz-Verbräuche'!R88), 'Klisz-Verbräuche'!R88*Emissionsfaktoren!P88/1000, 0)</f>
        <v>0</v>
      </c>
      <c r="R418" s="14">
        <f>IF(ISNUMBER('Klisz-Verbräuche'!S88), 'Klisz-Verbräuche'!S88*Emissionsfaktoren!Q88/1000, 0)</f>
        <v>0</v>
      </c>
      <c r="S418" s="14">
        <f>IF(ISNUMBER('Klisz-Verbräuche'!T88), 'Klisz-Verbräuche'!T88*Emissionsfaktoren!R88/1000, 0)</f>
        <v>0</v>
      </c>
      <c r="T418" s="14">
        <f>IF(ISNUMBER('Klisz-Verbräuche'!U88), 'Klisz-Verbräuche'!U88*Emissionsfaktoren!S88/1000, 0)</f>
        <v>0</v>
      </c>
      <c r="U418" s="14">
        <f>IF(ISNUMBER('Klisz-Verbräuche'!V88), 'Klisz-Verbräuche'!V88*Emissionsfaktoren!T88/1000, 0)</f>
        <v>0</v>
      </c>
      <c r="V418" s="14">
        <f>IF(ISNUMBER('Klisz-Verbräuche'!W88), 'Klisz-Verbräuche'!W88*Emissionsfaktoren!U88/1000, 0)</f>
        <v>0</v>
      </c>
      <c r="W418" s="14">
        <f>IF(ISNUMBER('Klisz-Verbräuche'!X88), 'Klisz-Verbräuche'!X88*Emissionsfaktoren!V88/1000, 0)</f>
        <v>0</v>
      </c>
      <c r="X418" s="14">
        <f>IF(ISNUMBER('Klisz-Verbräuche'!Y88), 'Klisz-Verbräuche'!Y88*Emissionsfaktoren!W88/1000, 0)</f>
        <v>0</v>
      </c>
      <c r="Y418" s="14">
        <f>IF(ISNUMBER('Klisz-Verbräuche'!Z88), 'Klisz-Verbräuche'!Z88*Emissionsfaktoren!X88/1000, 0)</f>
        <v>0</v>
      </c>
    </row>
    <row r="419" spans="2:25" ht="16.5">
      <c r="B419" s="14">
        <v>73</v>
      </c>
      <c r="C419" s="14" t="str">
        <f>'Refsz-Verbräuche'!C89</f>
        <v>Mobilität 2</v>
      </c>
      <c r="D419" s="19" t="str">
        <f>'Refsz-Verbräuche'!D89</f>
        <v>Pendeln - PKW (Plug-In-Hybrid/PHEV)</v>
      </c>
      <c r="E419" t="s">
        <v>195</v>
      </c>
      <c r="F419" s="14">
        <f>IF(ISNUMBER('Klisz-Verbräuche'!G89), 'Klisz-Verbräuche'!G89*Emissionsfaktoren!E89/1000, 0)</f>
        <v>0</v>
      </c>
      <c r="G419" s="14">
        <f>IF(ISNUMBER('Klisz-Verbräuche'!H89), 'Klisz-Verbräuche'!H89*Emissionsfaktoren!F89/1000, 0)</f>
        <v>0</v>
      </c>
      <c r="H419" s="14">
        <f>IF(ISNUMBER('Klisz-Verbräuche'!I89), 'Klisz-Verbräuche'!I89*Emissionsfaktoren!G89/1000, 0)</f>
        <v>0</v>
      </c>
      <c r="I419" s="14">
        <f>IF(ISNUMBER('Klisz-Verbräuche'!J89), 'Klisz-Verbräuche'!J89*Emissionsfaktoren!H89/1000, 0)</f>
        <v>0</v>
      </c>
      <c r="J419" s="14">
        <f>IF(ISNUMBER('Klisz-Verbräuche'!K89), 'Klisz-Verbräuche'!K89*Emissionsfaktoren!I89/1000, 0)</f>
        <v>0</v>
      </c>
      <c r="K419" s="14">
        <f>IF(ISNUMBER('Klisz-Verbräuche'!L89), 'Klisz-Verbräuche'!L89*Emissionsfaktoren!J89/1000, 0)</f>
        <v>0</v>
      </c>
      <c r="L419" s="14">
        <f>IF(ISNUMBER('Klisz-Verbräuche'!M89), 'Klisz-Verbräuche'!M89*Emissionsfaktoren!K89/1000, 0)</f>
        <v>0</v>
      </c>
      <c r="M419" s="14">
        <f>IF(ISNUMBER('Klisz-Verbräuche'!N89), 'Klisz-Verbräuche'!N89*Emissionsfaktoren!L89/1000, 0)</f>
        <v>0</v>
      </c>
      <c r="N419" s="14">
        <f>IF(ISNUMBER('Klisz-Verbräuche'!O89), 'Klisz-Verbräuche'!O89*Emissionsfaktoren!M89/1000, 0)</f>
        <v>0</v>
      </c>
      <c r="O419" s="14">
        <f>IF(ISNUMBER('Klisz-Verbräuche'!P89), 'Klisz-Verbräuche'!P89*Emissionsfaktoren!N89/1000, 0)</f>
        <v>0</v>
      </c>
      <c r="P419" s="14">
        <f>IF(ISNUMBER('Klisz-Verbräuche'!Q89), 'Klisz-Verbräuche'!Q89*Emissionsfaktoren!O89/1000, 0)</f>
        <v>0</v>
      </c>
      <c r="Q419" s="14">
        <f>IF(ISNUMBER('Klisz-Verbräuche'!R89), 'Klisz-Verbräuche'!R89*Emissionsfaktoren!P89/1000, 0)</f>
        <v>0</v>
      </c>
      <c r="R419" s="14">
        <f>IF(ISNUMBER('Klisz-Verbräuche'!S89), 'Klisz-Verbräuche'!S89*Emissionsfaktoren!Q89/1000, 0)</f>
        <v>0</v>
      </c>
      <c r="S419" s="14">
        <f>IF(ISNUMBER('Klisz-Verbräuche'!T89), 'Klisz-Verbräuche'!T89*Emissionsfaktoren!R89/1000, 0)</f>
        <v>0</v>
      </c>
      <c r="T419" s="14">
        <f>IF(ISNUMBER('Klisz-Verbräuche'!U89), 'Klisz-Verbräuche'!U89*Emissionsfaktoren!S89/1000, 0)</f>
        <v>0</v>
      </c>
      <c r="U419" s="14">
        <f>IF(ISNUMBER('Klisz-Verbräuche'!V89), 'Klisz-Verbräuche'!V89*Emissionsfaktoren!T89/1000, 0)</f>
        <v>0</v>
      </c>
      <c r="V419" s="14">
        <f>IF(ISNUMBER('Klisz-Verbräuche'!W89), 'Klisz-Verbräuche'!W89*Emissionsfaktoren!U89/1000, 0)</f>
        <v>0</v>
      </c>
      <c r="W419" s="14">
        <f>IF(ISNUMBER('Klisz-Verbräuche'!X89), 'Klisz-Verbräuche'!X89*Emissionsfaktoren!V89/1000, 0)</f>
        <v>0</v>
      </c>
      <c r="X419" s="14">
        <f>IF(ISNUMBER('Klisz-Verbräuche'!Y89), 'Klisz-Verbräuche'!Y89*Emissionsfaktoren!W89/1000, 0)</f>
        <v>0</v>
      </c>
      <c r="Y419" s="14">
        <f>IF(ISNUMBER('Klisz-Verbräuche'!Z89), 'Klisz-Verbräuche'!Z89*Emissionsfaktoren!X89/1000, 0)</f>
        <v>0</v>
      </c>
    </row>
    <row r="420" spans="2:25" ht="16.5">
      <c r="B420" s="14">
        <v>74</v>
      </c>
      <c r="C420" s="14" t="str">
        <f>'Refsz-Verbräuche'!C90</f>
        <v>Mobilität 2</v>
      </c>
      <c r="D420" s="19" t="str">
        <f>'Refsz-Verbräuche'!D90</f>
        <v>Pendeln - Motorisierte Zweiräder</v>
      </c>
      <c r="E420" t="s">
        <v>195</v>
      </c>
      <c r="F420" s="14">
        <f>IF(ISNUMBER('Klisz-Verbräuche'!G90), 'Klisz-Verbräuche'!G90*Emissionsfaktoren!E90/1000, 0)</f>
        <v>0</v>
      </c>
      <c r="G420" s="14">
        <f>IF(ISNUMBER('Klisz-Verbräuche'!H90), 'Klisz-Verbräuche'!H90*Emissionsfaktoren!F90/1000, 0)</f>
        <v>0</v>
      </c>
      <c r="H420" s="14">
        <f>IF(ISNUMBER('Klisz-Verbräuche'!I90), 'Klisz-Verbräuche'!I90*Emissionsfaktoren!G90/1000, 0)</f>
        <v>0</v>
      </c>
      <c r="I420" s="14">
        <f>IF(ISNUMBER('Klisz-Verbräuche'!J90), 'Klisz-Verbräuche'!J90*Emissionsfaktoren!H90/1000, 0)</f>
        <v>0</v>
      </c>
      <c r="J420" s="14">
        <f>IF(ISNUMBER('Klisz-Verbräuche'!K90), 'Klisz-Verbräuche'!K90*Emissionsfaktoren!I90/1000, 0)</f>
        <v>0</v>
      </c>
      <c r="K420" s="14">
        <f>IF(ISNUMBER('Klisz-Verbräuche'!L90), 'Klisz-Verbräuche'!L90*Emissionsfaktoren!J90/1000, 0)</f>
        <v>0</v>
      </c>
      <c r="L420" s="14">
        <f>IF(ISNUMBER('Klisz-Verbräuche'!M90), 'Klisz-Verbräuche'!M90*Emissionsfaktoren!K90/1000, 0)</f>
        <v>0</v>
      </c>
      <c r="M420" s="14">
        <f>IF(ISNUMBER('Klisz-Verbräuche'!N90), 'Klisz-Verbräuche'!N90*Emissionsfaktoren!L90/1000, 0)</f>
        <v>0</v>
      </c>
      <c r="N420" s="14">
        <f>IF(ISNUMBER('Klisz-Verbräuche'!O90), 'Klisz-Verbräuche'!O90*Emissionsfaktoren!M90/1000, 0)</f>
        <v>0</v>
      </c>
      <c r="O420" s="14">
        <f>IF(ISNUMBER('Klisz-Verbräuche'!P90), 'Klisz-Verbräuche'!P90*Emissionsfaktoren!N90/1000, 0)</f>
        <v>0</v>
      </c>
      <c r="P420" s="14">
        <f>IF(ISNUMBER('Klisz-Verbräuche'!Q90), 'Klisz-Verbräuche'!Q90*Emissionsfaktoren!O90/1000, 0)</f>
        <v>0</v>
      </c>
      <c r="Q420" s="14">
        <f>IF(ISNUMBER('Klisz-Verbräuche'!R90), 'Klisz-Verbräuche'!R90*Emissionsfaktoren!P90/1000, 0)</f>
        <v>0</v>
      </c>
      <c r="R420" s="14">
        <f>IF(ISNUMBER('Klisz-Verbräuche'!S90), 'Klisz-Verbräuche'!S90*Emissionsfaktoren!Q90/1000, 0)</f>
        <v>0</v>
      </c>
      <c r="S420" s="14">
        <f>IF(ISNUMBER('Klisz-Verbräuche'!T90), 'Klisz-Verbräuche'!T90*Emissionsfaktoren!R90/1000, 0)</f>
        <v>0</v>
      </c>
      <c r="T420" s="14">
        <f>IF(ISNUMBER('Klisz-Verbräuche'!U90), 'Klisz-Verbräuche'!U90*Emissionsfaktoren!S90/1000, 0)</f>
        <v>0</v>
      </c>
      <c r="U420" s="14">
        <f>IF(ISNUMBER('Klisz-Verbräuche'!V90), 'Klisz-Verbräuche'!V90*Emissionsfaktoren!T90/1000, 0)</f>
        <v>0</v>
      </c>
      <c r="V420" s="14">
        <f>IF(ISNUMBER('Klisz-Verbräuche'!W90), 'Klisz-Verbräuche'!W90*Emissionsfaktoren!U90/1000, 0)</f>
        <v>0</v>
      </c>
      <c r="W420" s="14">
        <f>IF(ISNUMBER('Klisz-Verbräuche'!X90), 'Klisz-Verbräuche'!X90*Emissionsfaktoren!V90/1000, 0)</f>
        <v>0</v>
      </c>
      <c r="X420" s="14">
        <f>IF(ISNUMBER('Klisz-Verbräuche'!Y90), 'Klisz-Verbräuche'!Y90*Emissionsfaktoren!W90/1000, 0)</f>
        <v>0</v>
      </c>
      <c r="Y420" s="14">
        <f>IF(ISNUMBER('Klisz-Verbräuche'!Z90), 'Klisz-Verbräuche'!Z90*Emissionsfaktoren!X90/1000, 0)</f>
        <v>0</v>
      </c>
    </row>
    <row r="421" spans="2:25" ht="16.5">
      <c r="B421" s="14">
        <v>75</v>
      </c>
      <c r="C421" s="14" t="str">
        <f>'Refsz-Verbräuche'!C91</f>
        <v>Mobilität 2</v>
      </c>
      <c r="D421" s="19" t="str">
        <f>'Refsz-Verbräuche'!D91</f>
        <v>Pendeln - Fahrrad</v>
      </c>
      <c r="E421" t="s">
        <v>195</v>
      </c>
      <c r="F421" s="14">
        <f>IF(ISNUMBER('Klisz-Verbräuche'!G91), 'Klisz-Verbräuche'!G91*Emissionsfaktoren!E91/1000, 0)</f>
        <v>0</v>
      </c>
      <c r="G421" s="14">
        <f>IF(ISNUMBER('Klisz-Verbräuche'!H91), 'Klisz-Verbräuche'!H91*Emissionsfaktoren!F91/1000, 0)</f>
        <v>0</v>
      </c>
      <c r="H421" s="14">
        <f>IF(ISNUMBER('Klisz-Verbräuche'!I91), 'Klisz-Verbräuche'!I91*Emissionsfaktoren!G91/1000, 0)</f>
        <v>0</v>
      </c>
      <c r="I421" s="14">
        <f>IF(ISNUMBER('Klisz-Verbräuche'!J91), 'Klisz-Verbräuche'!J91*Emissionsfaktoren!H91/1000, 0)</f>
        <v>0</v>
      </c>
      <c r="J421" s="14">
        <f>IF(ISNUMBER('Klisz-Verbräuche'!K91), 'Klisz-Verbräuche'!K91*Emissionsfaktoren!I91/1000, 0)</f>
        <v>0</v>
      </c>
      <c r="K421" s="14">
        <f>IF(ISNUMBER('Klisz-Verbräuche'!L91), 'Klisz-Verbräuche'!L91*Emissionsfaktoren!J91/1000, 0)</f>
        <v>0</v>
      </c>
      <c r="L421" s="14">
        <f>IF(ISNUMBER('Klisz-Verbräuche'!M91), 'Klisz-Verbräuche'!M91*Emissionsfaktoren!K91/1000, 0)</f>
        <v>0</v>
      </c>
      <c r="M421" s="14">
        <f>IF(ISNUMBER('Klisz-Verbräuche'!N91), 'Klisz-Verbräuche'!N91*Emissionsfaktoren!L91/1000, 0)</f>
        <v>0</v>
      </c>
      <c r="N421" s="14">
        <f>IF(ISNUMBER('Klisz-Verbräuche'!O91), 'Klisz-Verbräuche'!O91*Emissionsfaktoren!M91/1000, 0)</f>
        <v>0</v>
      </c>
      <c r="O421" s="14">
        <f>IF(ISNUMBER('Klisz-Verbräuche'!P91), 'Klisz-Verbräuche'!P91*Emissionsfaktoren!N91/1000, 0)</f>
        <v>0</v>
      </c>
      <c r="P421" s="14">
        <f>IF(ISNUMBER('Klisz-Verbräuche'!Q91), 'Klisz-Verbräuche'!Q91*Emissionsfaktoren!O91/1000, 0)</f>
        <v>0</v>
      </c>
      <c r="Q421" s="14">
        <f>IF(ISNUMBER('Klisz-Verbräuche'!R91), 'Klisz-Verbräuche'!R91*Emissionsfaktoren!P91/1000, 0)</f>
        <v>0</v>
      </c>
      <c r="R421" s="14">
        <f>IF(ISNUMBER('Klisz-Verbräuche'!S91), 'Klisz-Verbräuche'!S91*Emissionsfaktoren!Q91/1000, 0)</f>
        <v>0</v>
      </c>
      <c r="S421" s="14">
        <f>IF(ISNUMBER('Klisz-Verbräuche'!T91), 'Klisz-Verbräuche'!T91*Emissionsfaktoren!R91/1000, 0)</f>
        <v>0</v>
      </c>
      <c r="T421" s="14">
        <f>IF(ISNUMBER('Klisz-Verbräuche'!U91), 'Klisz-Verbräuche'!U91*Emissionsfaktoren!S91/1000, 0)</f>
        <v>0</v>
      </c>
      <c r="U421" s="14">
        <f>IF(ISNUMBER('Klisz-Verbräuche'!V91), 'Klisz-Verbräuche'!V91*Emissionsfaktoren!T91/1000, 0)</f>
        <v>0</v>
      </c>
      <c r="V421" s="14">
        <f>IF(ISNUMBER('Klisz-Verbräuche'!W91), 'Klisz-Verbräuche'!W91*Emissionsfaktoren!U91/1000, 0)</f>
        <v>0</v>
      </c>
      <c r="W421" s="14">
        <f>IF(ISNUMBER('Klisz-Verbräuche'!X91), 'Klisz-Verbräuche'!X91*Emissionsfaktoren!V91/1000, 0)</f>
        <v>0</v>
      </c>
      <c r="X421" s="14">
        <f>IF(ISNUMBER('Klisz-Verbräuche'!Y91), 'Klisz-Verbräuche'!Y91*Emissionsfaktoren!W91/1000, 0)</f>
        <v>0</v>
      </c>
      <c r="Y421" s="14">
        <f>IF(ISNUMBER('Klisz-Verbräuche'!Z91), 'Klisz-Verbräuche'!Z91*Emissionsfaktoren!X91/1000, 0)</f>
        <v>0</v>
      </c>
    </row>
    <row r="422" spans="2:25" ht="16.5">
      <c r="B422" s="14">
        <v>76</v>
      </c>
      <c r="C422" s="14" t="str">
        <f>'Refsz-Verbräuche'!C92</f>
        <v>Mobilität 2</v>
      </c>
      <c r="D422" s="19" t="str">
        <f>'Refsz-Verbräuche'!D92</f>
        <v>Pendeln - E-Bike</v>
      </c>
      <c r="E422" t="s">
        <v>195</v>
      </c>
      <c r="F422" s="14">
        <f>IF(ISNUMBER('Klisz-Verbräuche'!G92), 'Klisz-Verbräuche'!G92*Emissionsfaktoren!E92/1000, 0)</f>
        <v>0</v>
      </c>
      <c r="G422" s="14">
        <f>IF(ISNUMBER('Klisz-Verbräuche'!H92), 'Klisz-Verbräuche'!H92*Emissionsfaktoren!F92/1000, 0)</f>
        <v>0</v>
      </c>
      <c r="H422" s="14">
        <f>IF(ISNUMBER('Klisz-Verbräuche'!I92), 'Klisz-Verbräuche'!I92*Emissionsfaktoren!G92/1000, 0)</f>
        <v>0</v>
      </c>
      <c r="I422" s="14">
        <f>IF(ISNUMBER('Klisz-Verbräuche'!J92), 'Klisz-Verbräuche'!J92*Emissionsfaktoren!H92/1000, 0)</f>
        <v>0</v>
      </c>
      <c r="J422" s="14">
        <f>IF(ISNUMBER('Klisz-Verbräuche'!K92), 'Klisz-Verbräuche'!K92*Emissionsfaktoren!I92/1000, 0)</f>
        <v>0</v>
      </c>
      <c r="K422" s="14">
        <f>IF(ISNUMBER('Klisz-Verbräuche'!L92), 'Klisz-Verbräuche'!L92*Emissionsfaktoren!J92/1000, 0)</f>
        <v>0</v>
      </c>
      <c r="L422" s="14">
        <f>IF(ISNUMBER('Klisz-Verbräuche'!M92), 'Klisz-Verbräuche'!M92*Emissionsfaktoren!K92/1000, 0)</f>
        <v>0</v>
      </c>
      <c r="M422" s="14">
        <f>IF(ISNUMBER('Klisz-Verbräuche'!N92), 'Klisz-Verbräuche'!N92*Emissionsfaktoren!L92/1000, 0)</f>
        <v>0</v>
      </c>
      <c r="N422" s="14">
        <f>IF(ISNUMBER('Klisz-Verbräuche'!O92), 'Klisz-Verbräuche'!O92*Emissionsfaktoren!M92/1000, 0)</f>
        <v>0</v>
      </c>
      <c r="O422" s="14">
        <f>IF(ISNUMBER('Klisz-Verbräuche'!P92), 'Klisz-Verbräuche'!P92*Emissionsfaktoren!N92/1000, 0)</f>
        <v>0</v>
      </c>
      <c r="P422" s="14">
        <f>IF(ISNUMBER('Klisz-Verbräuche'!Q92), 'Klisz-Verbräuche'!Q92*Emissionsfaktoren!O92/1000, 0)</f>
        <v>0</v>
      </c>
      <c r="Q422" s="14">
        <f>IF(ISNUMBER('Klisz-Verbräuche'!R92), 'Klisz-Verbräuche'!R92*Emissionsfaktoren!P92/1000, 0)</f>
        <v>0</v>
      </c>
      <c r="R422" s="14">
        <f>IF(ISNUMBER('Klisz-Verbräuche'!S92), 'Klisz-Verbräuche'!S92*Emissionsfaktoren!Q92/1000, 0)</f>
        <v>0</v>
      </c>
      <c r="S422" s="14">
        <f>IF(ISNUMBER('Klisz-Verbräuche'!T92), 'Klisz-Verbräuche'!T92*Emissionsfaktoren!R92/1000, 0)</f>
        <v>0</v>
      </c>
      <c r="T422" s="14">
        <f>IF(ISNUMBER('Klisz-Verbräuche'!U92), 'Klisz-Verbräuche'!U92*Emissionsfaktoren!S92/1000, 0)</f>
        <v>0</v>
      </c>
      <c r="U422" s="14">
        <f>IF(ISNUMBER('Klisz-Verbräuche'!V92), 'Klisz-Verbräuche'!V92*Emissionsfaktoren!T92/1000, 0)</f>
        <v>0</v>
      </c>
      <c r="V422" s="14">
        <f>IF(ISNUMBER('Klisz-Verbräuche'!W92), 'Klisz-Verbräuche'!W92*Emissionsfaktoren!U92/1000, 0)</f>
        <v>0</v>
      </c>
      <c r="W422" s="14">
        <f>IF(ISNUMBER('Klisz-Verbräuche'!X92), 'Klisz-Verbräuche'!X92*Emissionsfaktoren!V92/1000, 0)</f>
        <v>0</v>
      </c>
      <c r="X422" s="14">
        <f>IF(ISNUMBER('Klisz-Verbräuche'!Y92), 'Klisz-Verbräuche'!Y92*Emissionsfaktoren!W92/1000, 0)</f>
        <v>0</v>
      </c>
      <c r="Y422" s="14">
        <f>IF(ISNUMBER('Klisz-Verbräuche'!Z92), 'Klisz-Verbräuche'!Z92*Emissionsfaktoren!X92/1000, 0)</f>
        <v>0</v>
      </c>
    </row>
    <row r="423" spans="2:25" ht="16.5">
      <c r="B423" s="14">
        <v>77</v>
      </c>
      <c r="C423" s="14" t="str">
        <f>'Refsz-Verbräuche'!C93</f>
        <v>Mobilität 2</v>
      </c>
      <c r="D423" s="19" t="str">
        <f>'Refsz-Verbräuche'!D93</f>
        <v>Pendeln - zu Fuß</v>
      </c>
      <c r="E423" t="s">
        <v>195</v>
      </c>
      <c r="F423" s="14">
        <f>IF(ISNUMBER('Klisz-Verbräuche'!G93), 'Klisz-Verbräuche'!G93*Emissionsfaktoren!E93/1000, 0)</f>
        <v>0</v>
      </c>
      <c r="G423" s="14">
        <f>IF(ISNUMBER('Klisz-Verbräuche'!H93), 'Klisz-Verbräuche'!H93*Emissionsfaktoren!F93/1000, 0)</f>
        <v>0</v>
      </c>
      <c r="H423" s="14">
        <f>IF(ISNUMBER('Klisz-Verbräuche'!I93), 'Klisz-Verbräuche'!I93*Emissionsfaktoren!G93/1000, 0)</f>
        <v>0</v>
      </c>
      <c r="I423" s="14">
        <f>IF(ISNUMBER('Klisz-Verbräuche'!J93), 'Klisz-Verbräuche'!J93*Emissionsfaktoren!H93/1000, 0)</f>
        <v>0</v>
      </c>
      <c r="J423" s="14">
        <f>IF(ISNUMBER('Klisz-Verbräuche'!K93), 'Klisz-Verbräuche'!K93*Emissionsfaktoren!I93/1000, 0)</f>
        <v>0</v>
      </c>
      <c r="K423" s="14">
        <f>IF(ISNUMBER('Klisz-Verbräuche'!L93), 'Klisz-Verbräuche'!L93*Emissionsfaktoren!J93/1000, 0)</f>
        <v>0</v>
      </c>
      <c r="L423" s="14">
        <f>IF(ISNUMBER('Klisz-Verbräuche'!M93), 'Klisz-Verbräuche'!M93*Emissionsfaktoren!K93/1000, 0)</f>
        <v>0</v>
      </c>
      <c r="M423" s="14">
        <f>IF(ISNUMBER('Klisz-Verbräuche'!N93), 'Klisz-Verbräuche'!N93*Emissionsfaktoren!L93/1000, 0)</f>
        <v>0</v>
      </c>
      <c r="N423" s="14">
        <f>IF(ISNUMBER('Klisz-Verbräuche'!O93), 'Klisz-Verbräuche'!O93*Emissionsfaktoren!M93/1000, 0)</f>
        <v>0</v>
      </c>
      <c r="O423" s="14">
        <f>IF(ISNUMBER('Klisz-Verbräuche'!P93), 'Klisz-Verbräuche'!P93*Emissionsfaktoren!N93/1000, 0)</f>
        <v>0</v>
      </c>
      <c r="P423" s="14">
        <f>IF(ISNUMBER('Klisz-Verbräuche'!Q93), 'Klisz-Verbräuche'!Q93*Emissionsfaktoren!O93/1000, 0)</f>
        <v>0</v>
      </c>
      <c r="Q423" s="14">
        <f>IF(ISNUMBER('Klisz-Verbräuche'!R93), 'Klisz-Verbräuche'!R93*Emissionsfaktoren!P93/1000, 0)</f>
        <v>0</v>
      </c>
      <c r="R423" s="14">
        <f>IF(ISNUMBER('Klisz-Verbräuche'!S93), 'Klisz-Verbräuche'!S93*Emissionsfaktoren!Q93/1000, 0)</f>
        <v>0</v>
      </c>
      <c r="S423" s="14">
        <f>IF(ISNUMBER('Klisz-Verbräuche'!T93), 'Klisz-Verbräuche'!T93*Emissionsfaktoren!R93/1000, 0)</f>
        <v>0</v>
      </c>
      <c r="T423" s="14">
        <f>IF(ISNUMBER('Klisz-Verbräuche'!U93), 'Klisz-Verbräuche'!U93*Emissionsfaktoren!S93/1000, 0)</f>
        <v>0</v>
      </c>
      <c r="U423" s="14">
        <f>IF(ISNUMBER('Klisz-Verbräuche'!V93), 'Klisz-Verbräuche'!V93*Emissionsfaktoren!T93/1000, 0)</f>
        <v>0</v>
      </c>
      <c r="V423" s="14">
        <f>IF(ISNUMBER('Klisz-Verbräuche'!W93), 'Klisz-Verbräuche'!W93*Emissionsfaktoren!U93/1000, 0)</f>
        <v>0</v>
      </c>
      <c r="W423" s="14">
        <f>IF(ISNUMBER('Klisz-Verbräuche'!X93), 'Klisz-Verbräuche'!X93*Emissionsfaktoren!V93/1000, 0)</f>
        <v>0</v>
      </c>
      <c r="X423" s="14">
        <f>IF(ISNUMBER('Klisz-Verbräuche'!Y93), 'Klisz-Verbräuche'!Y93*Emissionsfaktoren!W93/1000, 0)</f>
        <v>0</v>
      </c>
      <c r="Y423" s="14">
        <f>IF(ISNUMBER('Klisz-Verbräuche'!Z93), 'Klisz-Verbräuche'!Z93*Emissionsfaktoren!X93/1000, 0)</f>
        <v>0</v>
      </c>
    </row>
    <row r="424" spans="2:25" ht="16.5">
      <c r="B424" s="14">
        <v>78</v>
      </c>
      <c r="C424" s="14">
        <f>'Refsz-Verbräuche'!C94</f>
        <v>0</v>
      </c>
      <c r="D424" s="19">
        <f>'Refsz-Verbräuche'!D94</f>
        <v>0</v>
      </c>
      <c r="E424" t="s">
        <v>195</v>
      </c>
      <c r="F424" s="14">
        <f>IF(ISNUMBER('Klisz-Verbräuche'!G94), 'Klisz-Verbräuche'!G94*Emissionsfaktoren!E94/1000, 0)</f>
        <v>0</v>
      </c>
      <c r="G424" s="14">
        <f>IF(ISNUMBER('Klisz-Verbräuche'!H94), 'Klisz-Verbräuche'!H94*Emissionsfaktoren!F94/1000, 0)</f>
        <v>0</v>
      </c>
      <c r="H424" s="14">
        <f>IF(ISNUMBER('Klisz-Verbräuche'!I94), 'Klisz-Verbräuche'!I94*Emissionsfaktoren!G94/1000, 0)</f>
        <v>0</v>
      </c>
      <c r="I424" s="14">
        <f>IF(ISNUMBER('Klisz-Verbräuche'!J94), 'Klisz-Verbräuche'!J94*Emissionsfaktoren!H94/1000, 0)</f>
        <v>0</v>
      </c>
      <c r="J424" s="14">
        <f>IF(ISNUMBER('Klisz-Verbräuche'!K94), 'Klisz-Verbräuche'!K94*Emissionsfaktoren!I94/1000, 0)</f>
        <v>0</v>
      </c>
      <c r="K424" s="14">
        <f>IF(ISNUMBER('Klisz-Verbräuche'!L94), 'Klisz-Verbräuche'!L94*Emissionsfaktoren!J94/1000, 0)</f>
        <v>0</v>
      </c>
      <c r="L424" s="14">
        <f>IF(ISNUMBER('Klisz-Verbräuche'!M94), 'Klisz-Verbräuche'!M94*Emissionsfaktoren!K94/1000, 0)</f>
        <v>0</v>
      </c>
      <c r="M424" s="14">
        <f>IF(ISNUMBER('Klisz-Verbräuche'!N94), 'Klisz-Verbräuche'!N94*Emissionsfaktoren!L94/1000, 0)</f>
        <v>0</v>
      </c>
      <c r="N424" s="14">
        <f>IF(ISNUMBER('Klisz-Verbräuche'!O94), 'Klisz-Verbräuche'!O94*Emissionsfaktoren!M94/1000, 0)</f>
        <v>0</v>
      </c>
      <c r="O424" s="14">
        <f>IF(ISNUMBER('Klisz-Verbräuche'!P94), 'Klisz-Verbräuche'!P94*Emissionsfaktoren!N94/1000, 0)</f>
        <v>0</v>
      </c>
      <c r="P424" s="14">
        <f>IF(ISNUMBER('Klisz-Verbräuche'!Q94), 'Klisz-Verbräuche'!Q94*Emissionsfaktoren!O94/1000, 0)</f>
        <v>0</v>
      </c>
      <c r="Q424" s="14">
        <f>IF(ISNUMBER('Klisz-Verbräuche'!R94), 'Klisz-Verbräuche'!R94*Emissionsfaktoren!P94/1000, 0)</f>
        <v>0</v>
      </c>
      <c r="R424" s="14">
        <f>IF(ISNUMBER('Klisz-Verbräuche'!S94), 'Klisz-Verbräuche'!S94*Emissionsfaktoren!Q94/1000, 0)</f>
        <v>0</v>
      </c>
      <c r="S424" s="14">
        <f>IF(ISNUMBER('Klisz-Verbräuche'!T94), 'Klisz-Verbräuche'!T94*Emissionsfaktoren!R94/1000, 0)</f>
        <v>0</v>
      </c>
      <c r="T424" s="14">
        <f>IF(ISNUMBER('Klisz-Verbräuche'!U94), 'Klisz-Verbräuche'!U94*Emissionsfaktoren!S94/1000, 0)</f>
        <v>0</v>
      </c>
      <c r="U424" s="14">
        <f>IF(ISNUMBER('Klisz-Verbräuche'!V94), 'Klisz-Verbräuche'!V94*Emissionsfaktoren!T94/1000, 0)</f>
        <v>0</v>
      </c>
      <c r="V424" s="14">
        <f>IF(ISNUMBER('Klisz-Verbräuche'!W94), 'Klisz-Verbräuche'!W94*Emissionsfaktoren!U94/1000, 0)</f>
        <v>0</v>
      </c>
      <c r="W424" s="14">
        <f>IF(ISNUMBER('Klisz-Verbräuche'!X94), 'Klisz-Verbräuche'!X94*Emissionsfaktoren!V94/1000, 0)</f>
        <v>0</v>
      </c>
      <c r="X424" s="14">
        <f>IF(ISNUMBER('Klisz-Verbräuche'!Y94), 'Klisz-Verbräuche'!Y94*Emissionsfaktoren!W94/1000, 0)</f>
        <v>0</v>
      </c>
      <c r="Y424" s="14">
        <f>IF(ISNUMBER('Klisz-Verbräuche'!Z94), 'Klisz-Verbräuche'!Z94*Emissionsfaktoren!X94/1000, 0)</f>
        <v>0</v>
      </c>
    </row>
    <row r="425" spans="2:25" ht="16.5">
      <c r="B425" s="14">
        <v>79</v>
      </c>
      <c r="C425" s="14" t="str">
        <f>'Refsz-Verbräuche'!C95</f>
        <v>Mobilität 2</v>
      </c>
      <c r="D425" s="19" t="str">
        <f>'Refsz-Verbräuche'!D95</f>
        <v>Studierendenreisen (Incoming) - Flugreisen</v>
      </c>
      <c r="E425" t="s">
        <v>195</v>
      </c>
      <c r="F425" s="14">
        <f>IF(ISNUMBER('Klisz-Verbräuche'!G95), 'Klisz-Verbräuche'!G95*Emissionsfaktoren!E95/1000, 0)</f>
        <v>0</v>
      </c>
      <c r="G425" s="14">
        <f>IF(ISNUMBER('Klisz-Verbräuche'!H95), 'Klisz-Verbräuche'!H95*Emissionsfaktoren!F95/1000, 0)</f>
        <v>0</v>
      </c>
      <c r="H425" s="14">
        <f>IF(ISNUMBER('Klisz-Verbräuche'!I95), 'Klisz-Verbräuche'!I95*Emissionsfaktoren!G95/1000, 0)</f>
        <v>0</v>
      </c>
      <c r="I425" s="14">
        <f>IF(ISNUMBER('Klisz-Verbräuche'!J95), 'Klisz-Verbräuche'!J95*Emissionsfaktoren!H95/1000, 0)</f>
        <v>0</v>
      </c>
      <c r="J425" s="14">
        <f>IF(ISNUMBER('Klisz-Verbräuche'!K95), 'Klisz-Verbräuche'!K95*Emissionsfaktoren!I95/1000, 0)</f>
        <v>0</v>
      </c>
      <c r="K425" s="14">
        <f>IF(ISNUMBER('Klisz-Verbräuche'!L95), 'Klisz-Verbräuche'!L95*Emissionsfaktoren!J95/1000, 0)</f>
        <v>0</v>
      </c>
      <c r="L425" s="14">
        <f>IF(ISNUMBER('Klisz-Verbräuche'!M95), 'Klisz-Verbräuche'!M95*Emissionsfaktoren!K95/1000, 0)</f>
        <v>0</v>
      </c>
      <c r="M425" s="14">
        <f>IF(ISNUMBER('Klisz-Verbräuche'!N95), 'Klisz-Verbräuche'!N95*Emissionsfaktoren!L95/1000, 0)</f>
        <v>0</v>
      </c>
      <c r="N425" s="14">
        <f>IF(ISNUMBER('Klisz-Verbräuche'!O95), 'Klisz-Verbräuche'!O95*Emissionsfaktoren!M95/1000, 0)</f>
        <v>0</v>
      </c>
      <c r="O425" s="14">
        <f>IF(ISNUMBER('Klisz-Verbräuche'!P95), 'Klisz-Verbräuche'!P95*Emissionsfaktoren!N95/1000, 0)</f>
        <v>0</v>
      </c>
      <c r="P425" s="14">
        <f>IF(ISNUMBER('Klisz-Verbräuche'!Q95), 'Klisz-Verbräuche'!Q95*Emissionsfaktoren!O95/1000, 0)</f>
        <v>0</v>
      </c>
      <c r="Q425" s="14">
        <f>IF(ISNUMBER('Klisz-Verbräuche'!R95), 'Klisz-Verbräuche'!R95*Emissionsfaktoren!P95/1000, 0)</f>
        <v>0</v>
      </c>
      <c r="R425" s="14">
        <f>IF(ISNUMBER('Klisz-Verbräuche'!S95), 'Klisz-Verbräuche'!S95*Emissionsfaktoren!Q95/1000, 0)</f>
        <v>0</v>
      </c>
      <c r="S425" s="14">
        <f>IF(ISNUMBER('Klisz-Verbräuche'!T95), 'Klisz-Verbräuche'!T95*Emissionsfaktoren!R95/1000, 0)</f>
        <v>0</v>
      </c>
      <c r="T425" s="14">
        <f>IF(ISNUMBER('Klisz-Verbräuche'!U95), 'Klisz-Verbräuche'!U95*Emissionsfaktoren!S95/1000, 0)</f>
        <v>0</v>
      </c>
      <c r="U425" s="14">
        <f>IF(ISNUMBER('Klisz-Verbräuche'!V95), 'Klisz-Verbräuche'!V95*Emissionsfaktoren!T95/1000, 0)</f>
        <v>0</v>
      </c>
      <c r="V425" s="14">
        <f>IF(ISNUMBER('Klisz-Verbräuche'!W95), 'Klisz-Verbräuche'!W95*Emissionsfaktoren!U95/1000, 0)</f>
        <v>0</v>
      </c>
      <c r="W425" s="14">
        <f>IF(ISNUMBER('Klisz-Verbräuche'!X95), 'Klisz-Verbräuche'!X95*Emissionsfaktoren!V95/1000, 0)</f>
        <v>0</v>
      </c>
      <c r="X425" s="14">
        <f>IF(ISNUMBER('Klisz-Verbräuche'!Y95), 'Klisz-Verbräuche'!Y95*Emissionsfaktoren!W95/1000, 0)</f>
        <v>0</v>
      </c>
      <c r="Y425" s="14">
        <f>IF(ISNUMBER('Klisz-Verbräuche'!Z95), 'Klisz-Verbräuche'!Z95*Emissionsfaktoren!X95/1000, 0)</f>
        <v>0</v>
      </c>
    </row>
    <row r="426" spans="2:25" ht="16.5">
      <c r="B426" s="14">
        <v>80</v>
      </c>
      <c r="C426" s="14" t="str">
        <f>'Refsz-Verbräuche'!C96</f>
        <v>Mobilität 2</v>
      </c>
      <c r="D426" s="19" t="str">
        <f>'Refsz-Verbräuche'!D96</f>
        <v>Studierendenreisen (Incoming) - Eisenbahn (Nahverkehr)</v>
      </c>
      <c r="E426" t="s">
        <v>195</v>
      </c>
      <c r="F426" s="14">
        <f>IF(ISNUMBER('Klisz-Verbräuche'!G96), 'Klisz-Verbräuche'!G96*Emissionsfaktoren!E96/1000, 0)</f>
        <v>0</v>
      </c>
      <c r="G426" s="14">
        <f>IF(ISNUMBER('Klisz-Verbräuche'!H96), 'Klisz-Verbräuche'!H96*Emissionsfaktoren!F96/1000, 0)</f>
        <v>0</v>
      </c>
      <c r="H426" s="14">
        <f>IF(ISNUMBER('Klisz-Verbräuche'!I96), 'Klisz-Verbräuche'!I96*Emissionsfaktoren!G96/1000, 0)</f>
        <v>0</v>
      </c>
      <c r="I426" s="14">
        <f>IF(ISNUMBER('Klisz-Verbräuche'!J96), 'Klisz-Verbräuche'!J96*Emissionsfaktoren!H96/1000, 0)</f>
        <v>0</v>
      </c>
      <c r="J426" s="14">
        <f>IF(ISNUMBER('Klisz-Verbräuche'!K96), 'Klisz-Verbräuche'!K96*Emissionsfaktoren!I96/1000, 0)</f>
        <v>0</v>
      </c>
      <c r="K426" s="14">
        <f>IF(ISNUMBER('Klisz-Verbräuche'!L96), 'Klisz-Verbräuche'!L96*Emissionsfaktoren!J96/1000, 0)</f>
        <v>0</v>
      </c>
      <c r="L426" s="14">
        <f>IF(ISNUMBER('Klisz-Verbräuche'!M96), 'Klisz-Verbräuche'!M96*Emissionsfaktoren!K96/1000, 0)</f>
        <v>0</v>
      </c>
      <c r="M426" s="14">
        <f>IF(ISNUMBER('Klisz-Verbräuche'!N96), 'Klisz-Verbräuche'!N96*Emissionsfaktoren!L96/1000, 0)</f>
        <v>0</v>
      </c>
      <c r="N426" s="14">
        <f>IF(ISNUMBER('Klisz-Verbräuche'!O96), 'Klisz-Verbräuche'!O96*Emissionsfaktoren!M96/1000, 0)</f>
        <v>0</v>
      </c>
      <c r="O426" s="14">
        <f>IF(ISNUMBER('Klisz-Verbräuche'!P96), 'Klisz-Verbräuche'!P96*Emissionsfaktoren!N96/1000, 0)</f>
        <v>0</v>
      </c>
      <c r="P426" s="14">
        <f>IF(ISNUMBER('Klisz-Verbräuche'!Q96), 'Klisz-Verbräuche'!Q96*Emissionsfaktoren!O96/1000, 0)</f>
        <v>0</v>
      </c>
      <c r="Q426" s="14">
        <f>IF(ISNUMBER('Klisz-Verbräuche'!R96), 'Klisz-Verbräuche'!R96*Emissionsfaktoren!P96/1000, 0)</f>
        <v>0</v>
      </c>
      <c r="R426" s="14">
        <f>IF(ISNUMBER('Klisz-Verbräuche'!S96), 'Klisz-Verbräuche'!S96*Emissionsfaktoren!Q96/1000, 0)</f>
        <v>0</v>
      </c>
      <c r="S426" s="14">
        <f>IF(ISNUMBER('Klisz-Verbräuche'!T96), 'Klisz-Verbräuche'!T96*Emissionsfaktoren!R96/1000, 0)</f>
        <v>0</v>
      </c>
      <c r="T426" s="14">
        <f>IF(ISNUMBER('Klisz-Verbräuche'!U96), 'Klisz-Verbräuche'!U96*Emissionsfaktoren!S96/1000, 0)</f>
        <v>0</v>
      </c>
      <c r="U426" s="14">
        <f>IF(ISNUMBER('Klisz-Verbräuche'!V96), 'Klisz-Verbräuche'!V96*Emissionsfaktoren!T96/1000, 0)</f>
        <v>0</v>
      </c>
      <c r="V426" s="14">
        <f>IF(ISNUMBER('Klisz-Verbräuche'!W96), 'Klisz-Verbräuche'!W96*Emissionsfaktoren!U96/1000, 0)</f>
        <v>0</v>
      </c>
      <c r="W426" s="14">
        <f>IF(ISNUMBER('Klisz-Verbräuche'!X96), 'Klisz-Verbräuche'!X96*Emissionsfaktoren!V96/1000, 0)</f>
        <v>0</v>
      </c>
      <c r="X426" s="14">
        <f>IF(ISNUMBER('Klisz-Verbräuche'!Y96), 'Klisz-Verbräuche'!Y96*Emissionsfaktoren!W96/1000, 0)</f>
        <v>0</v>
      </c>
      <c r="Y426" s="14">
        <f>IF(ISNUMBER('Klisz-Verbräuche'!Z96), 'Klisz-Verbräuche'!Z96*Emissionsfaktoren!X96/1000, 0)</f>
        <v>0</v>
      </c>
    </row>
    <row r="427" spans="2:25" ht="16.5">
      <c r="B427" s="14">
        <v>81</v>
      </c>
      <c r="C427" s="14" t="str">
        <f>'Refsz-Verbräuche'!C97</f>
        <v>Mobilität 2</v>
      </c>
      <c r="D427" s="19" t="str">
        <f>'Refsz-Verbräuche'!D97</f>
        <v>Studierendenreisen (Incoming) - Privater PKW (alle Antriebsarten)</v>
      </c>
      <c r="E427" t="s">
        <v>195</v>
      </c>
      <c r="F427" s="14">
        <f>IF(ISNUMBER('Klisz-Verbräuche'!G97), 'Klisz-Verbräuche'!G97*Emissionsfaktoren!E97/1000, 0)</f>
        <v>0</v>
      </c>
      <c r="G427" s="14">
        <f>IF(ISNUMBER('Klisz-Verbräuche'!H97), 'Klisz-Verbräuche'!H97*Emissionsfaktoren!F97/1000, 0)</f>
        <v>0</v>
      </c>
      <c r="H427" s="14">
        <f>IF(ISNUMBER('Klisz-Verbräuche'!I97), 'Klisz-Verbräuche'!I97*Emissionsfaktoren!G97/1000, 0)</f>
        <v>0</v>
      </c>
      <c r="I427" s="14">
        <f>IF(ISNUMBER('Klisz-Verbräuche'!J97), 'Klisz-Verbräuche'!J97*Emissionsfaktoren!H97/1000, 0)</f>
        <v>0</v>
      </c>
      <c r="J427" s="14">
        <f>IF(ISNUMBER('Klisz-Verbräuche'!K97), 'Klisz-Verbräuche'!K97*Emissionsfaktoren!I97/1000, 0)</f>
        <v>0</v>
      </c>
      <c r="K427" s="14">
        <f>IF(ISNUMBER('Klisz-Verbräuche'!L97), 'Klisz-Verbräuche'!L97*Emissionsfaktoren!J97/1000, 0)</f>
        <v>0</v>
      </c>
      <c r="L427" s="14">
        <f>IF(ISNUMBER('Klisz-Verbräuche'!M97), 'Klisz-Verbräuche'!M97*Emissionsfaktoren!K97/1000, 0)</f>
        <v>0</v>
      </c>
      <c r="M427" s="14">
        <f>IF(ISNUMBER('Klisz-Verbräuche'!N97), 'Klisz-Verbräuche'!N97*Emissionsfaktoren!L97/1000, 0)</f>
        <v>0</v>
      </c>
      <c r="N427" s="14">
        <f>IF(ISNUMBER('Klisz-Verbräuche'!O97), 'Klisz-Verbräuche'!O97*Emissionsfaktoren!M97/1000, 0)</f>
        <v>0</v>
      </c>
      <c r="O427" s="14">
        <f>IF(ISNUMBER('Klisz-Verbräuche'!P97), 'Klisz-Verbräuche'!P97*Emissionsfaktoren!N97/1000, 0)</f>
        <v>0</v>
      </c>
      <c r="P427" s="14">
        <f>IF(ISNUMBER('Klisz-Verbräuche'!Q97), 'Klisz-Verbräuche'!Q97*Emissionsfaktoren!O97/1000, 0)</f>
        <v>0</v>
      </c>
      <c r="Q427" s="14">
        <f>IF(ISNUMBER('Klisz-Verbräuche'!R97), 'Klisz-Verbräuche'!R97*Emissionsfaktoren!P97/1000, 0)</f>
        <v>0</v>
      </c>
      <c r="R427" s="14">
        <f>IF(ISNUMBER('Klisz-Verbräuche'!S97), 'Klisz-Verbräuche'!S97*Emissionsfaktoren!Q97/1000, 0)</f>
        <v>0</v>
      </c>
      <c r="S427" s="14">
        <f>IF(ISNUMBER('Klisz-Verbräuche'!T97), 'Klisz-Verbräuche'!T97*Emissionsfaktoren!R97/1000, 0)</f>
        <v>0</v>
      </c>
      <c r="T427" s="14">
        <f>IF(ISNUMBER('Klisz-Verbräuche'!U97), 'Klisz-Verbräuche'!U97*Emissionsfaktoren!S97/1000, 0)</f>
        <v>0</v>
      </c>
      <c r="U427" s="14">
        <f>IF(ISNUMBER('Klisz-Verbräuche'!V97), 'Klisz-Verbräuche'!V97*Emissionsfaktoren!T97/1000, 0)</f>
        <v>0</v>
      </c>
      <c r="V427" s="14">
        <f>IF(ISNUMBER('Klisz-Verbräuche'!W97), 'Klisz-Verbräuche'!W97*Emissionsfaktoren!U97/1000, 0)</f>
        <v>0</v>
      </c>
      <c r="W427" s="14">
        <f>IF(ISNUMBER('Klisz-Verbräuche'!X97), 'Klisz-Verbräuche'!X97*Emissionsfaktoren!V97/1000, 0)</f>
        <v>0</v>
      </c>
      <c r="X427" s="14">
        <f>IF(ISNUMBER('Klisz-Verbräuche'!Y97), 'Klisz-Verbräuche'!Y97*Emissionsfaktoren!W97/1000, 0)</f>
        <v>0</v>
      </c>
      <c r="Y427" s="14">
        <f>IF(ISNUMBER('Klisz-Verbräuche'!Z97), 'Klisz-Verbräuche'!Z97*Emissionsfaktoren!X97/1000, 0)</f>
        <v>0</v>
      </c>
    </row>
    <row r="428" spans="2:25" ht="16.5">
      <c r="B428" s="14">
        <v>82</v>
      </c>
      <c r="C428" s="14">
        <f>'Refsz-Verbräuche'!C98</f>
        <v>0</v>
      </c>
      <c r="D428" s="19">
        <f>'Refsz-Verbräuche'!D98</f>
        <v>0</v>
      </c>
      <c r="E428" t="s">
        <v>195</v>
      </c>
      <c r="F428" s="14">
        <f>IF(ISNUMBER('Klisz-Verbräuche'!G98), 'Klisz-Verbräuche'!G98*Emissionsfaktoren!E98/1000, 0)</f>
        <v>0</v>
      </c>
      <c r="G428" s="14">
        <f>IF(ISNUMBER('Klisz-Verbräuche'!H98), 'Klisz-Verbräuche'!H98*Emissionsfaktoren!F98/1000, 0)</f>
        <v>0</v>
      </c>
      <c r="H428" s="14">
        <f>IF(ISNUMBER('Klisz-Verbräuche'!I98), 'Klisz-Verbräuche'!I98*Emissionsfaktoren!G98/1000, 0)</f>
        <v>0</v>
      </c>
      <c r="I428" s="14">
        <f>IF(ISNUMBER('Klisz-Verbräuche'!J98), 'Klisz-Verbräuche'!J98*Emissionsfaktoren!H98/1000, 0)</f>
        <v>0</v>
      </c>
      <c r="J428" s="14">
        <f>IF(ISNUMBER('Klisz-Verbräuche'!K98), 'Klisz-Verbräuche'!K98*Emissionsfaktoren!I98/1000, 0)</f>
        <v>0</v>
      </c>
      <c r="K428" s="14">
        <f>IF(ISNUMBER('Klisz-Verbräuche'!L98), 'Klisz-Verbräuche'!L98*Emissionsfaktoren!J98/1000, 0)</f>
        <v>0</v>
      </c>
      <c r="L428" s="14">
        <f>IF(ISNUMBER('Klisz-Verbräuche'!M98), 'Klisz-Verbräuche'!M98*Emissionsfaktoren!K98/1000, 0)</f>
        <v>0</v>
      </c>
      <c r="M428" s="14">
        <f>IF(ISNUMBER('Klisz-Verbräuche'!N98), 'Klisz-Verbräuche'!N98*Emissionsfaktoren!L98/1000, 0)</f>
        <v>0</v>
      </c>
      <c r="N428" s="14">
        <f>IF(ISNUMBER('Klisz-Verbräuche'!O98), 'Klisz-Verbräuche'!O98*Emissionsfaktoren!M98/1000, 0)</f>
        <v>0</v>
      </c>
      <c r="O428" s="14">
        <f>IF(ISNUMBER('Klisz-Verbräuche'!P98), 'Klisz-Verbräuche'!P98*Emissionsfaktoren!N98/1000, 0)</f>
        <v>0</v>
      </c>
      <c r="P428" s="14">
        <f>IF(ISNUMBER('Klisz-Verbräuche'!Q98), 'Klisz-Verbräuche'!Q98*Emissionsfaktoren!O98/1000, 0)</f>
        <v>0</v>
      </c>
      <c r="Q428" s="14">
        <f>IF(ISNUMBER('Klisz-Verbräuche'!R98), 'Klisz-Verbräuche'!R98*Emissionsfaktoren!P98/1000, 0)</f>
        <v>0</v>
      </c>
      <c r="R428" s="14">
        <f>IF(ISNUMBER('Klisz-Verbräuche'!S98), 'Klisz-Verbräuche'!S98*Emissionsfaktoren!Q98/1000, 0)</f>
        <v>0</v>
      </c>
      <c r="S428" s="14">
        <f>IF(ISNUMBER('Klisz-Verbräuche'!T98), 'Klisz-Verbräuche'!T98*Emissionsfaktoren!R98/1000, 0)</f>
        <v>0</v>
      </c>
      <c r="T428" s="14">
        <f>IF(ISNUMBER('Klisz-Verbräuche'!U98), 'Klisz-Verbräuche'!U98*Emissionsfaktoren!S98/1000, 0)</f>
        <v>0</v>
      </c>
      <c r="U428" s="14">
        <f>IF(ISNUMBER('Klisz-Verbräuche'!V98), 'Klisz-Verbräuche'!V98*Emissionsfaktoren!T98/1000, 0)</f>
        <v>0</v>
      </c>
      <c r="V428" s="14">
        <f>IF(ISNUMBER('Klisz-Verbräuche'!W98), 'Klisz-Verbräuche'!W98*Emissionsfaktoren!U98/1000, 0)</f>
        <v>0</v>
      </c>
      <c r="W428" s="14">
        <f>IF(ISNUMBER('Klisz-Verbräuche'!X98), 'Klisz-Verbräuche'!X98*Emissionsfaktoren!V98/1000, 0)</f>
        <v>0</v>
      </c>
      <c r="X428" s="14">
        <f>IF(ISNUMBER('Klisz-Verbräuche'!Y98), 'Klisz-Verbräuche'!Y98*Emissionsfaktoren!W98/1000, 0)</f>
        <v>0</v>
      </c>
      <c r="Y428" s="14">
        <f>IF(ISNUMBER('Klisz-Verbräuche'!Z98), 'Klisz-Verbräuche'!Z98*Emissionsfaktoren!X98/1000, 0)</f>
        <v>0</v>
      </c>
    </row>
    <row r="429" spans="2:25" ht="16.5">
      <c r="B429" s="14">
        <v>83</v>
      </c>
      <c r="C429" s="14" t="str">
        <f>'Refsz-Verbräuche'!C99</f>
        <v>Mobilität 2</v>
      </c>
      <c r="D429" s="19" t="str">
        <f>'Refsz-Verbräuche'!D99</f>
        <v>An- und Abreise von Gästen - Flugreisen</v>
      </c>
      <c r="E429" t="s">
        <v>195</v>
      </c>
      <c r="F429" s="14">
        <f>IF(ISNUMBER('Klisz-Verbräuche'!G99), 'Klisz-Verbräuche'!G99*Emissionsfaktoren!E99/1000, 0)</f>
        <v>0</v>
      </c>
      <c r="G429" s="14">
        <f>IF(ISNUMBER('Klisz-Verbräuche'!H99), 'Klisz-Verbräuche'!H99*Emissionsfaktoren!F99/1000, 0)</f>
        <v>0</v>
      </c>
      <c r="H429" s="14">
        <f>IF(ISNUMBER('Klisz-Verbräuche'!I99), 'Klisz-Verbräuche'!I99*Emissionsfaktoren!G99/1000, 0)</f>
        <v>0</v>
      </c>
      <c r="I429" s="14">
        <f>IF(ISNUMBER('Klisz-Verbräuche'!J99), 'Klisz-Verbräuche'!J99*Emissionsfaktoren!H99/1000, 0)</f>
        <v>0</v>
      </c>
      <c r="J429" s="14">
        <f>IF(ISNUMBER('Klisz-Verbräuche'!K99), 'Klisz-Verbräuche'!K99*Emissionsfaktoren!I99/1000, 0)</f>
        <v>0</v>
      </c>
      <c r="K429" s="14">
        <f>IF(ISNUMBER('Klisz-Verbräuche'!L99), 'Klisz-Verbräuche'!L99*Emissionsfaktoren!J99/1000, 0)</f>
        <v>0</v>
      </c>
      <c r="L429" s="14">
        <f>IF(ISNUMBER('Klisz-Verbräuche'!M99), 'Klisz-Verbräuche'!M99*Emissionsfaktoren!K99/1000, 0)</f>
        <v>0</v>
      </c>
      <c r="M429" s="14">
        <f>IF(ISNUMBER('Klisz-Verbräuche'!N99), 'Klisz-Verbräuche'!N99*Emissionsfaktoren!L99/1000, 0)</f>
        <v>0</v>
      </c>
      <c r="N429" s="14">
        <f>IF(ISNUMBER('Klisz-Verbräuche'!O99), 'Klisz-Verbräuche'!O99*Emissionsfaktoren!M99/1000, 0)</f>
        <v>0</v>
      </c>
      <c r="O429" s="14">
        <f>IF(ISNUMBER('Klisz-Verbräuche'!P99), 'Klisz-Verbräuche'!P99*Emissionsfaktoren!N99/1000, 0)</f>
        <v>0</v>
      </c>
      <c r="P429" s="14">
        <f>IF(ISNUMBER('Klisz-Verbräuche'!Q99), 'Klisz-Verbräuche'!Q99*Emissionsfaktoren!O99/1000, 0)</f>
        <v>0</v>
      </c>
      <c r="Q429" s="14">
        <f>IF(ISNUMBER('Klisz-Verbräuche'!R99), 'Klisz-Verbräuche'!R99*Emissionsfaktoren!P99/1000, 0)</f>
        <v>0</v>
      </c>
      <c r="R429" s="14">
        <f>IF(ISNUMBER('Klisz-Verbräuche'!S99), 'Klisz-Verbräuche'!S99*Emissionsfaktoren!Q99/1000, 0)</f>
        <v>0</v>
      </c>
      <c r="S429" s="14">
        <f>IF(ISNUMBER('Klisz-Verbräuche'!T99), 'Klisz-Verbräuche'!T99*Emissionsfaktoren!R99/1000, 0)</f>
        <v>0</v>
      </c>
      <c r="T429" s="14">
        <f>IF(ISNUMBER('Klisz-Verbräuche'!U99), 'Klisz-Verbräuche'!U99*Emissionsfaktoren!S99/1000, 0)</f>
        <v>0</v>
      </c>
      <c r="U429" s="14">
        <f>IF(ISNUMBER('Klisz-Verbräuche'!V99), 'Klisz-Verbräuche'!V99*Emissionsfaktoren!T99/1000, 0)</f>
        <v>0</v>
      </c>
      <c r="V429" s="14">
        <f>IF(ISNUMBER('Klisz-Verbräuche'!W99), 'Klisz-Verbräuche'!W99*Emissionsfaktoren!U99/1000, 0)</f>
        <v>0</v>
      </c>
      <c r="W429" s="14">
        <f>IF(ISNUMBER('Klisz-Verbräuche'!X99), 'Klisz-Verbräuche'!X99*Emissionsfaktoren!V99/1000, 0)</f>
        <v>0</v>
      </c>
      <c r="X429" s="14">
        <f>IF(ISNUMBER('Klisz-Verbräuche'!Y99), 'Klisz-Verbräuche'!Y99*Emissionsfaktoren!W99/1000, 0)</f>
        <v>0</v>
      </c>
      <c r="Y429" s="14">
        <f>IF(ISNUMBER('Klisz-Verbräuche'!Z99), 'Klisz-Verbräuche'!Z99*Emissionsfaktoren!X99/1000, 0)</f>
        <v>0</v>
      </c>
    </row>
    <row r="430" spans="2:25" ht="16.5">
      <c r="B430" s="14">
        <v>84</v>
      </c>
      <c r="C430" s="14" t="str">
        <f>'Refsz-Verbräuche'!C100</f>
        <v>Mobilität 2</v>
      </c>
      <c r="D430" s="19" t="str">
        <f>'Refsz-Verbräuche'!D100</f>
        <v>An- und Abreise von Gästen - Eisenbahn (Nahverkehr)</v>
      </c>
      <c r="E430" t="s">
        <v>195</v>
      </c>
      <c r="F430" s="14">
        <f>IF(ISNUMBER('Klisz-Verbräuche'!G100), 'Klisz-Verbräuche'!G100*Emissionsfaktoren!E100/1000, 0)</f>
        <v>0</v>
      </c>
      <c r="G430" s="14">
        <f>IF(ISNUMBER('Klisz-Verbräuche'!H100), 'Klisz-Verbräuche'!H100*Emissionsfaktoren!F100/1000, 0)</f>
        <v>0</v>
      </c>
      <c r="H430" s="14">
        <f>IF(ISNUMBER('Klisz-Verbräuche'!I100), 'Klisz-Verbräuche'!I100*Emissionsfaktoren!G100/1000, 0)</f>
        <v>0</v>
      </c>
      <c r="I430" s="14">
        <f>IF(ISNUMBER('Klisz-Verbräuche'!J100), 'Klisz-Verbräuche'!J100*Emissionsfaktoren!H100/1000, 0)</f>
        <v>0</v>
      </c>
      <c r="J430" s="14">
        <f>IF(ISNUMBER('Klisz-Verbräuche'!K100), 'Klisz-Verbräuche'!K100*Emissionsfaktoren!I100/1000, 0)</f>
        <v>0</v>
      </c>
      <c r="K430" s="14">
        <f>IF(ISNUMBER('Klisz-Verbräuche'!L100), 'Klisz-Verbräuche'!L100*Emissionsfaktoren!J100/1000, 0)</f>
        <v>0</v>
      </c>
      <c r="L430" s="14">
        <f>IF(ISNUMBER('Klisz-Verbräuche'!M100), 'Klisz-Verbräuche'!M100*Emissionsfaktoren!K100/1000, 0)</f>
        <v>0</v>
      </c>
      <c r="M430" s="14">
        <f>IF(ISNUMBER('Klisz-Verbräuche'!N100), 'Klisz-Verbräuche'!N100*Emissionsfaktoren!L100/1000, 0)</f>
        <v>0</v>
      </c>
      <c r="N430" s="14">
        <f>IF(ISNUMBER('Klisz-Verbräuche'!O100), 'Klisz-Verbräuche'!O100*Emissionsfaktoren!M100/1000, 0)</f>
        <v>0</v>
      </c>
      <c r="O430" s="14">
        <f>IF(ISNUMBER('Klisz-Verbräuche'!P100), 'Klisz-Verbräuche'!P100*Emissionsfaktoren!N100/1000, 0)</f>
        <v>0</v>
      </c>
      <c r="P430" s="14">
        <f>IF(ISNUMBER('Klisz-Verbräuche'!Q100), 'Klisz-Verbräuche'!Q100*Emissionsfaktoren!O100/1000, 0)</f>
        <v>0</v>
      </c>
      <c r="Q430" s="14">
        <f>IF(ISNUMBER('Klisz-Verbräuche'!R100), 'Klisz-Verbräuche'!R100*Emissionsfaktoren!P100/1000, 0)</f>
        <v>0</v>
      </c>
      <c r="R430" s="14">
        <f>IF(ISNUMBER('Klisz-Verbräuche'!S100), 'Klisz-Verbräuche'!S100*Emissionsfaktoren!Q100/1000, 0)</f>
        <v>0</v>
      </c>
      <c r="S430" s="14">
        <f>IF(ISNUMBER('Klisz-Verbräuche'!T100), 'Klisz-Verbräuche'!T100*Emissionsfaktoren!R100/1000, 0)</f>
        <v>0</v>
      </c>
      <c r="T430" s="14">
        <f>IF(ISNUMBER('Klisz-Verbräuche'!U100), 'Klisz-Verbräuche'!U100*Emissionsfaktoren!S100/1000, 0)</f>
        <v>0</v>
      </c>
      <c r="U430" s="14">
        <f>IF(ISNUMBER('Klisz-Verbräuche'!V100), 'Klisz-Verbräuche'!V100*Emissionsfaktoren!T100/1000, 0)</f>
        <v>0</v>
      </c>
      <c r="V430" s="14">
        <f>IF(ISNUMBER('Klisz-Verbräuche'!W100), 'Klisz-Verbräuche'!W100*Emissionsfaktoren!U100/1000, 0)</f>
        <v>0</v>
      </c>
      <c r="W430" s="14">
        <f>IF(ISNUMBER('Klisz-Verbräuche'!X100), 'Klisz-Verbräuche'!X100*Emissionsfaktoren!V100/1000, 0)</f>
        <v>0</v>
      </c>
      <c r="X430" s="14">
        <f>IF(ISNUMBER('Klisz-Verbräuche'!Y100), 'Klisz-Verbräuche'!Y100*Emissionsfaktoren!W100/1000, 0)</f>
        <v>0</v>
      </c>
      <c r="Y430" s="14">
        <f>IF(ISNUMBER('Klisz-Verbräuche'!Z100), 'Klisz-Verbräuche'!Z100*Emissionsfaktoren!X100/1000, 0)</f>
        <v>0</v>
      </c>
    </row>
    <row r="431" spans="2:25" ht="16.5">
      <c r="B431" s="14">
        <v>85</v>
      </c>
      <c r="C431" s="14" t="str">
        <f>'Refsz-Verbräuche'!C101</f>
        <v>Mobilität 2</v>
      </c>
      <c r="D431" s="19" t="str">
        <f>'Refsz-Verbräuche'!D101</f>
        <v>An- und Abreise von Gästen - Privater PKW (alle Antriebsarten)</v>
      </c>
      <c r="E431" t="s">
        <v>195</v>
      </c>
      <c r="F431" s="14">
        <f>IF(ISNUMBER('Klisz-Verbräuche'!G101), 'Klisz-Verbräuche'!G101*Emissionsfaktoren!E101/1000, 0)</f>
        <v>0</v>
      </c>
      <c r="G431" s="14">
        <f>IF(ISNUMBER('Klisz-Verbräuche'!H101), 'Klisz-Verbräuche'!H101*Emissionsfaktoren!F101/1000, 0)</f>
        <v>0</v>
      </c>
      <c r="H431" s="14">
        <f>IF(ISNUMBER('Klisz-Verbräuche'!I101), 'Klisz-Verbräuche'!I101*Emissionsfaktoren!G101/1000, 0)</f>
        <v>0</v>
      </c>
      <c r="I431" s="14">
        <f>IF(ISNUMBER('Klisz-Verbräuche'!J101), 'Klisz-Verbräuche'!J101*Emissionsfaktoren!H101/1000, 0)</f>
        <v>0</v>
      </c>
      <c r="J431" s="14">
        <f>IF(ISNUMBER('Klisz-Verbräuche'!K101), 'Klisz-Verbräuche'!K101*Emissionsfaktoren!I101/1000, 0)</f>
        <v>0</v>
      </c>
      <c r="K431" s="14">
        <f>IF(ISNUMBER('Klisz-Verbräuche'!L101), 'Klisz-Verbräuche'!L101*Emissionsfaktoren!J101/1000, 0)</f>
        <v>0</v>
      </c>
      <c r="L431" s="14">
        <f>IF(ISNUMBER('Klisz-Verbräuche'!M101), 'Klisz-Verbräuche'!M101*Emissionsfaktoren!K101/1000, 0)</f>
        <v>0</v>
      </c>
      <c r="M431" s="14">
        <f>IF(ISNUMBER('Klisz-Verbräuche'!N101), 'Klisz-Verbräuche'!N101*Emissionsfaktoren!L101/1000, 0)</f>
        <v>0</v>
      </c>
      <c r="N431" s="14">
        <f>IF(ISNUMBER('Klisz-Verbräuche'!O101), 'Klisz-Verbräuche'!O101*Emissionsfaktoren!M101/1000, 0)</f>
        <v>0</v>
      </c>
      <c r="O431" s="14">
        <f>IF(ISNUMBER('Klisz-Verbräuche'!P101), 'Klisz-Verbräuche'!P101*Emissionsfaktoren!N101/1000, 0)</f>
        <v>0</v>
      </c>
      <c r="P431" s="14">
        <f>IF(ISNUMBER('Klisz-Verbräuche'!Q101), 'Klisz-Verbräuche'!Q101*Emissionsfaktoren!O101/1000, 0)</f>
        <v>0</v>
      </c>
      <c r="Q431" s="14">
        <f>IF(ISNUMBER('Klisz-Verbräuche'!R101), 'Klisz-Verbräuche'!R101*Emissionsfaktoren!P101/1000, 0)</f>
        <v>0</v>
      </c>
      <c r="R431" s="14">
        <f>IF(ISNUMBER('Klisz-Verbräuche'!S101), 'Klisz-Verbräuche'!S101*Emissionsfaktoren!Q101/1000, 0)</f>
        <v>0</v>
      </c>
      <c r="S431" s="14">
        <f>IF(ISNUMBER('Klisz-Verbräuche'!T101), 'Klisz-Verbräuche'!T101*Emissionsfaktoren!R101/1000, 0)</f>
        <v>0</v>
      </c>
      <c r="T431" s="14">
        <f>IF(ISNUMBER('Klisz-Verbräuche'!U101), 'Klisz-Verbräuche'!U101*Emissionsfaktoren!S101/1000, 0)</f>
        <v>0</v>
      </c>
      <c r="U431" s="14">
        <f>IF(ISNUMBER('Klisz-Verbräuche'!V101), 'Klisz-Verbräuche'!V101*Emissionsfaktoren!T101/1000, 0)</f>
        <v>0</v>
      </c>
      <c r="V431" s="14">
        <f>IF(ISNUMBER('Klisz-Verbräuche'!W101), 'Klisz-Verbräuche'!W101*Emissionsfaktoren!U101/1000, 0)</f>
        <v>0</v>
      </c>
      <c r="W431" s="14">
        <f>IF(ISNUMBER('Klisz-Verbräuche'!X101), 'Klisz-Verbräuche'!X101*Emissionsfaktoren!V101/1000, 0)</f>
        <v>0</v>
      </c>
      <c r="X431" s="14">
        <f>IF(ISNUMBER('Klisz-Verbräuche'!Y101), 'Klisz-Verbräuche'!Y101*Emissionsfaktoren!W101/1000, 0)</f>
        <v>0</v>
      </c>
      <c r="Y431" s="14">
        <f>IF(ISNUMBER('Klisz-Verbräuche'!Z101), 'Klisz-Verbräuche'!Z101*Emissionsfaktoren!X101/1000, 0)</f>
        <v>0</v>
      </c>
    </row>
    <row r="432" spans="2:25" ht="16.5">
      <c r="B432" s="14">
        <v>86</v>
      </c>
      <c r="C432" s="14">
        <f>'Refsz-Verbräuche'!C102</f>
        <v>0</v>
      </c>
      <c r="D432" s="19">
        <f>'Refsz-Verbräuche'!D102</f>
        <v>0</v>
      </c>
      <c r="E432" t="s">
        <v>195</v>
      </c>
      <c r="F432" s="14">
        <f>IF(ISNUMBER('Klisz-Verbräuche'!G102), 'Klisz-Verbräuche'!G102*Emissionsfaktoren!E102/1000, 0)</f>
        <v>0</v>
      </c>
      <c r="G432" s="14">
        <f>IF(ISNUMBER('Klisz-Verbräuche'!H102), 'Klisz-Verbräuche'!H102*Emissionsfaktoren!F102/1000, 0)</f>
        <v>0</v>
      </c>
      <c r="H432" s="14">
        <f>IF(ISNUMBER('Klisz-Verbräuche'!I102), 'Klisz-Verbräuche'!I102*Emissionsfaktoren!G102/1000, 0)</f>
        <v>0</v>
      </c>
      <c r="I432" s="14">
        <f>IF(ISNUMBER('Klisz-Verbräuche'!J102), 'Klisz-Verbräuche'!J102*Emissionsfaktoren!H102/1000, 0)</f>
        <v>0</v>
      </c>
      <c r="J432" s="14">
        <f>IF(ISNUMBER('Klisz-Verbräuche'!K102), 'Klisz-Verbräuche'!K102*Emissionsfaktoren!I102/1000, 0)</f>
        <v>0</v>
      </c>
      <c r="K432" s="14">
        <f>IF(ISNUMBER('Klisz-Verbräuche'!L102), 'Klisz-Verbräuche'!L102*Emissionsfaktoren!J102/1000, 0)</f>
        <v>0</v>
      </c>
      <c r="L432" s="14">
        <f>IF(ISNUMBER('Klisz-Verbräuche'!M102), 'Klisz-Verbräuche'!M102*Emissionsfaktoren!K102/1000, 0)</f>
        <v>0</v>
      </c>
      <c r="M432" s="14">
        <f>IF(ISNUMBER('Klisz-Verbräuche'!N102), 'Klisz-Verbräuche'!N102*Emissionsfaktoren!L102/1000, 0)</f>
        <v>0</v>
      </c>
      <c r="N432" s="14">
        <f>IF(ISNUMBER('Klisz-Verbräuche'!O102), 'Klisz-Verbräuche'!O102*Emissionsfaktoren!M102/1000, 0)</f>
        <v>0</v>
      </c>
      <c r="O432" s="14">
        <f>IF(ISNUMBER('Klisz-Verbräuche'!P102), 'Klisz-Verbräuche'!P102*Emissionsfaktoren!N102/1000, 0)</f>
        <v>0</v>
      </c>
      <c r="P432" s="14">
        <f>IF(ISNUMBER('Klisz-Verbräuche'!Q102), 'Klisz-Verbräuche'!Q102*Emissionsfaktoren!O102/1000, 0)</f>
        <v>0</v>
      </c>
      <c r="Q432" s="14">
        <f>IF(ISNUMBER('Klisz-Verbräuche'!R102), 'Klisz-Verbräuche'!R102*Emissionsfaktoren!P102/1000, 0)</f>
        <v>0</v>
      </c>
      <c r="R432" s="14">
        <f>IF(ISNUMBER('Klisz-Verbräuche'!S102), 'Klisz-Verbräuche'!S102*Emissionsfaktoren!Q102/1000, 0)</f>
        <v>0</v>
      </c>
      <c r="S432" s="14">
        <f>IF(ISNUMBER('Klisz-Verbräuche'!T102), 'Klisz-Verbräuche'!T102*Emissionsfaktoren!R102/1000, 0)</f>
        <v>0</v>
      </c>
      <c r="T432" s="14">
        <f>IF(ISNUMBER('Klisz-Verbräuche'!U102), 'Klisz-Verbräuche'!U102*Emissionsfaktoren!S102/1000, 0)</f>
        <v>0</v>
      </c>
      <c r="U432" s="14">
        <f>IF(ISNUMBER('Klisz-Verbräuche'!V102), 'Klisz-Verbräuche'!V102*Emissionsfaktoren!T102/1000, 0)</f>
        <v>0</v>
      </c>
      <c r="V432" s="14">
        <f>IF(ISNUMBER('Klisz-Verbräuche'!W102), 'Klisz-Verbräuche'!W102*Emissionsfaktoren!U102/1000, 0)</f>
        <v>0</v>
      </c>
      <c r="W432" s="14">
        <f>IF(ISNUMBER('Klisz-Verbräuche'!X102), 'Klisz-Verbräuche'!X102*Emissionsfaktoren!V102/1000, 0)</f>
        <v>0</v>
      </c>
      <c r="X432" s="14">
        <f>IF(ISNUMBER('Klisz-Verbräuche'!Y102), 'Klisz-Verbräuche'!Y102*Emissionsfaktoren!W102/1000, 0)</f>
        <v>0</v>
      </c>
      <c r="Y432" s="14">
        <f>IF(ISNUMBER('Klisz-Verbräuche'!Z102), 'Klisz-Verbräuche'!Z102*Emissionsfaktoren!X102/1000, 0)</f>
        <v>0</v>
      </c>
    </row>
    <row r="433" spans="2:25" ht="16.5">
      <c r="B433" s="14">
        <v>87</v>
      </c>
      <c r="C433" s="14" t="str">
        <f>'Refsz-Verbräuche'!C103</f>
        <v>Wasser</v>
      </c>
      <c r="D433" s="19" t="str">
        <f>'Refsz-Verbräuche'!D103</f>
        <v>Abwasser</v>
      </c>
      <c r="E433" t="s">
        <v>195</v>
      </c>
      <c r="F433" s="14">
        <f>IF(ISNUMBER('Klisz-Verbräuche'!G103), 'Klisz-Verbräuche'!G103*Emissionsfaktoren!E103/1000, 0)</f>
        <v>0</v>
      </c>
      <c r="G433" s="14">
        <f>IF(ISNUMBER('Klisz-Verbräuche'!H103), 'Klisz-Verbräuche'!H103*Emissionsfaktoren!F103/1000, 0)</f>
        <v>0</v>
      </c>
      <c r="H433" s="14">
        <f>IF(ISNUMBER('Klisz-Verbräuche'!I103), 'Klisz-Verbräuche'!I103*Emissionsfaktoren!G103/1000, 0)</f>
        <v>0</v>
      </c>
      <c r="I433" s="14">
        <f>IF(ISNUMBER('Klisz-Verbräuche'!J103), 'Klisz-Verbräuche'!J103*Emissionsfaktoren!H103/1000, 0)</f>
        <v>0</v>
      </c>
      <c r="J433" s="14">
        <f>IF(ISNUMBER('Klisz-Verbräuche'!K103), 'Klisz-Verbräuche'!K103*Emissionsfaktoren!I103/1000, 0)</f>
        <v>0</v>
      </c>
      <c r="K433" s="14">
        <f>IF(ISNUMBER('Klisz-Verbräuche'!L103), 'Klisz-Verbräuche'!L103*Emissionsfaktoren!J103/1000, 0)</f>
        <v>0</v>
      </c>
      <c r="L433" s="14">
        <f>IF(ISNUMBER('Klisz-Verbräuche'!M103), 'Klisz-Verbräuche'!M103*Emissionsfaktoren!K103/1000, 0)</f>
        <v>0</v>
      </c>
      <c r="M433" s="14">
        <f>IF(ISNUMBER('Klisz-Verbräuche'!N103), 'Klisz-Verbräuche'!N103*Emissionsfaktoren!L103/1000, 0)</f>
        <v>0</v>
      </c>
      <c r="N433" s="14">
        <f>IF(ISNUMBER('Klisz-Verbräuche'!O103), 'Klisz-Verbräuche'!O103*Emissionsfaktoren!M103/1000, 0)</f>
        <v>0</v>
      </c>
      <c r="O433" s="14">
        <f>IF(ISNUMBER('Klisz-Verbräuche'!P103), 'Klisz-Verbräuche'!P103*Emissionsfaktoren!N103/1000, 0)</f>
        <v>0</v>
      </c>
      <c r="P433" s="14">
        <f>IF(ISNUMBER('Klisz-Verbräuche'!Q103), 'Klisz-Verbräuche'!Q103*Emissionsfaktoren!O103/1000, 0)</f>
        <v>0</v>
      </c>
      <c r="Q433" s="14">
        <f>IF(ISNUMBER('Klisz-Verbräuche'!R103), 'Klisz-Verbräuche'!R103*Emissionsfaktoren!P103/1000, 0)</f>
        <v>0</v>
      </c>
      <c r="R433" s="14">
        <f>IF(ISNUMBER('Klisz-Verbräuche'!S103), 'Klisz-Verbräuche'!S103*Emissionsfaktoren!Q103/1000, 0)</f>
        <v>0</v>
      </c>
      <c r="S433" s="14">
        <f>IF(ISNUMBER('Klisz-Verbräuche'!T103), 'Klisz-Verbräuche'!T103*Emissionsfaktoren!R103/1000, 0)</f>
        <v>0</v>
      </c>
      <c r="T433" s="14">
        <f>IF(ISNUMBER('Klisz-Verbräuche'!U103), 'Klisz-Verbräuche'!U103*Emissionsfaktoren!S103/1000, 0)</f>
        <v>0</v>
      </c>
      <c r="U433" s="14">
        <f>IF(ISNUMBER('Klisz-Verbräuche'!V103), 'Klisz-Verbräuche'!V103*Emissionsfaktoren!T103/1000, 0)</f>
        <v>0</v>
      </c>
      <c r="V433" s="14">
        <f>IF(ISNUMBER('Klisz-Verbräuche'!W103), 'Klisz-Verbräuche'!W103*Emissionsfaktoren!U103/1000, 0)</f>
        <v>0</v>
      </c>
      <c r="W433" s="14">
        <f>IF(ISNUMBER('Klisz-Verbräuche'!X103), 'Klisz-Verbräuche'!X103*Emissionsfaktoren!V103/1000, 0)</f>
        <v>0</v>
      </c>
      <c r="X433" s="14">
        <f>IF(ISNUMBER('Klisz-Verbräuche'!Y103), 'Klisz-Verbräuche'!Y103*Emissionsfaktoren!W103/1000, 0)</f>
        <v>0</v>
      </c>
      <c r="Y433" s="14">
        <f>IF(ISNUMBER('Klisz-Verbräuche'!Z103), 'Klisz-Verbräuche'!Z103*Emissionsfaktoren!X103/1000, 0)</f>
        <v>0</v>
      </c>
    </row>
    <row r="434" spans="2:25" ht="16.5">
      <c r="B434" s="14">
        <v>88</v>
      </c>
      <c r="C434" s="14" t="str">
        <f>'Refsz-Verbräuche'!C104</f>
        <v>Wasser</v>
      </c>
      <c r="D434" s="19" t="str">
        <f>'Refsz-Verbräuche'!D104</f>
        <v>Trinkwasser</v>
      </c>
      <c r="E434" t="s">
        <v>195</v>
      </c>
      <c r="F434" s="14">
        <f>IF(ISNUMBER('Klisz-Verbräuche'!G104), 'Klisz-Verbräuche'!G104*Emissionsfaktoren!E104/1000, 0)</f>
        <v>0</v>
      </c>
      <c r="G434" s="14">
        <f>IF(ISNUMBER('Klisz-Verbräuche'!H104), 'Klisz-Verbräuche'!H104*Emissionsfaktoren!F104/1000, 0)</f>
        <v>0</v>
      </c>
      <c r="H434" s="14">
        <f>IF(ISNUMBER('Klisz-Verbräuche'!I104), 'Klisz-Verbräuche'!I104*Emissionsfaktoren!G104/1000, 0)</f>
        <v>0</v>
      </c>
      <c r="I434" s="14">
        <f>IF(ISNUMBER('Klisz-Verbräuche'!J104), 'Klisz-Verbräuche'!J104*Emissionsfaktoren!H104/1000, 0)</f>
        <v>0</v>
      </c>
      <c r="J434" s="14">
        <f>IF(ISNUMBER('Klisz-Verbräuche'!K104), 'Klisz-Verbräuche'!K104*Emissionsfaktoren!I104/1000, 0)</f>
        <v>0</v>
      </c>
      <c r="K434" s="14">
        <f>IF(ISNUMBER('Klisz-Verbräuche'!L104), 'Klisz-Verbräuche'!L104*Emissionsfaktoren!J104/1000, 0)</f>
        <v>0</v>
      </c>
      <c r="L434" s="14">
        <f>IF(ISNUMBER('Klisz-Verbräuche'!M104), 'Klisz-Verbräuche'!M104*Emissionsfaktoren!K104/1000, 0)</f>
        <v>0</v>
      </c>
      <c r="M434" s="14">
        <f>IF(ISNUMBER('Klisz-Verbräuche'!N104), 'Klisz-Verbräuche'!N104*Emissionsfaktoren!L104/1000, 0)</f>
        <v>0</v>
      </c>
      <c r="N434" s="14">
        <f>IF(ISNUMBER('Klisz-Verbräuche'!O104), 'Klisz-Verbräuche'!O104*Emissionsfaktoren!M104/1000, 0)</f>
        <v>0</v>
      </c>
      <c r="O434" s="14">
        <f>IF(ISNUMBER('Klisz-Verbräuche'!P104), 'Klisz-Verbräuche'!P104*Emissionsfaktoren!N104/1000, 0)</f>
        <v>0</v>
      </c>
      <c r="P434" s="14">
        <f>IF(ISNUMBER('Klisz-Verbräuche'!Q104), 'Klisz-Verbräuche'!Q104*Emissionsfaktoren!O104/1000, 0)</f>
        <v>0</v>
      </c>
      <c r="Q434" s="14">
        <f>IF(ISNUMBER('Klisz-Verbräuche'!R104), 'Klisz-Verbräuche'!R104*Emissionsfaktoren!P104/1000, 0)</f>
        <v>0</v>
      </c>
      <c r="R434" s="14">
        <f>IF(ISNUMBER('Klisz-Verbräuche'!S104), 'Klisz-Verbräuche'!S104*Emissionsfaktoren!Q104/1000, 0)</f>
        <v>0</v>
      </c>
      <c r="S434" s="14">
        <f>IF(ISNUMBER('Klisz-Verbräuche'!T104), 'Klisz-Verbräuche'!T104*Emissionsfaktoren!R104/1000, 0)</f>
        <v>0</v>
      </c>
      <c r="T434" s="14">
        <f>IF(ISNUMBER('Klisz-Verbräuche'!U104), 'Klisz-Verbräuche'!U104*Emissionsfaktoren!S104/1000, 0)</f>
        <v>0</v>
      </c>
      <c r="U434" s="14">
        <f>IF(ISNUMBER('Klisz-Verbräuche'!V104), 'Klisz-Verbräuche'!V104*Emissionsfaktoren!T104/1000, 0)</f>
        <v>0</v>
      </c>
      <c r="V434" s="14">
        <f>IF(ISNUMBER('Klisz-Verbräuche'!W104), 'Klisz-Verbräuche'!W104*Emissionsfaktoren!U104/1000, 0)</f>
        <v>0</v>
      </c>
      <c r="W434" s="14">
        <f>IF(ISNUMBER('Klisz-Verbräuche'!X104), 'Klisz-Verbräuche'!X104*Emissionsfaktoren!V104/1000, 0)</f>
        <v>0</v>
      </c>
      <c r="X434" s="14">
        <f>IF(ISNUMBER('Klisz-Verbräuche'!Y104), 'Klisz-Verbräuche'!Y104*Emissionsfaktoren!W104/1000, 0)</f>
        <v>0</v>
      </c>
      <c r="Y434" s="14">
        <f>IF(ISNUMBER('Klisz-Verbräuche'!Z104), 'Klisz-Verbräuche'!Z104*Emissionsfaktoren!X104/1000, 0)</f>
        <v>0</v>
      </c>
    </row>
    <row r="435" spans="2:25" ht="16.5">
      <c r="B435" s="14">
        <v>89</v>
      </c>
      <c r="C435" s="14">
        <f>'Refsz-Verbräuche'!C105</f>
        <v>0</v>
      </c>
      <c r="D435" s="19">
        <f>'Refsz-Verbräuche'!D105</f>
        <v>0</v>
      </c>
      <c r="E435" t="s">
        <v>195</v>
      </c>
      <c r="F435" s="14">
        <f>IF(ISNUMBER('Klisz-Verbräuche'!G105), 'Klisz-Verbräuche'!G105*Emissionsfaktoren!E105/1000, 0)</f>
        <v>0</v>
      </c>
      <c r="G435" s="14">
        <f>IF(ISNUMBER('Klisz-Verbräuche'!H105), 'Klisz-Verbräuche'!H105*Emissionsfaktoren!F105/1000, 0)</f>
        <v>0</v>
      </c>
      <c r="H435" s="14">
        <f>IF(ISNUMBER('Klisz-Verbräuche'!I105), 'Klisz-Verbräuche'!I105*Emissionsfaktoren!G105/1000, 0)</f>
        <v>0</v>
      </c>
      <c r="I435" s="14">
        <f>IF(ISNUMBER('Klisz-Verbräuche'!J105), 'Klisz-Verbräuche'!J105*Emissionsfaktoren!H105/1000, 0)</f>
        <v>0</v>
      </c>
      <c r="J435" s="14">
        <f>IF(ISNUMBER('Klisz-Verbräuche'!K105), 'Klisz-Verbräuche'!K105*Emissionsfaktoren!I105/1000, 0)</f>
        <v>0</v>
      </c>
      <c r="K435" s="14">
        <f>IF(ISNUMBER('Klisz-Verbräuche'!L105), 'Klisz-Verbräuche'!L105*Emissionsfaktoren!J105/1000, 0)</f>
        <v>0</v>
      </c>
      <c r="L435" s="14">
        <f>IF(ISNUMBER('Klisz-Verbräuche'!M105), 'Klisz-Verbräuche'!M105*Emissionsfaktoren!K105/1000, 0)</f>
        <v>0</v>
      </c>
      <c r="M435" s="14">
        <f>IF(ISNUMBER('Klisz-Verbräuche'!N105), 'Klisz-Verbräuche'!N105*Emissionsfaktoren!L105/1000, 0)</f>
        <v>0</v>
      </c>
      <c r="N435" s="14">
        <f>IF(ISNUMBER('Klisz-Verbräuche'!O105), 'Klisz-Verbräuche'!O105*Emissionsfaktoren!M105/1000, 0)</f>
        <v>0</v>
      </c>
      <c r="O435" s="14">
        <f>IF(ISNUMBER('Klisz-Verbräuche'!P105), 'Klisz-Verbräuche'!P105*Emissionsfaktoren!N105/1000, 0)</f>
        <v>0</v>
      </c>
      <c r="P435" s="14">
        <f>IF(ISNUMBER('Klisz-Verbräuche'!Q105), 'Klisz-Verbräuche'!Q105*Emissionsfaktoren!O105/1000, 0)</f>
        <v>0</v>
      </c>
      <c r="Q435" s="14">
        <f>IF(ISNUMBER('Klisz-Verbräuche'!R105), 'Klisz-Verbräuche'!R105*Emissionsfaktoren!P105/1000, 0)</f>
        <v>0</v>
      </c>
      <c r="R435" s="14">
        <f>IF(ISNUMBER('Klisz-Verbräuche'!S105), 'Klisz-Verbräuche'!S105*Emissionsfaktoren!Q105/1000, 0)</f>
        <v>0</v>
      </c>
      <c r="S435" s="14">
        <f>IF(ISNUMBER('Klisz-Verbräuche'!T105), 'Klisz-Verbräuche'!T105*Emissionsfaktoren!R105/1000, 0)</f>
        <v>0</v>
      </c>
      <c r="T435" s="14">
        <f>IF(ISNUMBER('Klisz-Verbräuche'!U105), 'Klisz-Verbräuche'!U105*Emissionsfaktoren!S105/1000, 0)</f>
        <v>0</v>
      </c>
      <c r="U435" s="14">
        <f>IF(ISNUMBER('Klisz-Verbräuche'!V105), 'Klisz-Verbräuche'!V105*Emissionsfaktoren!T105/1000, 0)</f>
        <v>0</v>
      </c>
      <c r="V435" s="14">
        <f>IF(ISNUMBER('Klisz-Verbräuche'!W105), 'Klisz-Verbräuche'!W105*Emissionsfaktoren!U105/1000, 0)</f>
        <v>0</v>
      </c>
      <c r="W435" s="14">
        <f>IF(ISNUMBER('Klisz-Verbräuche'!X105), 'Klisz-Verbräuche'!X105*Emissionsfaktoren!V105/1000, 0)</f>
        <v>0</v>
      </c>
      <c r="X435" s="14">
        <f>IF(ISNUMBER('Klisz-Verbräuche'!Y105), 'Klisz-Verbräuche'!Y105*Emissionsfaktoren!W105/1000, 0)</f>
        <v>0</v>
      </c>
      <c r="Y435" s="14">
        <f>IF(ISNUMBER('Klisz-Verbräuche'!Z105), 'Klisz-Verbräuche'!Z105*Emissionsfaktoren!X105/1000, 0)</f>
        <v>0</v>
      </c>
    </row>
    <row r="436" spans="2:25" ht="16.5">
      <c r="B436" s="14">
        <v>90</v>
      </c>
      <c r="C436" s="14" t="str">
        <f>'Refsz-Verbräuche'!C106</f>
        <v>Waren und Dienstleistungen</v>
      </c>
      <c r="D436" s="19" t="str">
        <f>'Refsz-Verbräuche'!D106</f>
        <v>Recyclingpapier</v>
      </c>
      <c r="E436" t="s">
        <v>195</v>
      </c>
      <c r="F436" s="14">
        <f>IF(ISNUMBER('Klisz-Verbräuche'!G106), 'Klisz-Verbräuche'!G106*Emissionsfaktoren!E106/1000, 0)</f>
        <v>0</v>
      </c>
      <c r="G436" s="14">
        <f>IF(ISNUMBER('Klisz-Verbräuche'!H106), 'Klisz-Verbräuche'!H106*Emissionsfaktoren!F106/1000, 0)</f>
        <v>0</v>
      </c>
      <c r="H436" s="14">
        <f>IF(ISNUMBER('Klisz-Verbräuche'!I106), 'Klisz-Verbräuche'!I106*Emissionsfaktoren!G106/1000, 0)</f>
        <v>0</v>
      </c>
      <c r="I436" s="14">
        <f>IF(ISNUMBER('Klisz-Verbräuche'!J106), 'Klisz-Verbräuche'!J106*Emissionsfaktoren!H106/1000, 0)</f>
        <v>0</v>
      </c>
      <c r="J436" s="14">
        <f>IF(ISNUMBER('Klisz-Verbräuche'!K106), 'Klisz-Verbräuche'!K106*Emissionsfaktoren!I106/1000, 0)</f>
        <v>0</v>
      </c>
      <c r="K436" s="14">
        <f>IF(ISNUMBER('Klisz-Verbräuche'!L106), 'Klisz-Verbräuche'!L106*Emissionsfaktoren!J106/1000, 0)</f>
        <v>0</v>
      </c>
      <c r="L436" s="14">
        <f>IF(ISNUMBER('Klisz-Verbräuche'!M106), 'Klisz-Verbräuche'!M106*Emissionsfaktoren!K106/1000, 0)</f>
        <v>0</v>
      </c>
      <c r="M436" s="14">
        <f>IF(ISNUMBER('Klisz-Verbräuche'!N106), 'Klisz-Verbräuche'!N106*Emissionsfaktoren!L106/1000, 0)</f>
        <v>0</v>
      </c>
      <c r="N436" s="14">
        <f>IF(ISNUMBER('Klisz-Verbräuche'!O106), 'Klisz-Verbräuche'!O106*Emissionsfaktoren!M106/1000, 0)</f>
        <v>0</v>
      </c>
      <c r="O436" s="14">
        <f>IF(ISNUMBER('Klisz-Verbräuche'!P106), 'Klisz-Verbräuche'!P106*Emissionsfaktoren!N106/1000, 0)</f>
        <v>0</v>
      </c>
      <c r="P436" s="14">
        <f>IF(ISNUMBER('Klisz-Verbräuche'!Q106), 'Klisz-Verbräuche'!Q106*Emissionsfaktoren!O106/1000, 0)</f>
        <v>0</v>
      </c>
      <c r="Q436" s="14">
        <f>IF(ISNUMBER('Klisz-Verbräuche'!R106), 'Klisz-Verbräuche'!R106*Emissionsfaktoren!P106/1000, 0)</f>
        <v>0</v>
      </c>
      <c r="R436" s="14">
        <f>IF(ISNUMBER('Klisz-Verbräuche'!S106), 'Klisz-Verbräuche'!S106*Emissionsfaktoren!Q106/1000, 0)</f>
        <v>0</v>
      </c>
      <c r="S436" s="14">
        <f>IF(ISNUMBER('Klisz-Verbräuche'!T106), 'Klisz-Verbräuche'!T106*Emissionsfaktoren!R106/1000, 0)</f>
        <v>0</v>
      </c>
      <c r="T436" s="14">
        <f>IF(ISNUMBER('Klisz-Verbräuche'!U106), 'Klisz-Verbräuche'!U106*Emissionsfaktoren!S106/1000, 0)</f>
        <v>0</v>
      </c>
      <c r="U436" s="14">
        <f>IF(ISNUMBER('Klisz-Verbräuche'!V106), 'Klisz-Verbräuche'!V106*Emissionsfaktoren!T106/1000, 0)</f>
        <v>0</v>
      </c>
      <c r="V436" s="14">
        <f>IF(ISNUMBER('Klisz-Verbräuche'!W106), 'Klisz-Verbräuche'!W106*Emissionsfaktoren!U106/1000, 0)</f>
        <v>0</v>
      </c>
      <c r="W436" s="14">
        <f>IF(ISNUMBER('Klisz-Verbräuche'!X106), 'Klisz-Verbräuche'!X106*Emissionsfaktoren!V106/1000, 0)</f>
        <v>0</v>
      </c>
      <c r="X436" s="14">
        <f>IF(ISNUMBER('Klisz-Verbräuche'!Y106), 'Klisz-Verbräuche'!Y106*Emissionsfaktoren!W106/1000, 0)</f>
        <v>0</v>
      </c>
      <c r="Y436" s="14">
        <f>IF(ISNUMBER('Klisz-Verbräuche'!Z106), 'Klisz-Verbräuche'!Z106*Emissionsfaktoren!X106/1000, 0)</f>
        <v>0</v>
      </c>
    </row>
    <row r="437" spans="2:25" ht="16.5">
      <c r="B437" s="14">
        <v>91</v>
      </c>
      <c r="C437" s="14" t="str">
        <f>'Refsz-Verbräuche'!C107</f>
        <v>Waren und Dienstleistungen</v>
      </c>
      <c r="D437" s="19" t="str">
        <f>'Refsz-Verbräuche'!D107</f>
        <v>Frischfaserpapier</v>
      </c>
      <c r="E437" t="s">
        <v>195</v>
      </c>
      <c r="F437" s="14">
        <f>IF(ISNUMBER('Klisz-Verbräuche'!G107), 'Klisz-Verbräuche'!G107*Emissionsfaktoren!E107/1000, 0)</f>
        <v>0</v>
      </c>
      <c r="G437" s="14">
        <f>IF(ISNUMBER('Klisz-Verbräuche'!H107), 'Klisz-Verbräuche'!H107*Emissionsfaktoren!F107/1000, 0)</f>
        <v>0</v>
      </c>
      <c r="H437" s="14">
        <f>IF(ISNUMBER('Klisz-Verbräuche'!I107), 'Klisz-Verbräuche'!I107*Emissionsfaktoren!G107/1000, 0)</f>
        <v>0</v>
      </c>
      <c r="I437" s="14">
        <f>IF(ISNUMBER('Klisz-Verbräuche'!J107), 'Klisz-Verbräuche'!J107*Emissionsfaktoren!H107/1000, 0)</f>
        <v>0</v>
      </c>
      <c r="J437" s="14">
        <f>IF(ISNUMBER('Klisz-Verbräuche'!K107), 'Klisz-Verbräuche'!K107*Emissionsfaktoren!I107/1000, 0)</f>
        <v>0</v>
      </c>
      <c r="K437" s="14">
        <f>IF(ISNUMBER('Klisz-Verbräuche'!L107), 'Klisz-Verbräuche'!L107*Emissionsfaktoren!J107/1000, 0)</f>
        <v>0</v>
      </c>
      <c r="L437" s="14">
        <f>IF(ISNUMBER('Klisz-Verbräuche'!M107), 'Klisz-Verbräuche'!M107*Emissionsfaktoren!K107/1000, 0)</f>
        <v>0</v>
      </c>
      <c r="M437" s="14">
        <f>IF(ISNUMBER('Klisz-Verbräuche'!N107), 'Klisz-Verbräuche'!N107*Emissionsfaktoren!L107/1000, 0)</f>
        <v>0</v>
      </c>
      <c r="N437" s="14">
        <f>IF(ISNUMBER('Klisz-Verbräuche'!O107), 'Klisz-Verbräuche'!O107*Emissionsfaktoren!M107/1000, 0)</f>
        <v>0</v>
      </c>
      <c r="O437" s="14">
        <f>IF(ISNUMBER('Klisz-Verbräuche'!P107), 'Klisz-Verbräuche'!P107*Emissionsfaktoren!N107/1000, 0)</f>
        <v>0</v>
      </c>
      <c r="P437" s="14">
        <f>IF(ISNUMBER('Klisz-Verbräuche'!Q107), 'Klisz-Verbräuche'!Q107*Emissionsfaktoren!O107/1000, 0)</f>
        <v>0</v>
      </c>
      <c r="Q437" s="14">
        <f>IF(ISNUMBER('Klisz-Verbräuche'!R107), 'Klisz-Verbräuche'!R107*Emissionsfaktoren!P107/1000, 0)</f>
        <v>0</v>
      </c>
      <c r="R437" s="14">
        <f>IF(ISNUMBER('Klisz-Verbräuche'!S107), 'Klisz-Verbräuche'!S107*Emissionsfaktoren!Q107/1000, 0)</f>
        <v>0</v>
      </c>
      <c r="S437" s="14">
        <f>IF(ISNUMBER('Klisz-Verbräuche'!T107), 'Klisz-Verbräuche'!T107*Emissionsfaktoren!R107/1000, 0)</f>
        <v>0</v>
      </c>
      <c r="T437" s="14">
        <f>IF(ISNUMBER('Klisz-Verbräuche'!U107), 'Klisz-Verbräuche'!U107*Emissionsfaktoren!S107/1000, 0)</f>
        <v>0</v>
      </c>
      <c r="U437" s="14">
        <f>IF(ISNUMBER('Klisz-Verbräuche'!V107), 'Klisz-Verbräuche'!V107*Emissionsfaktoren!T107/1000, 0)</f>
        <v>0</v>
      </c>
      <c r="V437" s="14">
        <f>IF(ISNUMBER('Klisz-Verbräuche'!W107), 'Klisz-Verbräuche'!W107*Emissionsfaktoren!U107/1000, 0)</f>
        <v>0</v>
      </c>
      <c r="W437" s="14">
        <f>IF(ISNUMBER('Klisz-Verbräuche'!X107), 'Klisz-Verbräuche'!X107*Emissionsfaktoren!V107/1000, 0)</f>
        <v>0</v>
      </c>
      <c r="X437" s="14">
        <f>IF(ISNUMBER('Klisz-Verbräuche'!Y107), 'Klisz-Verbräuche'!Y107*Emissionsfaktoren!W107/1000, 0)</f>
        <v>0</v>
      </c>
      <c r="Y437" s="14">
        <f>IF(ISNUMBER('Klisz-Verbräuche'!Z107), 'Klisz-Verbräuche'!Z107*Emissionsfaktoren!X107/1000, 0)</f>
        <v>0</v>
      </c>
    </row>
    <row r="438" spans="2:25" ht="16.5">
      <c r="B438" s="14">
        <v>92</v>
      </c>
      <c r="C438" s="14" t="str">
        <f>'Refsz-Verbräuche'!C108</f>
        <v>Waren und Dienstleistungen</v>
      </c>
      <c r="D438" s="19" t="str">
        <f>'Refsz-Verbräuche'!D108</f>
        <v>Toilettenpapier (Recycling)</v>
      </c>
      <c r="E438" t="s">
        <v>195</v>
      </c>
      <c r="F438" s="14">
        <f>IF(ISNUMBER('Klisz-Verbräuche'!G108), 'Klisz-Verbräuche'!G108*Emissionsfaktoren!E108/1000, 0)</f>
        <v>0</v>
      </c>
      <c r="G438" s="14">
        <f>IF(ISNUMBER('Klisz-Verbräuche'!H108), 'Klisz-Verbräuche'!H108*Emissionsfaktoren!F108/1000, 0)</f>
        <v>0</v>
      </c>
      <c r="H438" s="14">
        <f>IF(ISNUMBER('Klisz-Verbräuche'!I108), 'Klisz-Verbräuche'!I108*Emissionsfaktoren!G108/1000, 0)</f>
        <v>0</v>
      </c>
      <c r="I438" s="14">
        <f>IF(ISNUMBER('Klisz-Verbräuche'!J108), 'Klisz-Verbräuche'!J108*Emissionsfaktoren!H108/1000, 0)</f>
        <v>0</v>
      </c>
      <c r="J438" s="14">
        <f>IF(ISNUMBER('Klisz-Verbräuche'!K108), 'Klisz-Verbräuche'!K108*Emissionsfaktoren!I108/1000, 0)</f>
        <v>0</v>
      </c>
      <c r="K438" s="14">
        <f>IF(ISNUMBER('Klisz-Verbräuche'!L108), 'Klisz-Verbräuche'!L108*Emissionsfaktoren!J108/1000, 0)</f>
        <v>0</v>
      </c>
      <c r="L438" s="14">
        <f>IF(ISNUMBER('Klisz-Verbräuche'!M108), 'Klisz-Verbräuche'!M108*Emissionsfaktoren!K108/1000, 0)</f>
        <v>0</v>
      </c>
      <c r="M438" s="14">
        <f>IF(ISNUMBER('Klisz-Verbräuche'!N108), 'Klisz-Verbräuche'!N108*Emissionsfaktoren!L108/1000, 0)</f>
        <v>0</v>
      </c>
      <c r="N438" s="14">
        <f>IF(ISNUMBER('Klisz-Verbräuche'!O108), 'Klisz-Verbräuche'!O108*Emissionsfaktoren!M108/1000, 0)</f>
        <v>0</v>
      </c>
      <c r="O438" s="14">
        <f>IF(ISNUMBER('Klisz-Verbräuche'!P108), 'Klisz-Verbräuche'!P108*Emissionsfaktoren!N108/1000, 0)</f>
        <v>0</v>
      </c>
      <c r="P438" s="14">
        <f>IF(ISNUMBER('Klisz-Verbräuche'!Q108), 'Klisz-Verbräuche'!Q108*Emissionsfaktoren!O108/1000, 0)</f>
        <v>0</v>
      </c>
      <c r="Q438" s="14">
        <f>IF(ISNUMBER('Klisz-Verbräuche'!R108), 'Klisz-Verbräuche'!R108*Emissionsfaktoren!P108/1000, 0)</f>
        <v>0</v>
      </c>
      <c r="R438" s="14">
        <f>IF(ISNUMBER('Klisz-Verbräuche'!S108), 'Klisz-Verbräuche'!S108*Emissionsfaktoren!Q108/1000, 0)</f>
        <v>0</v>
      </c>
      <c r="S438" s="14">
        <f>IF(ISNUMBER('Klisz-Verbräuche'!T108), 'Klisz-Verbräuche'!T108*Emissionsfaktoren!R108/1000, 0)</f>
        <v>0</v>
      </c>
      <c r="T438" s="14">
        <f>IF(ISNUMBER('Klisz-Verbräuche'!U108), 'Klisz-Verbräuche'!U108*Emissionsfaktoren!S108/1000, 0)</f>
        <v>0</v>
      </c>
      <c r="U438" s="14">
        <f>IF(ISNUMBER('Klisz-Verbräuche'!V108), 'Klisz-Verbräuche'!V108*Emissionsfaktoren!T108/1000, 0)</f>
        <v>0</v>
      </c>
      <c r="V438" s="14">
        <f>IF(ISNUMBER('Klisz-Verbräuche'!W108), 'Klisz-Verbräuche'!W108*Emissionsfaktoren!U108/1000, 0)</f>
        <v>0</v>
      </c>
      <c r="W438" s="14">
        <f>IF(ISNUMBER('Klisz-Verbräuche'!X108), 'Klisz-Verbräuche'!X108*Emissionsfaktoren!V108/1000, 0)</f>
        <v>0</v>
      </c>
      <c r="X438" s="14">
        <f>IF(ISNUMBER('Klisz-Verbräuche'!Y108), 'Klisz-Verbräuche'!Y108*Emissionsfaktoren!W108/1000, 0)</f>
        <v>0</v>
      </c>
      <c r="Y438" s="14">
        <f>IF(ISNUMBER('Klisz-Verbräuche'!Z108), 'Klisz-Verbräuche'!Z108*Emissionsfaktoren!X108/1000, 0)</f>
        <v>0</v>
      </c>
    </row>
    <row r="439" spans="2:25" ht="16.5">
      <c r="B439" s="14">
        <v>93</v>
      </c>
      <c r="C439" s="14" t="str">
        <f>'Refsz-Verbräuche'!C109</f>
        <v>Waren und Dienstleistungen</v>
      </c>
      <c r="D439" s="19" t="str">
        <f>'Refsz-Verbräuche'!D109</f>
        <v>Papierhandtücher (Recycling)</v>
      </c>
      <c r="E439" t="s">
        <v>195</v>
      </c>
      <c r="F439" s="14">
        <f>IF(ISNUMBER('Klisz-Verbräuche'!G109), 'Klisz-Verbräuche'!G109*Emissionsfaktoren!E109/1000, 0)</f>
        <v>0</v>
      </c>
      <c r="G439" s="14">
        <f>IF(ISNUMBER('Klisz-Verbräuche'!H109), 'Klisz-Verbräuche'!H109*Emissionsfaktoren!F109/1000, 0)</f>
        <v>0</v>
      </c>
      <c r="H439" s="14">
        <f>IF(ISNUMBER('Klisz-Verbräuche'!I109), 'Klisz-Verbräuche'!I109*Emissionsfaktoren!G109/1000, 0)</f>
        <v>0</v>
      </c>
      <c r="I439" s="14">
        <f>IF(ISNUMBER('Klisz-Verbräuche'!J109), 'Klisz-Verbräuche'!J109*Emissionsfaktoren!H109/1000, 0)</f>
        <v>0</v>
      </c>
      <c r="J439" s="14">
        <f>IF(ISNUMBER('Klisz-Verbräuche'!K109), 'Klisz-Verbräuche'!K109*Emissionsfaktoren!I109/1000, 0)</f>
        <v>0</v>
      </c>
      <c r="K439" s="14">
        <f>IF(ISNUMBER('Klisz-Verbräuche'!L109), 'Klisz-Verbräuche'!L109*Emissionsfaktoren!J109/1000, 0)</f>
        <v>0</v>
      </c>
      <c r="L439" s="14">
        <f>IF(ISNUMBER('Klisz-Verbräuche'!M109), 'Klisz-Verbräuche'!M109*Emissionsfaktoren!K109/1000, 0)</f>
        <v>0</v>
      </c>
      <c r="M439" s="14">
        <f>IF(ISNUMBER('Klisz-Verbräuche'!N109), 'Klisz-Verbräuche'!N109*Emissionsfaktoren!L109/1000, 0)</f>
        <v>0</v>
      </c>
      <c r="N439" s="14">
        <f>IF(ISNUMBER('Klisz-Verbräuche'!O109), 'Klisz-Verbräuche'!O109*Emissionsfaktoren!M109/1000, 0)</f>
        <v>0</v>
      </c>
      <c r="O439" s="14">
        <f>IF(ISNUMBER('Klisz-Verbräuche'!P109), 'Klisz-Verbräuche'!P109*Emissionsfaktoren!N109/1000, 0)</f>
        <v>0</v>
      </c>
      <c r="P439" s="14">
        <f>IF(ISNUMBER('Klisz-Verbräuche'!Q109), 'Klisz-Verbräuche'!Q109*Emissionsfaktoren!O109/1000, 0)</f>
        <v>0</v>
      </c>
      <c r="Q439" s="14">
        <f>IF(ISNUMBER('Klisz-Verbräuche'!R109), 'Klisz-Verbräuche'!R109*Emissionsfaktoren!P109/1000, 0)</f>
        <v>0</v>
      </c>
      <c r="R439" s="14">
        <f>IF(ISNUMBER('Klisz-Verbräuche'!S109), 'Klisz-Verbräuche'!S109*Emissionsfaktoren!Q109/1000, 0)</f>
        <v>0</v>
      </c>
      <c r="S439" s="14">
        <f>IF(ISNUMBER('Klisz-Verbräuche'!T109), 'Klisz-Verbräuche'!T109*Emissionsfaktoren!R109/1000, 0)</f>
        <v>0</v>
      </c>
      <c r="T439" s="14">
        <f>IF(ISNUMBER('Klisz-Verbräuche'!U109), 'Klisz-Verbräuche'!U109*Emissionsfaktoren!S109/1000, 0)</f>
        <v>0</v>
      </c>
      <c r="U439" s="14">
        <f>IF(ISNUMBER('Klisz-Verbräuche'!V109), 'Klisz-Verbräuche'!V109*Emissionsfaktoren!T109/1000, 0)</f>
        <v>0</v>
      </c>
      <c r="V439" s="14">
        <f>IF(ISNUMBER('Klisz-Verbräuche'!W109), 'Klisz-Verbräuche'!W109*Emissionsfaktoren!U109/1000, 0)</f>
        <v>0</v>
      </c>
      <c r="W439" s="14">
        <f>IF(ISNUMBER('Klisz-Verbräuche'!X109), 'Klisz-Verbräuche'!X109*Emissionsfaktoren!V109/1000, 0)</f>
        <v>0</v>
      </c>
      <c r="X439" s="14">
        <f>IF(ISNUMBER('Klisz-Verbräuche'!Y109), 'Klisz-Verbräuche'!Y109*Emissionsfaktoren!W109/1000, 0)</f>
        <v>0</v>
      </c>
      <c r="Y439" s="14">
        <f>IF(ISNUMBER('Klisz-Verbräuche'!Z109), 'Klisz-Verbräuche'!Z109*Emissionsfaktoren!X109/1000, 0)</f>
        <v>0</v>
      </c>
    </row>
    <row r="440" spans="2:25" ht="16.5">
      <c r="B440" s="14">
        <v>94</v>
      </c>
      <c r="C440" s="14">
        <f>'Refsz-Verbräuche'!C110</f>
        <v>0</v>
      </c>
      <c r="D440" s="19">
        <f>'Refsz-Verbräuche'!D110</f>
        <v>0</v>
      </c>
      <c r="E440" t="s">
        <v>195</v>
      </c>
      <c r="F440" s="14">
        <f>IF(ISNUMBER('Klisz-Verbräuche'!G110), 'Klisz-Verbräuche'!G110*Emissionsfaktoren!E110/1000, 0)</f>
        <v>0</v>
      </c>
      <c r="G440" s="14">
        <f>IF(ISNUMBER('Klisz-Verbräuche'!H110), 'Klisz-Verbräuche'!H110*Emissionsfaktoren!F110/1000, 0)</f>
        <v>0</v>
      </c>
      <c r="H440" s="14">
        <f>IF(ISNUMBER('Klisz-Verbräuche'!I110), 'Klisz-Verbräuche'!I110*Emissionsfaktoren!G110/1000, 0)</f>
        <v>0</v>
      </c>
      <c r="I440" s="14">
        <f>IF(ISNUMBER('Klisz-Verbräuche'!J110), 'Klisz-Verbräuche'!J110*Emissionsfaktoren!H110/1000, 0)</f>
        <v>0</v>
      </c>
      <c r="J440" s="14">
        <f>IF(ISNUMBER('Klisz-Verbräuche'!K110), 'Klisz-Verbräuche'!K110*Emissionsfaktoren!I110/1000, 0)</f>
        <v>0</v>
      </c>
      <c r="K440" s="14">
        <f>IF(ISNUMBER('Klisz-Verbräuche'!L110), 'Klisz-Verbräuche'!L110*Emissionsfaktoren!J110/1000, 0)</f>
        <v>0</v>
      </c>
      <c r="L440" s="14">
        <f>IF(ISNUMBER('Klisz-Verbräuche'!M110), 'Klisz-Verbräuche'!M110*Emissionsfaktoren!K110/1000, 0)</f>
        <v>0</v>
      </c>
      <c r="M440" s="14">
        <f>IF(ISNUMBER('Klisz-Verbräuche'!N110), 'Klisz-Verbräuche'!N110*Emissionsfaktoren!L110/1000, 0)</f>
        <v>0</v>
      </c>
      <c r="N440" s="14">
        <f>IF(ISNUMBER('Klisz-Verbräuche'!O110), 'Klisz-Verbräuche'!O110*Emissionsfaktoren!M110/1000, 0)</f>
        <v>0</v>
      </c>
      <c r="O440" s="14">
        <f>IF(ISNUMBER('Klisz-Verbräuche'!P110), 'Klisz-Verbräuche'!P110*Emissionsfaktoren!N110/1000, 0)</f>
        <v>0</v>
      </c>
      <c r="P440" s="14">
        <f>IF(ISNUMBER('Klisz-Verbräuche'!Q110), 'Klisz-Verbräuche'!Q110*Emissionsfaktoren!O110/1000, 0)</f>
        <v>0</v>
      </c>
      <c r="Q440" s="14">
        <f>IF(ISNUMBER('Klisz-Verbräuche'!R110), 'Klisz-Verbräuche'!R110*Emissionsfaktoren!P110/1000, 0)</f>
        <v>0</v>
      </c>
      <c r="R440" s="14">
        <f>IF(ISNUMBER('Klisz-Verbräuche'!S110), 'Klisz-Verbräuche'!S110*Emissionsfaktoren!Q110/1000, 0)</f>
        <v>0</v>
      </c>
      <c r="S440" s="14">
        <f>IF(ISNUMBER('Klisz-Verbräuche'!T110), 'Klisz-Verbräuche'!T110*Emissionsfaktoren!R110/1000, 0)</f>
        <v>0</v>
      </c>
      <c r="T440" s="14">
        <f>IF(ISNUMBER('Klisz-Verbräuche'!U110), 'Klisz-Verbräuche'!U110*Emissionsfaktoren!S110/1000, 0)</f>
        <v>0</v>
      </c>
      <c r="U440" s="14">
        <f>IF(ISNUMBER('Klisz-Verbräuche'!V110), 'Klisz-Verbräuche'!V110*Emissionsfaktoren!T110/1000, 0)</f>
        <v>0</v>
      </c>
      <c r="V440" s="14">
        <f>IF(ISNUMBER('Klisz-Verbräuche'!W110), 'Klisz-Verbräuche'!W110*Emissionsfaktoren!U110/1000, 0)</f>
        <v>0</v>
      </c>
      <c r="W440" s="14">
        <f>IF(ISNUMBER('Klisz-Verbräuche'!X110), 'Klisz-Verbräuche'!X110*Emissionsfaktoren!V110/1000, 0)</f>
        <v>0</v>
      </c>
      <c r="X440" s="14">
        <f>IF(ISNUMBER('Klisz-Verbräuche'!Y110), 'Klisz-Verbräuche'!Y110*Emissionsfaktoren!W110/1000, 0)</f>
        <v>0</v>
      </c>
      <c r="Y440" s="14">
        <f>IF(ISNUMBER('Klisz-Verbräuche'!Z110), 'Klisz-Verbräuche'!Z110*Emissionsfaktoren!X110/1000, 0)</f>
        <v>0</v>
      </c>
    </row>
    <row r="441" spans="2:25" ht="16.5">
      <c r="B441" s="14">
        <v>95</v>
      </c>
      <c r="C441" s="14" t="str">
        <f>'Refsz-Verbräuche'!C111</f>
        <v>Waren und Dienstleistungen</v>
      </c>
      <c r="D441" s="19" t="str">
        <f>'Refsz-Verbräuche'!D111</f>
        <v>Outgesourcte Leistungen des Rechenzentrums</v>
      </c>
      <c r="E441" t="s">
        <v>195</v>
      </c>
      <c r="F441" s="14">
        <f>IF(ISNUMBER('Klisz-Verbräuche'!G111), 'Klisz-Verbräuche'!G111*Emissionsfaktoren!E111/1000, 0)</f>
        <v>0</v>
      </c>
      <c r="G441" s="14">
        <f>IF(ISNUMBER('Klisz-Verbräuche'!H111), 'Klisz-Verbräuche'!H111*Emissionsfaktoren!F111/1000, 0)</f>
        <v>0</v>
      </c>
      <c r="H441" s="14">
        <f>IF(ISNUMBER('Klisz-Verbräuche'!I111), 'Klisz-Verbräuche'!I111*Emissionsfaktoren!G111/1000, 0)</f>
        <v>0</v>
      </c>
      <c r="I441" s="14">
        <f>IF(ISNUMBER('Klisz-Verbräuche'!J111), 'Klisz-Verbräuche'!J111*Emissionsfaktoren!H111/1000, 0)</f>
        <v>0</v>
      </c>
      <c r="J441" s="14">
        <f>IF(ISNUMBER('Klisz-Verbräuche'!K111), 'Klisz-Verbräuche'!K111*Emissionsfaktoren!I111/1000, 0)</f>
        <v>0</v>
      </c>
      <c r="K441" s="14">
        <f>IF(ISNUMBER('Klisz-Verbräuche'!L111), 'Klisz-Verbräuche'!L111*Emissionsfaktoren!J111/1000, 0)</f>
        <v>0</v>
      </c>
      <c r="L441" s="14">
        <f>IF(ISNUMBER('Klisz-Verbräuche'!M111), 'Klisz-Verbräuche'!M111*Emissionsfaktoren!K111/1000, 0)</f>
        <v>0</v>
      </c>
      <c r="M441" s="14">
        <f>IF(ISNUMBER('Klisz-Verbräuche'!N111), 'Klisz-Verbräuche'!N111*Emissionsfaktoren!L111/1000, 0)</f>
        <v>0</v>
      </c>
      <c r="N441" s="14">
        <f>IF(ISNUMBER('Klisz-Verbräuche'!O111), 'Klisz-Verbräuche'!O111*Emissionsfaktoren!M111/1000, 0)</f>
        <v>0</v>
      </c>
      <c r="O441" s="14">
        <f>IF(ISNUMBER('Klisz-Verbräuche'!P111), 'Klisz-Verbräuche'!P111*Emissionsfaktoren!N111/1000, 0)</f>
        <v>0</v>
      </c>
      <c r="P441" s="14">
        <f>IF(ISNUMBER('Klisz-Verbräuche'!Q111), 'Klisz-Verbräuche'!Q111*Emissionsfaktoren!O111/1000, 0)</f>
        <v>0</v>
      </c>
      <c r="Q441" s="14">
        <f>IF(ISNUMBER('Klisz-Verbräuche'!R111), 'Klisz-Verbräuche'!R111*Emissionsfaktoren!P111/1000, 0)</f>
        <v>0</v>
      </c>
      <c r="R441" s="14">
        <f>IF(ISNUMBER('Klisz-Verbräuche'!S111), 'Klisz-Verbräuche'!S111*Emissionsfaktoren!Q111/1000, 0)</f>
        <v>0</v>
      </c>
      <c r="S441" s="14">
        <f>IF(ISNUMBER('Klisz-Verbräuche'!T111), 'Klisz-Verbräuche'!T111*Emissionsfaktoren!R111/1000, 0)</f>
        <v>0</v>
      </c>
      <c r="T441" s="14">
        <f>IF(ISNUMBER('Klisz-Verbräuche'!U111), 'Klisz-Verbräuche'!U111*Emissionsfaktoren!S111/1000, 0)</f>
        <v>0</v>
      </c>
      <c r="U441" s="14">
        <f>IF(ISNUMBER('Klisz-Verbräuche'!V111), 'Klisz-Verbräuche'!V111*Emissionsfaktoren!T111/1000, 0)</f>
        <v>0</v>
      </c>
      <c r="V441" s="14">
        <f>IF(ISNUMBER('Klisz-Verbräuche'!W111), 'Klisz-Verbräuche'!W111*Emissionsfaktoren!U111/1000, 0)</f>
        <v>0</v>
      </c>
      <c r="W441" s="14">
        <f>IF(ISNUMBER('Klisz-Verbräuche'!X111), 'Klisz-Verbräuche'!X111*Emissionsfaktoren!V111/1000, 0)</f>
        <v>0</v>
      </c>
      <c r="X441" s="14">
        <f>IF(ISNUMBER('Klisz-Verbräuche'!Y111), 'Klisz-Verbräuche'!Y111*Emissionsfaktoren!W111/1000, 0)</f>
        <v>0</v>
      </c>
      <c r="Y441" s="14">
        <f>IF(ISNUMBER('Klisz-Verbräuche'!Z111), 'Klisz-Verbräuche'!Z111*Emissionsfaktoren!X111/1000, 0)</f>
        <v>0</v>
      </c>
    </row>
    <row r="442" spans="2:25" ht="16.5">
      <c r="B442" s="14">
        <v>96</v>
      </c>
      <c r="C442" s="14" t="str">
        <f>'Refsz-Verbräuche'!C112</f>
        <v>Waren und Dienstleistungen</v>
      </c>
      <c r="D442" s="19" t="str">
        <f>'Refsz-Verbräuche'!D112</f>
        <v>Beamer</v>
      </c>
      <c r="E442" t="s">
        <v>195</v>
      </c>
      <c r="F442" s="14">
        <f>IF(ISNUMBER('Klisz-Verbräuche'!G112), 'Klisz-Verbräuche'!G112*Emissionsfaktoren!E112/1000, 0)</f>
        <v>0</v>
      </c>
      <c r="G442" s="14">
        <f>IF(ISNUMBER('Klisz-Verbräuche'!H112), 'Klisz-Verbräuche'!H112*Emissionsfaktoren!F112/1000, 0)</f>
        <v>0</v>
      </c>
      <c r="H442" s="14">
        <f>IF(ISNUMBER('Klisz-Verbräuche'!I112), 'Klisz-Verbräuche'!I112*Emissionsfaktoren!G112/1000, 0)</f>
        <v>0</v>
      </c>
      <c r="I442" s="14">
        <f>IF(ISNUMBER('Klisz-Verbräuche'!J112), 'Klisz-Verbräuche'!J112*Emissionsfaktoren!H112/1000, 0)</f>
        <v>0</v>
      </c>
      <c r="J442" s="14">
        <f>IF(ISNUMBER('Klisz-Verbräuche'!K112), 'Klisz-Verbräuche'!K112*Emissionsfaktoren!I112/1000, 0)</f>
        <v>0</v>
      </c>
      <c r="K442" s="14">
        <f>IF(ISNUMBER('Klisz-Verbräuche'!L112), 'Klisz-Verbräuche'!L112*Emissionsfaktoren!J112/1000, 0)</f>
        <v>0</v>
      </c>
      <c r="L442" s="14">
        <f>IF(ISNUMBER('Klisz-Verbräuche'!M112), 'Klisz-Verbräuche'!M112*Emissionsfaktoren!K112/1000, 0)</f>
        <v>0</v>
      </c>
      <c r="M442" s="14">
        <f>IF(ISNUMBER('Klisz-Verbräuche'!N112), 'Klisz-Verbräuche'!N112*Emissionsfaktoren!L112/1000, 0)</f>
        <v>0</v>
      </c>
      <c r="N442" s="14">
        <f>IF(ISNUMBER('Klisz-Verbräuche'!O112), 'Klisz-Verbräuche'!O112*Emissionsfaktoren!M112/1000, 0)</f>
        <v>0</v>
      </c>
      <c r="O442" s="14">
        <f>IF(ISNUMBER('Klisz-Verbräuche'!P112), 'Klisz-Verbräuche'!P112*Emissionsfaktoren!N112/1000, 0)</f>
        <v>0</v>
      </c>
      <c r="P442" s="14">
        <f>IF(ISNUMBER('Klisz-Verbräuche'!Q112), 'Klisz-Verbräuche'!Q112*Emissionsfaktoren!O112/1000, 0)</f>
        <v>0</v>
      </c>
      <c r="Q442" s="14">
        <f>IF(ISNUMBER('Klisz-Verbräuche'!R112), 'Klisz-Verbräuche'!R112*Emissionsfaktoren!P112/1000, 0)</f>
        <v>0</v>
      </c>
      <c r="R442" s="14">
        <f>IF(ISNUMBER('Klisz-Verbräuche'!S112), 'Klisz-Verbräuche'!S112*Emissionsfaktoren!Q112/1000, 0)</f>
        <v>0</v>
      </c>
      <c r="S442" s="14">
        <f>IF(ISNUMBER('Klisz-Verbräuche'!T112), 'Klisz-Verbräuche'!T112*Emissionsfaktoren!R112/1000, 0)</f>
        <v>0</v>
      </c>
      <c r="T442" s="14">
        <f>IF(ISNUMBER('Klisz-Verbräuche'!U112), 'Klisz-Verbräuche'!U112*Emissionsfaktoren!S112/1000, 0)</f>
        <v>0</v>
      </c>
      <c r="U442" s="14">
        <f>IF(ISNUMBER('Klisz-Verbräuche'!V112), 'Klisz-Verbräuche'!V112*Emissionsfaktoren!T112/1000, 0)</f>
        <v>0</v>
      </c>
      <c r="V442" s="14">
        <f>IF(ISNUMBER('Klisz-Verbräuche'!W112), 'Klisz-Verbräuche'!W112*Emissionsfaktoren!U112/1000, 0)</f>
        <v>0</v>
      </c>
      <c r="W442" s="14">
        <f>IF(ISNUMBER('Klisz-Verbräuche'!X112), 'Klisz-Verbräuche'!X112*Emissionsfaktoren!V112/1000, 0)</f>
        <v>0</v>
      </c>
      <c r="X442" s="14">
        <f>IF(ISNUMBER('Klisz-Verbräuche'!Y112), 'Klisz-Verbräuche'!Y112*Emissionsfaktoren!W112/1000, 0)</f>
        <v>0</v>
      </c>
      <c r="Y442" s="14">
        <f>IF(ISNUMBER('Klisz-Verbräuche'!Z112), 'Klisz-Verbräuche'!Z112*Emissionsfaktoren!X112/1000, 0)</f>
        <v>0</v>
      </c>
    </row>
    <row r="443" spans="2:25" ht="16.5">
      <c r="B443" s="14">
        <v>97</v>
      </c>
      <c r="C443" s="14" t="str">
        <f>'Refsz-Verbräuche'!C113</f>
        <v>Waren und Dienstleistungen</v>
      </c>
      <c r="D443" s="19" t="str">
        <f>'Refsz-Verbräuche'!D113</f>
        <v>Notebook/Laptop</v>
      </c>
      <c r="E443" t="s">
        <v>195</v>
      </c>
      <c r="F443" s="14">
        <f>IF(ISNUMBER('Klisz-Verbräuche'!G113), 'Klisz-Verbräuche'!G113*Emissionsfaktoren!E113/1000, 0)</f>
        <v>0</v>
      </c>
      <c r="G443" s="14">
        <f>IF(ISNUMBER('Klisz-Verbräuche'!H113), 'Klisz-Verbräuche'!H113*Emissionsfaktoren!F113/1000, 0)</f>
        <v>0</v>
      </c>
      <c r="H443" s="14">
        <f>IF(ISNUMBER('Klisz-Verbräuche'!I113), 'Klisz-Verbräuche'!I113*Emissionsfaktoren!G113/1000, 0)</f>
        <v>0</v>
      </c>
      <c r="I443" s="14">
        <f>IF(ISNUMBER('Klisz-Verbräuche'!J113), 'Klisz-Verbräuche'!J113*Emissionsfaktoren!H113/1000, 0)</f>
        <v>0</v>
      </c>
      <c r="J443" s="14">
        <f>IF(ISNUMBER('Klisz-Verbräuche'!K113), 'Klisz-Verbräuche'!K113*Emissionsfaktoren!I113/1000, 0)</f>
        <v>0</v>
      </c>
      <c r="K443" s="14">
        <f>IF(ISNUMBER('Klisz-Verbräuche'!L113), 'Klisz-Verbräuche'!L113*Emissionsfaktoren!J113/1000, 0)</f>
        <v>0</v>
      </c>
      <c r="L443" s="14">
        <f>IF(ISNUMBER('Klisz-Verbräuche'!M113), 'Klisz-Verbräuche'!M113*Emissionsfaktoren!K113/1000, 0)</f>
        <v>0</v>
      </c>
      <c r="M443" s="14">
        <f>IF(ISNUMBER('Klisz-Verbräuche'!N113), 'Klisz-Verbräuche'!N113*Emissionsfaktoren!L113/1000, 0)</f>
        <v>0</v>
      </c>
      <c r="N443" s="14">
        <f>IF(ISNUMBER('Klisz-Verbräuche'!O113), 'Klisz-Verbräuche'!O113*Emissionsfaktoren!M113/1000, 0)</f>
        <v>0</v>
      </c>
      <c r="O443" s="14">
        <f>IF(ISNUMBER('Klisz-Verbräuche'!P113), 'Klisz-Verbräuche'!P113*Emissionsfaktoren!N113/1000, 0)</f>
        <v>0</v>
      </c>
      <c r="P443" s="14">
        <f>IF(ISNUMBER('Klisz-Verbräuche'!Q113), 'Klisz-Verbräuche'!Q113*Emissionsfaktoren!O113/1000, 0)</f>
        <v>0</v>
      </c>
      <c r="Q443" s="14">
        <f>IF(ISNUMBER('Klisz-Verbräuche'!R113), 'Klisz-Verbräuche'!R113*Emissionsfaktoren!P113/1000, 0)</f>
        <v>0</v>
      </c>
      <c r="R443" s="14">
        <f>IF(ISNUMBER('Klisz-Verbräuche'!S113), 'Klisz-Verbräuche'!S113*Emissionsfaktoren!Q113/1000, 0)</f>
        <v>0</v>
      </c>
      <c r="S443" s="14">
        <f>IF(ISNUMBER('Klisz-Verbräuche'!T113), 'Klisz-Verbräuche'!T113*Emissionsfaktoren!R113/1000, 0)</f>
        <v>0</v>
      </c>
      <c r="T443" s="14">
        <f>IF(ISNUMBER('Klisz-Verbräuche'!U113), 'Klisz-Verbräuche'!U113*Emissionsfaktoren!S113/1000, 0)</f>
        <v>0</v>
      </c>
      <c r="U443" s="14">
        <f>IF(ISNUMBER('Klisz-Verbräuche'!V113), 'Klisz-Verbräuche'!V113*Emissionsfaktoren!T113/1000, 0)</f>
        <v>0</v>
      </c>
      <c r="V443" s="14">
        <f>IF(ISNUMBER('Klisz-Verbräuche'!W113), 'Klisz-Verbräuche'!W113*Emissionsfaktoren!U113/1000, 0)</f>
        <v>0</v>
      </c>
      <c r="W443" s="14">
        <f>IF(ISNUMBER('Klisz-Verbräuche'!X113), 'Klisz-Verbräuche'!X113*Emissionsfaktoren!V113/1000, 0)</f>
        <v>0</v>
      </c>
      <c r="X443" s="14">
        <f>IF(ISNUMBER('Klisz-Verbräuche'!Y113), 'Klisz-Verbräuche'!Y113*Emissionsfaktoren!W113/1000, 0)</f>
        <v>0</v>
      </c>
      <c r="Y443" s="14">
        <f>IF(ISNUMBER('Klisz-Verbräuche'!Z113), 'Klisz-Verbräuche'!Z113*Emissionsfaktoren!X113/1000, 0)</f>
        <v>0</v>
      </c>
    </row>
    <row r="444" spans="2:25" ht="16.5">
      <c r="B444" s="14">
        <v>98</v>
      </c>
      <c r="C444" s="14" t="str">
        <f>'Refsz-Verbräuche'!C114</f>
        <v>Waren und Dienstleistungen</v>
      </c>
      <c r="D444" s="19" t="str">
        <f>'Refsz-Verbräuche'!D114</f>
        <v>Desktop-PC mit Monitor</v>
      </c>
      <c r="E444" t="s">
        <v>195</v>
      </c>
      <c r="F444" s="14">
        <f>IF(ISNUMBER('Klisz-Verbräuche'!G114), 'Klisz-Verbräuche'!G114*Emissionsfaktoren!E114/1000, 0)</f>
        <v>0</v>
      </c>
      <c r="G444" s="14">
        <f>IF(ISNUMBER('Klisz-Verbräuche'!H114), 'Klisz-Verbräuche'!H114*Emissionsfaktoren!F114/1000, 0)</f>
        <v>0</v>
      </c>
      <c r="H444" s="14">
        <f>IF(ISNUMBER('Klisz-Verbräuche'!I114), 'Klisz-Verbräuche'!I114*Emissionsfaktoren!G114/1000, 0)</f>
        <v>0</v>
      </c>
      <c r="I444" s="14">
        <f>IF(ISNUMBER('Klisz-Verbräuche'!J114), 'Klisz-Verbräuche'!J114*Emissionsfaktoren!H114/1000, 0)</f>
        <v>0</v>
      </c>
      <c r="J444" s="14">
        <f>IF(ISNUMBER('Klisz-Verbräuche'!K114), 'Klisz-Verbräuche'!K114*Emissionsfaktoren!I114/1000, 0)</f>
        <v>0</v>
      </c>
      <c r="K444" s="14">
        <f>IF(ISNUMBER('Klisz-Verbräuche'!L114), 'Klisz-Verbräuche'!L114*Emissionsfaktoren!J114/1000, 0)</f>
        <v>0</v>
      </c>
      <c r="L444" s="14">
        <f>IF(ISNUMBER('Klisz-Verbräuche'!M114), 'Klisz-Verbräuche'!M114*Emissionsfaktoren!K114/1000, 0)</f>
        <v>0</v>
      </c>
      <c r="M444" s="14">
        <f>IF(ISNUMBER('Klisz-Verbräuche'!N114), 'Klisz-Verbräuche'!N114*Emissionsfaktoren!L114/1000, 0)</f>
        <v>0</v>
      </c>
      <c r="N444" s="14">
        <f>IF(ISNUMBER('Klisz-Verbräuche'!O114), 'Klisz-Verbräuche'!O114*Emissionsfaktoren!M114/1000, 0)</f>
        <v>0</v>
      </c>
      <c r="O444" s="14">
        <f>IF(ISNUMBER('Klisz-Verbräuche'!P114), 'Klisz-Verbräuche'!P114*Emissionsfaktoren!N114/1000, 0)</f>
        <v>0</v>
      </c>
      <c r="P444" s="14">
        <f>IF(ISNUMBER('Klisz-Verbräuche'!Q114), 'Klisz-Verbräuche'!Q114*Emissionsfaktoren!O114/1000, 0)</f>
        <v>0</v>
      </c>
      <c r="Q444" s="14">
        <f>IF(ISNUMBER('Klisz-Verbräuche'!R114), 'Klisz-Verbräuche'!R114*Emissionsfaktoren!P114/1000, 0)</f>
        <v>0</v>
      </c>
      <c r="R444" s="14">
        <f>IF(ISNUMBER('Klisz-Verbräuche'!S114), 'Klisz-Verbräuche'!S114*Emissionsfaktoren!Q114/1000, 0)</f>
        <v>0</v>
      </c>
      <c r="S444" s="14">
        <f>IF(ISNUMBER('Klisz-Verbräuche'!T114), 'Klisz-Verbräuche'!T114*Emissionsfaktoren!R114/1000, 0)</f>
        <v>0</v>
      </c>
      <c r="T444" s="14">
        <f>IF(ISNUMBER('Klisz-Verbräuche'!U114), 'Klisz-Verbräuche'!U114*Emissionsfaktoren!S114/1000, 0)</f>
        <v>0</v>
      </c>
      <c r="U444" s="14">
        <f>IF(ISNUMBER('Klisz-Verbräuche'!V114), 'Klisz-Verbräuche'!V114*Emissionsfaktoren!T114/1000, 0)</f>
        <v>0</v>
      </c>
      <c r="V444" s="14">
        <f>IF(ISNUMBER('Klisz-Verbräuche'!W114), 'Klisz-Verbräuche'!W114*Emissionsfaktoren!U114/1000, 0)</f>
        <v>0</v>
      </c>
      <c r="W444" s="14">
        <f>IF(ISNUMBER('Klisz-Verbräuche'!X114), 'Klisz-Verbräuche'!X114*Emissionsfaktoren!V114/1000, 0)</f>
        <v>0</v>
      </c>
      <c r="X444" s="14">
        <f>IF(ISNUMBER('Klisz-Verbräuche'!Y114), 'Klisz-Verbräuche'!Y114*Emissionsfaktoren!W114/1000, 0)</f>
        <v>0</v>
      </c>
      <c r="Y444" s="14">
        <f>IF(ISNUMBER('Klisz-Verbräuche'!Z114), 'Klisz-Verbräuche'!Z114*Emissionsfaktoren!X114/1000, 0)</f>
        <v>0</v>
      </c>
    </row>
    <row r="445" spans="2:25" ht="16.5">
      <c r="B445" s="14">
        <v>99</v>
      </c>
      <c r="C445" s="14" t="str">
        <f>'Refsz-Verbräuche'!C115</f>
        <v>Waren und Dienstleistungen</v>
      </c>
      <c r="D445" s="19" t="str">
        <f>'Refsz-Verbräuche'!D115</f>
        <v>Docking-Station</v>
      </c>
      <c r="E445" t="s">
        <v>195</v>
      </c>
      <c r="F445" s="14">
        <f>IF(ISNUMBER('Klisz-Verbräuche'!G115), 'Klisz-Verbräuche'!G115*Emissionsfaktoren!E115/1000, 0)</f>
        <v>0</v>
      </c>
      <c r="G445" s="14">
        <f>IF(ISNUMBER('Klisz-Verbräuche'!H115), 'Klisz-Verbräuche'!H115*Emissionsfaktoren!F115/1000, 0)</f>
        <v>0</v>
      </c>
      <c r="H445" s="14">
        <f>IF(ISNUMBER('Klisz-Verbräuche'!I115), 'Klisz-Verbräuche'!I115*Emissionsfaktoren!G115/1000, 0)</f>
        <v>0</v>
      </c>
      <c r="I445" s="14">
        <f>IF(ISNUMBER('Klisz-Verbräuche'!J115), 'Klisz-Verbräuche'!J115*Emissionsfaktoren!H115/1000, 0)</f>
        <v>0</v>
      </c>
      <c r="J445" s="14">
        <f>IF(ISNUMBER('Klisz-Verbräuche'!K115), 'Klisz-Verbräuche'!K115*Emissionsfaktoren!I115/1000, 0)</f>
        <v>0</v>
      </c>
      <c r="K445" s="14">
        <f>IF(ISNUMBER('Klisz-Verbräuche'!L115), 'Klisz-Verbräuche'!L115*Emissionsfaktoren!J115/1000, 0)</f>
        <v>0</v>
      </c>
      <c r="L445" s="14">
        <f>IF(ISNUMBER('Klisz-Verbräuche'!M115), 'Klisz-Verbräuche'!M115*Emissionsfaktoren!K115/1000, 0)</f>
        <v>0</v>
      </c>
      <c r="M445" s="14">
        <f>IF(ISNUMBER('Klisz-Verbräuche'!N115), 'Klisz-Verbräuche'!N115*Emissionsfaktoren!L115/1000, 0)</f>
        <v>0</v>
      </c>
      <c r="N445" s="14">
        <f>IF(ISNUMBER('Klisz-Verbräuche'!O115), 'Klisz-Verbräuche'!O115*Emissionsfaktoren!M115/1000, 0)</f>
        <v>0</v>
      </c>
      <c r="O445" s="14">
        <f>IF(ISNUMBER('Klisz-Verbräuche'!P115), 'Klisz-Verbräuche'!P115*Emissionsfaktoren!N115/1000, 0)</f>
        <v>0</v>
      </c>
      <c r="P445" s="14">
        <f>IF(ISNUMBER('Klisz-Verbräuche'!Q115), 'Klisz-Verbräuche'!Q115*Emissionsfaktoren!O115/1000, 0)</f>
        <v>0</v>
      </c>
      <c r="Q445" s="14">
        <f>IF(ISNUMBER('Klisz-Verbräuche'!R115), 'Klisz-Verbräuche'!R115*Emissionsfaktoren!P115/1000, 0)</f>
        <v>0</v>
      </c>
      <c r="R445" s="14">
        <f>IF(ISNUMBER('Klisz-Verbräuche'!S115), 'Klisz-Verbräuche'!S115*Emissionsfaktoren!Q115/1000, 0)</f>
        <v>0</v>
      </c>
      <c r="S445" s="14">
        <f>IF(ISNUMBER('Klisz-Verbräuche'!T115), 'Klisz-Verbräuche'!T115*Emissionsfaktoren!R115/1000, 0)</f>
        <v>0</v>
      </c>
      <c r="T445" s="14">
        <f>IF(ISNUMBER('Klisz-Verbräuche'!U115), 'Klisz-Verbräuche'!U115*Emissionsfaktoren!S115/1000, 0)</f>
        <v>0</v>
      </c>
      <c r="U445" s="14">
        <f>IF(ISNUMBER('Klisz-Verbräuche'!V115), 'Klisz-Verbräuche'!V115*Emissionsfaktoren!T115/1000, 0)</f>
        <v>0</v>
      </c>
      <c r="V445" s="14">
        <f>IF(ISNUMBER('Klisz-Verbräuche'!W115), 'Klisz-Verbräuche'!W115*Emissionsfaktoren!U115/1000, 0)</f>
        <v>0</v>
      </c>
      <c r="W445" s="14">
        <f>IF(ISNUMBER('Klisz-Verbräuche'!X115), 'Klisz-Verbräuche'!X115*Emissionsfaktoren!V115/1000, 0)</f>
        <v>0</v>
      </c>
      <c r="X445" s="14">
        <f>IF(ISNUMBER('Klisz-Verbräuche'!Y115), 'Klisz-Verbräuche'!Y115*Emissionsfaktoren!W115/1000, 0)</f>
        <v>0</v>
      </c>
      <c r="Y445" s="14">
        <f>IF(ISNUMBER('Klisz-Verbräuche'!Z115), 'Klisz-Verbräuche'!Z115*Emissionsfaktoren!X115/1000, 0)</f>
        <v>0</v>
      </c>
    </row>
    <row r="446" spans="2:25" ht="16.5">
      <c r="B446" s="14">
        <v>100</v>
      </c>
      <c r="C446" s="14" t="str">
        <f>'Refsz-Verbräuche'!C116</f>
        <v>Waren und Dienstleistungen</v>
      </c>
      <c r="D446" s="19" t="str">
        <f>'Refsz-Verbräuche'!D116</f>
        <v>Laserdrucker</v>
      </c>
      <c r="E446" t="s">
        <v>195</v>
      </c>
      <c r="F446" s="14">
        <f>IF(ISNUMBER('Klisz-Verbräuche'!G116), 'Klisz-Verbräuche'!G116*Emissionsfaktoren!E116/1000, 0)</f>
        <v>0</v>
      </c>
      <c r="G446" s="14">
        <f>IF(ISNUMBER('Klisz-Verbräuche'!H116), 'Klisz-Verbräuche'!H116*Emissionsfaktoren!F116/1000, 0)</f>
        <v>0</v>
      </c>
      <c r="H446" s="14">
        <f>IF(ISNUMBER('Klisz-Verbräuche'!I116), 'Klisz-Verbräuche'!I116*Emissionsfaktoren!G116/1000, 0)</f>
        <v>0</v>
      </c>
      <c r="I446" s="14">
        <f>IF(ISNUMBER('Klisz-Verbräuche'!J116), 'Klisz-Verbräuche'!J116*Emissionsfaktoren!H116/1000, 0)</f>
        <v>0</v>
      </c>
      <c r="J446" s="14">
        <f>IF(ISNUMBER('Klisz-Verbräuche'!K116), 'Klisz-Verbräuche'!K116*Emissionsfaktoren!I116/1000, 0)</f>
        <v>0</v>
      </c>
      <c r="K446" s="14">
        <f>IF(ISNUMBER('Klisz-Verbräuche'!L116), 'Klisz-Verbräuche'!L116*Emissionsfaktoren!J116/1000, 0)</f>
        <v>0</v>
      </c>
      <c r="L446" s="14">
        <f>IF(ISNUMBER('Klisz-Verbräuche'!M116), 'Klisz-Verbräuche'!M116*Emissionsfaktoren!K116/1000, 0)</f>
        <v>0</v>
      </c>
      <c r="M446" s="14">
        <f>IF(ISNUMBER('Klisz-Verbräuche'!N116), 'Klisz-Verbräuche'!N116*Emissionsfaktoren!L116/1000, 0)</f>
        <v>0</v>
      </c>
      <c r="N446" s="14">
        <f>IF(ISNUMBER('Klisz-Verbräuche'!O116), 'Klisz-Verbräuche'!O116*Emissionsfaktoren!M116/1000, 0)</f>
        <v>0</v>
      </c>
      <c r="O446" s="14">
        <f>IF(ISNUMBER('Klisz-Verbräuche'!P116), 'Klisz-Verbräuche'!P116*Emissionsfaktoren!N116/1000, 0)</f>
        <v>0</v>
      </c>
      <c r="P446" s="14">
        <f>IF(ISNUMBER('Klisz-Verbräuche'!Q116), 'Klisz-Verbräuche'!Q116*Emissionsfaktoren!O116/1000, 0)</f>
        <v>0</v>
      </c>
      <c r="Q446" s="14">
        <f>IF(ISNUMBER('Klisz-Verbräuche'!R116), 'Klisz-Verbräuche'!R116*Emissionsfaktoren!P116/1000, 0)</f>
        <v>0</v>
      </c>
      <c r="R446" s="14">
        <f>IF(ISNUMBER('Klisz-Verbräuche'!S116), 'Klisz-Verbräuche'!S116*Emissionsfaktoren!Q116/1000, 0)</f>
        <v>0</v>
      </c>
      <c r="S446" s="14">
        <f>IF(ISNUMBER('Klisz-Verbräuche'!T116), 'Klisz-Verbräuche'!T116*Emissionsfaktoren!R116/1000, 0)</f>
        <v>0</v>
      </c>
      <c r="T446" s="14">
        <f>IF(ISNUMBER('Klisz-Verbräuche'!U116), 'Klisz-Verbräuche'!U116*Emissionsfaktoren!S116/1000, 0)</f>
        <v>0</v>
      </c>
      <c r="U446" s="14">
        <f>IF(ISNUMBER('Klisz-Verbräuche'!V116), 'Klisz-Verbräuche'!V116*Emissionsfaktoren!T116/1000, 0)</f>
        <v>0</v>
      </c>
      <c r="V446" s="14">
        <f>IF(ISNUMBER('Klisz-Verbräuche'!W116), 'Klisz-Verbräuche'!W116*Emissionsfaktoren!U116/1000, 0)</f>
        <v>0</v>
      </c>
      <c r="W446" s="14">
        <f>IF(ISNUMBER('Klisz-Verbräuche'!X116), 'Klisz-Verbräuche'!X116*Emissionsfaktoren!V116/1000, 0)</f>
        <v>0</v>
      </c>
      <c r="X446" s="14">
        <f>IF(ISNUMBER('Klisz-Verbräuche'!Y116), 'Klisz-Verbräuche'!Y116*Emissionsfaktoren!W116/1000, 0)</f>
        <v>0</v>
      </c>
      <c r="Y446" s="14">
        <f>IF(ISNUMBER('Klisz-Verbräuche'!Z116), 'Klisz-Verbräuche'!Z116*Emissionsfaktoren!X116/1000, 0)</f>
        <v>0</v>
      </c>
    </row>
    <row r="447" spans="2:25" ht="16.5">
      <c r="B447" s="14">
        <v>101</v>
      </c>
      <c r="C447" s="14" t="str">
        <f>'Refsz-Verbräuche'!C117</f>
        <v>Waren und Dienstleistungen</v>
      </c>
      <c r="D447" s="19" t="str">
        <f>'Refsz-Verbräuche'!D117</f>
        <v>Multifunktionsdrucker klein (31 x 44 x 42 cm)</v>
      </c>
      <c r="E447" t="s">
        <v>195</v>
      </c>
      <c r="F447" s="14">
        <f>IF(ISNUMBER('Klisz-Verbräuche'!G117), 'Klisz-Verbräuche'!G117*Emissionsfaktoren!E117/1000, 0)</f>
        <v>0</v>
      </c>
      <c r="G447" s="14">
        <f>IF(ISNUMBER('Klisz-Verbräuche'!H117), 'Klisz-Verbräuche'!H117*Emissionsfaktoren!F117/1000, 0)</f>
        <v>0</v>
      </c>
      <c r="H447" s="14">
        <f>IF(ISNUMBER('Klisz-Verbräuche'!I117), 'Klisz-Verbräuche'!I117*Emissionsfaktoren!G117/1000, 0)</f>
        <v>0</v>
      </c>
      <c r="I447" s="14">
        <f>IF(ISNUMBER('Klisz-Verbräuche'!J117), 'Klisz-Verbräuche'!J117*Emissionsfaktoren!H117/1000, 0)</f>
        <v>0</v>
      </c>
      <c r="J447" s="14">
        <f>IF(ISNUMBER('Klisz-Verbräuche'!K117), 'Klisz-Verbräuche'!K117*Emissionsfaktoren!I117/1000, 0)</f>
        <v>0</v>
      </c>
      <c r="K447" s="14">
        <f>IF(ISNUMBER('Klisz-Verbräuche'!L117), 'Klisz-Verbräuche'!L117*Emissionsfaktoren!J117/1000, 0)</f>
        <v>0</v>
      </c>
      <c r="L447" s="14">
        <f>IF(ISNUMBER('Klisz-Verbräuche'!M117), 'Klisz-Verbräuche'!M117*Emissionsfaktoren!K117/1000, 0)</f>
        <v>0</v>
      </c>
      <c r="M447" s="14">
        <f>IF(ISNUMBER('Klisz-Verbräuche'!N117), 'Klisz-Verbräuche'!N117*Emissionsfaktoren!L117/1000, 0)</f>
        <v>0</v>
      </c>
      <c r="N447" s="14">
        <f>IF(ISNUMBER('Klisz-Verbräuche'!O117), 'Klisz-Verbräuche'!O117*Emissionsfaktoren!M117/1000, 0)</f>
        <v>0</v>
      </c>
      <c r="O447" s="14">
        <f>IF(ISNUMBER('Klisz-Verbräuche'!P117), 'Klisz-Verbräuche'!P117*Emissionsfaktoren!N117/1000, 0)</f>
        <v>0</v>
      </c>
      <c r="P447" s="14">
        <f>IF(ISNUMBER('Klisz-Verbräuche'!Q117), 'Klisz-Verbräuche'!Q117*Emissionsfaktoren!O117/1000, 0)</f>
        <v>0</v>
      </c>
      <c r="Q447" s="14">
        <f>IF(ISNUMBER('Klisz-Verbräuche'!R117), 'Klisz-Verbräuche'!R117*Emissionsfaktoren!P117/1000, 0)</f>
        <v>0</v>
      </c>
      <c r="R447" s="14">
        <f>IF(ISNUMBER('Klisz-Verbräuche'!S117), 'Klisz-Verbräuche'!S117*Emissionsfaktoren!Q117/1000, 0)</f>
        <v>0</v>
      </c>
      <c r="S447" s="14">
        <f>IF(ISNUMBER('Klisz-Verbräuche'!T117), 'Klisz-Verbräuche'!T117*Emissionsfaktoren!R117/1000, 0)</f>
        <v>0</v>
      </c>
      <c r="T447" s="14">
        <f>IF(ISNUMBER('Klisz-Verbräuche'!U117), 'Klisz-Verbräuche'!U117*Emissionsfaktoren!S117/1000, 0)</f>
        <v>0</v>
      </c>
      <c r="U447" s="14">
        <f>IF(ISNUMBER('Klisz-Verbräuche'!V117), 'Klisz-Verbräuche'!V117*Emissionsfaktoren!T117/1000, 0)</f>
        <v>0</v>
      </c>
      <c r="V447" s="14">
        <f>IF(ISNUMBER('Klisz-Verbräuche'!W117), 'Klisz-Verbräuche'!W117*Emissionsfaktoren!U117/1000, 0)</f>
        <v>0</v>
      </c>
      <c r="W447" s="14">
        <f>IF(ISNUMBER('Klisz-Verbräuche'!X117), 'Klisz-Verbräuche'!X117*Emissionsfaktoren!V117/1000, 0)</f>
        <v>0</v>
      </c>
      <c r="X447" s="14">
        <f>IF(ISNUMBER('Klisz-Verbräuche'!Y117), 'Klisz-Verbräuche'!Y117*Emissionsfaktoren!W117/1000, 0)</f>
        <v>0</v>
      </c>
      <c r="Y447" s="14">
        <f>IF(ISNUMBER('Klisz-Verbräuche'!Z117), 'Klisz-Verbräuche'!Z117*Emissionsfaktoren!X117/1000, 0)</f>
        <v>0</v>
      </c>
    </row>
    <row r="448" spans="2:25" ht="16.5">
      <c r="B448" s="14">
        <v>102</v>
      </c>
      <c r="C448" s="14" t="str">
        <f>'Refsz-Verbräuche'!C118</f>
        <v>Waren und Dienstleistungen</v>
      </c>
      <c r="D448" s="19" t="str">
        <f>'Refsz-Verbräuche'!D118</f>
        <v>Multifunktionsdrucker mittel (54 x 56 x 52 cm)</v>
      </c>
      <c r="E448" t="s">
        <v>195</v>
      </c>
      <c r="F448" s="14">
        <f>IF(ISNUMBER('Klisz-Verbräuche'!G118), 'Klisz-Verbräuche'!G118*Emissionsfaktoren!E118/1000, 0)</f>
        <v>0</v>
      </c>
      <c r="G448" s="14">
        <f>IF(ISNUMBER('Klisz-Verbräuche'!H118), 'Klisz-Verbräuche'!H118*Emissionsfaktoren!F118/1000, 0)</f>
        <v>0</v>
      </c>
      <c r="H448" s="14">
        <f>IF(ISNUMBER('Klisz-Verbräuche'!I118), 'Klisz-Verbräuche'!I118*Emissionsfaktoren!G118/1000, 0)</f>
        <v>0</v>
      </c>
      <c r="I448" s="14">
        <f>IF(ISNUMBER('Klisz-Verbräuche'!J118), 'Klisz-Verbräuche'!J118*Emissionsfaktoren!H118/1000, 0)</f>
        <v>0</v>
      </c>
      <c r="J448" s="14">
        <f>IF(ISNUMBER('Klisz-Verbräuche'!K118), 'Klisz-Verbräuche'!K118*Emissionsfaktoren!I118/1000, 0)</f>
        <v>0</v>
      </c>
      <c r="K448" s="14">
        <f>IF(ISNUMBER('Klisz-Verbräuche'!L118), 'Klisz-Verbräuche'!L118*Emissionsfaktoren!J118/1000, 0)</f>
        <v>0</v>
      </c>
      <c r="L448" s="14">
        <f>IF(ISNUMBER('Klisz-Verbräuche'!M118), 'Klisz-Verbräuche'!M118*Emissionsfaktoren!K118/1000, 0)</f>
        <v>0</v>
      </c>
      <c r="M448" s="14">
        <f>IF(ISNUMBER('Klisz-Verbräuche'!N118), 'Klisz-Verbräuche'!N118*Emissionsfaktoren!L118/1000, 0)</f>
        <v>0</v>
      </c>
      <c r="N448" s="14">
        <f>IF(ISNUMBER('Klisz-Verbräuche'!O118), 'Klisz-Verbräuche'!O118*Emissionsfaktoren!M118/1000, 0)</f>
        <v>0</v>
      </c>
      <c r="O448" s="14">
        <f>IF(ISNUMBER('Klisz-Verbräuche'!P118), 'Klisz-Verbräuche'!P118*Emissionsfaktoren!N118/1000, 0)</f>
        <v>0</v>
      </c>
      <c r="P448" s="14">
        <f>IF(ISNUMBER('Klisz-Verbräuche'!Q118), 'Klisz-Verbräuche'!Q118*Emissionsfaktoren!O118/1000, 0)</f>
        <v>0</v>
      </c>
      <c r="Q448" s="14">
        <f>IF(ISNUMBER('Klisz-Verbräuche'!R118), 'Klisz-Verbräuche'!R118*Emissionsfaktoren!P118/1000, 0)</f>
        <v>0</v>
      </c>
      <c r="R448" s="14">
        <f>IF(ISNUMBER('Klisz-Verbräuche'!S118), 'Klisz-Verbräuche'!S118*Emissionsfaktoren!Q118/1000, 0)</f>
        <v>0</v>
      </c>
      <c r="S448" s="14">
        <f>IF(ISNUMBER('Klisz-Verbräuche'!T118), 'Klisz-Verbräuche'!T118*Emissionsfaktoren!R118/1000, 0)</f>
        <v>0</v>
      </c>
      <c r="T448" s="14">
        <f>IF(ISNUMBER('Klisz-Verbräuche'!U118), 'Klisz-Verbräuche'!U118*Emissionsfaktoren!S118/1000, 0)</f>
        <v>0</v>
      </c>
      <c r="U448" s="14">
        <f>IF(ISNUMBER('Klisz-Verbräuche'!V118), 'Klisz-Verbräuche'!V118*Emissionsfaktoren!T118/1000, 0)</f>
        <v>0</v>
      </c>
      <c r="V448" s="14">
        <f>IF(ISNUMBER('Klisz-Verbräuche'!W118), 'Klisz-Verbräuche'!W118*Emissionsfaktoren!U118/1000, 0)</f>
        <v>0</v>
      </c>
      <c r="W448" s="14">
        <f>IF(ISNUMBER('Klisz-Verbräuche'!X118), 'Klisz-Verbräuche'!X118*Emissionsfaktoren!V118/1000, 0)</f>
        <v>0</v>
      </c>
      <c r="X448" s="14">
        <f>IF(ISNUMBER('Klisz-Verbräuche'!Y118), 'Klisz-Verbräuche'!Y118*Emissionsfaktoren!W118/1000, 0)</f>
        <v>0</v>
      </c>
      <c r="Y448" s="14">
        <f>IF(ISNUMBER('Klisz-Verbräuche'!Z118), 'Klisz-Verbräuche'!Z118*Emissionsfaktoren!X118/1000, 0)</f>
        <v>0</v>
      </c>
    </row>
    <row r="449" spans="2:25" ht="16.5">
      <c r="B449" s="14">
        <v>103</v>
      </c>
      <c r="C449" s="14" t="str">
        <f>'Refsz-Verbräuche'!C119</f>
        <v>Waren und Dienstleistungen</v>
      </c>
      <c r="D449" s="19" t="str">
        <f>'Refsz-Verbräuche'!D119</f>
        <v>Multifunktionsdrucker groß (114 x 65 x 59 cm)</v>
      </c>
      <c r="E449" t="s">
        <v>195</v>
      </c>
      <c r="F449" s="14">
        <f>IF(ISNUMBER('Klisz-Verbräuche'!G119), 'Klisz-Verbräuche'!G119*Emissionsfaktoren!E119/1000, 0)</f>
        <v>0</v>
      </c>
      <c r="G449" s="14">
        <f>IF(ISNUMBER('Klisz-Verbräuche'!H119), 'Klisz-Verbräuche'!H119*Emissionsfaktoren!F119/1000, 0)</f>
        <v>0</v>
      </c>
      <c r="H449" s="14">
        <f>IF(ISNUMBER('Klisz-Verbräuche'!I119), 'Klisz-Verbräuche'!I119*Emissionsfaktoren!G119/1000, 0)</f>
        <v>0</v>
      </c>
      <c r="I449" s="14">
        <f>IF(ISNUMBER('Klisz-Verbräuche'!J119), 'Klisz-Verbräuche'!J119*Emissionsfaktoren!H119/1000, 0)</f>
        <v>0</v>
      </c>
      <c r="J449" s="14">
        <f>IF(ISNUMBER('Klisz-Verbräuche'!K119), 'Klisz-Verbräuche'!K119*Emissionsfaktoren!I119/1000, 0)</f>
        <v>0</v>
      </c>
      <c r="K449" s="14">
        <f>IF(ISNUMBER('Klisz-Verbräuche'!L119), 'Klisz-Verbräuche'!L119*Emissionsfaktoren!J119/1000, 0)</f>
        <v>0</v>
      </c>
      <c r="L449" s="14">
        <f>IF(ISNUMBER('Klisz-Verbräuche'!M119), 'Klisz-Verbräuche'!M119*Emissionsfaktoren!K119/1000, 0)</f>
        <v>0</v>
      </c>
      <c r="M449" s="14">
        <f>IF(ISNUMBER('Klisz-Verbräuche'!N119), 'Klisz-Verbräuche'!N119*Emissionsfaktoren!L119/1000, 0)</f>
        <v>0</v>
      </c>
      <c r="N449" s="14">
        <f>IF(ISNUMBER('Klisz-Verbräuche'!O119), 'Klisz-Verbräuche'!O119*Emissionsfaktoren!M119/1000, 0)</f>
        <v>0</v>
      </c>
      <c r="O449" s="14">
        <f>IF(ISNUMBER('Klisz-Verbräuche'!P119), 'Klisz-Verbräuche'!P119*Emissionsfaktoren!N119/1000, 0)</f>
        <v>0</v>
      </c>
      <c r="P449" s="14">
        <f>IF(ISNUMBER('Klisz-Verbräuche'!Q119), 'Klisz-Verbräuche'!Q119*Emissionsfaktoren!O119/1000, 0)</f>
        <v>0</v>
      </c>
      <c r="Q449" s="14">
        <f>IF(ISNUMBER('Klisz-Verbräuche'!R119), 'Klisz-Verbräuche'!R119*Emissionsfaktoren!P119/1000, 0)</f>
        <v>0</v>
      </c>
      <c r="R449" s="14">
        <f>IF(ISNUMBER('Klisz-Verbräuche'!S119), 'Klisz-Verbräuche'!S119*Emissionsfaktoren!Q119/1000, 0)</f>
        <v>0</v>
      </c>
      <c r="S449" s="14">
        <f>IF(ISNUMBER('Klisz-Verbräuche'!T119), 'Klisz-Verbräuche'!T119*Emissionsfaktoren!R119/1000, 0)</f>
        <v>0</v>
      </c>
      <c r="T449" s="14">
        <f>IF(ISNUMBER('Klisz-Verbräuche'!U119), 'Klisz-Verbräuche'!U119*Emissionsfaktoren!S119/1000, 0)</f>
        <v>0</v>
      </c>
      <c r="U449" s="14">
        <f>IF(ISNUMBER('Klisz-Verbräuche'!V119), 'Klisz-Verbräuche'!V119*Emissionsfaktoren!T119/1000, 0)</f>
        <v>0</v>
      </c>
      <c r="V449" s="14">
        <f>IF(ISNUMBER('Klisz-Verbräuche'!W119), 'Klisz-Verbräuche'!W119*Emissionsfaktoren!U119/1000, 0)</f>
        <v>0</v>
      </c>
      <c r="W449" s="14">
        <f>IF(ISNUMBER('Klisz-Verbräuche'!X119), 'Klisz-Verbräuche'!X119*Emissionsfaktoren!V119/1000, 0)</f>
        <v>0</v>
      </c>
      <c r="X449" s="14">
        <f>IF(ISNUMBER('Klisz-Verbräuche'!Y119), 'Klisz-Verbräuche'!Y119*Emissionsfaktoren!W119/1000, 0)</f>
        <v>0</v>
      </c>
      <c r="Y449" s="14">
        <f>IF(ISNUMBER('Klisz-Verbräuche'!Z119), 'Klisz-Verbräuche'!Z119*Emissionsfaktoren!X119/1000, 0)</f>
        <v>0</v>
      </c>
    </row>
    <row r="450" spans="2:25" ht="16.5">
      <c r="B450" s="14">
        <v>104</v>
      </c>
      <c r="C450" s="14" t="str">
        <f>'Refsz-Verbräuche'!C120</f>
        <v>Waren und Dienstleistungen</v>
      </c>
      <c r="D450" s="19" t="str">
        <f>'Refsz-Verbräuche'!D120</f>
        <v>Toner</v>
      </c>
      <c r="E450" t="s">
        <v>195</v>
      </c>
      <c r="F450" s="14">
        <f>IF(ISNUMBER('Klisz-Verbräuche'!G120), 'Klisz-Verbräuche'!G120*Emissionsfaktoren!E120/1000, 0)</f>
        <v>0</v>
      </c>
      <c r="G450" s="14">
        <f>IF(ISNUMBER('Klisz-Verbräuche'!H120), 'Klisz-Verbräuche'!H120*Emissionsfaktoren!F120/1000, 0)</f>
        <v>0</v>
      </c>
      <c r="H450" s="14">
        <f>IF(ISNUMBER('Klisz-Verbräuche'!I120), 'Klisz-Verbräuche'!I120*Emissionsfaktoren!G120/1000, 0)</f>
        <v>0</v>
      </c>
      <c r="I450" s="14">
        <f>IF(ISNUMBER('Klisz-Verbräuche'!J120), 'Klisz-Verbräuche'!J120*Emissionsfaktoren!H120/1000, 0)</f>
        <v>0</v>
      </c>
      <c r="J450" s="14">
        <f>IF(ISNUMBER('Klisz-Verbräuche'!K120), 'Klisz-Verbräuche'!K120*Emissionsfaktoren!I120/1000, 0)</f>
        <v>0</v>
      </c>
      <c r="K450" s="14">
        <f>IF(ISNUMBER('Klisz-Verbräuche'!L120), 'Klisz-Verbräuche'!L120*Emissionsfaktoren!J120/1000, 0)</f>
        <v>0</v>
      </c>
      <c r="L450" s="14">
        <f>IF(ISNUMBER('Klisz-Verbräuche'!M120), 'Klisz-Verbräuche'!M120*Emissionsfaktoren!K120/1000, 0)</f>
        <v>0</v>
      </c>
      <c r="M450" s="14">
        <f>IF(ISNUMBER('Klisz-Verbräuche'!N120), 'Klisz-Verbräuche'!N120*Emissionsfaktoren!L120/1000, 0)</f>
        <v>0</v>
      </c>
      <c r="N450" s="14">
        <f>IF(ISNUMBER('Klisz-Verbräuche'!O120), 'Klisz-Verbräuche'!O120*Emissionsfaktoren!M120/1000, 0)</f>
        <v>0</v>
      </c>
      <c r="O450" s="14">
        <f>IF(ISNUMBER('Klisz-Verbräuche'!P120), 'Klisz-Verbräuche'!P120*Emissionsfaktoren!N120/1000, 0)</f>
        <v>0</v>
      </c>
      <c r="P450" s="14">
        <f>IF(ISNUMBER('Klisz-Verbräuche'!Q120), 'Klisz-Verbräuche'!Q120*Emissionsfaktoren!O120/1000, 0)</f>
        <v>0</v>
      </c>
      <c r="Q450" s="14">
        <f>IF(ISNUMBER('Klisz-Verbräuche'!R120), 'Klisz-Verbräuche'!R120*Emissionsfaktoren!P120/1000, 0)</f>
        <v>0</v>
      </c>
      <c r="R450" s="14">
        <f>IF(ISNUMBER('Klisz-Verbräuche'!S120), 'Klisz-Verbräuche'!S120*Emissionsfaktoren!Q120/1000, 0)</f>
        <v>0</v>
      </c>
      <c r="S450" s="14">
        <f>IF(ISNUMBER('Klisz-Verbräuche'!T120), 'Klisz-Verbräuche'!T120*Emissionsfaktoren!R120/1000, 0)</f>
        <v>0</v>
      </c>
      <c r="T450" s="14">
        <f>IF(ISNUMBER('Klisz-Verbräuche'!U120), 'Klisz-Verbräuche'!U120*Emissionsfaktoren!S120/1000, 0)</f>
        <v>0</v>
      </c>
      <c r="U450" s="14">
        <f>IF(ISNUMBER('Klisz-Verbräuche'!V120), 'Klisz-Verbräuche'!V120*Emissionsfaktoren!T120/1000, 0)</f>
        <v>0</v>
      </c>
      <c r="V450" s="14">
        <f>IF(ISNUMBER('Klisz-Verbräuche'!W120), 'Klisz-Verbräuche'!W120*Emissionsfaktoren!U120/1000, 0)</f>
        <v>0</v>
      </c>
      <c r="W450" s="14">
        <f>IF(ISNUMBER('Klisz-Verbräuche'!X120), 'Klisz-Verbräuche'!X120*Emissionsfaktoren!V120/1000, 0)</f>
        <v>0</v>
      </c>
      <c r="X450" s="14">
        <f>IF(ISNUMBER('Klisz-Verbräuche'!Y120), 'Klisz-Verbräuche'!Y120*Emissionsfaktoren!W120/1000, 0)</f>
        <v>0</v>
      </c>
      <c r="Y450" s="14">
        <f>IF(ISNUMBER('Klisz-Verbräuche'!Z120), 'Klisz-Verbräuche'!Z120*Emissionsfaktoren!X120/1000, 0)</f>
        <v>0</v>
      </c>
    </row>
    <row r="451" spans="2:25" ht="16.5">
      <c r="B451" s="14">
        <v>105</v>
      </c>
      <c r="C451" s="14">
        <f>'Refsz-Verbräuche'!C121</f>
        <v>0</v>
      </c>
      <c r="D451" s="19">
        <f>'Refsz-Verbräuche'!D121</f>
        <v>0</v>
      </c>
      <c r="E451" t="s">
        <v>195</v>
      </c>
      <c r="F451" s="14">
        <f>IF(ISNUMBER('Klisz-Verbräuche'!G121), 'Klisz-Verbräuche'!G121*Emissionsfaktoren!E121/1000, 0)</f>
        <v>0</v>
      </c>
      <c r="G451" s="14">
        <f>IF(ISNUMBER('Klisz-Verbräuche'!H121), 'Klisz-Verbräuche'!H121*Emissionsfaktoren!F121/1000, 0)</f>
        <v>0</v>
      </c>
      <c r="H451" s="14">
        <f>IF(ISNUMBER('Klisz-Verbräuche'!I121), 'Klisz-Verbräuche'!I121*Emissionsfaktoren!G121/1000, 0)</f>
        <v>0</v>
      </c>
      <c r="I451" s="14">
        <f>IF(ISNUMBER('Klisz-Verbräuche'!J121), 'Klisz-Verbräuche'!J121*Emissionsfaktoren!H121/1000, 0)</f>
        <v>0</v>
      </c>
      <c r="J451" s="14">
        <f>IF(ISNUMBER('Klisz-Verbräuche'!K121), 'Klisz-Verbräuche'!K121*Emissionsfaktoren!I121/1000, 0)</f>
        <v>0</v>
      </c>
      <c r="K451" s="14">
        <f>IF(ISNUMBER('Klisz-Verbräuche'!L121), 'Klisz-Verbräuche'!L121*Emissionsfaktoren!J121/1000, 0)</f>
        <v>0</v>
      </c>
      <c r="L451" s="14">
        <f>IF(ISNUMBER('Klisz-Verbräuche'!M121), 'Klisz-Verbräuche'!M121*Emissionsfaktoren!K121/1000, 0)</f>
        <v>0</v>
      </c>
      <c r="M451" s="14">
        <f>IF(ISNUMBER('Klisz-Verbräuche'!N121), 'Klisz-Verbräuche'!N121*Emissionsfaktoren!L121/1000, 0)</f>
        <v>0</v>
      </c>
      <c r="N451" s="14">
        <f>IF(ISNUMBER('Klisz-Verbräuche'!O121), 'Klisz-Verbräuche'!O121*Emissionsfaktoren!M121/1000, 0)</f>
        <v>0</v>
      </c>
      <c r="O451" s="14">
        <f>IF(ISNUMBER('Klisz-Verbräuche'!P121), 'Klisz-Verbräuche'!P121*Emissionsfaktoren!N121/1000, 0)</f>
        <v>0</v>
      </c>
      <c r="P451" s="14">
        <f>IF(ISNUMBER('Klisz-Verbräuche'!Q121), 'Klisz-Verbräuche'!Q121*Emissionsfaktoren!O121/1000, 0)</f>
        <v>0</v>
      </c>
      <c r="Q451" s="14">
        <f>IF(ISNUMBER('Klisz-Verbräuche'!R121), 'Klisz-Verbräuche'!R121*Emissionsfaktoren!P121/1000, 0)</f>
        <v>0</v>
      </c>
      <c r="R451" s="14">
        <f>IF(ISNUMBER('Klisz-Verbräuche'!S121), 'Klisz-Verbräuche'!S121*Emissionsfaktoren!Q121/1000, 0)</f>
        <v>0</v>
      </c>
      <c r="S451" s="14">
        <f>IF(ISNUMBER('Klisz-Verbräuche'!T121), 'Klisz-Verbräuche'!T121*Emissionsfaktoren!R121/1000, 0)</f>
        <v>0</v>
      </c>
      <c r="T451" s="14">
        <f>IF(ISNUMBER('Klisz-Verbräuche'!U121), 'Klisz-Verbräuche'!U121*Emissionsfaktoren!S121/1000, 0)</f>
        <v>0</v>
      </c>
      <c r="U451" s="14">
        <f>IF(ISNUMBER('Klisz-Verbräuche'!V121), 'Klisz-Verbräuche'!V121*Emissionsfaktoren!T121/1000, 0)</f>
        <v>0</v>
      </c>
      <c r="V451" s="14">
        <f>IF(ISNUMBER('Klisz-Verbräuche'!W121), 'Klisz-Verbräuche'!W121*Emissionsfaktoren!U121/1000, 0)</f>
        <v>0</v>
      </c>
      <c r="W451" s="14">
        <f>IF(ISNUMBER('Klisz-Verbräuche'!X121), 'Klisz-Verbräuche'!X121*Emissionsfaktoren!V121/1000, 0)</f>
        <v>0</v>
      </c>
      <c r="X451" s="14">
        <f>IF(ISNUMBER('Klisz-Verbräuche'!Y121), 'Klisz-Verbräuche'!Y121*Emissionsfaktoren!W121/1000, 0)</f>
        <v>0</v>
      </c>
      <c r="Y451" s="14">
        <f>IF(ISNUMBER('Klisz-Verbräuche'!Z121), 'Klisz-Verbräuche'!Z121*Emissionsfaktoren!X121/1000, 0)</f>
        <v>0</v>
      </c>
    </row>
    <row r="452" spans="2:25" ht="16.5">
      <c r="B452" s="14">
        <v>106</v>
      </c>
      <c r="C452" s="14" t="str">
        <f>'Refsz-Verbräuche'!C122</f>
        <v>Abfall</v>
      </c>
      <c r="D452" s="19" t="str">
        <f>'Refsz-Verbräuche'!D122</f>
        <v>Bioabfall, Grünschnitt (Kompostierung)</v>
      </c>
      <c r="E452" t="s">
        <v>195</v>
      </c>
      <c r="F452" s="14">
        <f>IF(ISNUMBER('Klisz-Verbräuche'!G122), 'Klisz-Verbräuche'!G122*Emissionsfaktoren!E122/1000, 0)</f>
        <v>0</v>
      </c>
      <c r="G452" s="14">
        <f>IF(ISNUMBER('Klisz-Verbräuche'!H122), 'Klisz-Verbräuche'!H122*Emissionsfaktoren!F122/1000, 0)</f>
        <v>0</v>
      </c>
      <c r="H452" s="14">
        <f>IF(ISNUMBER('Klisz-Verbräuche'!I122), 'Klisz-Verbräuche'!I122*Emissionsfaktoren!G122/1000, 0)</f>
        <v>0</v>
      </c>
      <c r="I452" s="14">
        <f>IF(ISNUMBER('Klisz-Verbräuche'!J122), 'Klisz-Verbräuche'!J122*Emissionsfaktoren!H122/1000, 0)</f>
        <v>0</v>
      </c>
      <c r="J452" s="14">
        <f>IF(ISNUMBER('Klisz-Verbräuche'!K122), 'Klisz-Verbräuche'!K122*Emissionsfaktoren!I122/1000, 0)</f>
        <v>0</v>
      </c>
      <c r="K452" s="14">
        <f>IF(ISNUMBER('Klisz-Verbräuche'!L122), 'Klisz-Verbräuche'!L122*Emissionsfaktoren!J122/1000, 0)</f>
        <v>0</v>
      </c>
      <c r="L452" s="14">
        <f>IF(ISNUMBER('Klisz-Verbräuche'!M122), 'Klisz-Verbräuche'!M122*Emissionsfaktoren!K122/1000, 0)</f>
        <v>0</v>
      </c>
      <c r="M452" s="14">
        <f>IF(ISNUMBER('Klisz-Verbräuche'!N122), 'Klisz-Verbräuche'!N122*Emissionsfaktoren!L122/1000, 0)</f>
        <v>0</v>
      </c>
      <c r="N452" s="14">
        <f>IF(ISNUMBER('Klisz-Verbräuche'!O122), 'Klisz-Verbräuche'!O122*Emissionsfaktoren!M122/1000, 0)</f>
        <v>0</v>
      </c>
      <c r="O452" s="14">
        <f>IF(ISNUMBER('Klisz-Verbräuche'!P122), 'Klisz-Verbräuche'!P122*Emissionsfaktoren!N122/1000, 0)</f>
        <v>0</v>
      </c>
      <c r="P452" s="14">
        <f>IF(ISNUMBER('Klisz-Verbräuche'!Q122), 'Klisz-Verbräuche'!Q122*Emissionsfaktoren!O122/1000, 0)</f>
        <v>0</v>
      </c>
      <c r="Q452" s="14">
        <f>IF(ISNUMBER('Klisz-Verbräuche'!R122), 'Klisz-Verbräuche'!R122*Emissionsfaktoren!P122/1000, 0)</f>
        <v>0</v>
      </c>
      <c r="R452" s="14">
        <f>IF(ISNUMBER('Klisz-Verbräuche'!S122), 'Klisz-Verbräuche'!S122*Emissionsfaktoren!Q122/1000, 0)</f>
        <v>0</v>
      </c>
      <c r="S452" s="14">
        <f>IF(ISNUMBER('Klisz-Verbräuche'!T122), 'Klisz-Verbräuche'!T122*Emissionsfaktoren!R122/1000, 0)</f>
        <v>0</v>
      </c>
      <c r="T452" s="14">
        <f>IF(ISNUMBER('Klisz-Verbräuche'!U122), 'Klisz-Verbräuche'!U122*Emissionsfaktoren!S122/1000, 0)</f>
        <v>0</v>
      </c>
      <c r="U452" s="14">
        <f>IF(ISNUMBER('Klisz-Verbräuche'!V122), 'Klisz-Verbräuche'!V122*Emissionsfaktoren!T122/1000, 0)</f>
        <v>0</v>
      </c>
      <c r="V452" s="14">
        <f>IF(ISNUMBER('Klisz-Verbräuche'!W122), 'Klisz-Verbräuche'!W122*Emissionsfaktoren!U122/1000, 0)</f>
        <v>0</v>
      </c>
      <c r="W452" s="14">
        <f>IF(ISNUMBER('Klisz-Verbräuche'!X122), 'Klisz-Verbräuche'!X122*Emissionsfaktoren!V122/1000, 0)</f>
        <v>0</v>
      </c>
      <c r="X452" s="14">
        <f>IF(ISNUMBER('Klisz-Verbräuche'!Y122), 'Klisz-Verbräuche'!Y122*Emissionsfaktoren!W122/1000, 0)</f>
        <v>0</v>
      </c>
      <c r="Y452" s="14">
        <f>IF(ISNUMBER('Klisz-Verbräuche'!Z122), 'Klisz-Verbräuche'!Z122*Emissionsfaktoren!X122/1000, 0)</f>
        <v>0</v>
      </c>
    </row>
    <row r="453" spans="2:25" ht="16.5">
      <c r="B453" s="14">
        <v>107</v>
      </c>
      <c r="C453" s="14" t="str">
        <f>'Refsz-Verbräuche'!C123</f>
        <v>Abfall</v>
      </c>
      <c r="D453" s="19" t="str">
        <f>'Refsz-Verbräuche'!D123</f>
        <v>Bioabfall (Verbrennung)</v>
      </c>
      <c r="E453" t="s">
        <v>195</v>
      </c>
      <c r="F453" s="14">
        <f>IF(ISNUMBER('Klisz-Verbräuche'!G123), 'Klisz-Verbräuche'!G123*Emissionsfaktoren!E123/1000, 0)</f>
        <v>0</v>
      </c>
      <c r="G453" s="14">
        <f>IF(ISNUMBER('Klisz-Verbräuche'!H123), 'Klisz-Verbräuche'!H123*Emissionsfaktoren!F123/1000, 0)</f>
        <v>0</v>
      </c>
      <c r="H453" s="14">
        <f>IF(ISNUMBER('Klisz-Verbräuche'!I123), 'Klisz-Verbräuche'!I123*Emissionsfaktoren!G123/1000, 0)</f>
        <v>0</v>
      </c>
      <c r="I453" s="14">
        <f>IF(ISNUMBER('Klisz-Verbräuche'!J123), 'Klisz-Verbräuche'!J123*Emissionsfaktoren!H123/1000, 0)</f>
        <v>0</v>
      </c>
      <c r="J453" s="14">
        <f>IF(ISNUMBER('Klisz-Verbräuche'!K123), 'Klisz-Verbräuche'!K123*Emissionsfaktoren!I123/1000, 0)</f>
        <v>0</v>
      </c>
      <c r="K453" s="14">
        <f>IF(ISNUMBER('Klisz-Verbräuche'!L123), 'Klisz-Verbräuche'!L123*Emissionsfaktoren!J123/1000, 0)</f>
        <v>0</v>
      </c>
      <c r="L453" s="14">
        <f>IF(ISNUMBER('Klisz-Verbräuche'!M123), 'Klisz-Verbräuche'!M123*Emissionsfaktoren!K123/1000, 0)</f>
        <v>0</v>
      </c>
      <c r="M453" s="14">
        <f>IF(ISNUMBER('Klisz-Verbräuche'!N123), 'Klisz-Verbräuche'!N123*Emissionsfaktoren!L123/1000, 0)</f>
        <v>0</v>
      </c>
      <c r="N453" s="14">
        <f>IF(ISNUMBER('Klisz-Verbräuche'!O123), 'Klisz-Verbräuche'!O123*Emissionsfaktoren!M123/1000, 0)</f>
        <v>0</v>
      </c>
      <c r="O453" s="14">
        <f>IF(ISNUMBER('Klisz-Verbräuche'!P123), 'Klisz-Verbräuche'!P123*Emissionsfaktoren!N123/1000, 0)</f>
        <v>0</v>
      </c>
      <c r="P453" s="14">
        <f>IF(ISNUMBER('Klisz-Verbräuche'!Q123), 'Klisz-Verbräuche'!Q123*Emissionsfaktoren!O123/1000, 0)</f>
        <v>0</v>
      </c>
      <c r="Q453" s="14">
        <f>IF(ISNUMBER('Klisz-Verbräuche'!R123), 'Klisz-Verbräuche'!R123*Emissionsfaktoren!P123/1000, 0)</f>
        <v>0</v>
      </c>
      <c r="R453" s="14">
        <f>IF(ISNUMBER('Klisz-Verbräuche'!S123), 'Klisz-Verbräuche'!S123*Emissionsfaktoren!Q123/1000, 0)</f>
        <v>0</v>
      </c>
      <c r="S453" s="14">
        <f>IF(ISNUMBER('Klisz-Verbräuche'!T123), 'Klisz-Verbräuche'!T123*Emissionsfaktoren!R123/1000, 0)</f>
        <v>0</v>
      </c>
      <c r="T453" s="14">
        <f>IF(ISNUMBER('Klisz-Verbräuche'!U123), 'Klisz-Verbräuche'!U123*Emissionsfaktoren!S123/1000, 0)</f>
        <v>0</v>
      </c>
      <c r="U453" s="14">
        <f>IF(ISNUMBER('Klisz-Verbräuche'!V123), 'Klisz-Verbräuche'!V123*Emissionsfaktoren!T123/1000, 0)</f>
        <v>0</v>
      </c>
      <c r="V453" s="14">
        <f>IF(ISNUMBER('Klisz-Verbräuche'!W123), 'Klisz-Verbräuche'!W123*Emissionsfaktoren!U123/1000, 0)</f>
        <v>0</v>
      </c>
      <c r="W453" s="14">
        <f>IF(ISNUMBER('Klisz-Verbräuche'!X123), 'Klisz-Verbräuche'!X123*Emissionsfaktoren!V123/1000, 0)</f>
        <v>0</v>
      </c>
      <c r="X453" s="14">
        <f>IF(ISNUMBER('Klisz-Verbräuche'!Y123), 'Klisz-Verbräuche'!Y123*Emissionsfaktoren!W123/1000, 0)</f>
        <v>0</v>
      </c>
      <c r="Y453" s="14">
        <f>IF(ISNUMBER('Klisz-Verbräuche'!Z123), 'Klisz-Verbräuche'!Z123*Emissionsfaktoren!X123/1000, 0)</f>
        <v>0</v>
      </c>
    </row>
    <row r="454" spans="2:25" ht="16.5">
      <c r="B454" s="14">
        <v>108</v>
      </c>
      <c r="C454" s="14" t="str">
        <f>'Refsz-Verbräuche'!C124</f>
        <v>Abfall</v>
      </c>
      <c r="D454" s="19" t="str">
        <f>'Refsz-Verbräuche'!D124</f>
        <v>Papierabfall</v>
      </c>
      <c r="E454" t="s">
        <v>195</v>
      </c>
      <c r="F454" s="14">
        <f>IF(ISNUMBER('Klisz-Verbräuche'!G124), 'Klisz-Verbräuche'!G124*Emissionsfaktoren!E124/1000, 0)</f>
        <v>0</v>
      </c>
      <c r="G454" s="14">
        <f>IF(ISNUMBER('Klisz-Verbräuche'!H124), 'Klisz-Verbräuche'!H124*Emissionsfaktoren!F124/1000, 0)</f>
        <v>0</v>
      </c>
      <c r="H454" s="14">
        <f>IF(ISNUMBER('Klisz-Verbräuche'!I124), 'Klisz-Verbräuche'!I124*Emissionsfaktoren!G124/1000, 0)</f>
        <v>0</v>
      </c>
      <c r="I454" s="14">
        <f>IF(ISNUMBER('Klisz-Verbräuche'!J124), 'Klisz-Verbräuche'!J124*Emissionsfaktoren!H124/1000, 0)</f>
        <v>0</v>
      </c>
      <c r="J454" s="14">
        <f>IF(ISNUMBER('Klisz-Verbräuche'!K124), 'Klisz-Verbräuche'!K124*Emissionsfaktoren!I124/1000, 0)</f>
        <v>0</v>
      </c>
      <c r="K454" s="14">
        <f>IF(ISNUMBER('Klisz-Verbräuche'!L124), 'Klisz-Verbräuche'!L124*Emissionsfaktoren!J124/1000, 0)</f>
        <v>0</v>
      </c>
      <c r="L454" s="14">
        <f>IF(ISNUMBER('Klisz-Verbräuche'!M124), 'Klisz-Verbräuche'!M124*Emissionsfaktoren!K124/1000, 0)</f>
        <v>0</v>
      </c>
      <c r="M454" s="14">
        <f>IF(ISNUMBER('Klisz-Verbräuche'!N124), 'Klisz-Verbräuche'!N124*Emissionsfaktoren!L124/1000, 0)</f>
        <v>0</v>
      </c>
      <c r="N454" s="14">
        <f>IF(ISNUMBER('Klisz-Verbräuche'!O124), 'Klisz-Verbräuche'!O124*Emissionsfaktoren!M124/1000, 0)</f>
        <v>0</v>
      </c>
      <c r="O454" s="14">
        <f>IF(ISNUMBER('Klisz-Verbräuche'!P124), 'Klisz-Verbräuche'!P124*Emissionsfaktoren!N124/1000, 0)</f>
        <v>0</v>
      </c>
      <c r="P454" s="14">
        <f>IF(ISNUMBER('Klisz-Verbräuche'!Q124), 'Klisz-Verbräuche'!Q124*Emissionsfaktoren!O124/1000, 0)</f>
        <v>0</v>
      </c>
      <c r="Q454" s="14">
        <f>IF(ISNUMBER('Klisz-Verbräuche'!R124), 'Klisz-Verbräuche'!R124*Emissionsfaktoren!P124/1000, 0)</f>
        <v>0</v>
      </c>
      <c r="R454" s="14">
        <f>IF(ISNUMBER('Klisz-Verbräuche'!S124), 'Klisz-Verbräuche'!S124*Emissionsfaktoren!Q124/1000, 0)</f>
        <v>0</v>
      </c>
      <c r="S454" s="14">
        <f>IF(ISNUMBER('Klisz-Verbräuche'!T124), 'Klisz-Verbräuche'!T124*Emissionsfaktoren!R124/1000, 0)</f>
        <v>0</v>
      </c>
      <c r="T454" s="14">
        <f>IF(ISNUMBER('Klisz-Verbräuche'!U124), 'Klisz-Verbräuche'!U124*Emissionsfaktoren!S124/1000, 0)</f>
        <v>0</v>
      </c>
      <c r="U454" s="14">
        <f>IF(ISNUMBER('Klisz-Verbräuche'!V124), 'Klisz-Verbräuche'!V124*Emissionsfaktoren!T124/1000, 0)</f>
        <v>0</v>
      </c>
      <c r="V454" s="14">
        <f>IF(ISNUMBER('Klisz-Verbräuche'!W124), 'Klisz-Verbräuche'!W124*Emissionsfaktoren!U124/1000, 0)</f>
        <v>0</v>
      </c>
      <c r="W454" s="14">
        <f>IF(ISNUMBER('Klisz-Verbräuche'!X124), 'Klisz-Verbräuche'!X124*Emissionsfaktoren!V124/1000, 0)</f>
        <v>0</v>
      </c>
      <c r="X454" s="14">
        <f>IF(ISNUMBER('Klisz-Verbräuche'!Y124), 'Klisz-Verbräuche'!Y124*Emissionsfaktoren!W124/1000, 0)</f>
        <v>0</v>
      </c>
      <c r="Y454" s="14">
        <f>IF(ISNUMBER('Klisz-Verbräuche'!Z124), 'Klisz-Verbräuche'!Z124*Emissionsfaktoren!X124/1000, 0)</f>
        <v>0</v>
      </c>
    </row>
    <row r="455" spans="2:25" ht="16.5">
      <c r="B455" s="14">
        <v>109</v>
      </c>
      <c r="C455" s="14" t="str">
        <f>'Refsz-Verbräuche'!C125</f>
        <v>Abfall</v>
      </c>
      <c r="D455" s="19" t="str">
        <f>'Refsz-Verbräuche'!D125</f>
        <v>Plastik- und Verpackungsabfall</v>
      </c>
      <c r="E455" t="s">
        <v>195</v>
      </c>
      <c r="F455" s="14">
        <f>IF(ISNUMBER('Klisz-Verbräuche'!G125), 'Klisz-Verbräuche'!G125*Emissionsfaktoren!E125/1000, 0)</f>
        <v>0</v>
      </c>
      <c r="G455" s="14">
        <f>IF(ISNUMBER('Klisz-Verbräuche'!H125), 'Klisz-Verbräuche'!H125*Emissionsfaktoren!F125/1000, 0)</f>
        <v>0</v>
      </c>
      <c r="H455" s="14">
        <f>IF(ISNUMBER('Klisz-Verbräuche'!I125), 'Klisz-Verbräuche'!I125*Emissionsfaktoren!G125/1000, 0)</f>
        <v>0</v>
      </c>
      <c r="I455" s="14">
        <f>IF(ISNUMBER('Klisz-Verbräuche'!J125), 'Klisz-Verbräuche'!J125*Emissionsfaktoren!H125/1000, 0)</f>
        <v>0</v>
      </c>
      <c r="J455" s="14">
        <f>IF(ISNUMBER('Klisz-Verbräuche'!K125), 'Klisz-Verbräuche'!K125*Emissionsfaktoren!I125/1000, 0)</f>
        <v>0</v>
      </c>
      <c r="K455" s="14">
        <f>IF(ISNUMBER('Klisz-Verbräuche'!L125), 'Klisz-Verbräuche'!L125*Emissionsfaktoren!J125/1000, 0)</f>
        <v>0</v>
      </c>
      <c r="L455" s="14">
        <f>IF(ISNUMBER('Klisz-Verbräuche'!M125), 'Klisz-Verbräuche'!M125*Emissionsfaktoren!K125/1000, 0)</f>
        <v>0</v>
      </c>
      <c r="M455" s="14">
        <f>IF(ISNUMBER('Klisz-Verbräuche'!N125), 'Klisz-Verbräuche'!N125*Emissionsfaktoren!L125/1000, 0)</f>
        <v>0</v>
      </c>
      <c r="N455" s="14">
        <f>IF(ISNUMBER('Klisz-Verbräuche'!O125), 'Klisz-Verbräuche'!O125*Emissionsfaktoren!M125/1000, 0)</f>
        <v>0</v>
      </c>
      <c r="O455" s="14">
        <f>IF(ISNUMBER('Klisz-Verbräuche'!P125), 'Klisz-Verbräuche'!P125*Emissionsfaktoren!N125/1000, 0)</f>
        <v>0</v>
      </c>
      <c r="P455" s="14">
        <f>IF(ISNUMBER('Klisz-Verbräuche'!Q125), 'Klisz-Verbräuche'!Q125*Emissionsfaktoren!O125/1000, 0)</f>
        <v>0</v>
      </c>
      <c r="Q455" s="14">
        <f>IF(ISNUMBER('Klisz-Verbräuche'!R125), 'Klisz-Verbräuche'!R125*Emissionsfaktoren!P125/1000, 0)</f>
        <v>0</v>
      </c>
      <c r="R455" s="14">
        <f>IF(ISNUMBER('Klisz-Verbräuche'!S125), 'Klisz-Verbräuche'!S125*Emissionsfaktoren!Q125/1000, 0)</f>
        <v>0</v>
      </c>
      <c r="S455" s="14">
        <f>IF(ISNUMBER('Klisz-Verbräuche'!T125), 'Klisz-Verbräuche'!T125*Emissionsfaktoren!R125/1000, 0)</f>
        <v>0</v>
      </c>
      <c r="T455" s="14">
        <f>IF(ISNUMBER('Klisz-Verbräuche'!U125), 'Klisz-Verbräuche'!U125*Emissionsfaktoren!S125/1000, 0)</f>
        <v>0</v>
      </c>
      <c r="U455" s="14">
        <f>IF(ISNUMBER('Klisz-Verbräuche'!V125), 'Klisz-Verbräuche'!V125*Emissionsfaktoren!T125/1000, 0)</f>
        <v>0</v>
      </c>
      <c r="V455" s="14">
        <f>IF(ISNUMBER('Klisz-Verbräuche'!W125), 'Klisz-Verbräuche'!W125*Emissionsfaktoren!U125/1000, 0)</f>
        <v>0</v>
      </c>
      <c r="W455" s="14">
        <f>IF(ISNUMBER('Klisz-Verbräuche'!X125), 'Klisz-Verbräuche'!X125*Emissionsfaktoren!V125/1000, 0)</f>
        <v>0</v>
      </c>
      <c r="X455" s="14">
        <f>IF(ISNUMBER('Klisz-Verbräuche'!Y125), 'Klisz-Verbräuche'!Y125*Emissionsfaktoren!W125/1000, 0)</f>
        <v>0</v>
      </c>
      <c r="Y455" s="14">
        <f>IF(ISNUMBER('Klisz-Verbräuche'!Z125), 'Klisz-Verbräuche'!Z125*Emissionsfaktoren!X125/1000, 0)</f>
        <v>0</v>
      </c>
    </row>
    <row r="456" spans="2:25" ht="16.5">
      <c r="B456" s="14">
        <v>110</v>
      </c>
      <c r="C456" s="14" t="str">
        <f>'Refsz-Verbräuche'!C126</f>
        <v>Abfall</v>
      </c>
      <c r="D456" s="19" t="str">
        <f>'Refsz-Verbräuche'!D126</f>
        <v>Restmüll</v>
      </c>
      <c r="E456" t="s">
        <v>195</v>
      </c>
      <c r="F456" s="14">
        <f>IF(ISNUMBER('Klisz-Verbräuche'!G126), 'Klisz-Verbräuche'!G126*Emissionsfaktoren!E126/1000, 0)</f>
        <v>0</v>
      </c>
      <c r="G456" s="14">
        <f>IF(ISNUMBER('Klisz-Verbräuche'!H126), 'Klisz-Verbräuche'!H126*Emissionsfaktoren!F126/1000, 0)</f>
        <v>0</v>
      </c>
      <c r="H456" s="14">
        <f>IF(ISNUMBER('Klisz-Verbräuche'!I126), 'Klisz-Verbräuche'!I126*Emissionsfaktoren!G126/1000, 0)</f>
        <v>0</v>
      </c>
      <c r="I456" s="14">
        <f>IF(ISNUMBER('Klisz-Verbräuche'!J126), 'Klisz-Verbräuche'!J126*Emissionsfaktoren!H126/1000, 0)</f>
        <v>0</v>
      </c>
      <c r="J456" s="14">
        <f>IF(ISNUMBER('Klisz-Verbräuche'!K126), 'Klisz-Verbräuche'!K126*Emissionsfaktoren!I126/1000, 0)</f>
        <v>0</v>
      </c>
      <c r="K456" s="14">
        <f>IF(ISNUMBER('Klisz-Verbräuche'!L126), 'Klisz-Verbräuche'!L126*Emissionsfaktoren!J126/1000, 0)</f>
        <v>0</v>
      </c>
      <c r="L456" s="14">
        <f>IF(ISNUMBER('Klisz-Verbräuche'!M126), 'Klisz-Verbräuche'!M126*Emissionsfaktoren!K126/1000, 0)</f>
        <v>0</v>
      </c>
      <c r="M456" s="14">
        <f>IF(ISNUMBER('Klisz-Verbräuche'!N126), 'Klisz-Verbräuche'!N126*Emissionsfaktoren!L126/1000, 0)</f>
        <v>0</v>
      </c>
      <c r="N456" s="14">
        <f>IF(ISNUMBER('Klisz-Verbräuche'!O126), 'Klisz-Verbräuche'!O126*Emissionsfaktoren!M126/1000, 0)</f>
        <v>0</v>
      </c>
      <c r="O456" s="14">
        <f>IF(ISNUMBER('Klisz-Verbräuche'!P126), 'Klisz-Verbräuche'!P126*Emissionsfaktoren!N126/1000, 0)</f>
        <v>0</v>
      </c>
      <c r="P456" s="14">
        <f>IF(ISNUMBER('Klisz-Verbräuche'!Q126), 'Klisz-Verbräuche'!Q126*Emissionsfaktoren!O126/1000, 0)</f>
        <v>0</v>
      </c>
      <c r="Q456" s="14">
        <f>IF(ISNUMBER('Klisz-Verbräuche'!R126), 'Klisz-Verbräuche'!R126*Emissionsfaktoren!P126/1000, 0)</f>
        <v>0</v>
      </c>
      <c r="R456" s="14">
        <f>IF(ISNUMBER('Klisz-Verbräuche'!S126), 'Klisz-Verbräuche'!S126*Emissionsfaktoren!Q126/1000, 0)</f>
        <v>0</v>
      </c>
      <c r="S456" s="14">
        <f>IF(ISNUMBER('Klisz-Verbräuche'!T126), 'Klisz-Verbräuche'!T126*Emissionsfaktoren!R126/1000, 0)</f>
        <v>0</v>
      </c>
      <c r="T456" s="14">
        <f>IF(ISNUMBER('Klisz-Verbräuche'!U126), 'Klisz-Verbräuche'!U126*Emissionsfaktoren!S126/1000, 0)</f>
        <v>0</v>
      </c>
      <c r="U456" s="14">
        <f>IF(ISNUMBER('Klisz-Verbräuche'!V126), 'Klisz-Verbräuche'!V126*Emissionsfaktoren!T126/1000, 0)</f>
        <v>0</v>
      </c>
      <c r="V456" s="14">
        <f>IF(ISNUMBER('Klisz-Verbräuche'!W126), 'Klisz-Verbräuche'!W126*Emissionsfaktoren!U126/1000, 0)</f>
        <v>0</v>
      </c>
      <c r="W456" s="14">
        <f>IF(ISNUMBER('Klisz-Verbräuche'!X126), 'Klisz-Verbräuche'!X126*Emissionsfaktoren!V126/1000, 0)</f>
        <v>0</v>
      </c>
      <c r="X456" s="14">
        <f>IF(ISNUMBER('Klisz-Verbräuche'!Y126), 'Klisz-Verbräuche'!Y126*Emissionsfaktoren!W126/1000, 0)</f>
        <v>0</v>
      </c>
      <c r="Y456" s="14">
        <f>IF(ISNUMBER('Klisz-Verbräuche'!Z126), 'Klisz-Verbräuche'!Z126*Emissionsfaktoren!X126/1000, 0)</f>
        <v>0</v>
      </c>
    </row>
    <row r="457" spans="2:25" ht="16.5">
      <c r="B457" s="14">
        <v>111</v>
      </c>
      <c r="C457" s="14" t="str">
        <f>'Refsz-Verbräuche'!C127</f>
        <v>Abfall</v>
      </c>
      <c r="D457" s="19" t="str">
        <f>'Refsz-Verbräuche'!D127</f>
        <v>Sperrmüll</v>
      </c>
      <c r="E457" t="s">
        <v>195</v>
      </c>
      <c r="F457" s="14">
        <f>IF(ISNUMBER('Klisz-Verbräuche'!G127), 'Klisz-Verbräuche'!G127*Emissionsfaktoren!E127/1000, 0)</f>
        <v>0</v>
      </c>
      <c r="G457" s="14">
        <f>IF(ISNUMBER('Klisz-Verbräuche'!H127), 'Klisz-Verbräuche'!H127*Emissionsfaktoren!F127/1000, 0)</f>
        <v>0</v>
      </c>
      <c r="H457" s="14">
        <f>IF(ISNUMBER('Klisz-Verbräuche'!I127), 'Klisz-Verbräuche'!I127*Emissionsfaktoren!G127/1000, 0)</f>
        <v>0</v>
      </c>
      <c r="I457" s="14">
        <f>IF(ISNUMBER('Klisz-Verbräuche'!J127), 'Klisz-Verbräuche'!J127*Emissionsfaktoren!H127/1000, 0)</f>
        <v>0</v>
      </c>
      <c r="J457" s="14">
        <f>IF(ISNUMBER('Klisz-Verbräuche'!K127), 'Klisz-Verbräuche'!K127*Emissionsfaktoren!I127/1000, 0)</f>
        <v>0</v>
      </c>
      <c r="K457" s="14">
        <f>IF(ISNUMBER('Klisz-Verbräuche'!L127), 'Klisz-Verbräuche'!L127*Emissionsfaktoren!J127/1000, 0)</f>
        <v>0</v>
      </c>
      <c r="L457" s="14">
        <f>IF(ISNUMBER('Klisz-Verbräuche'!M127), 'Klisz-Verbräuche'!M127*Emissionsfaktoren!K127/1000, 0)</f>
        <v>0</v>
      </c>
      <c r="M457" s="14">
        <f>IF(ISNUMBER('Klisz-Verbräuche'!N127), 'Klisz-Verbräuche'!N127*Emissionsfaktoren!L127/1000, 0)</f>
        <v>0</v>
      </c>
      <c r="N457" s="14">
        <f>IF(ISNUMBER('Klisz-Verbräuche'!O127), 'Klisz-Verbräuche'!O127*Emissionsfaktoren!M127/1000, 0)</f>
        <v>0</v>
      </c>
      <c r="O457" s="14">
        <f>IF(ISNUMBER('Klisz-Verbräuche'!P127), 'Klisz-Verbräuche'!P127*Emissionsfaktoren!N127/1000, 0)</f>
        <v>0</v>
      </c>
      <c r="P457" s="14">
        <f>IF(ISNUMBER('Klisz-Verbräuche'!Q127), 'Klisz-Verbräuche'!Q127*Emissionsfaktoren!O127/1000, 0)</f>
        <v>0</v>
      </c>
      <c r="Q457" s="14">
        <f>IF(ISNUMBER('Klisz-Verbräuche'!R127), 'Klisz-Verbräuche'!R127*Emissionsfaktoren!P127/1000, 0)</f>
        <v>0</v>
      </c>
      <c r="R457" s="14">
        <f>IF(ISNUMBER('Klisz-Verbräuche'!S127), 'Klisz-Verbräuche'!S127*Emissionsfaktoren!Q127/1000, 0)</f>
        <v>0</v>
      </c>
      <c r="S457" s="14">
        <f>IF(ISNUMBER('Klisz-Verbräuche'!T127), 'Klisz-Verbräuche'!T127*Emissionsfaktoren!R127/1000, 0)</f>
        <v>0</v>
      </c>
      <c r="T457" s="14">
        <f>IF(ISNUMBER('Klisz-Verbräuche'!U127), 'Klisz-Verbräuche'!U127*Emissionsfaktoren!S127/1000, 0)</f>
        <v>0</v>
      </c>
      <c r="U457" s="14">
        <f>IF(ISNUMBER('Klisz-Verbräuche'!V127), 'Klisz-Verbräuche'!V127*Emissionsfaktoren!T127/1000, 0)</f>
        <v>0</v>
      </c>
      <c r="V457" s="14">
        <f>IF(ISNUMBER('Klisz-Verbräuche'!W127), 'Klisz-Verbräuche'!W127*Emissionsfaktoren!U127/1000, 0)</f>
        <v>0</v>
      </c>
      <c r="W457" s="14">
        <f>IF(ISNUMBER('Klisz-Verbräuche'!X127), 'Klisz-Verbräuche'!X127*Emissionsfaktoren!V127/1000, 0)</f>
        <v>0</v>
      </c>
      <c r="X457" s="14">
        <f>IF(ISNUMBER('Klisz-Verbräuche'!Y127), 'Klisz-Verbräuche'!Y127*Emissionsfaktoren!W127/1000, 0)</f>
        <v>0</v>
      </c>
      <c r="Y457" s="14">
        <f>IF(ISNUMBER('Klisz-Verbräuche'!Z127), 'Klisz-Verbräuche'!Z127*Emissionsfaktoren!X127/1000, 0)</f>
        <v>0</v>
      </c>
    </row>
    <row r="458" spans="2:25" ht="16.5">
      <c r="B458" s="14">
        <v>112</v>
      </c>
      <c r="C458" s="14" t="str">
        <f>'Refsz-Verbräuche'!C128</f>
        <v>Abfall</v>
      </c>
      <c r="D458" s="19" t="str">
        <f>'Refsz-Verbräuche'!D128</f>
        <v>Altholz</v>
      </c>
      <c r="E458" t="s">
        <v>195</v>
      </c>
      <c r="F458" s="14">
        <f>IF(ISNUMBER('Klisz-Verbräuche'!G128), 'Klisz-Verbräuche'!G128*Emissionsfaktoren!E128/1000, 0)</f>
        <v>0</v>
      </c>
      <c r="G458" s="14">
        <f>IF(ISNUMBER('Klisz-Verbräuche'!H128), 'Klisz-Verbräuche'!H128*Emissionsfaktoren!F128/1000, 0)</f>
        <v>0</v>
      </c>
      <c r="H458" s="14">
        <f>IF(ISNUMBER('Klisz-Verbräuche'!I128), 'Klisz-Verbräuche'!I128*Emissionsfaktoren!G128/1000, 0)</f>
        <v>0</v>
      </c>
      <c r="I458" s="14">
        <f>IF(ISNUMBER('Klisz-Verbräuche'!J128), 'Klisz-Verbräuche'!J128*Emissionsfaktoren!H128/1000, 0)</f>
        <v>0</v>
      </c>
      <c r="J458" s="14">
        <f>IF(ISNUMBER('Klisz-Verbräuche'!K128), 'Klisz-Verbräuche'!K128*Emissionsfaktoren!I128/1000, 0)</f>
        <v>0</v>
      </c>
      <c r="K458" s="14">
        <f>IF(ISNUMBER('Klisz-Verbräuche'!L128), 'Klisz-Verbräuche'!L128*Emissionsfaktoren!J128/1000, 0)</f>
        <v>0</v>
      </c>
      <c r="L458" s="14">
        <f>IF(ISNUMBER('Klisz-Verbräuche'!M128), 'Klisz-Verbräuche'!M128*Emissionsfaktoren!K128/1000, 0)</f>
        <v>0</v>
      </c>
      <c r="M458" s="14">
        <f>IF(ISNUMBER('Klisz-Verbräuche'!N128), 'Klisz-Verbräuche'!N128*Emissionsfaktoren!L128/1000, 0)</f>
        <v>0</v>
      </c>
      <c r="N458" s="14">
        <f>IF(ISNUMBER('Klisz-Verbräuche'!O128), 'Klisz-Verbräuche'!O128*Emissionsfaktoren!M128/1000, 0)</f>
        <v>0</v>
      </c>
      <c r="O458" s="14">
        <f>IF(ISNUMBER('Klisz-Verbräuche'!P128), 'Klisz-Verbräuche'!P128*Emissionsfaktoren!N128/1000, 0)</f>
        <v>0</v>
      </c>
      <c r="P458" s="14">
        <f>IF(ISNUMBER('Klisz-Verbräuche'!Q128), 'Klisz-Verbräuche'!Q128*Emissionsfaktoren!O128/1000, 0)</f>
        <v>0</v>
      </c>
      <c r="Q458" s="14">
        <f>IF(ISNUMBER('Klisz-Verbräuche'!R128), 'Klisz-Verbräuche'!R128*Emissionsfaktoren!P128/1000, 0)</f>
        <v>0</v>
      </c>
      <c r="R458" s="14">
        <f>IF(ISNUMBER('Klisz-Verbräuche'!S128), 'Klisz-Verbräuche'!S128*Emissionsfaktoren!Q128/1000, 0)</f>
        <v>0</v>
      </c>
      <c r="S458" s="14">
        <f>IF(ISNUMBER('Klisz-Verbräuche'!T128), 'Klisz-Verbräuche'!T128*Emissionsfaktoren!R128/1000, 0)</f>
        <v>0</v>
      </c>
      <c r="T458" s="14">
        <f>IF(ISNUMBER('Klisz-Verbräuche'!U128), 'Klisz-Verbräuche'!U128*Emissionsfaktoren!S128/1000, 0)</f>
        <v>0</v>
      </c>
      <c r="U458" s="14">
        <f>IF(ISNUMBER('Klisz-Verbräuche'!V128), 'Klisz-Verbräuche'!V128*Emissionsfaktoren!T128/1000, 0)</f>
        <v>0</v>
      </c>
      <c r="V458" s="14">
        <f>IF(ISNUMBER('Klisz-Verbräuche'!W128), 'Klisz-Verbräuche'!W128*Emissionsfaktoren!U128/1000, 0)</f>
        <v>0</v>
      </c>
      <c r="W458" s="14">
        <f>IF(ISNUMBER('Klisz-Verbräuche'!X128), 'Klisz-Verbräuche'!X128*Emissionsfaktoren!V128/1000, 0)</f>
        <v>0</v>
      </c>
      <c r="X458" s="14">
        <f>IF(ISNUMBER('Klisz-Verbräuche'!Y128), 'Klisz-Verbräuche'!Y128*Emissionsfaktoren!W128/1000, 0)</f>
        <v>0</v>
      </c>
      <c r="Y458" s="14">
        <f>IF(ISNUMBER('Klisz-Verbräuche'!Z128), 'Klisz-Verbräuche'!Z128*Emissionsfaktoren!X128/1000, 0)</f>
        <v>0</v>
      </c>
    </row>
    <row r="459" spans="2:25" ht="16.5">
      <c r="B459" s="14">
        <v>113</v>
      </c>
      <c r="C459" s="14" t="str">
        <f>'Refsz-Verbräuche'!C129</f>
        <v>Abfall</v>
      </c>
      <c r="D459" s="19" t="str">
        <f>'Refsz-Verbräuche'!D129</f>
        <v>Altglas</v>
      </c>
      <c r="E459" t="s">
        <v>195</v>
      </c>
      <c r="F459" s="14">
        <f>IF(ISNUMBER('Klisz-Verbräuche'!G129), 'Klisz-Verbräuche'!G129*Emissionsfaktoren!E129/1000, 0)</f>
        <v>0</v>
      </c>
      <c r="G459" s="14">
        <f>IF(ISNUMBER('Klisz-Verbräuche'!H129), 'Klisz-Verbräuche'!H129*Emissionsfaktoren!F129/1000, 0)</f>
        <v>0</v>
      </c>
      <c r="H459" s="14">
        <f>IF(ISNUMBER('Klisz-Verbräuche'!I129), 'Klisz-Verbräuche'!I129*Emissionsfaktoren!G129/1000, 0)</f>
        <v>0</v>
      </c>
      <c r="I459" s="14">
        <f>IF(ISNUMBER('Klisz-Verbräuche'!J129), 'Klisz-Verbräuche'!J129*Emissionsfaktoren!H129/1000, 0)</f>
        <v>0</v>
      </c>
      <c r="J459" s="14">
        <f>IF(ISNUMBER('Klisz-Verbräuche'!K129), 'Klisz-Verbräuche'!K129*Emissionsfaktoren!I129/1000, 0)</f>
        <v>0</v>
      </c>
      <c r="K459" s="14">
        <f>IF(ISNUMBER('Klisz-Verbräuche'!L129), 'Klisz-Verbräuche'!L129*Emissionsfaktoren!J129/1000, 0)</f>
        <v>0</v>
      </c>
      <c r="L459" s="14">
        <f>IF(ISNUMBER('Klisz-Verbräuche'!M129), 'Klisz-Verbräuche'!M129*Emissionsfaktoren!K129/1000, 0)</f>
        <v>0</v>
      </c>
      <c r="M459" s="14">
        <f>IF(ISNUMBER('Klisz-Verbräuche'!N129), 'Klisz-Verbräuche'!N129*Emissionsfaktoren!L129/1000, 0)</f>
        <v>0</v>
      </c>
      <c r="N459" s="14">
        <f>IF(ISNUMBER('Klisz-Verbräuche'!O129), 'Klisz-Verbräuche'!O129*Emissionsfaktoren!M129/1000, 0)</f>
        <v>0</v>
      </c>
      <c r="O459" s="14">
        <f>IF(ISNUMBER('Klisz-Verbräuche'!P129), 'Klisz-Verbräuche'!P129*Emissionsfaktoren!N129/1000, 0)</f>
        <v>0</v>
      </c>
      <c r="P459" s="14">
        <f>IF(ISNUMBER('Klisz-Verbräuche'!Q129), 'Klisz-Verbräuche'!Q129*Emissionsfaktoren!O129/1000, 0)</f>
        <v>0</v>
      </c>
      <c r="Q459" s="14">
        <f>IF(ISNUMBER('Klisz-Verbräuche'!R129), 'Klisz-Verbräuche'!R129*Emissionsfaktoren!P129/1000, 0)</f>
        <v>0</v>
      </c>
      <c r="R459" s="14">
        <f>IF(ISNUMBER('Klisz-Verbräuche'!S129), 'Klisz-Verbräuche'!S129*Emissionsfaktoren!Q129/1000, 0)</f>
        <v>0</v>
      </c>
      <c r="S459" s="14">
        <f>IF(ISNUMBER('Klisz-Verbräuche'!T129), 'Klisz-Verbräuche'!T129*Emissionsfaktoren!R129/1000, 0)</f>
        <v>0</v>
      </c>
      <c r="T459" s="14">
        <f>IF(ISNUMBER('Klisz-Verbräuche'!U129), 'Klisz-Verbräuche'!U129*Emissionsfaktoren!S129/1000, 0)</f>
        <v>0</v>
      </c>
      <c r="U459" s="14">
        <f>IF(ISNUMBER('Klisz-Verbräuche'!V129), 'Klisz-Verbräuche'!V129*Emissionsfaktoren!T129/1000, 0)</f>
        <v>0</v>
      </c>
      <c r="V459" s="14">
        <f>IF(ISNUMBER('Klisz-Verbräuche'!W129), 'Klisz-Verbräuche'!W129*Emissionsfaktoren!U129/1000, 0)</f>
        <v>0</v>
      </c>
      <c r="W459" s="14">
        <f>IF(ISNUMBER('Klisz-Verbräuche'!X129), 'Klisz-Verbräuche'!X129*Emissionsfaktoren!V129/1000, 0)</f>
        <v>0</v>
      </c>
      <c r="X459" s="14">
        <f>IF(ISNUMBER('Klisz-Verbräuche'!Y129), 'Klisz-Verbräuche'!Y129*Emissionsfaktoren!W129/1000, 0)</f>
        <v>0</v>
      </c>
      <c r="Y459" s="14">
        <f>IF(ISNUMBER('Klisz-Verbräuche'!Z129), 'Klisz-Verbräuche'!Z129*Emissionsfaktoren!X129/1000, 0)</f>
        <v>0</v>
      </c>
    </row>
    <row r="460" spans="2:25" ht="16.5">
      <c r="B460" s="14">
        <v>114</v>
      </c>
      <c r="C460" s="14" t="str">
        <f>'Refsz-Verbräuche'!C130</f>
        <v>Abfall</v>
      </c>
      <c r="D460" s="19" t="str">
        <f>'Refsz-Verbräuche'!D130</f>
        <v>E-Großgeräte (Abfall)</v>
      </c>
      <c r="E460" t="s">
        <v>195</v>
      </c>
      <c r="F460" s="14">
        <f>IF(ISNUMBER('Klisz-Verbräuche'!G130), 'Klisz-Verbräuche'!G130*Emissionsfaktoren!E130/1000, 0)</f>
        <v>0</v>
      </c>
      <c r="G460" s="14">
        <f>IF(ISNUMBER('Klisz-Verbräuche'!H130), 'Klisz-Verbräuche'!H130*Emissionsfaktoren!F130/1000, 0)</f>
        <v>0</v>
      </c>
      <c r="H460" s="14">
        <f>IF(ISNUMBER('Klisz-Verbräuche'!I130), 'Klisz-Verbräuche'!I130*Emissionsfaktoren!G130/1000, 0)</f>
        <v>0</v>
      </c>
      <c r="I460" s="14">
        <f>IF(ISNUMBER('Klisz-Verbräuche'!J130), 'Klisz-Verbräuche'!J130*Emissionsfaktoren!H130/1000, 0)</f>
        <v>0</v>
      </c>
      <c r="J460" s="14">
        <f>IF(ISNUMBER('Klisz-Verbräuche'!K130), 'Klisz-Verbräuche'!K130*Emissionsfaktoren!I130/1000, 0)</f>
        <v>0</v>
      </c>
      <c r="K460" s="14">
        <f>IF(ISNUMBER('Klisz-Verbräuche'!L130), 'Klisz-Verbräuche'!L130*Emissionsfaktoren!J130/1000, 0)</f>
        <v>0</v>
      </c>
      <c r="L460" s="14">
        <f>IF(ISNUMBER('Klisz-Verbräuche'!M130), 'Klisz-Verbräuche'!M130*Emissionsfaktoren!K130/1000, 0)</f>
        <v>0</v>
      </c>
      <c r="M460" s="14">
        <f>IF(ISNUMBER('Klisz-Verbräuche'!N130), 'Klisz-Verbräuche'!N130*Emissionsfaktoren!L130/1000, 0)</f>
        <v>0</v>
      </c>
      <c r="N460" s="14">
        <f>IF(ISNUMBER('Klisz-Verbräuche'!O130), 'Klisz-Verbräuche'!O130*Emissionsfaktoren!M130/1000, 0)</f>
        <v>0</v>
      </c>
      <c r="O460" s="14">
        <f>IF(ISNUMBER('Klisz-Verbräuche'!P130), 'Klisz-Verbräuche'!P130*Emissionsfaktoren!N130/1000, 0)</f>
        <v>0</v>
      </c>
      <c r="P460" s="14">
        <f>IF(ISNUMBER('Klisz-Verbräuche'!Q130), 'Klisz-Verbräuche'!Q130*Emissionsfaktoren!O130/1000, 0)</f>
        <v>0</v>
      </c>
      <c r="Q460" s="14">
        <f>IF(ISNUMBER('Klisz-Verbräuche'!R130), 'Klisz-Verbräuche'!R130*Emissionsfaktoren!P130/1000, 0)</f>
        <v>0</v>
      </c>
      <c r="R460" s="14">
        <f>IF(ISNUMBER('Klisz-Verbräuche'!S130), 'Klisz-Verbräuche'!S130*Emissionsfaktoren!Q130/1000, 0)</f>
        <v>0</v>
      </c>
      <c r="S460" s="14">
        <f>IF(ISNUMBER('Klisz-Verbräuche'!T130), 'Klisz-Verbräuche'!T130*Emissionsfaktoren!R130/1000, 0)</f>
        <v>0</v>
      </c>
      <c r="T460" s="14">
        <f>IF(ISNUMBER('Klisz-Verbräuche'!U130), 'Klisz-Verbräuche'!U130*Emissionsfaktoren!S130/1000, 0)</f>
        <v>0</v>
      </c>
      <c r="U460" s="14">
        <f>IF(ISNUMBER('Klisz-Verbräuche'!V130), 'Klisz-Verbräuche'!V130*Emissionsfaktoren!T130/1000, 0)</f>
        <v>0</v>
      </c>
      <c r="V460" s="14">
        <f>IF(ISNUMBER('Klisz-Verbräuche'!W130), 'Klisz-Verbräuche'!W130*Emissionsfaktoren!U130/1000, 0)</f>
        <v>0</v>
      </c>
      <c r="W460" s="14">
        <f>IF(ISNUMBER('Klisz-Verbräuche'!X130), 'Klisz-Verbräuche'!X130*Emissionsfaktoren!V130/1000, 0)</f>
        <v>0</v>
      </c>
      <c r="X460" s="14">
        <f>IF(ISNUMBER('Klisz-Verbräuche'!Y130), 'Klisz-Verbräuche'!Y130*Emissionsfaktoren!W130/1000, 0)</f>
        <v>0</v>
      </c>
      <c r="Y460" s="14">
        <f>IF(ISNUMBER('Klisz-Verbräuche'!Z130), 'Klisz-Verbräuche'!Z130*Emissionsfaktoren!X130/1000, 0)</f>
        <v>0</v>
      </c>
    </row>
    <row r="461" spans="2:25" ht="16.5">
      <c r="B461" s="14">
        <v>115</v>
      </c>
      <c r="C461" s="14" t="str">
        <f>'Refsz-Verbräuche'!C131</f>
        <v>Abfall</v>
      </c>
      <c r="D461" s="19" t="str">
        <f>'Refsz-Verbräuche'!D131</f>
        <v>Metalle (Abfall)</v>
      </c>
      <c r="E461" t="s">
        <v>195</v>
      </c>
      <c r="F461" s="14">
        <f>IF(ISNUMBER('Klisz-Verbräuche'!G131), 'Klisz-Verbräuche'!G131*Emissionsfaktoren!E131/1000, 0)</f>
        <v>0</v>
      </c>
      <c r="G461" s="14">
        <f>IF(ISNUMBER('Klisz-Verbräuche'!H131), 'Klisz-Verbräuche'!H131*Emissionsfaktoren!F131/1000, 0)</f>
        <v>0</v>
      </c>
      <c r="H461" s="14">
        <f>IF(ISNUMBER('Klisz-Verbräuche'!I131), 'Klisz-Verbräuche'!I131*Emissionsfaktoren!G131/1000, 0)</f>
        <v>0</v>
      </c>
      <c r="I461" s="14">
        <f>IF(ISNUMBER('Klisz-Verbräuche'!J131), 'Klisz-Verbräuche'!J131*Emissionsfaktoren!H131/1000, 0)</f>
        <v>0</v>
      </c>
      <c r="J461" s="14">
        <f>IF(ISNUMBER('Klisz-Verbräuche'!K131), 'Klisz-Verbräuche'!K131*Emissionsfaktoren!I131/1000, 0)</f>
        <v>0</v>
      </c>
      <c r="K461" s="14">
        <f>IF(ISNUMBER('Klisz-Verbräuche'!L131), 'Klisz-Verbräuche'!L131*Emissionsfaktoren!J131/1000, 0)</f>
        <v>0</v>
      </c>
      <c r="L461" s="14">
        <f>IF(ISNUMBER('Klisz-Verbräuche'!M131), 'Klisz-Verbräuche'!M131*Emissionsfaktoren!K131/1000, 0)</f>
        <v>0</v>
      </c>
      <c r="M461" s="14">
        <f>IF(ISNUMBER('Klisz-Verbräuche'!N131), 'Klisz-Verbräuche'!N131*Emissionsfaktoren!L131/1000, 0)</f>
        <v>0</v>
      </c>
      <c r="N461" s="14">
        <f>IF(ISNUMBER('Klisz-Verbräuche'!O131), 'Klisz-Verbräuche'!O131*Emissionsfaktoren!M131/1000, 0)</f>
        <v>0</v>
      </c>
      <c r="O461" s="14">
        <f>IF(ISNUMBER('Klisz-Verbräuche'!P131), 'Klisz-Verbräuche'!P131*Emissionsfaktoren!N131/1000, 0)</f>
        <v>0</v>
      </c>
      <c r="P461" s="14">
        <f>IF(ISNUMBER('Klisz-Verbräuche'!Q131), 'Klisz-Verbräuche'!Q131*Emissionsfaktoren!O131/1000, 0)</f>
        <v>0</v>
      </c>
      <c r="Q461" s="14">
        <f>IF(ISNUMBER('Klisz-Verbräuche'!R131), 'Klisz-Verbräuche'!R131*Emissionsfaktoren!P131/1000, 0)</f>
        <v>0</v>
      </c>
      <c r="R461" s="14">
        <f>IF(ISNUMBER('Klisz-Verbräuche'!S131), 'Klisz-Verbräuche'!S131*Emissionsfaktoren!Q131/1000, 0)</f>
        <v>0</v>
      </c>
      <c r="S461" s="14">
        <f>IF(ISNUMBER('Klisz-Verbräuche'!T131), 'Klisz-Verbräuche'!T131*Emissionsfaktoren!R131/1000, 0)</f>
        <v>0</v>
      </c>
      <c r="T461" s="14">
        <f>IF(ISNUMBER('Klisz-Verbräuche'!U131), 'Klisz-Verbräuche'!U131*Emissionsfaktoren!S131/1000, 0)</f>
        <v>0</v>
      </c>
      <c r="U461" s="14">
        <f>IF(ISNUMBER('Klisz-Verbräuche'!V131), 'Klisz-Verbräuche'!V131*Emissionsfaktoren!T131/1000, 0)</f>
        <v>0</v>
      </c>
      <c r="V461" s="14">
        <f>IF(ISNUMBER('Klisz-Verbräuche'!W131), 'Klisz-Verbräuche'!W131*Emissionsfaktoren!U131/1000, 0)</f>
        <v>0</v>
      </c>
      <c r="W461" s="14">
        <f>IF(ISNUMBER('Klisz-Verbräuche'!X131), 'Klisz-Verbräuche'!X131*Emissionsfaktoren!V131/1000, 0)</f>
        <v>0</v>
      </c>
      <c r="X461" s="14">
        <f>IF(ISNUMBER('Klisz-Verbräuche'!Y131), 'Klisz-Verbräuche'!Y131*Emissionsfaktoren!W131/1000, 0)</f>
        <v>0</v>
      </c>
      <c r="Y461" s="14">
        <f>IF(ISNUMBER('Klisz-Verbräuche'!Z131), 'Klisz-Verbräuche'!Z131*Emissionsfaktoren!X131/1000, 0)</f>
        <v>0</v>
      </c>
    </row>
    <row r="462" spans="2:25" ht="16.5">
      <c r="B462" s="14">
        <v>116</v>
      </c>
      <c r="C462" s="14" t="str">
        <f>'Refsz-Verbräuche'!C132</f>
        <v>Abfall</v>
      </c>
      <c r="D462" s="19" t="str">
        <f>'Refsz-Verbräuche'!D132</f>
        <v>Bauschutt</v>
      </c>
      <c r="E462" t="s">
        <v>195</v>
      </c>
      <c r="F462" s="14">
        <f>IF(ISNUMBER('Klisz-Verbräuche'!G132), 'Klisz-Verbräuche'!G132*Emissionsfaktoren!E132/1000, 0)</f>
        <v>0</v>
      </c>
      <c r="G462" s="14">
        <f>IF(ISNUMBER('Klisz-Verbräuche'!H132), 'Klisz-Verbräuche'!H132*Emissionsfaktoren!F132/1000, 0)</f>
        <v>0</v>
      </c>
      <c r="H462" s="14">
        <f>IF(ISNUMBER('Klisz-Verbräuche'!I132), 'Klisz-Verbräuche'!I132*Emissionsfaktoren!G132/1000, 0)</f>
        <v>0</v>
      </c>
      <c r="I462" s="14">
        <f>IF(ISNUMBER('Klisz-Verbräuche'!J132), 'Klisz-Verbräuche'!J132*Emissionsfaktoren!H132/1000, 0)</f>
        <v>0</v>
      </c>
      <c r="J462" s="14">
        <f>IF(ISNUMBER('Klisz-Verbräuche'!K132), 'Klisz-Verbräuche'!K132*Emissionsfaktoren!I132/1000, 0)</f>
        <v>0</v>
      </c>
      <c r="K462" s="14">
        <f>IF(ISNUMBER('Klisz-Verbräuche'!L132), 'Klisz-Verbräuche'!L132*Emissionsfaktoren!J132/1000, 0)</f>
        <v>0</v>
      </c>
      <c r="L462" s="14">
        <f>IF(ISNUMBER('Klisz-Verbräuche'!M132), 'Klisz-Verbräuche'!M132*Emissionsfaktoren!K132/1000, 0)</f>
        <v>0</v>
      </c>
      <c r="M462" s="14">
        <f>IF(ISNUMBER('Klisz-Verbräuche'!N132), 'Klisz-Verbräuche'!N132*Emissionsfaktoren!L132/1000, 0)</f>
        <v>0</v>
      </c>
      <c r="N462" s="14">
        <f>IF(ISNUMBER('Klisz-Verbräuche'!O132), 'Klisz-Verbräuche'!O132*Emissionsfaktoren!M132/1000, 0)</f>
        <v>0</v>
      </c>
      <c r="O462" s="14">
        <f>IF(ISNUMBER('Klisz-Verbräuche'!P132), 'Klisz-Verbräuche'!P132*Emissionsfaktoren!N132/1000, 0)</f>
        <v>0</v>
      </c>
      <c r="P462" s="14">
        <f>IF(ISNUMBER('Klisz-Verbräuche'!Q132), 'Klisz-Verbräuche'!Q132*Emissionsfaktoren!O132/1000, 0)</f>
        <v>0</v>
      </c>
      <c r="Q462" s="14">
        <f>IF(ISNUMBER('Klisz-Verbräuche'!R132), 'Klisz-Verbräuche'!R132*Emissionsfaktoren!P132/1000, 0)</f>
        <v>0</v>
      </c>
      <c r="R462" s="14">
        <f>IF(ISNUMBER('Klisz-Verbräuche'!S132), 'Klisz-Verbräuche'!S132*Emissionsfaktoren!Q132/1000, 0)</f>
        <v>0</v>
      </c>
      <c r="S462" s="14">
        <f>IF(ISNUMBER('Klisz-Verbräuche'!T132), 'Klisz-Verbräuche'!T132*Emissionsfaktoren!R132/1000, 0)</f>
        <v>0</v>
      </c>
      <c r="T462" s="14">
        <f>IF(ISNUMBER('Klisz-Verbräuche'!U132), 'Klisz-Verbräuche'!U132*Emissionsfaktoren!S132/1000, 0)</f>
        <v>0</v>
      </c>
      <c r="U462" s="14">
        <f>IF(ISNUMBER('Klisz-Verbräuche'!V132), 'Klisz-Verbräuche'!V132*Emissionsfaktoren!T132/1000, 0)</f>
        <v>0</v>
      </c>
      <c r="V462" s="14">
        <f>IF(ISNUMBER('Klisz-Verbräuche'!W132), 'Klisz-Verbräuche'!W132*Emissionsfaktoren!U132/1000, 0)</f>
        <v>0</v>
      </c>
      <c r="W462" s="14">
        <f>IF(ISNUMBER('Klisz-Verbräuche'!X132), 'Klisz-Verbräuche'!X132*Emissionsfaktoren!V132/1000, 0)</f>
        <v>0</v>
      </c>
      <c r="X462" s="14">
        <f>IF(ISNUMBER('Klisz-Verbräuche'!Y132), 'Klisz-Verbräuche'!Y132*Emissionsfaktoren!W132/1000, 0)</f>
        <v>0</v>
      </c>
      <c r="Y462" s="14">
        <f>IF(ISNUMBER('Klisz-Verbräuche'!Z132), 'Klisz-Verbräuche'!Z132*Emissionsfaktoren!X132/1000, 0)</f>
        <v>0</v>
      </c>
    </row>
    <row r="463" spans="2:25" ht="16.5">
      <c r="B463" s="14">
        <v>117</v>
      </c>
      <c r="C463" s="14">
        <f>'Refsz-Verbräuche'!C133</f>
        <v>0</v>
      </c>
      <c r="D463" s="19">
        <f>'Refsz-Verbräuche'!D133</f>
        <v>0</v>
      </c>
      <c r="E463" t="s">
        <v>195</v>
      </c>
      <c r="F463" s="14">
        <f>IF(ISNUMBER('Klisz-Verbräuche'!G133), 'Klisz-Verbräuche'!G133*Emissionsfaktoren!E133/1000, 0)</f>
        <v>0</v>
      </c>
      <c r="G463" s="14">
        <f>IF(ISNUMBER('Klisz-Verbräuche'!H133), 'Klisz-Verbräuche'!H133*Emissionsfaktoren!F133/1000, 0)</f>
        <v>0</v>
      </c>
      <c r="H463" s="14">
        <f>IF(ISNUMBER('Klisz-Verbräuche'!I133), 'Klisz-Verbräuche'!I133*Emissionsfaktoren!G133/1000, 0)</f>
        <v>0</v>
      </c>
      <c r="I463" s="14">
        <f>IF(ISNUMBER('Klisz-Verbräuche'!J133), 'Klisz-Verbräuche'!J133*Emissionsfaktoren!H133/1000, 0)</f>
        <v>0</v>
      </c>
      <c r="J463" s="14">
        <f>IF(ISNUMBER('Klisz-Verbräuche'!K133), 'Klisz-Verbräuche'!K133*Emissionsfaktoren!I133/1000, 0)</f>
        <v>0</v>
      </c>
      <c r="K463" s="14">
        <f>IF(ISNUMBER('Klisz-Verbräuche'!L133), 'Klisz-Verbräuche'!L133*Emissionsfaktoren!J133/1000, 0)</f>
        <v>0</v>
      </c>
      <c r="L463" s="14">
        <f>IF(ISNUMBER('Klisz-Verbräuche'!M133), 'Klisz-Verbräuche'!M133*Emissionsfaktoren!K133/1000, 0)</f>
        <v>0</v>
      </c>
      <c r="M463" s="14">
        <f>IF(ISNUMBER('Klisz-Verbräuche'!N133), 'Klisz-Verbräuche'!N133*Emissionsfaktoren!L133/1000, 0)</f>
        <v>0</v>
      </c>
      <c r="N463" s="14">
        <f>IF(ISNUMBER('Klisz-Verbräuche'!O133), 'Klisz-Verbräuche'!O133*Emissionsfaktoren!M133/1000, 0)</f>
        <v>0</v>
      </c>
      <c r="O463" s="14">
        <f>IF(ISNUMBER('Klisz-Verbräuche'!P133), 'Klisz-Verbräuche'!P133*Emissionsfaktoren!N133/1000, 0)</f>
        <v>0</v>
      </c>
      <c r="P463" s="14">
        <f>IF(ISNUMBER('Klisz-Verbräuche'!Q133), 'Klisz-Verbräuche'!Q133*Emissionsfaktoren!O133/1000, 0)</f>
        <v>0</v>
      </c>
      <c r="Q463" s="14">
        <f>IF(ISNUMBER('Klisz-Verbräuche'!R133), 'Klisz-Verbräuche'!R133*Emissionsfaktoren!P133/1000, 0)</f>
        <v>0</v>
      </c>
      <c r="R463" s="14">
        <f>IF(ISNUMBER('Klisz-Verbräuche'!S133), 'Klisz-Verbräuche'!S133*Emissionsfaktoren!Q133/1000, 0)</f>
        <v>0</v>
      </c>
      <c r="S463" s="14">
        <f>IF(ISNUMBER('Klisz-Verbräuche'!T133), 'Klisz-Verbräuche'!T133*Emissionsfaktoren!R133/1000, 0)</f>
        <v>0</v>
      </c>
      <c r="T463" s="14">
        <f>IF(ISNUMBER('Klisz-Verbräuche'!U133), 'Klisz-Verbräuche'!U133*Emissionsfaktoren!S133/1000, 0)</f>
        <v>0</v>
      </c>
      <c r="U463" s="14">
        <f>IF(ISNUMBER('Klisz-Verbräuche'!V133), 'Klisz-Verbräuche'!V133*Emissionsfaktoren!T133/1000, 0)</f>
        <v>0</v>
      </c>
      <c r="V463" s="14">
        <f>IF(ISNUMBER('Klisz-Verbräuche'!W133), 'Klisz-Verbräuche'!W133*Emissionsfaktoren!U133/1000, 0)</f>
        <v>0</v>
      </c>
      <c r="W463" s="14">
        <f>IF(ISNUMBER('Klisz-Verbräuche'!X133), 'Klisz-Verbräuche'!X133*Emissionsfaktoren!V133/1000, 0)</f>
        <v>0</v>
      </c>
      <c r="X463" s="14">
        <f>IF(ISNUMBER('Klisz-Verbräuche'!Y133), 'Klisz-Verbräuche'!Y133*Emissionsfaktoren!W133/1000, 0)</f>
        <v>0</v>
      </c>
      <c r="Y463" s="14">
        <f>IF(ISNUMBER('Klisz-Verbräuche'!Z133), 'Klisz-Verbräuche'!Z133*Emissionsfaktoren!X133/1000, 0)</f>
        <v>0</v>
      </c>
    </row>
    <row r="464" spans="2:25" ht="16.5">
      <c r="B464" s="14">
        <v>118</v>
      </c>
      <c r="C464" s="14" t="str">
        <f>'Refsz-Verbräuche'!C134</f>
        <v>Baugüter</v>
      </c>
      <c r="D464" s="19" t="str">
        <f>'Refsz-Verbräuche'!D134</f>
        <v>Branntkalk</v>
      </c>
      <c r="E464" t="s">
        <v>195</v>
      </c>
      <c r="F464" s="14">
        <f>IF(ISNUMBER('Klisz-Verbräuche'!G134), 'Klisz-Verbräuche'!G134*Emissionsfaktoren!E134/1000, 0)</f>
        <v>0</v>
      </c>
      <c r="G464" s="14">
        <f>IF(ISNUMBER('Klisz-Verbräuche'!H134), 'Klisz-Verbräuche'!H134*Emissionsfaktoren!F134/1000, 0)</f>
        <v>0</v>
      </c>
      <c r="H464" s="14">
        <f>IF(ISNUMBER('Klisz-Verbräuche'!I134), 'Klisz-Verbräuche'!I134*Emissionsfaktoren!G134/1000, 0)</f>
        <v>0</v>
      </c>
      <c r="I464" s="14">
        <f>IF(ISNUMBER('Klisz-Verbräuche'!J134), 'Klisz-Verbräuche'!J134*Emissionsfaktoren!H134/1000, 0)</f>
        <v>0</v>
      </c>
      <c r="J464" s="14">
        <f>IF(ISNUMBER('Klisz-Verbräuche'!K134), 'Klisz-Verbräuche'!K134*Emissionsfaktoren!I134/1000, 0)</f>
        <v>0</v>
      </c>
      <c r="K464" s="14">
        <f>IF(ISNUMBER('Klisz-Verbräuche'!L134), 'Klisz-Verbräuche'!L134*Emissionsfaktoren!J134/1000, 0)</f>
        <v>0</v>
      </c>
      <c r="L464" s="14">
        <f>IF(ISNUMBER('Klisz-Verbräuche'!M134), 'Klisz-Verbräuche'!M134*Emissionsfaktoren!K134/1000, 0)</f>
        <v>0</v>
      </c>
      <c r="M464" s="14">
        <f>IF(ISNUMBER('Klisz-Verbräuche'!N134), 'Klisz-Verbräuche'!N134*Emissionsfaktoren!L134/1000, 0)</f>
        <v>0</v>
      </c>
      <c r="N464" s="14">
        <f>IF(ISNUMBER('Klisz-Verbräuche'!O134), 'Klisz-Verbräuche'!O134*Emissionsfaktoren!M134/1000, 0)</f>
        <v>0</v>
      </c>
      <c r="O464" s="14">
        <f>IF(ISNUMBER('Klisz-Verbräuche'!P134), 'Klisz-Verbräuche'!P134*Emissionsfaktoren!N134/1000, 0)</f>
        <v>0</v>
      </c>
      <c r="P464" s="14">
        <f>IF(ISNUMBER('Klisz-Verbräuche'!Q134), 'Klisz-Verbräuche'!Q134*Emissionsfaktoren!O134/1000, 0)</f>
        <v>0</v>
      </c>
      <c r="Q464" s="14">
        <f>IF(ISNUMBER('Klisz-Verbräuche'!R134), 'Klisz-Verbräuche'!R134*Emissionsfaktoren!P134/1000, 0)</f>
        <v>0</v>
      </c>
      <c r="R464" s="14">
        <f>IF(ISNUMBER('Klisz-Verbräuche'!S134), 'Klisz-Verbräuche'!S134*Emissionsfaktoren!Q134/1000, 0)</f>
        <v>0</v>
      </c>
      <c r="S464" s="14">
        <f>IF(ISNUMBER('Klisz-Verbräuche'!T134), 'Klisz-Verbräuche'!T134*Emissionsfaktoren!R134/1000, 0)</f>
        <v>0</v>
      </c>
      <c r="T464" s="14">
        <f>IF(ISNUMBER('Klisz-Verbräuche'!U134), 'Klisz-Verbräuche'!U134*Emissionsfaktoren!S134/1000, 0)</f>
        <v>0</v>
      </c>
      <c r="U464" s="14">
        <f>IF(ISNUMBER('Klisz-Verbräuche'!V134), 'Klisz-Verbräuche'!V134*Emissionsfaktoren!T134/1000, 0)</f>
        <v>0</v>
      </c>
      <c r="V464" s="14">
        <f>IF(ISNUMBER('Klisz-Verbräuche'!W134), 'Klisz-Verbräuche'!W134*Emissionsfaktoren!U134/1000, 0)</f>
        <v>0</v>
      </c>
      <c r="W464" s="14">
        <f>IF(ISNUMBER('Klisz-Verbräuche'!X134), 'Klisz-Verbräuche'!X134*Emissionsfaktoren!V134/1000, 0)</f>
        <v>0</v>
      </c>
      <c r="X464" s="14">
        <f>IF(ISNUMBER('Klisz-Verbräuche'!Y134), 'Klisz-Verbräuche'!Y134*Emissionsfaktoren!W134/1000, 0)</f>
        <v>0</v>
      </c>
      <c r="Y464" s="14">
        <f>IF(ISNUMBER('Klisz-Verbräuche'!Z134), 'Klisz-Verbräuche'!Z134*Emissionsfaktoren!X134/1000, 0)</f>
        <v>0</v>
      </c>
    </row>
    <row r="465" spans="2:25" ht="16.5">
      <c r="B465" s="14">
        <v>119</v>
      </c>
      <c r="C465" s="14" t="str">
        <f>'Refsz-Verbräuche'!C135</f>
        <v>Baugüter</v>
      </c>
      <c r="D465" s="19" t="str">
        <f>'Refsz-Verbräuche'!D135</f>
        <v>Gips</v>
      </c>
      <c r="E465" t="s">
        <v>195</v>
      </c>
      <c r="F465" s="14">
        <f>IF(ISNUMBER('Klisz-Verbräuche'!G135), 'Klisz-Verbräuche'!G135*Emissionsfaktoren!E135/1000, 0)</f>
        <v>0</v>
      </c>
      <c r="G465" s="14">
        <f>IF(ISNUMBER('Klisz-Verbräuche'!H135), 'Klisz-Verbräuche'!H135*Emissionsfaktoren!F135/1000, 0)</f>
        <v>0</v>
      </c>
      <c r="H465" s="14">
        <f>IF(ISNUMBER('Klisz-Verbräuche'!I135), 'Klisz-Verbräuche'!I135*Emissionsfaktoren!G135/1000, 0)</f>
        <v>0</v>
      </c>
      <c r="I465" s="14">
        <f>IF(ISNUMBER('Klisz-Verbräuche'!J135), 'Klisz-Verbräuche'!J135*Emissionsfaktoren!H135/1000, 0)</f>
        <v>0</v>
      </c>
      <c r="J465" s="14">
        <f>IF(ISNUMBER('Klisz-Verbräuche'!K135), 'Klisz-Verbräuche'!K135*Emissionsfaktoren!I135/1000, 0)</f>
        <v>0</v>
      </c>
      <c r="K465" s="14">
        <f>IF(ISNUMBER('Klisz-Verbräuche'!L135), 'Klisz-Verbräuche'!L135*Emissionsfaktoren!J135/1000, 0)</f>
        <v>0</v>
      </c>
      <c r="L465" s="14">
        <f>IF(ISNUMBER('Klisz-Verbräuche'!M135), 'Klisz-Verbräuche'!M135*Emissionsfaktoren!K135/1000, 0)</f>
        <v>0</v>
      </c>
      <c r="M465" s="14">
        <f>IF(ISNUMBER('Klisz-Verbräuche'!N135), 'Klisz-Verbräuche'!N135*Emissionsfaktoren!L135/1000, 0)</f>
        <v>0</v>
      </c>
      <c r="N465" s="14">
        <f>IF(ISNUMBER('Klisz-Verbräuche'!O135), 'Klisz-Verbräuche'!O135*Emissionsfaktoren!M135/1000, 0)</f>
        <v>0</v>
      </c>
      <c r="O465" s="14">
        <f>IF(ISNUMBER('Klisz-Verbräuche'!P135), 'Klisz-Verbräuche'!P135*Emissionsfaktoren!N135/1000, 0)</f>
        <v>0</v>
      </c>
      <c r="P465" s="14">
        <f>IF(ISNUMBER('Klisz-Verbräuche'!Q135), 'Klisz-Verbräuche'!Q135*Emissionsfaktoren!O135/1000, 0)</f>
        <v>0</v>
      </c>
      <c r="Q465" s="14">
        <f>IF(ISNUMBER('Klisz-Verbräuche'!R135), 'Klisz-Verbräuche'!R135*Emissionsfaktoren!P135/1000, 0)</f>
        <v>0</v>
      </c>
      <c r="R465" s="14">
        <f>IF(ISNUMBER('Klisz-Verbräuche'!S135), 'Klisz-Verbräuche'!S135*Emissionsfaktoren!Q135/1000, 0)</f>
        <v>0</v>
      </c>
      <c r="S465" s="14">
        <f>IF(ISNUMBER('Klisz-Verbräuche'!T135), 'Klisz-Verbräuche'!T135*Emissionsfaktoren!R135/1000, 0)</f>
        <v>0</v>
      </c>
      <c r="T465" s="14">
        <f>IF(ISNUMBER('Klisz-Verbräuche'!U135), 'Klisz-Verbräuche'!U135*Emissionsfaktoren!S135/1000, 0)</f>
        <v>0</v>
      </c>
      <c r="U465" s="14">
        <f>IF(ISNUMBER('Klisz-Verbräuche'!V135), 'Klisz-Verbräuche'!V135*Emissionsfaktoren!T135/1000, 0)</f>
        <v>0</v>
      </c>
      <c r="V465" s="14">
        <f>IF(ISNUMBER('Klisz-Verbräuche'!W135), 'Klisz-Verbräuche'!W135*Emissionsfaktoren!U135/1000, 0)</f>
        <v>0</v>
      </c>
      <c r="W465" s="14">
        <f>IF(ISNUMBER('Klisz-Verbräuche'!X135), 'Klisz-Verbräuche'!X135*Emissionsfaktoren!V135/1000, 0)</f>
        <v>0</v>
      </c>
      <c r="X465" s="14">
        <f>IF(ISNUMBER('Klisz-Verbräuche'!Y135), 'Klisz-Verbräuche'!Y135*Emissionsfaktoren!W135/1000, 0)</f>
        <v>0</v>
      </c>
      <c r="Y465" s="14">
        <f>IF(ISNUMBER('Klisz-Verbräuche'!Z135), 'Klisz-Verbräuche'!Z135*Emissionsfaktoren!X135/1000, 0)</f>
        <v>0</v>
      </c>
    </row>
    <row r="466" spans="2:25" ht="16.5">
      <c r="B466" s="14">
        <v>120</v>
      </c>
      <c r="C466" s="14" t="str">
        <f>'Refsz-Verbräuche'!C136</f>
        <v>Baugüter</v>
      </c>
      <c r="D466" s="19" t="str">
        <f>'Refsz-Verbräuche'!D136</f>
        <v>Gipsplatte</v>
      </c>
      <c r="E466" t="s">
        <v>195</v>
      </c>
      <c r="F466" s="14">
        <f>IF(ISNUMBER('Klisz-Verbräuche'!G136), 'Klisz-Verbräuche'!G136*Emissionsfaktoren!E136/1000, 0)</f>
        <v>0</v>
      </c>
      <c r="G466" s="14">
        <f>IF(ISNUMBER('Klisz-Verbräuche'!H136), 'Klisz-Verbräuche'!H136*Emissionsfaktoren!F136/1000, 0)</f>
        <v>0</v>
      </c>
      <c r="H466" s="14">
        <f>IF(ISNUMBER('Klisz-Verbräuche'!I136), 'Klisz-Verbräuche'!I136*Emissionsfaktoren!G136/1000, 0)</f>
        <v>0</v>
      </c>
      <c r="I466" s="14">
        <f>IF(ISNUMBER('Klisz-Verbräuche'!J136), 'Klisz-Verbräuche'!J136*Emissionsfaktoren!H136/1000, 0)</f>
        <v>0</v>
      </c>
      <c r="J466" s="14">
        <f>IF(ISNUMBER('Klisz-Verbräuche'!K136), 'Klisz-Verbräuche'!K136*Emissionsfaktoren!I136/1000, 0)</f>
        <v>0</v>
      </c>
      <c r="K466" s="14">
        <f>IF(ISNUMBER('Klisz-Verbräuche'!L136), 'Klisz-Verbräuche'!L136*Emissionsfaktoren!J136/1000, 0)</f>
        <v>0</v>
      </c>
      <c r="L466" s="14">
        <f>IF(ISNUMBER('Klisz-Verbräuche'!M136), 'Klisz-Verbräuche'!M136*Emissionsfaktoren!K136/1000, 0)</f>
        <v>0</v>
      </c>
      <c r="M466" s="14">
        <f>IF(ISNUMBER('Klisz-Verbräuche'!N136), 'Klisz-Verbräuche'!N136*Emissionsfaktoren!L136/1000, 0)</f>
        <v>0</v>
      </c>
      <c r="N466" s="14">
        <f>IF(ISNUMBER('Klisz-Verbräuche'!O136), 'Klisz-Verbräuche'!O136*Emissionsfaktoren!M136/1000, 0)</f>
        <v>0</v>
      </c>
      <c r="O466" s="14">
        <f>IF(ISNUMBER('Klisz-Verbräuche'!P136), 'Klisz-Verbräuche'!P136*Emissionsfaktoren!N136/1000, 0)</f>
        <v>0</v>
      </c>
      <c r="P466" s="14">
        <f>IF(ISNUMBER('Klisz-Verbräuche'!Q136), 'Klisz-Verbräuche'!Q136*Emissionsfaktoren!O136/1000, 0)</f>
        <v>0</v>
      </c>
      <c r="Q466" s="14">
        <f>IF(ISNUMBER('Klisz-Verbräuche'!R136), 'Klisz-Verbräuche'!R136*Emissionsfaktoren!P136/1000, 0)</f>
        <v>0</v>
      </c>
      <c r="R466" s="14">
        <f>IF(ISNUMBER('Klisz-Verbräuche'!S136), 'Klisz-Verbräuche'!S136*Emissionsfaktoren!Q136/1000, 0)</f>
        <v>0</v>
      </c>
      <c r="S466" s="14">
        <f>IF(ISNUMBER('Klisz-Verbräuche'!T136), 'Klisz-Verbräuche'!T136*Emissionsfaktoren!R136/1000, 0)</f>
        <v>0</v>
      </c>
      <c r="T466" s="14">
        <f>IF(ISNUMBER('Klisz-Verbräuche'!U136), 'Klisz-Verbräuche'!U136*Emissionsfaktoren!S136/1000, 0)</f>
        <v>0</v>
      </c>
      <c r="U466" s="14">
        <f>IF(ISNUMBER('Klisz-Verbräuche'!V136), 'Klisz-Verbräuche'!V136*Emissionsfaktoren!T136/1000, 0)</f>
        <v>0</v>
      </c>
      <c r="V466" s="14">
        <f>IF(ISNUMBER('Klisz-Verbräuche'!W136), 'Klisz-Verbräuche'!W136*Emissionsfaktoren!U136/1000, 0)</f>
        <v>0</v>
      </c>
      <c r="W466" s="14">
        <f>IF(ISNUMBER('Klisz-Verbräuche'!X136), 'Klisz-Verbräuche'!X136*Emissionsfaktoren!V136/1000, 0)</f>
        <v>0</v>
      </c>
      <c r="X466" s="14">
        <f>IF(ISNUMBER('Klisz-Verbräuche'!Y136), 'Klisz-Verbräuche'!Y136*Emissionsfaktoren!W136/1000, 0)</f>
        <v>0</v>
      </c>
      <c r="Y466" s="14">
        <f>IF(ISNUMBER('Klisz-Verbräuche'!Z136), 'Klisz-Verbräuche'!Z136*Emissionsfaktoren!X136/1000, 0)</f>
        <v>0</v>
      </c>
    </row>
    <row r="467" spans="2:25" ht="16.5">
      <c r="B467" s="14">
        <v>121</v>
      </c>
      <c r="C467" s="14" t="str">
        <f>'Refsz-Verbräuche'!C137</f>
        <v>Baugüter</v>
      </c>
      <c r="D467" s="19" t="str">
        <f>'Refsz-Verbräuche'!D137</f>
        <v>Glas (flach)</v>
      </c>
      <c r="E467" t="s">
        <v>195</v>
      </c>
      <c r="F467" s="14">
        <f>IF(ISNUMBER('Klisz-Verbräuche'!G137), 'Klisz-Verbräuche'!G137*Emissionsfaktoren!E137/1000, 0)</f>
        <v>0</v>
      </c>
      <c r="G467" s="14">
        <f>IF(ISNUMBER('Klisz-Verbräuche'!H137), 'Klisz-Verbräuche'!H137*Emissionsfaktoren!F137/1000, 0)</f>
        <v>0</v>
      </c>
      <c r="H467" s="14">
        <f>IF(ISNUMBER('Klisz-Verbräuche'!I137), 'Klisz-Verbräuche'!I137*Emissionsfaktoren!G137/1000, 0)</f>
        <v>0</v>
      </c>
      <c r="I467" s="14">
        <f>IF(ISNUMBER('Klisz-Verbräuche'!J137), 'Klisz-Verbräuche'!J137*Emissionsfaktoren!H137/1000, 0)</f>
        <v>0</v>
      </c>
      <c r="J467" s="14">
        <f>IF(ISNUMBER('Klisz-Verbräuche'!K137), 'Klisz-Verbräuche'!K137*Emissionsfaktoren!I137/1000, 0)</f>
        <v>0</v>
      </c>
      <c r="K467" s="14">
        <f>IF(ISNUMBER('Klisz-Verbräuche'!L137), 'Klisz-Verbräuche'!L137*Emissionsfaktoren!J137/1000, 0)</f>
        <v>0</v>
      </c>
      <c r="L467" s="14">
        <f>IF(ISNUMBER('Klisz-Verbräuche'!M137), 'Klisz-Verbräuche'!M137*Emissionsfaktoren!K137/1000, 0)</f>
        <v>0</v>
      </c>
      <c r="M467" s="14">
        <f>IF(ISNUMBER('Klisz-Verbräuche'!N137), 'Klisz-Verbräuche'!N137*Emissionsfaktoren!L137/1000, 0)</f>
        <v>0</v>
      </c>
      <c r="N467" s="14">
        <f>IF(ISNUMBER('Klisz-Verbräuche'!O137), 'Klisz-Verbräuche'!O137*Emissionsfaktoren!M137/1000, 0)</f>
        <v>0</v>
      </c>
      <c r="O467" s="14">
        <f>IF(ISNUMBER('Klisz-Verbräuche'!P137), 'Klisz-Verbräuche'!P137*Emissionsfaktoren!N137/1000, 0)</f>
        <v>0</v>
      </c>
      <c r="P467" s="14">
        <f>IF(ISNUMBER('Klisz-Verbräuche'!Q137), 'Klisz-Verbräuche'!Q137*Emissionsfaktoren!O137/1000, 0)</f>
        <v>0</v>
      </c>
      <c r="Q467" s="14">
        <f>IF(ISNUMBER('Klisz-Verbräuche'!R137), 'Klisz-Verbräuche'!R137*Emissionsfaktoren!P137/1000, 0)</f>
        <v>0</v>
      </c>
      <c r="R467" s="14">
        <f>IF(ISNUMBER('Klisz-Verbräuche'!S137), 'Klisz-Verbräuche'!S137*Emissionsfaktoren!Q137/1000, 0)</f>
        <v>0</v>
      </c>
      <c r="S467" s="14">
        <f>IF(ISNUMBER('Klisz-Verbräuche'!T137), 'Klisz-Verbräuche'!T137*Emissionsfaktoren!R137/1000, 0)</f>
        <v>0</v>
      </c>
      <c r="T467" s="14">
        <f>IF(ISNUMBER('Klisz-Verbräuche'!U137), 'Klisz-Verbräuche'!U137*Emissionsfaktoren!S137/1000, 0)</f>
        <v>0</v>
      </c>
      <c r="U467" s="14">
        <f>IF(ISNUMBER('Klisz-Verbräuche'!V137), 'Klisz-Verbräuche'!V137*Emissionsfaktoren!T137/1000, 0)</f>
        <v>0</v>
      </c>
      <c r="V467" s="14">
        <f>IF(ISNUMBER('Klisz-Verbräuche'!W137), 'Klisz-Verbräuche'!W137*Emissionsfaktoren!U137/1000, 0)</f>
        <v>0</v>
      </c>
      <c r="W467" s="14">
        <f>IF(ISNUMBER('Klisz-Verbräuche'!X137), 'Klisz-Verbräuche'!X137*Emissionsfaktoren!V137/1000, 0)</f>
        <v>0</v>
      </c>
      <c r="X467" s="14">
        <f>IF(ISNUMBER('Klisz-Verbräuche'!Y137), 'Klisz-Verbräuche'!Y137*Emissionsfaktoren!W137/1000, 0)</f>
        <v>0</v>
      </c>
      <c r="Y467" s="14">
        <f>IF(ISNUMBER('Klisz-Verbräuche'!Z137), 'Klisz-Verbräuche'!Z137*Emissionsfaktoren!X137/1000, 0)</f>
        <v>0</v>
      </c>
    </row>
    <row r="468" spans="2:25" ht="16.5">
      <c r="B468" s="14">
        <v>122</v>
      </c>
      <c r="C468" s="14" t="str">
        <f>'Refsz-Verbräuche'!C138</f>
        <v>Baugüter</v>
      </c>
      <c r="D468" s="19" t="str">
        <f>'Refsz-Verbräuche'!D138</f>
        <v>Gussasphalt</v>
      </c>
      <c r="E468" t="s">
        <v>195</v>
      </c>
      <c r="F468" s="14">
        <f>IF(ISNUMBER('Klisz-Verbräuche'!G138), 'Klisz-Verbräuche'!G138*Emissionsfaktoren!E138/1000, 0)</f>
        <v>0</v>
      </c>
      <c r="G468" s="14">
        <f>IF(ISNUMBER('Klisz-Verbräuche'!H138), 'Klisz-Verbräuche'!H138*Emissionsfaktoren!F138/1000, 0)</f>
        <v>0</v>
      </c>
      <c r="H468" s="14">
        <f>IF(ISNUMBER('Klisz-Verbräuche'!I138), 'Klisz-Verbräuche'!I138*Emissionsfaktoren!G138/1000, 0)</f>
        <v>0</v>
      </c>
      <c r="I468" s="14">
        <f>IF(ISNUMBER('Klisz-Verbräuche'!J138), 'Klisz-Verbräuche'!J138*Emissionsfaktoren!H138/1000, 0)</f>
        <v>0</v>
      </c>
      <c r="J468" s="14">
        <f>IF(ISNUMBER('Klisz-Verbräuche'!K138), 'Klisz-Verbräuche'!K138*Emissionsfaktoren!I138/1000, 0)</f>
        <v>0</v>
      </c>
      <c r="K468" s="14">
        <f>IF(ISNUMBER('Klisz-Verbräuche'!L138), 'Klisz-Verbräuche'!L138*Emissionsfaktoren!J138/1000, 0)</f>
        <v>0</v>
      </c>
      <c r="L468" s="14">
        <f>IF(ISNUMBER('Klisz-Verbräuche'!M138), 'Klisz-Verbräuche'!M138*Emissionsfaktoren!K138/1000, 0)</f>
        <v>0</v>
      </c>
      <c r="M468" s="14">
        <f>IF(ISNUMBER('Klisz-Verbräuche'!N138), 'Klisz-Verbräuche'!N138*Emissionsfaktoren!L138/1000, 0)</f>
        <v>0</v>
      </c>
      <c r="N468" s="14">
        <f>IF(ISNUMBER('Klisz-Verbräuche'!O138), 'Klisz-Verbräuche'!O138*Emissionsfaktoren!M138/1000, 0)</f>
        <v>0</v>
      </c>
      <c r="O468" s="14">
        <f>IF(ISNUMBER('Klisz-Verbräuche'!P138), 'Klisz-Verbräuche'!P138*Emissionsfaktoren!N138/1000, 0)</f>
        <v>0</v>
      </c>
      <c r="P468" s="14">
        <f>IF(ISNUMBER('Klisz-Verbräuche'!Q138), 'Klisz-Verbräuche'!Q138*Emissionsfaktoren!O138/1000, 0)</f>
        <v>0</v>
      </c>
      <c r="Q468" s="14">
        <f>IF(ISNUMBER('Klisz-Verbräuche'!R138), 'Klisz-Verbräuche'!R138*Emissionsfaktoren!P138/1000, 0)</f>
        <v>0</v>
      </c>
      <c r="R468" s="14">
        <f>IF(ISNUMBER('Klisz-Verbräuche'!S138), 'Klisz-Verbräuche'!S138*Emissionsfaktoren!Q138/1000, 0)</f>
        <v>0</v>
      </c>
      <c r="S468" s="14">
        <f>IF(ISNUMBER('Klisz-Verbräuche'!T138), 'Klisz-Verbräuche'!T138*Emissionsfaktoren!R138/1000, 0)</f>
        <v>0</v>
      </c>
      <c r="T468" s="14">
        <f>IF(ISNUMBER('Klisz-Verbräuche'!U138), 'Klisz-Verbräuche'!U138*Emissionsfaktoren!S138/1000, 0)</f>
        <v>0</v>
      </c>
      <c r="U468" s="14">
        <f>IF(ISNUMBER('Klisz-Verbräuche'!V138), 'Klisz-Verbräuche'!V138*Emissionsfaktoren!T138/1000, 0)</f>
        <v>0</v>
      </c>
      <c r="V468" s="14">
        <f>IF(ISNUMBER('Klisz-Verbräuche'!W138), 'Klisz-Verbräuche'!W138*Emissionsfaktoren!U138/1000, 0)</f>
        <v>0</v>
      </c>
      <c r="W468" s="14">
        <f>IF(ISNUMBER('Klisz-Verbräuche'!X138), 'Klisz-Verbräuche'!X138*Emissionsfaktoren!V138/1000, 0)</f>
        <v>0</v>
      </c>
      <c r="X468" s="14">
        <f>IF(ISNUMBER('Klisz-Verbräuche'!Y138), 'Klisz-Verbräuche'!Y138*Emissionsfaktoren!W138/1000, 0)</f>
        <v>0</v>
      </c>
      <c r="Y468" s="14">
        <f>IF(ISNUMBER('Klisz-Verbräuche'!Z138), 'Klisz-Verbräuche'!Z138*Emissionsfaktoren!X138/1000, 0)</f>
        <v>0</v>
      </c>
    </row>
    <row r="469" spans="2:25" ht="16.5">
      <c r="B469" s="14">
        <v>123</v>
      </c>
      <c r="C469" s="14" t="str">
        <f>'Refsz-Verbräuche'!C139</f>
        <v>Baugüter</v>
      </c>
      <c r="D469" s="19" t="str">
        <f>'Refsz-Verbräuche'!D139</f>
        <v>Kalksandstein</v>
      </c>
      <c r="E469" t="s">
        <v>195</v>
      </c>
      <c r="F469" s="14">
        <f>IF(ISNUMBER('Klisz-Verbräuche'!G139), 'Klisz-Verbräuche'!G139*Emissionsfaktoren!E139/1000, 0)</f>
        <v>0</v>
      </c>
      <c r="G469" s="14">
        <f>IF(ISNUMBER('Klisz-Verbräuche'!H139), 'Klisz-Verbräuche'!H139*Emissionsfaktoren!F139/1000, 0)</f>
        <v>0</v>
      </c>
      <c r="H469" s="14">
        <f>IF(ISNUMBER('Klisz-Verbräuche'!I139), 'Klisz-Verbräuche'!I139*Emissionsfaktoren!G139/1000, 0)</f>
        <v>0</v>
      </c>
      <c r="I469" s="14">
        <f>IF(ISNUMBER('Klisz-Verbräuche'!J139), 'Klisz-Verbräuche'!J139*Emissionsfaktoren!H139/1000, 0)</f>
        <v>0</v>
      </c>
      <c r="J469" s="14">
        <f>IF(ISNUMBER('Klisz-Verbräuche'!K139), 'Klisz-Verbräuche'!K139*Emissionsfaktoren!I139/1000, 0)</f>
        <v>0</v>
      </c>
      <c r="K469" s="14">
        <f>IF(ISNUMBER('Klisz-Verbräuche'!L139), 'Klisz-Verbräuche'!L139*Emissionsfaktoren!J139/1000, 0)</f>
        <v>0</v>
      </c>
      <c r="L469" s="14">
        <f>IF(ISNUMBER('Klisz-Verbräuche'!M139), 'Klisz-Verbräuche'!M139*Emissionsfaktoren!K139/1000, 0)</f>
        <v>0</v>
      </c>
      <c r="M469" s="14">
        <f>IF(ISNUMBER('Klisz-Verbräuche'!N139), 'Klisz-Verbräuche'!N139*Emissionsfaktoren!L139/1000, 0)</f>
        <v>0</v>
      </c>
      <c r="N469" s="14">
        <f>IF(ISNUMBER('Klisz-Verbräuche'!O139), 'Klisz-Verbräuche'!O139*Emissionsfaktoren!M139/1000, 0)</f>
        <v>0</v>
      </c>
      <c r="O469" s="14">
        <f>IF(ISNUMBER('Klisz-Verbräuche'!P139), 'Klisz-Verbräuche'!P139*Emissionsfaktoren!N139/1000, 0)</f>
        <v>0</v>
      </c>
      <c r="P469" s="14">
        <f>IF(ISNUMBER('Klisz-Verbräuche'!Q139), 'Klisz-Verbräuche'!Q139*Emissionsfaktoren!O139/1000, 0)</f>
        <v>0</v>
      </c>
      <c r="Q469" s="14">
        <f>IF(ISNUMBER('Klisz-Verbräuche'!R139), 'Klisz-Verbräuche'!R139*Emissionsfaktoren!P139/1000, 0)</f>
        <v>0</v>
      </c>
      <c r="R469" s="14">
        <f>IF(ISNUMBER('Klisz-Verbräuche'!S139), 'Klisz-Verbräuche'!S139*Emissionsfaktoren!Q139/1000, 0)</f>
        <v>0</v>
      </c>
      <c r="S469" s="14">
        <f>IF(ISNUMBER('Klisz-Verbräuche'!T139), 'Klisz-Verbräuche'!T139*Emissionsfaktoren!R139/1000, 0)</f>
        <v>0</v>
      </c>
      <c r="T469" s="14">
        <f>IF(ISNUMBER('Klisz-Verbräuche'!U139), 'Klisz-Verbräuche'!U139*Emissionsfaktoren!S139/1000, 0)</f>
        <v>0</v>
      </c>
      <c r="U469" s="14">
        <f>IF(ISNUMBER('Klisz-Verbräuche'!V139), 'Klisz-Verbräuche'!V139*Emissionsfaktoren!T139/1000, 0)</f>
        <v>0</v>
      </c>
      <c r="V469" s="14">
        <f>IF(ISNUMBER('Klisz-Verbräuche'!W139), 'Klisz-Verbräuche'!W139*Emissionsfaktoren!U139/1000, 0)</f>
        <v>0</v>
      </c>
      <c r="W469" s="14">
        <f>IF(ISNUMBER('Klisz-Verbräuche'!X139), 'Klisz-Verbräuche'!X139*Emissionsfaktoren!V139/1000, 0)</f>
        <v>0</v>
      </c>
      <c r="X469" s="14">
        <f>IF(ISNUMBER('Klisz-Verbräuche'!Y139), 'Klisz-Verbräuche'!Y139*Emissionsfaktoren!W139/1000, 0)</f>
        <v>0</v>
      </c>
      <c r="Y469" s="14">
        <f>IF(ISNUMBER('Klisz-Verbräuche'!Z139), 'Klisz-Verbräuche'!Z139*Emissionsfaktoren!X139/1000, 0)</f>
        <v>0</v>
      </c>
    </row>
    <row r="470" spans="2:25" ht="16.5">
      <c r="B470" s="14">
        <v>124</v>
      </c>
      <c r="C470" s="14" t="str">
        <f>'Refsz-Verbräuche'!C140</f>
        <v>Baugüter</v>
      </c>
      <c r="D470" s="19" t="str">
        <f>'Refsz-Verbräuche'!D140</f>
        <v>Porenbetonstein</v>
      </c>
      <c r="E470" t="s">
        <v>195</v>
      </c>
      <c r="F470" s="14">
        <f>IF(ISNUMBER('Klisz-Verbräuche'!G140), 'Klisz-Verbräuche'!G140*Emissionsfaktoren!E140/1000, 0)</f>
        <v>0</v>
      </c>
      <c r="G470" s="14">
        <f>IF(ISNUMBER('Klisz-Verbräuche'!H140), 'Klisz-Verbräuche'!H140*Emissionsfaktoren!F140/1000, 0)</f>
        <v>0</v>
      </c>
      <c r="H470" s="14">
        <f>IF(ISNUMBER('Klisz-Verbräuche'!I140), 'Klisz-Verbräuche'!I140*Emissionsfaktoren!G140/1000, 0)</f>
        <v>0</v>
      </c>
      <c r="I470" s="14">
        <f>IF(ISNUMBER('Klisz-Verbräuche'!J140), 'Klisz-Verbräuche'!J140*Emissionsfaktoren!H140/1000, 0)</f>
        <v>0</v>
      </c>
      <c r="J470" s="14">
        <f>IF(ISNUMBER('Klisz-Verbräuche'!K140), 'Klisz-Verbräuche'!K140*Emissionsfaktoren!I140/1000, 0)</f>
        <v>0</v>
      </c>
      <c r="K470" s="14">
        <f>IF(ISNUMBER('Klisz-Verbräuche'!L140), 'Klisz-Verbräuche'!L140*Emissionsfaktoren!J140/1000, 0)</f>
        <v>0</v>
      </c>
      <c r="L470" s="14">
        <f>IF(ISNUMBER('Klisz-Verbräuche'!M140), 'Klisz-Verbräuche'!M140*Emissionsfaktoren!K140/1000, 0)</f>
        <v>0</v>
      </c>
      <c r="M470" s="14">
        <f>IF(ISNUMBER('Klisz-Verbräuche'!N140), 'Klisz-Verbräuche'!N140*Emissionsfaktoren!L140/1000, 0)</f>
        <v>0</v>
      </c>
      <c r="N470" s="14">
        <f>IF(ISNUMBER('Klisz-Verbräuche'!O140), 'Klisz-Verbräuche'!O140*Emissionsfaktoren!M140/1000, 0)</f>
        <v>0</v>
      </c>
      <c r="O470" s="14">
        <f>IF(ISNUMBER('Klisz-Verbräuche'!P140), 'Klisz-Verbräuche'!P140*Emissionsfaktoren!N140/1000, 0)</f>
        <v>0</v>
      </c>
      <c r="P470" s="14">
        <f>IF(ISNUMBER('Klisz-Verbräuche'!Q140), 'Klisz-Verbräuche'!Q140*Emissionsfaktoren!O140/1000, 0)</f>
        <v>0</v>
      </c>
      <c r="Q470" s="14">
        <f>IF(ISNUMBER('Klisz-Verbräuche'!R140), 'Klisz-Verbräuche'!R140*Emissionsfaktoren!P140/1000, 0)</f>
        <v>0</v>
      </c>
      <c r="R470" s="14">
        <f>IF(ISNUMBER('Klisz-Verbräuche'!S140), 'Klisz-Verbräuche'!S140*Emissionsfaktoren!Q140/1000, 0)</f>
        <v>0</v>
      </c>
      <c r="S470" s="14">
        <f>IF(ISNUMBER('Klisz-Verbräuche'!T140), 'Klisz-Verbräuche'!T140*Emissionsfaktoren!R140/1000, 0)</f>
        <v>0</v>
      </c>
      <c r="T470" s="14">
        <f>IF(ISNUMBER('Klisz-Verbräuche'!U140), 'Klisz-Verbräuche'!U140*Emissionsfaktoren!S140/1000, 0)</f>
        <v>0</v>
      </c>
      <c r="U470" s="14">
        <f>IF(ISNUMBER('Klisz-Verbräuche'!V140), 'Klisz-Verbräuche'!V140*Emissionsfaktoren!T140/1000, 0)</f>
        <v>0</v>
      </c>
      <c r="V470" s="14">
        <f>IF(ISNUMBER('Klisz-Verbräuche'!W140), 'Klisz-Verbräuche'!W140*Emissionsfaktoren!U140/1000, 0)</f>
        <v>0</v>
      </c>
      <c r="W470" s="14">
        <f>IF(ISNUMBER('Klisz-Verbräuche'!X140), 'Klisz-Verbräuche'!X140*Emissionsfaktoren!V140/1000, 0)</f>
        <v>0</v>
      </c>
      <c r="X470" s="14">
        <f>IF(ISNUMBER('Klisz-Verbräuche'!Y140), 'Klisz-Verbräuche'!Y140*Emissionsfaktoren!W140/1000, 0)</f>
        <v>0</v>
      </c>
      <c r="Y470" s="14">
        <f>IF(ISNUMBER('Klisz-Verbräuche'!Z140), 'Klisz-Verbräuche'!Z140*Emissionsfaktoren!X140/1000, 0)</f>
        <v>0</v>
      </c>
    </row>
    <row r="471" spans="2:25" ht="16.5">
      <c r="B471" s="14">
        <v>125</v>
      </c>
      <c r="C471" s="14" t="str">
        <f>'Refsz-Verbräuche'!C141</f>
        <v>Baugüter</v>
      </c>
      <c r="D471" s="19" t="str">
        <f>'Refsz-Verbräuche'!D141</f>
        <v>Steinwolle</v>
      </c>
      <c r="E471" t="s">
        <v>195</v>
      </c>
      <c r="F471" s="14">
        <f>IF(ISNUMBER('Klisz-Verbräuche'!G141), 'Klisz-Verbräuche'!G141*Emissionsfaktoren!E141/1000, 0)</f>
        <v>0</v>
      </c>
      <c r="G471" s="14">
        <f>IF(ISNUMBER('Klisz-Verbräuche'!H141), 'Klisz-Verbräuche'!H141*Emissionsfaktoren!F141/1000, 0)</f>
        <v>0</v>
      </c>
      <c r="H471" s="14">
        <f>IF(ISNUMBER('Klisz-Verbräuche'!I141), 'Klisz-Verbräuche'!I141*Emissionsfaktoren!G141/1000, 0)</f>
        <v>0</v>
      </c>
      <c r="I471" s="14">
        <f>IF(ISNUMBER('Klisz-Verbräuche'!J141), 'Klisz-Verbräuche'!J141*Emissionsfaktoren!H141/1000, 0)</f>
        <v>0</v>
      </c>
      <c r="J471" s="14">
        <f>IF(ISNUMBER('Klisz-Verbräuche'!K141), 'Klisz-Verbräuche'!K141*Emissionsfaktoren!I141/1000, 0)</f>
        <v>0</v>
      </c>
      <c r="K471" s="14">
        <f>IF(ISNUMBER('Klisz-Verbräuche'!L141), 'Klisz-Verbräuche'!L141*Emissionsfaktoren!J141/1000, 0)</f>
        <v>0</v>
      </c>
      <c r="L471" s="14">
        <f>IF(ISNUMBER('Klisz-Verbräuche'!M141), 'Klisz-Verbräuche'!M141*Emissionsfaktoren!K141/1000, 0)</f>
        <v>0</v>
      </c>
      <c r="M471" s="14">
        <f>IF(ISNUMBER('Klisz-Verbräuche'!N141), 'Klisz-Verbräuche'!N141*Emissionsfaktoren!L141/1000, 0)</f>
        <v>0</v>
      </c>
      <c r="N471" s="14">
        <f>IF(ISNUMBER('Klisz-Verbräuche'!O141), 'Klisz-Verbräuche'!O141*Emissionsfaktoren!M141/1000, 0)</f>
        <v>0</v>
      </c>
      <c r="O471" s="14">
        <f>IF(ISNUMBER('Klisz-Verbräuche'!P141), 'Klisz-Verbräuche'!P141*Emissionsfaktoren!N141/1000, 0)</f>
        <v>0</v>
      </c>
      <c r="P471" s="14">
        <f>IF(ISNUMBER('Klisz-Verbräuche'!Q141), 'Klisz-Verbräuche'!Q141*Emissionsfaktoren!O141/1000, 0)</f>
        <v>0</v>
      </c>
      <c r="Q471" s="14">
        <f>IF(ISNUMBER('Klisz-Verbräuche'!R141), 'Klisz-Verbräuche'!R141*Emissionsfaktoren!P141/1000, 0)</f>
        <v>0</v>
      </c>
      <c r="R471" s="14">
        <f>IF(ISNUMBER('Klisz-Verbräuche'!S141), 'Klisz-Verbräuche'!S141*Emissionsfaktoren!Q141/1000, 0)</f>
        <v>0</v>
      </c>
      <c r="S471" s="14">
        <f>IF(ISNUMBER('Klisz-Verbräuche'!T141), 'Klisz-Verbräuche'!T141*Emissionsfaktoren!R141/1000, 0)</f>
        <v>0</v>
      </c>
      <c r="T471" s="14">
        <f>IF(ISNUMBER('Klisz-Verbräuche'!U141), 'Klisz-Verbräuche'!U141*Emissionsfaktoren!S141/1000, 0)</f>
        <v>0</v>
      </c>
      <c r="U471" s="14">
        <f>IF(ISNUMBER('Klisz-Verbräuche'!V141), 'Klisz-Verbräuche'!V141*Emissionsfaktoren!T141/1000, 0)</f>
        <v>0</v>
      </c>
      <c r="V471" s="14">
        <f>IF(ISNUMBER('Klisz-Verbräuche'!W141), 'Klisz-Verbräuche'!W141*Emissionsfaktoren!U141/1000, 0)</f>
        <v>0</v>
      </c>
      <c r="W471" s="14">
        <f>IF(ISNUMBER('Klisz-Verbräuche'!X141), 'Klisz-Verbräuche'!X141*Emissionsfaktoren!V141/1000, 0)</f>
        <v>0</v>
      </c>
      <c r="X471" s="14">
        <f>IF(ISNUMBER('Klisz-Verbräuche'!Y141), 'Klisz-Verbräuche'!Y141*Emissionsfaktoren!W141/1000, 0)</f>
        <v>0</v>
      </c>
      <c r="Y471" s="14">
        <f>IF(ISNUMBER('Klisz-Verbräuche'!Z141), 'Klisz-Verbräuche'!Z141*Emissionsfaktoren!X141/1000, 0)</f>
        <v>0</v>
      </c>
    </row>
    <row r="472" spans="2:25" ht="16.5">
      <c r="B472" s="14">
        <v>126</v>
      </c>
      <c r="C472" s="14" t="str">
        <f>'Refsz-Verbräuche'!C142</f>
        <v>Baugüter</v>
      </c>
      <c r="D472" s="19" t="str">
        <f>'Refsz-Verbräuche'!D142</f>
        <v>Tonziegel (fürs Dach)</v>
      </c>
      <c r="E472" t="s">
        <v>195</v>
      </c>
      <c r="F472" s="14">
        <f>IF(ISNUMBER('Klisz-Verbräuche'!G142), 'Klisz-Verbräuche'!G142*Emissionsfaktoren!E142/1000, 0)</f>
        <v>0</v>
      </c>
      <c r="G472" s="14">
        <f>IF(ISNUMBER('Klisz-Verbräuche'!H142), 'Klisz-Verbräuche'!H142*Emissionsfaktoren!F142/1000, 0)</f>
        <v>0</v>
      </c>
      <c r="H472" s="14">
        <f>IF(ISNUMBER('Klisz-Verbräuche'!I142), 'Klisz-Verbräuche'!I142*Emissionsfaktoren!G142/1000, 0)</f>
        <v>0</v>
      </c>
      <c r="I472" s="14">
        <f>IF(ISNUMBER('Klisz-Verbräuche'!J142), 'Klisz-Verbräuche'!J142*Emissionsfaktoren!H142/1000, 0)</f>
        <v>0</v>
      </c>
      <c r="J472" s="14">
        <f>IF(ISNUMBER('Klisz-Verbräuche'!K142), 'Klisz-Verbräuche'!K142*Emissionsfaktoren!I142/1000, 0)</f>
        <v>0</v>
      </c>
      <c r="K472" s="14">
        <f>IF(ISNUMBER('Klisz-Verbräuche'!L142), 'Klisz-Verbräuche'!L142*Emissionsfaktoren!J142/1000, 0)</f>
        <v>0</v>
      </c>
      <c r="L472" s="14">
        <f>IF(ISNUMBER('Klisz-Verbräuche'!M142), 'Klisz-Verbräuche'!M142*Emissionsfaktoren!K142/1000, 0)</f>
        <v>0</v>
      </c>
      <c r="M472" s="14">
        <f>IF(ISNUMBER('Klisz-Verbräuche'!N142), 'Klisz-Verbräuche'!N142*Emissionsfaktoren!L142/1000, 0)</f>
        <v>0</v>
      </c>
      <c r="N472" s="14">
        <f>IF(ISNUMBER('Klisz-Verbräuche'!O142), 'Klisz-Verbräuche'!O142*Emissionsfaktoren!M142/1000, 0)</f>
        <v>0</v>
      </c>
      <c r="O472" s="14">
        <f>IF(ISNUMBER('Klisz-Verbräuche'!P142), 'Klisz-Verbräuche'!P142*Emissionsfaktoren!N142/1000, 0)</f>
        <v>0</v>
      </c>
      <c r="P472" s="14">
        <f>IF(ISNUMBER('Klisz-Verbräuche'!Q142), 'Klisz-Verbräuche'!Q142*Emissionsfaktoren!O142/1000, 0)</f>
        <v>0</v>
      </c>
      <c r="Q472" s="14">
        <f>IF(ISNUMBER('Klisz-Verbräuche'!R142), 'Klisz-Verbräuche'!R142*Emissionsfaktoren!P142/1000, 0)</f>
        <v>0</v>
      </c>
      <c r="R472" s="14">
        <f>IF(ISNUMBER('Klisz-Verbräuche'!S142), 'Klisz-Verbräuche'!S142*Emissionsfaktoren!Q142/1000, 0)</f>
        <v>0</v>
      </c>
      <c r="S472" s="14">
        <f>IF(ISNUMBER('Klisz-Verbräuche'!T142), 'Klisz-Verbräuche'!T142*Emissionsfaktoren!R142/1000, 0)</f>
        <v>0</v>
      </c>
      <c r="T472" s="14">
        <f>IF(ISNUMBER('Klisz-Verbräuche'!U142), 'Klisz-Verbräuche'!U142*Emissionsfaktoren!S142/1000, 0)</f>
        <v>0</v>
      </c>
      <c r="U472" s="14">
        <f>IF(ISNUMBER('Klisz-Verbräuche'!V142), 'Klisz-Verbräuche'!V142*Emissionsfaktoren!T142/1000, 0)</f>
        <v>0</v>
      </c>
      <c r="V472" s="14">
        <f>IF(ISNUMBER('Klisz-Verbräuche'!W142), 'Klisz-Verbräuche'!W142*Emissionsfaktoren!U142/1000, 0)</f>
        <v>0</v>
      </c>
      <c r="W472" s="14">
        <f>IF(ISNUMBER('Klisz-Verbräuche'!X142), 'Klisz-Verbräuche'!X142*Emissionsfaktoren!V142/1000, 0)</f>
        <v>0</v>
      </c>
      <c r="X472" s="14">
        <f>IF(ISNUMBER('Klisz-Verbräuche'!Y142), 'Klisz-Verbräuche'!Y142*Emissionsfaktoren!W142/1000, 0)</f>
        <v>0</v>
      </c>
      <c r="Y472" s="14">
        <f>IF(ISNUMBER('Klisz-Verbräuche'!Z142), 'Klisz-Verbräuche'!Z142*Emissionsfaktoren!X142/1000, 0)</f>
        <v>0</v>
      </c>
    </row>
    <row r="473" spans="2:25" ht="16.5">
      <c r="B473" s="14">
        <v>127</v>
      </c>
      <c r="C473" s="14" t="str">
        <f>'Refsz-Verbräuche'!C143</f>
        <v>Baugüter</v>
      </c>
      <c r="D473" s="19" t="str">
        <f>'Refsz-Verbräuche'!D143</f>
        <v>Zement (Portland)</v>
      </c>
      <c r="E473" t="s">
        <v>195</v>
      </c>
      <c r="F473" s="14">
        <f>IF(ISNUMBER('Klisz-Verbräuche'!G143), 'Klisz-Verbräuche'!G143*Emissionsfaktoren!E143/1000, 0)</f>
        <v>0</v>
      </c>
      <c r="G473" s="14">
        <f>IF(ISNUMBER('Klisz-Verbräuche'!H143), 'Klisz-Verbräuche'!H143*Emissionsfaktoren!F143/1000, 0)</f>
        <v>0</v>
      </c>
      <c r="H473" s="14">
        <f>IF(ISNUMBER('Klisz-Verbräuche'!I143), 'Klisz-Verbräuche'!I143*Emissionsfaktoren!G143/1000, 0)</f>
        <v>0</v>
      </c>
      <c r="I473" s="14">
        <f>IF(ISNUMBER('Klisz-Verbräuche'!J143), 'Klisz-Verbräuche'!J143*Emissionsfaktoren!H143/1000, 0)</f>
        <v>0</v>
      </c>
      <c r="J473" s="14">
        <f>IF(ISNUMBER('Klisz-Verbräuche'!K143), 'Klisz-Verbräuche'!K143*Emissionsfaktoren!I143/1000, 0)</f>
        <v>0</v>
      </c>
      <c r="K473" s="14">
        <f>IF(ISNUMBER('Klisz-Verbräuche'!L143), 'Klisz-Verbräuche'!L143*Emissionsfaktoren!J143/1000, 0)</f>
        <v>0</v>
      </c>
      <c r="L473" s="14">
        <f>IF(ISNUMBER('Klisz-Verbräuche'!M143), 'Klisz-Verbräuche'!M143*Emissionsfaktoren!K143/1000, 0)</f>
        <v>0</v>
      </c>
      <c r="M473" s="14">
        <f>IF(ISNUMBER('Klisz-Verbräuche'!N143), 'Klisz-Verbräuche'!N143*Emissionsfaktoren!L143/1000, 0)</f>
        <v>0</v>
      </c>
      <c r="N473" s="14">
        <f>IF(ISNUMBER('Klisz-Verbräuche'!O143), 'Klisz-Verbräuche'!O143*Emissionsfaktoren!M143/1000, 0)</f>
        <v>0</v>
      </c>
      <c r="O473" s="14">
        <f>IF(ISNUMBER('Klisz-Verbräuche'!P143), 'Klisz-Verbräuche'!P143*Emissionsfaktoren!N143/1000, 0)</f>
        <v>0</v>
      </c>
      <c r="P473" s="14">
        <f>IF(ISNUMBER('Klisz-Verbräuche'!Q143), 'Klisz-Verbräuche'!Q143*Emissionsfaktoren!O143/1000, 0)</f>
        <v>0</v>
      </c>
      <c r="Q473" s="14">
        <f>IF(ISNUMBER('Klisz-Verbräuche'!R143), 'Klisz-Verbräuche'!R143*Emissionsfaktoren!P143/1000, 0)</f>
        <v>0</v>
      </c>
      <c r="R473" s="14">
        <f>IF(ISNUMBER('Klisz-Verbräuche'!S143), 'Klisz-Verbräuche'!S143*Emissionsfaktoren!Q143/1000, 0)</f>
        <v>0</v>
      </c>
      <c r="S473" s="14">
        <f>IF(ISNUMBER('Klisz-Verbräuche'!T143), 'Klisz-Verbräuche'!T143*Emissionsfaktoren!R143/1000, 0)</f>
        <v>0</v>
      </c>
      <c r="T473" s="14">
        <f>IF(ISNUMBER('Klisz-Verbräuche'!U143), 'Klisz-Verbräuche'!U143*Emissionsfaktoren!S143/1000, 0)</f>
        <v>0</v>
      </c>
      <c r="U473" s="14">
        <f>IF(ISNUMBER('Klisz-Verbräuche'!V143), 'Klisz-Verbräuche'!V143*Emissionsfaktoren!T143/1000, 0)</f>
        <v>0</v>
      </c>
      <c r="V473" s="14">
        <f>IF(ISNUMBER('Klisz-Verbräuche'!W143), 'Klisz-Verbräuche'!W143*Emissionsfaktoren!U143/1000, 0)</f>
        <v>0</v>
      </c>
      <c r="W473" s="14">
        <f>IF(ISNUMBER('Klisz-Verbräuche'!X143), 'Klisz-Verbräuche'!X143*Emissionsfaktoren!V143/1000, 0)</f>
        <v>0</v>
      </c>
      <c r="X473" s="14">
        <f>IF(ISNUMBER('Klisz-Verbräuche'!Y143), 'Klisz-Verbräuche'!Y143*Emissionsfaktoren!W143/1000, 0)</f>
        <v>0</v>
      </c>
      <c r="Y473" s="14">
        <f>IF(ISNUMBER('Klisz-Verbräuche'!Z143), 'Klisz-Verbräuche'!Z143*Emissionsfaktoren!X143/1000, 0)</f>
        <v>0</v>
      </c>
    </row>
    <row r="474" spans="2:25" ht="16.5">
      <c r="B474" s="14">
        <v>128</v>
      </c>
      <c r="C474" s="14" t="str">
        <f>'Refsz-Verbräuche'!C144</f>
        <v>Baugüter</v>
      </c>
      <c r="D474" s="19" t="str">
        <f>'Refsz-Verbräuche'!D144</f>
        <v>Kies</v>
      </c>
      <c r="E474" t="s">
        <v>195</v>
      </c>
      <c r="F474" s="14">
        <f>IF(ISNUMBER('Klisz-Verbräuche'!G144), 'Klisz-Verbräuche'!G144*Emissionsfaktoren!E144/1000, 0)</f>
        <v>0</v>
      </c>
      <c r="G474" s="14">
        <f>IF(ISNUMBER('Klisz-Verbräuche'!H144), 'Klisz-Verbräuche'!H144*Emissionsfaktoren!F144/1000, 0)</f>
        <v>0</v>
      </c>
      <c r="H474" s="14">
        <f>IF(ISNUMBER('Klisz-Verbräuche'!I144), 'Klisz-Verbräuche'!I144*Emissionsfaktoren!G144/1000, 0)</f>
        <v>0</v>
      </c>
      <c r="I474" s="14">
        <f>IF(ISNUMBER('Klisz-Verbräuche'!J144), 'Klisz-Verbräuche'!J144*Emissionsfaktoren!H144/1000, 0)</f>
        <v>0</v>
      </c>
      <c r="J474" s="14">
        <f>IF(ISNUMBER('Klisz-Verbräuche'!K144), 'Klisz-Verbräuche'!K144*Emissionsfaktoren!I144/1000, 0)</f>
        <v>0</v>
      </c>
      <c r="K474" s="14">
        <f>IF(ISNUMBER('Klisz-Verbräuche'!L144), 'Klisz-Verbräuche'!L144*Emissionsfaktoren!J144/1000, 0)</f>
        <v>0</v>
      </c>
      <c r="L474" s="14">
        <f>IF(ISNUMBER('Klisz-Verbräuche'!M144), 'Klisz-Verbräuche'!M144*Emissionsfaktoren!K144/1000, 0)</f>
        <v>0</v>
      </c>
      <c r="M474" s="14">
        <f>IF(ISNUMBER('Klisz-Verbräuche'!N144), 'Klisz-Verbräuche'!N144*Emissionsfaktoren!L144/1000, 0)</f>
        <v>0</v>
      </c>
      <c r="N474" s="14">
        <f>IF(ISNUMBER('Klisz-Verbräuche'!O144), 'Klisz-Verbräuche'!O144*Emissionsfaktoren!M144/1000, 0)</f>
        <v>0</v>
      </c>
      <c r="O474" s="14">
        <f>IF(ISNUMBER('Klisz-Verbräuche'!P144), 'Klisz-Verbräuche'!P144*Emissionsfaktoren!N144/1000, 0)</f>
        <v>0</v>
      </c>
      <c r="P474" s="14">
        <f>IF(ISNUMBER('Klisz-Verbräuche'!Q144), 'Klisz-Verbräuche'!Q144*Emissionsfaktoren!O144/1000, 0)</f>
        <v>0</v>
      </c>
      <c r="Q474" s="14">
        <f>IF(ISNUMBER('Klisz-Verbräuche'!R144), 'Klisz-Verbräuche'!R144*Emissionsfaktoren!P144/1000, 0)</f>
        <v>0</v>
      </c>
      <c r="R474" s="14">
        <f>IF(ISNUMBER('Klisz-Verbräuche'!S144), 'Klisz-Verbräuche'!S144*Emissionsfaktoren!Q144/1000, 0)</f>
        <v>0</v>
      </c>
      <c r="S474" s="14">
        <f>IF(ISNUMBER('Klisz-Verbräuche'!T144), 'Klisz-Verbräuche'!T144*Emissionsfaktoren!R144/1000, 0)</f>
        <v>0</v>
      </c>
      <c r="T474" s="14">
        <f>IF(ISNUMBER('Klisz-Verbräuche'!U144), 'Klisz-Verbräuche'!U144*Emissionsfaktoren!S144/1000, 0)</f>
        <v>0</v>
      </c>
      <c r="U474" s="14">
        <f>IF(ISNUMBER('Klisz-Verbräuche'!V144), 'Klisz-Verbräuche'!V144*Emissionsfaktoren!T144/1000, 0)</f>
        <v>0</v>
      </c>
      <c r="V474" s="14">
        <f>IF(ISNUMBER('Klisz-Verbräuche'!W144), 'Klisz-Verbräuche'!W144*Emissionsfaktoren!U144/1000, 0)</f>
        <v>0</v>
      </c>
      <c r="W474" s="14">
        <f>IF(ISNUMBER('Klisz-Verbräuche'!X144), 'Klisz-Verbräuche'!X144*Emissionsfaktoren!V144/1000, 0)</f>
        <v>0</v>
      </c>
      <c r="X474" s="14">
        <f>IF(ISNUMBER('Klisz-Verbräuche'!Y144), 'Klisz-Verbräuche'!Y144*Emissionsfaktoren!W144/1000, 0)</f>
        <v>0</v>
      </c>
      <c r="Y474" s="14">
        <f>IF(ISNUMBER('Klisz-Verbräuche'!Z144), 'Klisz-Verbräuche'!Z144*Emissionsfaktoren!X144/1000, 0)</f>
        <v>0</v>
      </c>
    </row>
    <row r="475" spans="2:25" ht="16.5">
      <c r="B475" s="14">
        <v>129</v>
      </c>
      <c r="C475" s="14" t="str">
        <f>'Refsz-Verbräuche'!C145</f>
        <v>Baugüter</v>
      </c>
      <c r="D475" s="19" t="str">
        <f>'Refsz-Verbräuche'!D145</f>
        <v>Sand</v>
      </c>
      <c r="E475" t="s">
        <v>195</v>
      </c>
      <c r="F475" s="14">
        <f>IF(ISNUMBER('Klisz-Verbräuche'!G145), 'Klisz-Verbräuche'!G145*Emissionsfaktoren!E145/1000, 0)</f>
        <v>0</v>
      </c>
      <c r="G475" s="14">
        <f>IF(ISNUMBER('Klisz-Verbräuche'!H145), 'Klisz-Verbräuche'!H145*Emissionsfaktoren!F145/1000, 0)</f>
        <v>0</v>
      </c>
      <c r="H475" s="14">
        <f>IF(ISNUMBER('Klisz-Verbräuche'!I145), 'Klisz-Verbräuche'!I145*Emissionsfaktoren!G145/1000, 0)</f>
        <v>0</v>
      </c>
      <c r="I475" s="14">
        <f>IF(ISNUMBER('Klisz-Verbräuche'!J145), 'Klisz-Verbräuche'!J145*Emissionsfaktoren!H145/1000, 0)</f>
        <v>0</v>
      </c>
      <c r="J475" s="14">
        <f>IF(ISNUMBER('Klisz-Verbräuche'!K145), 'Klisz-Verbräuche'!K145*Emissionsfaktoren!I145/1000, 0)</f>
        <v>0</v>
      </c>
      <c r="K475" s="14">
        <f>IF(ISNUMBER('Klisz-Verbräuche'!L145), 'Klisz-Verbräuche'!L145*Emissionsfaktoren!J145/1000, 0)</f>
        <v>0</v>
      </c>
      <c r="L475" s="14">
        <f>IF(ISNUMBER('Klisz-Verbräuche'!M145), 'Klisz-Verbräuche'!M145*Emissionsfaktoren!K145/1000, 0)</f>
        <v>0</v>
      </c>
      <c r="M475" s="14">
        <f>IF(ISNUMBER('Klisz-Verbräuche'!N145), 'Klisz-Verbräuche'!N145*Emissionsfaktoren!L145/1000, 0)</f>
        <v>0</v>
      </c>
      <c r="N475" s="14">
        <f>IF(ISNUMBER('Klisz-Verbräuche'!O145), 'Klisz-Verbräuche'!O145*Emissionsfaktoren!M145/1000, 0)</f>
        <v>0</v>
      </c>
      <c r="O475" s="14">
        <f>IF(ISNUMBER('Klisz-Verbräuche'!P145), 'Klisz-Verbräuche'!P145*Emissionsfaktoren!N145/1000, 0)</f>
        <v>0</v>
      </c>
      <c r="P475" s="14">
        <f>IF(ISNUMBER('Klisz-Verbräuche'!Q145), 'Klisz-Verbräuche'!Q145*Emissionsfaktoren!O145/1000, 0)</f>
        <v>0</v>
      </c>
      <c r="Q475" s="14">
        <f>IF(ISNUMBER('Klisz-Verbräuche'!R145), 'Klisz-Verbräuche'!R145*Emissionsfaktoren!P145/1000, 0)</f>
        <v>0</v>
      </c>
      <c r="R475" s="14">
        <f>IF(ISNUMBER('Klisz-Verbräuche'!S145), 'Klisz-Verbräuche'!S145*Emissionsfaktoren!Q145/1000, 0)</f>
        <v>0</v>
      </c>
      <c r="S475" s="14">
        <f>IF(ISNUMBER('Klisz-Verbräuche'!T145), 'Klisz-Verbräuche'!T145*Emissionsfaktoren!R145/1000, 0)</f>
        <v>0</v>
      </c>
      <c r="T475" s="14">
        <f>IF(ISNUMBER('Klisz-Verbräuche'!U145), 'Klisz-Verbräuche'!U145*Emissionsfaktoren!S145/1000, 0)</f>
        <v>0</v>
      </c>
      <c r="U475" s="14">
        <f>IF(ISNUMBER('Klisz-Verbräuche'!V145), 'Klisz-Verbräuche'!V145*Emissionsfaktoren!T145/1000, 0)</f>
        <v>0</v>
      </c>
      <c r="V475" s="14">
        <f>IF(ISNUMBER('Klisz-Verbräuche'!W145), 'Klisz-Verbräuche'!W145*Emissionsfaktoren!U145/1000, 0)</f>
        <v>0</v>
      </c>
      <c r="W475" s="14">
        <f>IF(ISNUMBER('Klisz-Verbräuche'!X145), 'Klisz-Verbräuche'!X145*Emissionsfaktoren!V145/1000, 0)</f>
        <v>0</v>
      </c>
      <c r="X475" s="14">
        <f>IF(ISNUMBER('Klisz-Verbräuche'!Y145), 'Klisz-Verbräuche'!Y145*Emissionsfaktoren!W145/1000, 0)</f>
        <v>0</v>
      </c>
      <c r="Y475" s="14">
        <f>IF(ISNUMBER('Klisz-Verbräuche'!Z145), 'Klisz-Verbräuche'!Z145*Emissionsfaktoren!X145/1000, 0)</f>
        <v>0</v>
      </c>
    </row>
    <row r="476" spans="2:25" ht="16.5">
      <c r="B476" s="14">
        <v>130</v>
      </c>
      <c r="C476" s="14" t="str">
        <f>'Refsz-Verbräuche'!C146</f>
        <v>Baugüter</v>
      </c>
      <c r="D476" s="19" t="str">
        <f>'Refsz-Verbräuche'!D146</f>
        <v>Kupferdraht</v>
      </c>
      <c r="E476" t="s">
        <v>195</v>
      </c>
      <c r="F476" s="14">
        <f>IF(ISNUMBER('Klisz-Verbräuche'!G146), 'Klisz-Verbräuche'!G146*Emissionsfaktoren!E146/1000, 0)</f>
        <v>0</v>
      </c>
      <c r="G476" s="14">
        <f>IF(ISNUMBER('Klisz-Verbräuche'!H146), 'Klisz-Verbräuche'!H146*Emissionsfaktoren!F146/1000, 0)</f>
        <v>0</v>
      </c>
      <c r="H476" s="14">
        <f>IF(ISNUMBER('Klisz-Verbräuche'!I146), 'Klisz-Verbräuche'!I146*Emissionsfaktoren!G146/1000, 0)</f>
        <v>0</v>
      </c>
      <c r="I476" s="14">
        <f>IF(ISNUMBER('Klisz-Verbräuche'!J146), 'Klisz-Verbräuche'!J146*Emissionsfaktoren!H146/1000, 0)</f>
        <v>0</v>
      </c>
      <c r="J476" s="14">
        <f>IF(ISNUMBER('Klisz-Verbräuche'!K146), 'Klisz-Verbräuche'!K146*Emissionsfaktoren!I146/1000, 0)</f>
        <v>0</v>
      </c>
      <c r="K476" s="14">
        <f>IF(ISNUMBER('Klisz-Verbräuche'!L146), 'Klisz-Verbräuche'!L146*Emissionsfaktoren!J146/1000, 0)</f>
        <v>0</v>
      </c>
      <c r="L476" s="14">
        <f>IF(ISNUMBER('Klisz-Verbräuche'!M146), 'Klisz-Verbräuche'!M146*Emissionsfaktoren!K146/1000, 0)</f>
        <v>0</v>
      </c>
      <c r="M476" s="14">
        <f>IF(ISNUMBER('Klisz-Verbräuche'!N146), 'Klisz-Verbräuche'!N146*Emissionsfaktoren!L146/1000, 0)</f>
        <v>0</v>
      </c>
      <c r="N476" s="14">
        <f>IF(ISNUMBER('Klisz-Verbräuche'!O146), 'Klisz-Verbräuche'!O146*Emissionsfaktoren!M146/1000, 0)</f>
        <v>0</v>
      </c>
      <c r="O476" s="14">
        <f>IF(ISNUMBER('Klisz-Verbräuche'!P146), 'Klisz-Verbräuche'!P146*Emissionsfaktoren!N146/1000, 0)</f>
        <v>0</v>
      </c>
      <c r="P476" s="14">
        <f>IF(ISNUMBER('Klisz-Verbräuche'!Q146), 'Klisz-Verbräuche'!Q146*Emissionsfaktoren!O146/1000, 0)</f>
        <v>0</v>
      </c>
      <c r="Q476" s="14">
        <f>IF(ISNUMBER('Klisz-Verbräuche'!R146), 'Klisz-Verbräuche'!R146*Emissionsfaktoren!P146/1000, 0)</f>
        <v>0</v>
      </c>
      <c r="R476" s="14">
        <f>IF(ISNUMBER('Klisz-Verbräuche'!S146), 'Klisz-Verbräuche'!S146*Emissionsfaktoren!Q146/1000, 0)</f>
        <v>0</v>
      </c>
      <c r="S476" s="14">
        <f>IF(ISNUMBER('Klisz-Verbräuche'!T146), 'Klisz-Verbräuche'!T146*Emissionsfaktoren!R146/1000, 0)</f>
        <v>0</v>
      </c>
      <c r="T476" s="14">
        <f>IF(ISNUMBER('Klisz-Verbräuche'!U146), 'Klisz-Verbräuche'!U146*Emissionsfaktoren!S146/1000, 0)</f>
        <v>0</v>
      </c>
      <c r="U476" s="14">
        <f>IF(ISNUMBER('Klisz-Verbräuche'!V146), 'Klisz-Verbräuche'!V146*Emissionsfaktoren!T146/1000, 0)</f>
        <v>0</v>
      </c>
      <c r="V476" s="14">
        <f>IF(ISNUMBER('Klisz-Verbräuche'!W146), 'Klisz-Verbräuche'!W146*Emissionsfaktoren!U146/1000, 0)</f>
        <v>0</v>
      </c>
      <c r="W476" s="14">
        <f>IF(ISNUMBER('Klisz-Verbräuche'!X146), 'Klisz-Verbräuche'!X146*Emissionsfaktoren!V146/1000, 0)</f>
        <v>0</v>
      </c>
      <c r="X476" s="14">
        <f>IF(ISNUMBER('Klisz-Verbräuche'!Y146), 'Klisz-Verbräuche'!Y146*Emissionsfaktoren!W146/1000, 0)</f>
        <v>0</v>
      </c>
      <c r="Y476" s="14">
        <f>IF(ISNUMBER('Klisz-Verbräuche'!Z146), 'Klisz-Verbräuche'!Z146*Emissionsfaktoren!X146/1000, 0)</f>
        <v>0</v>
      </c>
    </row>
    <row r="477" spans="2:25" ht="16.5">
      <c r="B477" s="14">
        <v>131</v>
      </c>
      <c r="C477" s="14" t="str">
        <f>'Refsz-Verbräuche'!C147</f>
        <v>Baugüter</v>
      </c>
      <c r="D477" s="19" t="str">
        <f>'Refsz-Verbräuche'!D147</f>
        <v>Kupferrohr</v>
      </c>
      <c r="E477" t="s">
        <v>195</v>
      </c>
      <c r="F477" s="14">
        <f>IF(ISNUMBER('Klisz-Verbräuche'!G147), 'Klisz-Verbräuche'!G147*Emissionsfaktoren!E147/1000, 0)</f>
        <v>0</v>
      </c>
      <c r="G477" s="14">
        <f>IF(ISNUMBER('Klisz-Verbräuche'!H147), 'Klisz-Verbräuche'!H147*Emissionsfaktoren!F147/1000, 0)</f>
        <v>0</v>
      </c>
      <c r="H477" s="14">
        <f>IF(ISNUMBER('Klisz-Verbräuche'!I147), 'Klisz-Verbräuche'!I147*Emissionsfaktoren!G147/1000, 0)</f>
        <v>0</v>
      </c>
      <c r="I477" s="14">
        <f>IF(ISNUMBER('Klisz-Verbräuche'!J147), 'Klisz-Verbräuche'!J147*Emissionsfaktoren!H147/1000, 0)</f>
        <v>0</v>
      </c>
      <c r="J477" s="14">
        <f>IF(ISNUMBER('Klisz-Verbräuche'!K147), 'Klisz-Verbräuche'!K147*Emissionsfaktoren!I147/1000, 0)</f>
        <v>0</v>
      </c>
      <c r="K477" s="14">
        <f>IF(ISNUMBER('Klisz-Verbräuche'!L147), 'Klisz-Verbräuche'!L147*Emissionsfaktoren!J147/1000, 0)</f>
        <v>0</v>
      </c>
      <c r="L477" s="14">
        <f>IF(ISNUMBER('Klisz-Verbräuche'!M147), 'Klisz-Verbräuche'!M147*Emissionsfaktoren!K147/1000, 0)</f>
        <v>0</v>
      </c>
      <c r="M477" s="14">
        <f>IF(ISNUMBER('Klisz-Verbräuche'!N147), 'Klisz-Verbräuche'!N147*Emissionsfaktoren!L147/1000, 0)</f>
        <v>0</v>
      </c>
      <c r="N477" s="14">
        <f>IF(ISNUMBER('Klisz-Verbräuche'!O147), 'Klisz-Verbräuche'!O147*Emissionsfaktoren!M147/1000, 0)</f>
        <v>0</v>
      </c>
      <c r="O477" s="14">
        <f>IF(ISNUMBER('Klisz-Verbräuche'!P147), 'Klisz-Verbräuche'!P147*Emissionsfaktoren!N147/1000, 0)</f>
        <v>0</v>
      </c>
      <c r="P477" s="14">
        <f>IF(ISNUMBER('Klisz-Verbräuche'!Q147), 'Klisz-Verbräuche'!Q147*Emissionsfaktoren!O147/1000, 0)</f>
        <v>0</v>
      </c>
      <c r="Q477" s="14">
        <f>IF(ISNUMBER('Klisz-Verbräuche'!R147), 'Klisz-Verbräuche'!R147*Emissionsfaktoren!P147/1000, 0)</f>
        <v>0</v>
      </c>
      <c r="R477" s="14">
        <f>IF(ISNUMBER('Klisz-Verbräuche'!S147), 'Klisz-Verbräuche'!S147*Emissionsfaktoren!Q147/1000, 0)</f>
        <v>0</v>
      </c>
      <c r="S477" s="14">
        <f>IF(ISNUMBER('Klisz-Verbräuche'!T147), 'Klisz-Verbräuche'!T147*Emissionsfaktoren!R147/1000, 0)</f>
        <v>0</v>
      </c>
      <c r="T477" s="14">
        <f>IF(ISNUMBER('Klisz-Verbräuche'!U147), 'Klisz-Verbräuche'!U147*Emissionsfaktoren!S147/1000, 0)</f>
        <v>0</v>
      </c>
      <c r="U477" s="14">
        <f>IF(ISNUMBER('Klisz-Verbräuche'!V147), 'Klisz-Verbräuche'!V147*Emissionsfaktoren!T147/1000, 0)</f>
        <v>0</v>
      </c>
      <c r="V477" s="14">
        <f>IF(ISNUMBER('Klisz-Verbräuche'!W147), 'Klisz-Verbräuche'!W147*Emissionsfaktoren!U147/1000, 0)</f>
        <v>0</v>
      </c>
      <c r="W477" s="14">
        <f>IF(ISNUMBER('Klisz-Verbräuche'!X147), 'Klisz-Verbräuche'!X147*Emissionsfaktoren!V147/1000, 0)</f>
        <v>0</v>
      </c>
      <c r="X477" s="14">
        <f>IF(ISNUMBER('Klisz-Verbräuche'!Y147), 'Klisz-Verbräuche'!Y147*Emissionsfaktoren!W147/1000, 0)</f>
        <v>0</v>
      </c>
      <c r="Y477" s="14">
        <f>IF(ISNUMBER('Klisz-Verbräuche'!Z147), 'Klisz-Verbräuche'!Z147*Emissionsfaktoren!X147/1000, 0)</f>
        <v>0</v>
      </c>
    </row>
    <row r="478" spans="2:25" ht="16.5">
      <c r="B478" s="14">
        <v>132</v>
      </c>
      <c r="C478" s="14" t="str">
        <f>'Refsz-Verbräuche'!C148</f>
        <v>Baugüter</v>
      </c>
      <c r="D478" s="19" t="str">
        <f>'Refsz-Verbräuche'!D148</f>
        <v>Stahl-Blech</v>
      </c>
      <c r="E478" t="s">
        <v>195</v>
      </c>
      <c r="F478" s="14">
        <f>IF(ISNUMBER('Klisz-Verbräuche'!G148), 'Klisz-Verbräuche'!G148*Emissionsfaktoren!E148/1000, 0)</f>
        <v>0</v>
      </c>
      <c r="G478" s="14">
        <f>IF(ISNUMBER('Klisz-Verbräuche'!H148), 'Klisz-Verbräuche'!H148*Emissionsfaktoren!F148/1000, 0)</f>
        <v>0</v>
      </c>
      <c r="H478" s="14">
        <f>IF(ISNUMBER('Klisz-Verbräuche'!I148), 'Klisz-Verbräuche'!I148*Emissionsfaktoren!G148/1000, 0)</f>
        <v>0</v>
      </c>
      <c r="I478" s="14">
        <f>IF(ISNUMBER('Klisz-Verbräuche'!J148), 'Klisz-Verbräuche'!J148*Emissionsfaktoren!H148/1000, 0)</f>
        <v>0</v>
      </c>
      <c r="J478" s="14">
        <f>IF(ISNUMBER('Klisz-Verbräuche'!K148), 'Klisz-Verbräuche'!K148*Emissionsfaktoren!I148/1000, 0)</f>
        <v>0</v>
      </c>
      <c r="K478" s="14">
        <f>IF(ISNUMBER('Klisz-Verbräuche'!L148), 'Klisz-Verbräuche'!L148*Emissionsfaktoren!J148/1000, 0)</f>
        <v>0</v>
      </c>
      <c r="L478" s="14">
        <f>IF(ISNUMBER('Klisz-Verbräuche'!M148), 'Klisz-Verbräuche'!M148*Emissionsfaktoren!K148/1000, 0)</f>
        <v>0</v>
      </c>
      <c r="M478" s="14">
        <f>IF(ISNUMBER('Klisz-Verbräuche'!N148), 'Klisz-Verbräuche'!N148*Emissionsfaktoren!L148/1000, 0)</f>
        <v>0</v>
      </c>
      <c r="N478" s="14">
        <f>IF(ISNUMBER('Klisz-Verbräuche'!O148), 'Klisz-Verbräuche'!O148*Emissionsfaktoren!M148/1000, 0)</f>
        <v>0</v>
      </c>
      <c r="O478" s="14">
        <f>IF(ISNUMBER('Klisz-Verbräuche'!P148), 'Klisz-Verbräuche'!P148*Emissionsfaktoren!N148/1000, 0)</f>
        <v>0</v>
      </c>
      <c r="P478" s="14">
        <f>IF(ISNUMBER('Klisz-Verbräuche'!Q148), 'Klisz-Verbräuche'!Q148*Emissionsfaktoren!O148/1000, 0)</f>
        <v>0</v>
      </c>
      <c r="Q478" s="14">
        <f>IF(ISNUMBER('Klisz-Verbräuche'!R148), 'Klisz-Verbräuche'!R148*Emissionsfaktoren!P148/1000, 0)</f>
        <v>0</v>
      </c>
      <c r="R478" s="14">
        <f>IF(ISNUMBER('Klisz-Verbräuche'!S148), 'Klisz-Verbräuche'!S148*Emissionsfaktoren!Q148/1000, 0)</f>
        <v>0</v>
      </c>
      <c r="S478" s="14">
        <f>IF(ISNUMBER('Klisz-Verbräuche'!T148), 'Klisz-Verbräuche'!T148*Emissionsfaktoren!R148/1000, 0)</f>
        <v>0</v>
      </c>
      <c r="T478" s="14">
        <f>IF(ISNUMBER('Klisz-Verbräuche'!U148), 'Klisz-Verbräuche'!U148*Emissionsfaktoren!S148/1000, 0)</f>
        <v>0</v>
      </c>
      <c r="U478" s="14">
        <f>IF(ISNUMBER('Klisz-Verbräuche'!V148), 'Klisz-Verbräuche'!V148*Emissionsfaktoren!T148/1000, 0)</f>
        <v>0</v>
      </c>
      <c r="V478" s="14">
        <f>IF(ISNUMBER('Klisz-Verbräuche'!W148), 'Klisz-Verbräuche'!W148*Emissionsfaktoren!U148/1000, 0)</f>
        <v>0</v>
      </c>
      <c r="W478" s="14">
        <f>IF(ISNUMBER('Klisz-Verbräuche'!X148), 'Klisz-Verbräuche'!X148*Emissionsfaktoren!V148/1000, 0)</f>
        <v>0</v>
      </c>
      <c r="X478" s="14">
        <f>IF(ISNUMBER('Klisz-Verbräuche'!Y148), 'Klisz-Verbräuche'!Y148*Emissionsfaktoren!W148/1000, 0)</f>
        <v>0</v>
      </c>
      <c r="Y478" s="14">
        <f>IF(ISNUMBER('Klisz-Verbräuche'!Z148), 'Klisz-Verbräuche'!Z148*Emissionsfaktoren!X148/1000, 0)</f>
        <v>0</v>
      </c>
    </row>
    <row r="479" spans="2:25" ht="16.5">
      <c r="B479" s="14">
        <v>133</v>
      </c>
      <c r="C479" s="14" t="str">
        <f>'Refsz-Verbräuche'!C149</f>
        <v>Baugüter</v>
      </c>
      <c r="D479" s="19" t="str">
        <f>'Refsz-Verbräuche'!D149</f>
        <v>Stahl-Blech verzinkt</v>
      </c>
      <c r="E479" t="s">
        <v>195</v>
      </c>
      <c r="F479" s="14">
        <f>IF(ISNUMBER('Klisz-Verbräuche'!G149), 'Klisz-Verbräuche'!G149*Emissionsfaktoren!E149/1000, 0)</f>
        <v>0</v>
      </c>
      <c r="G479" s="14">
        <f>IF(ISNUMBER('Klisz-Verbräuche'!H149), 'Klisz-Verbräuche'!H149*Emissionsfaktoren!F149/1000, 0)</f>
        <v>0</v>
      </c>
      <c r="H479" s="14">
        <f>IF(ISNUMBER('Klisz-Verbräuche'!I149), 'Klisz-Verbräuche'!I149*Emissionsfaktoren!G149/1000, 0)</f>
        <v>0</v>
      </c>
      <c r="I479" s="14">
        <f>IF(ISNUMBER('Klisz-Verbräuche'!J149), 'Klisz-Verbräuche'!J149*Emissionsfaktoren!H149/1000, 0)</f>
        <v>0</v>
      </c>
      <c r="J479" s="14">
        <f>IF(ISNUMBER('Klisz-Verbräuche'!K149), 'Klisz-Verbräuche'!K149*Emissionsfaktoren!I149/1000, 0)</f>
        <v>0</v>
      </c>
      <c r="K479" s="14">
        <f>IF(ISNUMBER('Klisz-Verbräuche'!L149), 'Klisz-Verbräuche'!L149*Emissionsfaktoren!J149/1000, 0)</f>
        <v>0</v>
      </c>
      <c r="L479" s="14">
        <f>IF(ISNUMBER('Klisz-Verbräuche'!M149), 'Klisz-Verbräuche'!M149*Emissionsfaktoren!K149/1000, 0)</f>
        <v>0</v>
      </c>
      <c r="M479" s="14">
        <f>IF(ISNUMBER('Klisz-Verbräuche'!N149), 'Klisz-Verbräuche'!N149*Emissionsfaktoren!L149/1000, 0)</f>
        <v>0</v>
      </c>
      <c r="N479" s="14">
        <f>IF(ISNUMBER('Klisz-Verbräuche'!O149), 'Klisz-Verbräuche'!O149*Emissionsfaktoren!M149/1000, 0)</f>
        <v>0</v>
      </c>
      <c r="O479" s="14">
        <f>IF(ISNUMBER('Klisz-Verbräuche'!P149), 'Klisz-Verbräuche'!P149*Emissionsfaktoren!N149/1000, 0)</f>
        <v>0</v>
      </c>
      <c r="P479" s="14">
        <f>IF(ISNUMBER('Klisz-Verbräuche'!Q149), 'Klisz-Verbräuche'!Q149*Emissionsfaktoren!O149/1000, 0)</f>
        <v>0</v>
      </c>
      <c r="Q479" s="14">
        <f>IF(ISNUMBER('Klisz-Verbräuche'!R149), 'Klisz-Verbräuche'!R149*Emissionsfaktoren!P149/1000, 0)</f>
        <v>0</v>
      </c>
      <c r="R479" s="14">
        <f>IF(ISNUMBER('Klisz-Verbräuche'!S149), 'Klisz-Verbräuche'!S149*Emissionsfaktoren!Q149/1000, 0)</f>
        <v>0</v>
      </c>
      <c r="S479" s="14">
        <f>IF(ISNUMBER('Klisz-Verbräuche'!T149), 'Klisz-Verbräuche'!T149*Emissionsfaktoren!R149/1000, 0)</f>
        <v>0</v>
      </c>
      <c r="T479" s="14">
        <f>IF(ISNUMBER('Klisz-Verbräuche'!U149), 'Klisz-Verbräuche'!U149*Emissionsfaktoren!S149/1000, 0)</f>
        <v>0</v>
      </c>
      <c r="U479" s="14">
        <f>IF(ISNUMBER('Klisz-Verbräuche'!V149), 'Klisz-Verbräuche'!V149*Emissionsfaktoren!T149/1000, 0)</f>
        <v>0</v>
      </c>
      <c r="V479" s="14">
        <f>IF(ISNUMBER('Klisz-Verbräuche'!W149), 'Klisz-Verbräuche'!W149*Emissionsfaktoren!U149/1000, 0)</f>
        <v>0</v>
      </c>
      <c r="W479" s="14">
        <f>IF(ISNUMBER('Klisz-Verbräuche'!X149), 'Klisz-Verbräuche'!X149*Emissionsfaktoren!V149/1000, 0)</f>
        <v>0</v>
      </c>
      <c r="X479" s="14">
        <f>IF(ISNUMBER('Klisz-Verbräuche'!Y149), 'Klisz-Verbräuche'!Y149*Emissionsfaktoren!W149/1000, 0)</f>
        <v>0</v>
      </c>
      <c r="Y479" s="14">
        <f>IF(ISNUMBER('Klisz-Verbräuche'!Z149), 'Klisz-Verbräuche'!Z149*Emissionsfaktoren!X149/1000, 0)</f>
        <v>0</v>
      </c>
    </row>
    <row r="480" spans="2:25" ht="16.5">
      <c r="B480" s="14">
        <v>134</v>
      </c>
      <c r="C480" s="14" t="str">
        <f>'Refsz-Verbräuche'!C150</f>
        <v>Baugüter</v>
      </c>
      <c r="D480" s="19" t="str">
        <f>'Refsz-Verbräuche'!D150</f>
        <v>Stahl-Elektro</v>
      </c>
      <c r="E480" t="s">
        <v>195</v>
      </c>
      <c r="F480" s="14">
        <f>IF(ISNUMBER('Klisz-Verbräuche'!G150), 'Klisz-Verbräuche'!G150*Emissionsfaktoren!E150/1000, 0)</f>
        <v>0</v>
      </c>
      <c r="G480" s="14">
        <f>IF(ISNUMBER('Klisz-Verbräuche'!H150), 'Klisz-Verbräuche'!H150*Emissionsfaktoren!F150/1000, 0)</f>
        <v>0</v>
      </c>
      <c r="H480" s="14">
        <f>IF(ISNUMBER('Klisz-Verbräuche'!I150), 'Klisz-Verbräuche'!I150*Emissionsfaktoren!G150/1000, 0)</f>
        <v>0</v>
      </c>
      <c r="I480" s="14">
        <f>IF(ISNUMBER('Klisz-Verbräuche'!J150), 'Klisz-Verbräuche'!J150*Emissionsfaktoren!H150/1000, 0)</f>
        <v>0</v>
      </c>
      <c r="J480" s="14">
        <f>IF(ISNUMBER('Klisz-Verbräuche'!K150), 'Klisz-Verbräuche'!K150*Emissionsfaktoren!I150/1000, 0)</f>
        <v>0</v>
      </c>
      <c r="K480" s="14">
        <f>IF(ISNUMBER('Klisz-Verbräuche'!L150), 'Klisz-Verbräuche'!L150*Emissionsfaktoren!J150/1000, 0)</f>
        <v>0</v>
      </c>
      <c r="L480" s="14">
        <f>IF(ISNUMBER('Klisz-Verbräuche'!M150), 'Klisz-Verbräuche'!M150*Emissionsfaktoren!K150/1000, 0)</f>
        <v>0</v>
      </c>
      <c r="M480" s="14">
        <f>IF(ISNUMBER('Klisz-Verbräuche'!N150), 'Klisz-Verbräuche'!N150*Emissionsfaktoren!L150/1000, 0)</f>
        <v>0</v>
      </c>
      <c r="N480" s="14">
        <f>IF(ISNUMBER('Klisz-Verbräuche'!O150), 'Klisz-Verbräuche'!O150*Emissionsfaktoren!M150/1000, 0)</f>
        <v>0</v>
      </c>
      <c r="O480" s="14">
        <f>IF(ISNUMBER('Klisz-Verbräuche'!P150), 'Klisz-Verbräuche'!P150*Emissionsfaktoren!N150/1000, 0)</f>
        <v>0</v>
      </c>
      <c r="P480" s="14">
        <f>IF(ISNUMBER('Klisz-Verbräuche'!Q150), 'Klisz-Verbräuche'!Q150*Emissionsfaktoren!O150/1000, 0)</f>
        <v>0</v>
      </c>
      <c r="Q480" s="14">
        <f>IF(ISNUMBER('Klisz-Verbräuche'!R150), 'Klisz-Verbräuche'!R150*Emissionsfaktoren!P150/1000, 0)</f>
        <v>0</v>
      </c>
      <c r="R480" s="14">
        <f>IF(ISNUMBER('Klisz-Verbräuche'!S150), 'Klisz-Verbräuche'!S150*Emissionsfaktoren!Q150/1000, 0)</f>
        <v>0</v>
      </c>
      <c r="S480" s="14">
        <f>IF(ISNUMBER('Klisz-Verbräuche'!T150), 'Klisz-Verbräuche'!T150*Emissionsfaktoren!R150/1000, 0)</f>
        <v>0</v>
      </c>
      <c r="T480" s="14">
        <f>IF(ISNUMBER('Klisz-Verbräuche'!U150), 'Klisz-Verbräuche'!U150*Emissionsfaktoren!S150/1000, 0)</f>
        <v>0</v>
      </c>
      <c r="U480" s="14">
        <f>IF(ISNUMBER('Klisz-Verbräuche'!V150), 'Klisz-Verbräuche'!V150*Emissionsfaktoren!T150/1000, 0)</f>
        <v>0</v>
      </c>
      <c r="V480" s="14">
        <f>IF(ISNUMBER('Klisz-Verbräuche'!W150), 'Klisz-Verbräuche'!W150*Emissionsfaktoren!U150/1000, 0)</f>
        <v>0</v>
      </c>
      <c r="W480" s="14">
        <f>IF(ISNUMBER('Klisz-Verbräuche'!X150), 'Klisz-Verbräuche'!X150*Emissionsfaktoren!V150/1000, 0)</f>
        <v>0</v>
      </c>
      <c r="X480" s="14">
        <f>IF(ISNUMBER('Klisz-Verbräuche'!Y150), 'Klisz-Verbräuche'!Y150*Emissionsfaktoren!W150/1000, 0)</f>
        <v>0</v>
      </c>
      <c r="Y480" s="14">
        <f>IF(ISNUMBER('Klisz-Verbräuche'!Z150), 'Klisz-Verbräuche'!Z150*Emissionsfaktoren!X150/1000, 0)</f>
        <v>0</v>
      </c>
    </row>
    <row r="481" spans="2:25" ht="16.5">
      <c r="B481" s="14">
        <v>135</v>
      </c>
      <c r="C481" s="14" t="str">
        <f>'Refsz-Verbräuche'!C151</f>
        <v>Baugüter</v>
      </c>
      <c r="D481" s="19" t="str">
        <f>'Refsz-Verbräuche'!D151</f>
        <v>Stahl-mix</v>
      </c>
      <c r="E481" t="s">
        <v>195</v>
      </c>
      <c r="F481" s="14">
        <f>IF(ISNUMBER('Klisz-Verbräuche'!G151), 'Klisz-Verbräuche'!G151*Emissionsfaktoren!E151/1000, 0)</f>
        <v>0</v>
      </c>
      <c r="G481" s="14">
        <f>IF(ISNUMBER('Klisz-Verbräuche'!H151), 'Klisz-Verbräuche'!H151*Emissionsfaktoren!F151/1000, 0)</f>
        <v>0</v>
      </c>
      <c r="H481" s="14">
        <f>IF(ISNUMBER('Klisz-Verbräuche'!I151), 'Klisz-Verbräuche'!I151*Emissionsfaktoren!G151/1000, 0)</f>
        <v>0</v>
      </c>
      <c r="I481" s="14">
        <f>IF(ISNUMBER('Klisz-Verbräuche'!J151), 'Klisz-Verbräuche'!J151*Emissionsfaktoren!H151/1000, 0)</f>
        <v>0</v>
      </c>
      <c r="J481" s="14">
        <f>IF(ISNUMBER('Klisz-Verbräuche'!K151), 'Klisz-Verbräuche'!K151*Emissionsfaktoren!I151/1000, 0)</f>
        <v>0</v>
      </c>
      <c r="K481" s="14">
        <f>IF(ISNUMBER('Klisz-Verbräuche'!L151), 'Klisz-Verbräuche'!L151*Emissionsfaktoren!J151/1000, 0)</f>
        <v>0</v>
      </c>
      <c r="L481" s="14">
        <f>IF(ISNUMBER('Klisz-Verbräuche'!M151), 'Klisz-Verbräuche'!M151*Emissionsfaktoren!K151/1000, 0)</f>
        <v>0</v>
      </c>
      <c r="M481" s="14">
        <f>IF(ISNUMBER('Klisz-Verbräuche'!N151), 'Klisz-Verbräuche'!N151*Emissionsfaktoren!L151/1000, 0)</f>
        <v>0</v>
      </c>
      <c r="N481" s="14">
        <f>IF(ISNUMBER('Klisz-Verbräuche'!O151), 'Klisz-Verbräuche'!O151*Emissionsfaktoren!M151/1000, 0)</f>
        <v>0</v>
      </c>
      <c r="O481" s="14">
        <f>IF(ISNUMBER('Klisz-Verbräuche'!P151), 'Klisz-Verbräuche'!P151*Emissionsfaktoren!N151/1000, 0)</f>
        <v>0</v>
      </c>
      <c r="P481" s="14">
        <f>IF(ISNUMBER('Klisz-Verbräuche'!Q151), 'Klisz-Verbräuche'!Q151*Emissionsfaktoren!O151/1000, 0)</f>
        <v>0</v>
      </c>
      <c r="Q481" s="14">
        <f>IF(ISNUMBER('Klisz-Verbräuche'!R151), 'Klisz-Verbräuche'!R151*Emissionsfaktoren!P151/1000, 0)</f>
        <v>0</v>
      </c>
      <c r="R481" s="14">
        <f>IF(ISNUMBER('Klisz-Verbräuche'!S151), 'Klisz-Verbräuche'!S151*Emissionsfaktoren!Q151/1000, 0)</f>
        <v>0</v>
      </c>
      <c r="S481" s="14">
        <f>IF(ISNUMBER('Klisz-Verbräuche'!T151), 'Klisz-Verbräuche'!T151*Emissionsfaktoren!R151/1000, 0)</f>
        <v>0</v>
      </c>
      <c r="T481" s="14">
        <f>IF(ISNUMBER('Klisz-Verbräuche'!U151), 'Klisz-Verbräuche'!U151*Emissionsfaktoren!S151/1000, 0)</f>
        <v>0</v>
      </c>
      <c r="U481" s="14">
        <f>IF(ISNUMBER('Klisz-Verbräuche'!V151), 'Klisz-Verbräuche'!V151*Emissionsfaktoren!T151/1000, 0)</f>
        <v>0</v>
      </c>
      <c r="V481" s="14">
        <f>IF(ISNUMBER('Klisz-Verbräuche'!W151), 'Klisz-Verbräuche'!W151*Emissionsfaktoren!U151/1000, 0)</f>
        <v>0</v>
      </c>
      <c r="W481" s="14">
        <f>IF(ISNUMBER('Klisz-Verbräuche'!X151), 'Klisz-Verbräuche'!X151*Emissionsfaktoren!V151/1000, 0)</f>
        <v>0</v>
      </c>
      <c r="X481" s="14">
        <f>IF(ISNUMBER('Klisz-Verbräuche'!Y151), 'Klisz-Verbräuche'!Y151*Emissionsfaktoren!W151/1000, 0)</f>
        <v>0</v>
      </c>
      <c r="Y481" s="14">
        <f>IF(ISNUMBER('Klisz-Verbräuche'!Z151), 'Klisz-Verbräuche'!Z151*Emissionsfaktoren!X151/1000, 0)</f>
        <v>0</v>
      </c>
    </row>
    <row r="482" spans="2:25" ht="16.5">
      <c r="B482" s="14">
        <v>136</v>
      </c>
      <c r="C482" s="14" t="str">
        <f>'Refsz-Verbräuche'!C152</f>
        <v>Baugüter</v>
      </c>
      <c r="D482" s="19" t="str">
        <f>'Refsz-Verbräuche'!D152</f>
        <v>Beton</v>
      </c>
      <c r="E482" t="s">
        <v>195</v>
      </c>
      <c r="F482" s="14">
        <f>IF(ISNUMBER('Klisz-Verbräuche'!G152), 'Klisz-Verbräuche'!G152*Emissionsfaktoren!E152/1000, 0)</f>
        <v>0</v>
      </c>
      <c r="G482" s="14">
        <f>IF(ISNUMBER('Klisz-Verbräuche'!H152), 'Klisz-Verbräuche'!H152*Emissionsfaktoren!F152/1000, 0)</f>
        <v>0</v>
      </c>
      <c r="H482" s="14">
        <f>IF(ISNUMBER('Klisz-Verbräuche'!I152), 'Klisz-Verbräuche'!I152*Emissionsfaktoren!G152/1000, 0)</f>
        <v>0</v>
      </c>
      <c r="I482" s="14">
        <f>IF(ISNUMBER('Klisz-Verbräuche'!J152), 'Klisz-Verbräuche'!J152*Emissionsfaktoren!H152/1000, 0)</f>
        <v>0</v>
      </c>
      <c r="J482" s="14">
        <f>IF(ISNUMBER('Klisz-Verbräuche'!K152), 'Klisz-Verbräuche'!K152*Emissionsfaktoren!I152/1000, 0)</f>
        <v>0</v>
      </c>
      <c r="K482" s="14">
        <f>IF(ISNUMBER('Klisz-Verbräuche'!L152), 'Klisz-Verbräuche'!L152*Emissionsfaktoren!J152/1000, 0)</f>
        <v>0</v>
      </c>
      <c r="L482" s="14">
        <f>IF(ISNUMBER('Klisz-Verbräuche'!M152), 'Klisz-Verbräuche'!M152*Emissionsfaktoren!K152/1000, 0)</f>
        <v>0</v>
      </c>
      <c r="M482" s="14">
        <f>IF(ISNUMBER('Klisz-Verbräuche'!N152), 'Klisz-Verbräuche'!N152*Emissionsfaktoren!L152/1000, 0)</f>
        <v>0</v>
      </c>
      <c r="N482" s="14">
        <f>IF(ISNUMBER('Klisz-Verbräuche'!O152), 'Klisz-Verbräuche'!O152*Emissionsfaktoren!M152/1000, 0)</f>
        <v>0</v>
      </c>
      <c r="O482" s="14">
        <f>IF(ISNUMBER('Klisz-Verbräuche'!P152), 'Klisz-Verbräuche'!P152*Emissionsfaktoren!N152/1000, 0)</f>
        <v>0</v>
      </c>
      <c r="P482" s="14">
        <f>IF(ISNUMBER('Klisz-Verbräuche'!Q152), 'Klisz-Verbräuche'!Q152*Emissionsfaktoren!O152/1000, 0)</f>
        <v>0</v>
      </c>
      <c r="Q482" s="14">
        <f>IF(ISNUMBER('Klisz-Verbräuche'!R152), 'Klisz-Verbräuche'!R152*Emissionsfaktoren!P152/1000, 0)</f>
        <v>0</v>
      </c>
      <c r="R482" s="14">
        <f>IF(ISNUMBER('Klisz-Verbräuche'!S152), 'Klisz-Verbräuche'!S152*Emissionsfaktoren!Q152/1000, 0)</f>
        <v>0</v>
      </c>
      <c r="S482" s="14">
        <f>IF(ISNUMBER('Klisz-Verbräuche'!T152), 'Klisz-Verbräuche'!T152*Emissionsfaktoren!R152/1000, 0)</f>
        <v>0</v>
      </c>
      <c r="T482" s="14">
        <f>IF(ISNUMBER('Klisz-Verbräuche'!U152), 'Klisz-Verbräuche'!U152*Emissionsfaktoren!S152/1000, 0)</f>
        <v>0</v>
      </c>
      <c r="U482" s="14">
        <f>IF(ISNUMBER('Klisz-Verbräuche'!V152), 'Klisz-Verbräuche'!V152*Emissionsfaktoren!T152/1000, 0)</f>
        <v>0</v>
      </c>
      <c r="V482" s="14">
        <f>IF(ISNUMBER('Klisz-Verbräuche'!W152), 'Klisz-Verbräuche'!W152*Emissionsfaktoren!U152/1000, 0)</f>
        <v>0</v>
      </c>
      <c r="W482" s="14">
        <f>IF(ISNUMBER('Klisz-Verbräuche'!X152), 'Klisz-Verbräuche'!X152*Emissionsfaktoren!V152/1000, 0)</f>
        <v>0</v>
      </c>
      <c r="X482" s="14">
        <f>IF(ISNUMBER('Klisz-Verbräuche'!Y152), 'Klisz-Verbräuche'!Y152*Emissionsfaktoren!W152/1000, 0)</f>
        <v>0</v>
      </c>
      <c r="Y482" s="14">
        <f>IF(ISNUMBER('Klisz-Verbräuche'!Z152), 'Klisz-Verbräuche'!Z152*Emissionsfaktoren!X152/1000, 0)</f>
        <v>0</v>
      </c>
    </row>
    <row r="483" spans="2:25" ht="16.5">
      <c r="B483" s="14">
        <v>137</v>
      </c>
      <c r="C483" s="14" t="str">
        <f>'Refsz-Verbräuche'!C153</f>
        <v>Baugüter</v>
      </c>
      <c r="D483" s="19" t="str">
        <f>'Refsz-Verbräuche'!D153</f>
        <v>Glaswolle</v>
      </c>
      <c r="E483" t="s">
        <v>195</v>
      </c>
      <c r="F483" s="14">
        <f>IF(ISNUMBER('Klisz-Verbräuche'!G153), 'Klisz-Verbräuche'!G153*Emissionsfaktoren!E153/1000, 0)</f>
        <v>0</v>
      </c>
      <c r="G483" s="14">
        <f>IF(ISNUMBER('Klisz-Verbräuche'!H153), 'Klisz-Verbräuche'!H153*Emissionsfaktoren!F153/1000, 0)</f>
        <v>0</v>
      </c>
      <c r="H483" s="14">
        <f>IF(ISNUMBER('Klisz-Verbräuche'!I153), 'Klisz-Verbräuche'!I153*Emissionsfaktoren!G153/1000, 0)</f>
        <v>0</v>
      </c>
      <c r="I483" s="14">
        <f>IF(ISNUMBER('Klisz-Verbräuche'!J153), 'Klisz-Verbräuche'!J153*Emissionsfaktoren!H153/1000, 0)</f>
        <v>0</v>
      </c>
      <c r="J483" s="14">
        <f>IF(ISNUMBER('Klisz-Verbräuche'!K153), 'Klisz-Verbräuche'!K153*Emissionsfaktoren!I153/1000, 0)</f>
        <v>0</v>
      </c>
      <c r="K483" s="14">
        <f>IF(ISNUMBER('Klisz-Verbräuche'!L153), 'Klisz-Verbräuche'!L153*Emissionsfaktoren!J153/1000, 0)</f>
        <v>0</v>
      </c>
      <c r="L483" s="14">
        <f>IF(ISNUMBER('Klisz-Verbräuche'!M153), 'Klisz-Verbräuche'!M153*Emissionsfaktoren!K153/1000, 0)</f>
        <v>0</v>
      </c>
      <c r="M483" s="14">
        <f>IF(ISNUMBER('Klisz-Verbräuche'!N153), 'Klisz-Verbräuche'!N153*Emissionsfaktoren!L153/1000, 0)</f>
        <v>0</v>
      </c>
      <c r="N483" s="14">
        <f>IF(ISNUMBER('Klisz-Verbräuche'!O153), 'Klisz-Verbräuche'!O153*Emissionsfaktoren!M153/1000, 0)</f>
        <v>0</v>
      </c>
      <c r="O483" s="14">
        <f>IF(ISNUMBER('Klisz-Verbräuche'!P153), 'Klisz-Verbräuche'!P153*Emissionsfaktoren!N153/1000, 0)</f>
        <v>0</v>
      </c>
      <c r="P483" s="14">
        <f>IF(ISNUMBER('Klisz-Verbräuche'!Q153), 'Klisz-Verbräuche'!Q153*Emissionsfaktoren!O153/1000, 0)</f>
        <v>0</v>
      </c>
      <c r="Q483" s="14">
        <f>IF(ISNUMBER('Klisz-Verbräuche'!R153), 'Klisz-Verbräuche'!R153*Emissionsfaktoren!P153/1000, 0)</f>
        <v>0</v>
      </c>
      <c r="R483" s="14">
        <f>IF(ISNUMBER('Klisz-Verbräuche'!S153), 'Klisz-Verbräuche'!S153*Emissionsfaktoren!Q153/1000, 0)</f>
        <v>0</v>
      </c>
      <c r="S483" s="14">
        <f>IF(ISNUMBER('Klisz-Verbräuche'!T153), 'Klisz-Verbräuche'!T153*Emissionsfaktoren!R153/1000, 0)</f>
        <v>0</v>
      </c>
      <c r="T483" s="14">
        <f>IF(ISNUMBER('Klisz-Verbräuche'!U153), 'Klisz-Verbräuche'!U153*Emissionsfaktoren!S153/1000, 0)</f>
        <v>0</v>
      </c>
      <c r="U483" s="14">
        <f>IF(ISNUMBER('Klisz-Verbräuche'!V153), 'Klisz-Verbräuche'!V153*Emissionsfaktoren!T153/1000, 0)</f>
        <v>0</v>
      </c>
      <c r="V483" s="14">
        <f>IF(ISNUMBER('Klisz-Verbräuche'!W153), 'Klisz-Verbräuche'!W153*Emissionsfaktoren!U153/1000, 0)</f>
        <v>0</v>
      </c>
      <c r="W483" s="14">
        <f>IF(ISNUMBER('Klisz-Verbräuche'!X153), 'Klisz-Verbräuche'!X153*Emissionsfaktoren!V153/1000, 0)</f>
        <v>0</v>
      </c>
      <c r="X483" s="14">
        <f>IF(ISNUMBER('Klisz-Verbräuche'!Y153), 'Klisz-Verbräuche'!Y153*Emissionsfaktoren!W153/1000, 0)</f>
        <v>0</v>
      </c>
      <c r="Y483" s="14">
        <f>IF(ISNUMBER('Klisz-Verbräuche'!Z153), 'Klisz-Verbräuche'!Z153*Emissionsfaktoren!X153/1000, 0)</f>
        <v>0</v>
      </c>
    </row>
    <row r="484" spans="2:25" ht="16.5">
      <c r="B484" s="14">
        <v>138</v>
      </c>
      <c r="C484" s="14" t="str">
        <f>'Refsz-Verbräuche'!C154</f>
        <v>Baugüter</v>
      </c>
      <c r="D484" s="19" t="str">
        <f>'Refsz-Verbräuche'!D154</f>
        <v>Konstruktionsvollholz</v>
      </c>
      <c r="E484" t="s">
        <v>195</v>
      </c>
      <c r="F484" s="14">
        <f>IF(ISNUMBER('Klisz-Verbräuche'!G154), 'Klisz-Verbräuche'!G154*Emissionsfaktoren!E154/1000, 0)</f>
        <v>0</v>
      </c>
      <c r="G484" s="14">
        <f>IF(ISNUMBER('Klisz-Verbräuche'!H154), 'Klisz-Verbräuche'!H154*Emissionsfaktoren!F154/1000, 0)</f>
        <v>0</v>
      </c>
      <c r="H484" s="14">
        <f>IF(ISNUMBER('Klisz-Verbräuche'!I154), 'Klisz-Verbräuche'!I154*Emissionsfaktoren!G154/1000, 0)</f>
        <v>0</v>
      </c>
      <c r="I484" s="14">
        <f>IF(ISNUMBER('Klisz-Verbräuche'!J154), 'Klisz-Verbräuche'!J154*Emissionsfaktoren!H154/1000, 0)</f>
        <v>0</v>
      </c>
      <c r="J484" s="14">
        <f>IF(ISNUMBER('Klisz-Verbräuche'!K154), 'Klisz-Verbräuche'!K154*Emissionsfaktoren!I154/1000, 0)</f>
        <v>0</v>
      </c>
      <c r="K484" s="14">
        <f>IF(ISNUMBER('Klisz-Verbräuche'!L154), 'Klisz-Verbräuche'!L154*Emissionsfaktoren!J154/1000, 0)</f>
        <v>0</v>
      </c>
      <c r="L484" s="14">
        <f>IF(ISNUMBER('Klisz-Verbräuche'!M154), 'Klisz-Verbräuche'!M154*Emissionsfaktoren!K154/1000, 0)</f>
        <v>0</v>
      </c>
      <c r="M484" s="14">
        <f>IF(ISNUMBER('Klisz-Verbräuche'!N154), 'Klisz-Verbräuche'!N154*Emissionsfaktoren!L154/1000, 0)</f>
        <v>0</v>
      </c>
      <c r="N484" s="14">
        <f>IF(ISNUMBER('Klisz-Verbräuche'!O154), 'Klisz-Verbräuche'!O154*Emissionsfaktoren!M154/1000, 0)</f>
        <v>0</v>
      </c>
      <c r="O484" s="14">
        <f>IF(ISNUMBER('Klisz-Verbräuche'!P154), 'Klisz-Verbräuche'!P154*Emissionsfaktoren!N154/1000, 0)</f>
        <v>0</v>
      </c>
      <c r="P484" s="14">
        <f>IF(ISNUMBER('Klisz-Verbräuche'!Q154), 'Klisz-Verbräuche'!Q154*Emissionsfaktoren!O154/1000, 0)</f>
        <v>0</v>
      </c>
      <c r="Q484" s="14">
        <f>IF(ISNUMBER('Klisz-Verbräuche'!R154), 'Klisz-Verbräuche'!R154*Emissionsfaktoren!P154/1000, 0)</f>
        <v>0</v>
      </c>
      <c r="R484" s="14">
        <f>IF(ISNUMBER('Klisz-Verbräuche'!S154), 'Klisz-Verbräuche'!S154*Emissionsfaktoren!Q154/1000, 0)</f>
        <v>0</v>
      </c>
      <c r="S484" s="14">
        <f>IF(ISNUMBER('Klisz-Verbräuche'!T154), 'Klisz-Verbräuche'!T154*Emissionsfaktoren!R154/1000, 0)</f>
        <v>0</v>
      </c>
      <c r="T484" s="14">
        <f>IF(ISNUMBER('Klisz-Verbräuche'!U154), 'Klisz-Verbräuche'!U154*Emissionsfaktoren!S154/1000, 0)</f>
        <v>0</v>
      </c>
      <c r="U484" s="14">
        <f>IF(ISNUMBER('Klisz-Verbräuche'!V154), 'Klisz-Verbräuche'!V154*Emissionsfaktoren!T154/1000, 0)</f>
        <v>0</v>
      </c>
      <c r="V484" s="14">
        <f>IF(ISNUMBER('Klisz-Verbräuche'!W154), 'Klisz-Verbräuche'!W154*Emissionsfaktoren!U154/1000, 0)</f>
        <v>0</v>
      </c>
      <c r="W484" s="14">
        <f>IF(ISNUMBER('Klisz-Verbräuche'!X154), 'Klisz-Verbräuche'!X154*Emissionsfaktoren!V154/1000, 0)</f>
        <v>0</v>
      </c>
      <c r="X484" s="14">
        <f>IF(ISNUMBER('Klisz-Verbräuche'!Y154), 'Klisz-Verbräuche'!Y154*Emissionsfaktoren!W154/1000, 0)</f>
        <v>0</v>
      </c>
      <c r="Y484" s="14">
        <f>IF(ISNUMBER('Klisz-Verbräuche'!Z154), 'Klisz-Verbräuche'!Z154*Emissionsfaktoren!X154/1000, 0)</f>
        <v>0</v>
      </c>
    </row>
    <row r="485" spans="2:25" ht="16.5">
      <c r="B485" s="14">
        <v>139</v>
      </c>
      <c r="C485" s="14" t="str">
        <f>'Refsz-Verbräuche'!C155</f>
        <v>Baugüter</v>
      </c>
      <c r="D485" s="19" t="str">
        <f>'Refsz-Verbräuche'!D155</f>
        <v>Spanplatte</v>
      </c>
      <c r="E485" t="s">
        <v>195</v>
      </c>
      <c r="F485" s="14">
        <f>IF(ISNUMBER('Klisz-Verbräuche'!G155), 'Klisz-Verbräuche'!G155*Emissionsfaktoren!E155/1000, 0)</f>
        <v>0</v>
      </c>
      <c r="G485" s="14">
        <f>IF(ISNUMBER('Klisz-Verbräuche'!H155), 'Klisz-Verbräuche'!H155*Emissionsfaktoren!F155/1000, 0)</f>
        <v>0</v>
      </c>
      <c r="H485" s="14">
        <f>IF(ISNUMBER('Klisz-Verbräuche'!I155), 'Klisz-Verbräuche'!I155*Emissionsfaktoren!G155/1000, 0)</f>
        <v>0</v>
      </c>
      <c r="I485" s="14">
        <f>IF(ISNUMBER('Klisz-Verbräuche'!J155), 'Klisz-Verbräuche'!J155*Emissionsfaktoren!H155/1000, 0)</f>
        <v>0</v>
      </c>
      <c r="J485" s="14">
        <f>IF(ISNUMBER('Klisz-Verbräuche'!K155), 'Klisz-Verbräuche'!K155*Emissionsfaktoren!I155/1000, 0)</f>
        <v>0</v>
      </c>
      <c r="K485" s="14">
        <f>IF(ISNUMBER('Klisz-Verbräuche'!L155), 'Klisz-Verbräuche'!L155*Emissionsfaktoren!J155/1000, 0)</f>
        <v>0</v>
      </c>
      <c r="L485" s="14">
        <f>IF(ISNUMBER('Klisz-Verbräuche'!M155), 'Klisz-Verbräuche'!M155*Emissionsfaktoren!K155/1000, 0)</f>
        <v>0</v>
      </c>
      <c r="M485" s="14">
        <f>IF(ISNUMBER('Klisz-Verbräuche'!N155), 'Klisz-Verbräuche'!N155*Emissionsfaktoren!L155/1000, 0)</f>
        <v>0</v>
      </c>
      <c r="N485" s="14">
        <f>IF(ISNUMBER('Klisz-Verbräuche'!O155), 'Klisz-Verbräuche'!O155*Emissionsfaktoren!M155/1000, 0)</f>
        <v>0</v>
      </c>
      <c r="O485" s="14">
        <f>IF(ISNUMBER('Klisz-Verbräuche'!P155), 'Klisz-Verbräuche'!P155*Emissionsfaktoren!N155/1000, 0)</f>
        <v>0</v>
      </c>
      <c r="P485" s="14">
        <f>IF(ISNUMBER('Klisz-Verbräuche'!Q155), 'Klisz-Verbräuche'!Q155*Emissionsfaktoren!O155/1000, 0)</f>
        <v>0</v>
      </c>
      <c r="Q485" s="14">
        <f>IF(ISNUMBER('Klisz-Verbräuche'!R155), 'Klisz-Verbräuche'!R155*Emissionsfaktoren!P155/1000, 0)</f>
        <v>0</v>
      </c>
      <c r="R485" s="14">
        <f>IF(ISNUMBER('Klisz-Verbräuche'!S155), 'Klisz-Verbräuche'!S155*Emissionsfaktoren!Q155/1000, 0)</f>
        <v>0</v>
      </c>
      <c r="S485" s="14">
        <f>IF(ISNUMBER('Klisz-Verbräuche'!T155), 'Klisz-Verbräuche'!T155*Emissionsfaktoren!R155/1000, 0)</f>
        <v>0</v>
      </c>
      <c r="T485" s="14">
        <f>IF(ISNUMBER('Klisz-Verbräuche'!U155), 'Klisz-Verbräuche'!U155*Emissionsfaktoren!S155/1000, 0)</f>
        <v>0</v>
      </c>
      <c r="U485" s="14">
        <f>IF(ISNUMBER('Klisz-Verbräuche'!V155), 'Klisz-Verbräuche'!V155*Emissionsfaktoren!T155/1000, 0)</f>
        <v>0</v>
      </c>
      <c r="V485" s="14">
        <f>IF(ISNUMBER('Klisz-Verbräuche'!W155), 'Klisz-Verbräuche'!W155*Emissionsfaktoren!U155/1000, 0)</f>
        <v>0</v>
      </c>
      <c r="W485" s="14">
        <f>IF(ISNUMBER('Klisz-Verbräuche'!X155), 'Klisz-Verbräuche'!X155*Emissionsfaktoren!V155/1000, 0)</f>
        <v>0</v>
      </c>
      <c r="X485" s="14">
        <f>IF(ISNUMBER('Klisz-Verbräuche'!Y155), 'Klisz-Verbräuche'!Y155*Emissionsfaktoren!W155/1000, 0)</f>
        <v>0</v>
      </c>
      <c r="Y485" s="14">
        <f>IF(ISNUMBER('Klisz-Verbräuche'!Z155), 'Klisz-Verbräuche'!Z155*Emissionsfaktoren!X155/1000, 0)</f>
        <v>0</v>
      </c>
    </row>
    <row r="486" spans="2:25" ht="16.5">
      <c r="B486" s="14">
        <v>140</v>
      </c>
      <c r="C486" s="14" t="str">
        <f>'Refsz-Verbräuche'!C156</f>
        <v>Baugüter</v>
      </c>
      <c r="D486" s="19" t="str">
        <f>'Refsz-Verbräuche'!D156</f>
        <v>Perlit</v>
      </c>
      <c r="E486" t="s">
        <v>195</v>
      </c>
      <c r="F486" s="14">
        <f>IF(ISNUMBER('Klisz-Verbräuche'!G156), 'Klisz-Verbräuche'!G156*Emissionsfaktoren!E156/1000, 0)</f>
        <v>0</v>
      </c>
      <c r="G486" s="14">
        <f>IF(ISNUMBER('Klisz-Verbräuche'!H156), 'Klisz-Verbräuche'!H156*Emissionsfaktoren!F156/1000, 0)</f>
        <v>0</v>
      </c>
      <c r="H486" s="14">
        <f>IF(ISNUMBER('Klisz-Verbräuche'!I156), 'Klisz-Verbräuche'!I156*Emissionsfaktoren!G156/1000, 0)</f>
        <v>0</v>
      </c>
      <c r="I486" s="14">
        <f>IF(ISNUMBER('Klisz-Verbräuche'!J156), 'Klisz-Verbräuche'!J156*Emissionsfaktoren!H156/1000, 0)</f>
        <v>0</v>
      </c>
      <c r="J486" s="14">
        <f>IF(ISNUMBER('Klisz-Verbräuche'!K156), 'Klisz-Verbräuche'!K156*Emissionsfaktoren!I156/1000, 0)</f>
        <v>0</v>
      </c>
      <c r="K486" s="14">
        <f>IF(ISNUMBER('Klisz-Verbräuche'!L156), 'Klisz-Verbräuche'!L156*Emissionsfaktoren!J156/1000, 0)</f>
        <v>0</v>
      </c>
      <c r="L486" s="14">
        <f>IF(ISNUMBER('Klisz-Verbräuche'!M156), 'Klisz-Verbräuche'!M156*Emissionsfaktoren!K156/1000, 0)</f>
        <v>0</v>
      </c>
      <c r="M486" s="14">
        <f>IF(ISNUMBER('Klisz-Verbräuche'!N156), 'Klisz-Verbräuche'!N156*Emissionsfaktoren!L156/1000, 0)</f>
        <v>0</v>
      </c>
      <c r="N486" s="14">
        <f>IF(ISNUMBER('Klisz-Verbräuche'!O156), 'Klisz-Verbräuche'!O156*Emissionsfaktoren!M156/1000, 0)</f>
        <v>0</v>
      </c>
      <c r="O486" s="14">
        <f>IF(ISNUMBER('Klisz-Verbräuche'!P156), 'Klisz-Verbräuche'!P156*Emissionsfaktoren!N156/1000, 0)</f>
        <v>0</v>
      </c>
      <c r="P486" s="14">
        <f>IF(ISNUMBER('Klisz-Verbräuche'!Q156), 'Klisz-Verbräuche'!Q156*Emissionsfaktoren!O156/1000, 0)</f>
        <v>0</v>
      </c>
      <c r="Q486" s="14">
        <f>IF(ISNUMBER('Klisz-Verbräuche'!R156), 'Klisz-Verbräuche'!R156*Emissionsfaktoren!P156/1000, 0)</f>
        <v>0</v>
      </c>
      <c r="R486" s="14">
        <f>IF(ISNUMBER('Klisz-Verbräuche'!S156), 'Klisz-Verbräuche'!S156*Emissionsfaktoren!Q156/1000, 0)</f>
        <v>0</v>
      </c>
      <c r="S486" s="14">
        <f>IF(ISNUMBER('Klisz-Verbräuche'!T156), 'Klisz-Verbräuche'!T156*Emissionsfaktoren!R156/1000, 0)</f>
        <v>0</v>
      </c>
      <c r="T486" s="14">
        <f>IF(ISNUMBER('Klisz-Verbräuche'!U156), 'Klisz-Verbräuche'!U156*Emissionsfaktoren!S156/1000, 0)</f>
        <v>0</v>
      </c>
      <c r="U486" s="14">
        <f>IF(ISNUMBER('Klisz-Verbräuche'!V156), 'Klisz-Verbräuche'!V156*Emissionsfaktoren!T156/1000, 0)</f>
        <v>0</v>
      </c>
      <c r="V486" s="14">
        <f>IF(ISNUMBER('Klisz-Verbräuche'!W156), 'Klisz-Verbräuche'!W156*Emissionsfaktoren!U156/1000, 0)</f>
        <v>0</v>
      </c>
      <c r="W486" s="14">
        <f>IF(ISNUMBER('Klisz-Verbräuche'!X156), 'Klisz-Verbräuche'!X156*Emissionsfaktoren!V156/1000, 0)</f>
        <v>0</v>
      </c>
      <c r="X486" s="14">
        <f>IF(ISNUMBER('Klisz-Verbräuche'!Y156), 'Klisz-Verbräuche'!Y156*Emissionsfaktoren!W156/1000, 0)</f>
        <v>0</v>
      </c>
      <c r="Y486" s="14">
        <f>IF(ISNUMBER('Klisz-Verbräuche'!Z156), 'Klisz-Verbräuche'!Z156*Emissionsfaktoren!X156/1000, 0)</f>
        <v>0</v>
      </c>
    </row>
    <row r="487" spans="2:25" ht="16.5">
      <c r="B487" s="14">
        <v>141</v>
      </c>
      <c r="C487" s="14" t="str">
        <f>'Refsz-Verbräuche'!C157</f>
        <v>Baugüter</v>
      </c>
      <c r="D487" s="19" t="str">
        <f>'Refsz-Verbräuche'!D157</f>
        <v>Stahlbeton Fertigteil Decke (20cm Dicke)</v>
      </c>
      <c r="E487" t="s">
        <v>195</v>
      </c>
      <c r="F487" s="14">
        <f>IF(ISNUMBER('Klisz-Verbräuche'!G157), 'Klisz-Verbräuche'!G157*Emissionsfaktoren!E157/1000, 0)</f>
        <v>0</v>
      </c>
      <c r="G487" s="14">
        <f>IF(ISNUMBER('Klisz-Verbräuche'!H157), 'Klisz-Verbräuche'!H157*Emissionsfaktoren!F157/1000, 0)</f>
        <v>0</v>
      </c>
      <c r="H487" s="14">
        <f>IF(ISNUMBER('Klisz-Verbräuche'!I157), 'Klisz-Verbräuche'!I157*Emissionsfaktoren!G157/1000, 0)</f>
        <v>0</v>
      </c>
      <c r="I487" s="14">
        <f>IF(ISNUMBER('Klisz-Verbräuche'!J157), 'Klisz-Verbräuche'!J157*Emissionsfaktoren!H157/1000, 0)</f>
        <v>0</v>
      </c>
      <c r="J487" s="14">
        <f>IF(ISNUMBER('Klisz-Verbräuche'!K157), 'Klisz-Verbräuche'!K157*Emissionsfaktoren!I157/1000, 0)</f>
        <v>0</v>
      </c>
      <c r="K487" s="14">
        <f>IF(ISNUMBER('Klisz-Verbräuche'!L157), 'Klisz-Verbräuche'!L157*Emissionsfaktoren!J157/1000, 0)</f>
        <v>0</v>
      </c>
      <c r="L487" s="14">
        <f>IF(ISNUMBER('Klisz-Verbräuche'!M157), 'Klisz-Verbräuche'!M157*Emissionsfaktoren!K157/1000, 0)</f>
        <v>0</v>
      </c>
      <c r="M487" s="14">
        <f>IF(ISNUMBER('Klisz-Verbräuche'!N157), 'Klisz-Verbräuche'!N157*Emissionsfaktoren!L157/1000, 0)</f>
        <v>0</v>
      </c>
      <c r="N487" s="14">
        <f>IF(ISNUMBER('Klisz-Verbräuche'!O157), 'Klisz-Verbräuche'!O157*Emissionsfaktoren!M157/1000, 0)</f>
        <v>0</v>
      </c>
      <c r="O487" s="14">
        <f>IF(ISNUMBER('Klisz-Verbräuche'!P157), 'Klisz-Verbräuche'!P157*Emissionsfaktoren!N157/1000, 0)</f>
        <v>0</v>
      </c>
      <c r="P487" s="14">
        <f>IF(ISNUMBER('Klisz-Verbräuche'!Q157), 'Klisz-Verbräuche'!Q157*Emissionsfaktoren!O157/1000, 0)</f>
        <v>0</v>
      </c>
      <c r="Q487" s="14">
        <f>IF(ISNUMBER('Klisz-Verbräuche'!R157), 'Klisz-Verbräuche'!R157*Emissionsfaktoren!P157/1000, 0)</f>
        <v>0</v>
      </c>
      <c r="R487" s="14">
        <f>IF(ISNUMBER('Klisz-Verbräuche'!S157), 'Klisz-Verbräuche'!S157*Emissionsfaktoren!Q157/1000, 0)</f>
        <v>0</v>
      </c>
      <c r="S487" s="14">
        <f>IF(ISNUMBER('Klisz-Verbräuche'!T157), 'Klisz-Verbräuche'!T157*Emissionsfaktoren!R157/1000, 0)</f>
        <v>0</v>
      </c>
      <c r="T487" s="14">
        <f>IF(ISNUMBER('Klisz-Verbräuche'!U157), 'Klisz-Verbräuche'!U157*Emissionsfaktoren!S157/1000, 0)</f>
        <v>0</v>
      </c>
      <c r="U487" s="14">
        <f>IF(ISNUMBER('Klisz-Verbräuche'!V157), 'Klisz-Verbräuche'!V157*Emissionsfaktoren!T157/1000, 0)</f>
        <v>0</v>
      </c>
      <c r="V487" s="14">
        <f>IF(ISNUMBER('Klisz-Verbräuche'!W157), 'Klisz-Verbräuche'!W157*Emissionsfaktoren!U157/1000, 0)</f>
        <v>0</v>
      </c>
      <c r="W487" s="14">
        <f>IF(ISNUMBER('Klisz-Verbräuche'!X157), 'Klisz-Verbräuche'!X157*Emissionsfaktoren!V157/1000, 0)</f>
        <v>0</v>
      </c>
      <c r="X487" s="14">
        <f>IF(ISNUMBER('Klisz-Verbräuche'!Y157), 'Klisz-Verbräuche'!Y157*Emissionsfaktoren!W157/1000, 0)</f>
        <v>0</v>
      </c>
      <c r="Y487" s="14">
        <f>IF(ISNUMBER('Klisz-Verbräuche'!Z157), 'Klisz-Verbräuche'!Z157*Emissionsfaktoren!X157/1000, 0)</f>
        <v>0</v>
      </c>
    </row>
    <row r="488" spans="2:25" ht="16.5">
      <c r="B488" s="14">
        <v>142</v>
      </c>
      <c r="C488" s="14" t="str">
        <f>'Refsz-Verbräuche'!C158</f>
        <v>Baugüter</v>
      </c>
      <c r="D488" s="19" t="str">
        <f>'Refsz-Verbräuche'!D158</f>
        <v>Stahlbeton Fertigteil Wand (12cm Dicke)</v>
      </c>
      <c r="E488" t="s">
        <v>195</v>
      </c>
      <c r="F488" s="14">
        <f>IF(ISNUMBER('Klisz-Verbräuche'!G158), 'Klisz-Verbräuche'!G158*Emissionsfaktoren!E158/1000, 0)</f>
        <v>0</v>
      </c>
      <c r="G488" s="14">
        <f>IF(ISNUMBER('Klisz-Verbräuche'!H158), 'Klisz-Verbräuche'!H158*Emissionsfaktoren!F158/1000, 0)</f>
        <v>0</v>
      </c>
      <c r="H488" s="14">
        <f>IF(ISNUMBER('Klisz-Verbräuche'!I158), 'Klisz-Verbräuche'!I158*Emissionsfaktoren!G158/1000, 0)</f>
        <v>0</v>
      </c>
      <c r="I488" s="14">
        <f>IF(ISNUMBER('Klisz-Verbräuche'!J158), 'Klisz-Verbräuche'!J158*Emissionsfaktoren!H158/1000, 0)</f>
        <v>0</v>
      </c>
      <c r="J488" s="14">
        <f>IF(ISNUMBER('Klisz-Verbräuche'!K158), 'Klisz-Verbräuche'!K158*Emissionsfaktoren!I158/1000, 0)</f>
        <v>0</v>
      </c>
      <c r="K488" s="14">
        <f>IF(ISNUMBER('Klisz-Verbräuche'!L158), 'Klisz-Verbräuche'!L158*Emissionsfaktoren!J158/1000, 0)</f>
        <v>0</v>
      </c>
      <c r="L488" s="14">
        <f>IF(ISNUMBER('Klisz-Verbräuche'!M158), 'Klisz-Verbräuche'!M158*Emissionsfaktoren!K158/1000, 0)</f>
        <v>0</v>
      </c>
      <c r="M488" s="14">
        <f>IF(ISNUMBER('Klisz-Verbräuche'!N158), 'Klisz-Verbräuche'!N158*Emissionsfaktoren!L158/1000, 0)</f>
        <v>0</v>
      </c>
      <c r="N488" s="14">
        <f>IF(ISNUMBER('Klisz-Verbräuche'!O158), 'Klisz-Verbräuche'!O158*Emissionsfaktoren!M158/1000, 0)</f>
        <v>0</v>
      </c>
      <c r="O488" s="14">
        <f>IF(ISNUMBER('Klisz-Verbräuche'!P158), 'Klisz-Verbräuche'!P158*Emissionsfaktoren!N158/1000, 0)</f>
        <v>0</v>
      </c>
      <c r="P488" s="14">
        <f>IF(ISNUMBER('Klisz-Verbräuche'!Q158), 'Klisz-Verbräuche'!Q158*Emissionsfaktoren!O158/1000, 0)</f>
        <v>0</v>
      </c>
      <c r="Q488" s="14">
        <f>IF(ISNUMBER('Klisz-Verbräuche'!R158), 'Klisz-Verbräuche'!R158*Emissionsfaktoren!P158/1000, 0)</f>
        <v>0</v>
      </c>
      <c r="R488" s="14">
        <f>IF(ISNUMBER('Klisz-Verbräuche'!S158), 'Klisz-Verbräuche'!S158*Emissionsfaktoren!Q158/1000, 0)</f>
        <v>0</v>
      </c>
      <c r="S488" s="14">
        <f>IF(ISNUMBER('Klisz-Verbräuche'!T158), 'Klisz-Verbräuche'!T158*Emissionsfaktoren!R158/1000, 0)</f>
        <v>0</v>
      </c>
      <c r="T488" s="14">
        <f>IF(ISNUMBER('Klisz-Verbräuche'!U158), 'Klisz-Verbräuche'!U158*Emissionsfaktoren!S158/1000, 0)</f>
        <v>0</v>
      </c>
      <c r="U488" s="14">
        <f>IF(ISNUMBER('Klisz-Verbräuche'!V158), 'Klisz-Verbräuche'!V158*Emissionsfaktoren!T158/1000, 0)</f>
        <v>0</v>
      </c>
      <c r="V488" s="14">
        <f>IF(ISNUMBER('Klisz-Verbräuche'!W158), 'Klisz-Verbräuche'!W158*Emissionsfaktoren!U158/1000, 0)</f>
        <v>0</v>
      </c>
      <c r="W488" s="14">
        <f>IF(ISNUMBER('Klisz-Verbräuche'!X158), 'Klisz-Verbräuche'!X158*Emissionsfaktoren!V158/1000, 0)</f>
        <v>0</v>
      </c>
      <c r="X488" s="14">
        <f>IF(ISNUMBER('Klisz-Verbräuche'!Y158), 'Klisz-Verbräuche'!Y158*Emissionsfaktoren!W158/1000, 0)</f>
        <v>0</v>
      </c>
      <c r="Y488" s="14">
        <f>IF(ISNUMBER('Klisz-Verbräuche'!Z158), 'Klisz-Verbräuche'!Z158*Emissionsfaktoren!X158/1000, 0)</f>
        <v>0</v>
      </c>
    </row>
    <row r="489" spans="2:25" ht="16.5">
      <c r="B489" s="14">
        <v>143</v>
      </c>
      <c r="C489" s="14" t="str">
        <f>'Refsz-Verbräuche'!C159</f>
        <v>Baugüter</v>
      </c>
      <c r="D489" s="19" t="str">
        <f>'Refsz-Verbräuche'!D159</f>
        <v xml:space="preserve">Stahlbeton Fertigteil Treppe (1,1 m Breite, 9 Stufen a 16 cm) </v>
      </c>
      <c r="E489" t="s">
        <v>195</v>
      </c>
      <c r="F489" s="14">
        <f>IF(ISNUMBER('Klisz-Verbräuche'!G159), 'Klisz-Verbräuche'!G159*Emissionsfaktoren!E159/1000, 0)</f>
        <v>0</v>
      </c>
      <c r="G489" s="14">
        <f>IF(ISNUMBER('Klisz-Verbräuche'!H159), 'Klisz-Verbräuche'!H159*Emissionsfaktoren!F159/1000, 0)</f>
        <v>0</v>
      </c>
      <c r="H489" s="14">
        <f>IF(ISNUMBER('Klisz-Verbräuche'!I159), 'Klisz-Verbräuche'!I159*Emissionsfaktoren!G159/1000, 0)</f>
        <v>0</v>
      </c>
      <c r="I489" s="14">
        <f>IF(ISNUMBER('Klisz-Verbräuche'!J159), 'Klisz-Verbräuche'!J159*Emissionsfaktoren!H159/1000, 0)</f>
        <v>0</v>
      </c>
      <c r="J489" s="14">
        <f>IF(ISNUMBER('Klisz-Verbräuche'!K159), 'Klisz-Verbräuche'!K159*Emissionsfaktoren!I159/1000, 0)</f>
        <v>0</v>
      </c>
      <c r="K489" s="14">
        <f>IF(ISNUMBER('Klisz-Verbräuche'!L159), 'Klisz-Verbräuche'!L159*Emissionsfaktoren!J159/1000, 0)</f>
        <v>0</v>
      </c>
      <c r="L489" s="14">
        <f>IF(ISNUMBER('Klisz-Verbräuche'!M159), 'Klisz-Verbräuche'!M159*Emissionsfaktoren!K159/1000, 0)</f>
        <v>0</v>
      </c>
      <c r="M489" s="14">
        <f>IF(ISNUMBER('Klisz-Verbräuche'!N159), 'Klisz-Verbräuche'!N159*Emissionsfaktoren!L159/1000, 0)</f>
        <v>0</v>
      </c>
      <c r="N489" s="14">
        <f>IF(ISNUMBER('Klisz-Verbräuche'!O159), 'Klisz-Verbräuche'!O159*Emissionsfaktoren!M159/1000, 0)</f>
        <v>0</v>
      </c>
      <c r="O489" s="14">
        <f>IF(ISNUMBER('Klisz-Verbräuche'!P159), 'Klisz-Verbräuche'!P159*Emissionsfaktoren!N159/1000, 0)</f>
        <v>0</v>
      </c>
      <c r="P489" s="14">
        <f>IF(ISNUMBER('Klisz-Verbräuche'!Q159), 'Klisz-Verbräuche'!Q159*Emissionsfaktoren!O159/1000, 0)</f>
        <v>0</v>
      </c>
      <c r="Q489" s="14">
        <f>IF(ISNUMBER('Klisz-Verbräuche'!R159), 'Klisz-Verbräuche'!R159*Emissionsfaktoren!P159/1000, 0)</f>
        <v>0</v>
      </c>
      <c r="R489" s="14">
        <f>IF(ISNUMBER('Klisz-Verbräuche'!S159), 'Klisz-Verbräuche'!S159*Emissionsfaktoren!Q159/1000, 0)</f>
        <v>0</v>
      </c>
      <c r="S489" s="14">
        <f>IF(ISNUMBER('Klisz-Verbräuche'!T159), 'Klisz-Verbräuche'!T159*Emissionsfaktoren!R159/1000, 0)</f>
        <v>0</v>
      </c>
      <c r="T489" s="14">
        <f>IF(ISNUMBER('Klisz-Verbräuche'!U159), 'Klisz-Verbräuche'!U159*Emissionsfaktoren!S159/1000, 0)</f>
        <v>0</v>
      </c>
      <c r="U489" s="14">
        <f>IF(ISNUMBER('Klisz-Verbräuche'!V159), 'Klisz-Verbräuche'!V159*Emissionsfaktoren!T159/1000, 0)</f>
        <v>0</v>
      </c>
      <c r="V489" s="14">
        <f>IF(ISNUMBER('Klisz-Verbräuche'!W159), 'Klisz-Verbräuche'!W159*Emissionsfaktoren!U159/1000, 0)</f>
        <v>0</v>
      </c>
      <c r="W489" s="14">
        <f>IF(ISNUMBER('Klisz-Verbräuche'!X159), 'Klisz-Verbräuche'!X159*Emissionsfaktoren!V159/1000, 0)</f>
        <v>0</v>
      </c>
      <c r="X489" s="14">
        <f>IF(ISNUMBER('Klisz-Verbräuche'!Y159), 'Klisz-Verbräuche'!Y159*Emissionsfaktoren!W159/1000, 0)</f>
        <v>0</v>
      </c>
      <c r="Y489" s="14">
        <f>IF(ISNUMBER('Klisz-Verbräuche'!Z159), 'Klisz-Verbräuche'!Z159*Emissionsfaktoren!X159/1000, 0)</f>
        <v>0</v>
      </c>
    </row>
    <row r="490" spans="2:25" ht="16.5">
      <c r="B490" s="14">
        <v>144</v>
      </c>
      <c r="C490" s="14" t="str">
        <f>'Refsz-Verbräuche'!C160</f>
        <v>Baugüter</v>
      </c>
      <c r="D490" s="19" t="str">
        <f>'Refsz-Verbräuche'!D160</f>
        <v>Mineralwolle</v>
      </c>
      <c r="E490" t="s">
        <v>195</v>
      </c>
      <c r="F490" s="14">
        <f>IF(ISNUMBER('Klisz-Verbräuche'!G160), 'Klisz-Verbräuche'!G160*Emissionsfaktoren!E160/1000, 0)</f>
        <v>0</v>
      </c>
      <c r="G490" s="14">
        <f>IF(ISNUMBER('Klisz-Verbräuche'!H160), 'Klisz-Verbräuche'!H160*Emissionsfaktoren!F160/1000, 0)</f>
        <v>0</v>
      </c>
      <c r="H490" s="14">
        <f>IF(ISNUMBER('Klisz-Verbräuche'!I160), 'Klisz-Verbräuche'!I160*Emissionsfaktoren!G160/1000, 0)</f>
        <v>0</v>
      </c>
      <c r="I490" s="14">
        <f>IF(ISNUMBER('Klisz-Verbräuche'!J160), 'Klisz-Verbräuche'!J160*Emissionsfaktoren!H160/1000, 0)</f>
        <v>0</v>
      </c>
      <c r="J490" s="14">
        <f>IF(ISNUMBER('Klisz-Verbräuche'!K160), 'Klisz-Verbräuche'!K160*Emissionsfaktoren!I160/1000, 0)</f>
        <v>0</v>
      </c>
      <c r="K490" s="14">
        <f>IF(ISNUMBER('Klisz-Verbräuche'!L160), 'Klisz-Verbräuche'!L160*Emissionsfaktoren!J160/1000, 0)</f>
        <v>0</v>
      </c>
      <c r="L490" s="14">
        <f>IF(ISNUMBER('Klisz-Verbräuche'!M160), 'Klisz-Verbräuche'!M160*Emissionsfaktoren!K160/1000, 0)</f>
        <v>0</v>
      </c>
      <c r="M490" s="14">
        <f>IF(ISNUMBER('Klisz-Verbräuche'!N160), 'Klisz-Verbräuche'!N160*Emissionsfaktoren!L160/1000, 0)</f>
        <v>0</v>
      </c>
      <c r="N490" s="14">
        <f>IF(ISNUMBER('Klisz-Verbräuche'!O160), 'Klisz-Verbräuche'!O160*Emissionsfaktoren!M160/1000, 0)</f>
        <v>0</v>
      </c>
      <c r="O490" s="14">
        <f>IF(ISNUMBER('Klisz-Verbräuche'!P160), 'Klisz-Verbräuche'!P160*Emissionsfaktoren!N160/1000, 0)</f>
        <v>0</v>
      </c>
      <c r="P490" s="14">
        <f>IF(ISNUMBER('Klisz-Verbräuche'!Q160), 'Klisz-Verbräuche'!Q160*Emissionsfaktoren!O160/1000, 0)</f>
        <v>0</v>
      </c>
      <c r="Q490" s="14">
        <f>IF(ISNUMBER('Klisz-Verbräuche'!R160), 'Klisz-Verbräuche'!R160*Emissionsfaktoren!P160/1000, 0)</f>
        <v>0</v>
      </c>
      <c r="R490" s="14">
        <f>IF(ISNUMBER('Klisz-Verbräuche'!S160), 'Klisz-Verbräuche'!S160*Emissionsfaktoren!Q160/1000, 0)</f>
        <v>0</v>
      </c>
      <c r="S490" s="14">
        <f>IF(ISNUMBER('Klisz-Verbräuche'!T160), 'Klisz-Verbräuche'!T160*Emissionsfaktoren!R160/1000, 0)</f>
        <v>0</v>
      </c>
      <c r="T490" s="14">
        <f>IF(ISNUMBER('Klisz-Verbräuche'!U160), 'Klisz-Verbräuche'!U160*Emissionsfaktoren!S160/1000, 0)</f>
        <v>0</v>
      </c>
      <c r="U490" s="14">
        <f>IF(ISNUMBER('Klisz-Verbräuche'!V160), 'Klisz-Verbräuche'!V160*Emissionsfaktoren!T160/1000, 0)</f>
        <v>0</v>
      </c>
      <c r="V490" s="14">
        <f>IF(ISNUMBER('Klisz-Verbräuche'!W160), 'Klisz-Verbräuche'!W160*Emissionsfaktoren!U160/1000, 0)</f>
        <v>0</v>
      </c>
      <c r="W490" s="14">
        <f>IF(ISNUMBER('Klisz-Verbräuche'!X160), 'Klisz-Verbräuche'!X160*Emissionsfaktoren!V160/1000, 0)</f>
        <v>0</v>
      </c>
      <c r="X490" s="14">
        <f>IF(ISNUMBER('Klisz-Verbräuche'!Y160), 'Klisz-Verbräuche'!Y160*Emissionsfaktoren!W160/1000, 0)</f>
        <v>0</v>
      </c>
      <c r="Y490" s="14">
        <f>IF(ISNUMBER('Klisz-Verbräuche'!Z160), 'Klisz-Verbräuche'!Z160*Emissionsfaktoren!X160/1000, 0)</f>
        <v>0</v>
      </c>
    </row>
    <row r="491" spans="2:25" ht="16.5">
      <c r="B491" s="14">
        <v>145</v>
      </c>
      <c r="C491" s="14" t="str">
        <f>'Refsz-Verbräuche'!C161</f>
        <v>Baugüter</v>
      </c>
      <c r="D491" s="19" t="str">
        <f>'Refsz-Verbräuche'!D161</f>
        <v>Mauerziegel (ungefüllt)</v>
      </c>
      <c r="E491" t="s">
        <v>195</v>
      </c>
      <c r="F491" s="14">
        <f>IF(ISNUMBER('Klisz-Verbräuche'!G161), 'Klisz-Verbräuche'!G161*Emissionsfaktoren!E161/1000, 0)</f>
        <v>0</v>
      </c>
      <c r="G491" s="14">
        <f>IF(ISNUMBER('Klisz-Verbräuche'!H161), 'Klisz-Verbräuche'!H161*Emissionsfaktoren!F161/1000, 0)</f>
        <v>0</v>
      </c>
      <c r="H491" s="14">
        <f>IF(ISNUMBER('Klisz-Verbräuche'!I161), 'Klisz-Verbräuche'!I161*Emissionsfaktoren!G161/1000, 0)</f>
        <v>0</v>
      </c>
      <c r="I491" s="14">
        <f>IF(ISNUMBER('Klisz-Verbräuche'!J161), 'Klisz-Verbräuche'!J161*Emissionsfaktoren!H161/1000, 0)</f>
        <v>0</v>
      </c>
      <c r="J491" s="14">
        <f>IF(ISNUMBER('Klisz-Verbräuche'!K161), 'Klisz-Verbräuche'!K161*Emissionsfaktoren!I161/1000, 0)</f>
        <v>0</v>
      </c>
      <c r="K491" s="14">
        <f>IF(ISNUMBER('Klisz-Verbräuche'!L161), 'Klisz-Verbräuche'!L161*Emissionsfaktoren!J161/1000, 0)</f>
        <v>0</v>
      </c>
      <c r="L491" s="14">
        <f>IF(ISNUMBER('Klisz-Verbräuche'!M161), 'Klisz-Verbräuche'!M161*Emissionsfaktoren!K161/1000, 0)</f>
        <v>0</v>
      </c>
      <c r="M491" s="14">
        <f>IF(ISNUMBER('Klisz-Verbräuche'!N161), 'Klisz-Verbräuche'!N161*Emissionsfaktoren!L161/1000, 0)</f>
        <v>0</v>
      </c>
      <c r="N491" s="14">
        <f>IF(ISNUMBER('Klisz-Verbräuche'!O161), 'Klisz-Verbräuche'!O161*Emissionsfaktoren!M161/1000, 0)</f>
        <v>0</v>
      </c>
      <c r="O491" s="14">
        <f>IF(ISNUMBER('Klisz-Verbräuche'!P161), 'Klisz-Verbräuche'!P161*Emissionsfaktoren!N161/1000, 0)</f>
        <v>0</v>
      </c>
      <c r="P491" s="14">
        <f>IF(ISNUMBER('Klisz-Verbräuche'!Q161), 'Klisz-Verbräuche'!Q161*Emissionsfaktoren!O161/1000, 0)</f>
        <v>0</v>
      </c>
      <c r="Q491" s="14">
        <f>IF(ISNUMBER('Klisz-Verbräuche'!R161), 'Klisz-Verbräuche'!R161*Emissionsfaktoren!P161/1000, 0)</f>
        <v>0</v>
      </c>
      <c r="R491" s="14">
        <f>IF(ISNUMBER('Klisz-Verbräuche'!S161), 'Klisz-Verbräuche'!S161*Emissionsfaktoren!Q161/1000, 0)</f>
        <v>0</v>
      </c>
      <c r="S491" s="14">
        <f>IF(ISNUMBER('Klisz-Verbräuche'!T161), 'Klisz-Verbräuche'!T161*Emissionsfaktoren!R161/1000, 0)</f>
        <v>0</v>
      </c>
      <c r="T491" s="14">
        <f>IF(ISNUMBER('Klisz-Verbräuche'!U161), 'Klisz-Verbräuche'!U161*Emissionsfaktoren!S161/1000, 0)</f>
        <v>0</v>
      </c>
      <c r="U491" s="14">
        <f>IF(ISNUMBER('Klisz-Verbräuche'!V161), 'Klisz-Verbräuche'!V161*Emissionsfaktoren!T161/1000, 0)</f>
        <v>0</v>
      </c>
      <c r="V491" s="14">
        <f>IF(ISNUMBER('Klisz-Verbräuche'!W161), 'Klisz-Verbräuche'!W161*Emissionsfaktoren!U161/1000, 0)</f>
        <v>0</v>
      </c>
      <c r="W491" s="14">
        <f>IF(ISNUMBER('Klisz-Verbräuche'!X161), 'Klisz-Verbräuche'!X161*Emissionsfaktoren!V161/1000, 0)</f>
        <v>0</v>
      </c>
      <c r="X491" s="14">
        <f>IF(ISNUMBER('Klisz-Verbräuche'!Y161), 'Klisz-Verbräuche'!Y161*Emissionsfaktoren!W161/1000, 0)</f>
        <v>0</v>
      </c>
      <c r="Y491" s="14">
        <f>IF(ISNUMBER('Klisz-Verbräuche'!Z161), 'Klisz-Verbräuche'!Z161*Emissionsfaktoren!X161/1000, 0)</f>
        <v>0</v>
      </c>
    </row>
    <row r="492" spans="2:25" ht="16.5">
      <c r="B492" s="14">
        <v>146</v>
      </c>
      <c r="C492" s="14">
        <f>'Refsz-Verbräuche'!C162</f>
        <v>0</v>
      </c>
      <c r="D492" s="19">
        <f>'Refsz-Verbräuche'!D162</f>
        <v>0</v>
      </c>
      <c r="E492" t="s">
        <v>195</v>
      </c>
      <c r="F492" s="14">
        <f>IF(ISNUMBER('Klisz-Verbräuche'!G162), 'Klisz-Verbräuche'!G162*Emissionsfaktoren!E162/1000, 0)</f>
        <v>0</v>
      </c>
      <c r="G492" s="14">
        <f>IF(ISNUMBER('Klisz-Verbräuche'!H162), 'Klisz-Verbräuche'!H162*Emissionsfaktoren!F162/1000, 0)</f>
        <v>0</v>
      </c>
      <c r="H492" s="14">
        <f>IF(ISNUMBER('Klisz-Verbräuche'!I162), 'Klisz-Verbräuche'!I162*Emissionsfaktoren!G162/1000, 0)</f>
        <v>0</v>
      </c>
      <c r="I492" s="14">
        <f>IF(ISNUMBER('Klisz-Verbräuche'!J162), 'Klisz-Verbräuche'!J162*Emissionsfaktoren!H162/1000, 0)</f>
        <v>0</v>
      </c>
      <c r="J492" s="14">
        <f>IF(ISNUMBER('Klisz-Verbräuche'!K162), 'Klisz-Verbräuche'!K162*Emissionsfaktoren!I162/1000, 0)</f>
        <v>0</v>
      </c>
      <c r="K492" s="14">
        <f>IF(ISNUMBER('Klisz-Verbräuche'!L162), 'Klisz-Verbräuche'!L162*Emissionsfaktoren!J162/1000, 0)</f>
        <v>0</v>
      </c>
      <c r="L492" s="14">
        <f>IF(ISNUMBER('Klisz-Verbräuche'!M162), 'Klisz-Verbräuche'!M162*Emissionsfaktoren!K162/1000, 0)</f>
        <v>0</v>
      </c>
      <c r="M492" s="14">
        <f>IF(ISNUMBER('Klisz-Verbräuche'!N162), 'Klisz-Verbräuche'!N162*Emissionsfaktoren!L162/1000, 0)</f>
        <v>0</v>
      </c>
      <c r="N492" s="14">
        <f>IF(ISNUMBER('Klisz-Verbräuche'!O162), 'Klisz-Verbräuche'!O162*Emissionsfaktoren!M162/1000, 0)</f>
        <v>0</v>
      </c>
      <c r="O492" s="14">
        <f>IF(ISNUMBER('Klisz-Verbräuche'!P162), 'Klisz-Verbräuche'!P162*Emissionsfaktoren!N162/1000, 0)</f>
        <v>0</v>
      </c>
      <c r="P492" s="14">
        <f>IF(ISNUMBER('Klisz-Verbräuche'!Q162), 'Klisz-Verbräuche'!Q162*Emissionsfaktoren!O162/1000, 0)</f>
        <v>0</v>
      </c>
      <c r="Q492" s="14">
        <f>IF(ISNUMBER('Klisz-Verbräuche'!R162), 'Klisz-Verbräuche'!R162*Emissionsfaktoren!P162/1000, 0)</f>
        <v>0</v>
      </c>
      <c r="R492" s="14">
        <f>IF(ISNUMBER('Klisz-Verbräuche'!S162), 'Klisz-Verbräuche'!S162*Emissionsfaktoren!Q162/1000, 0)</f>
        <v>0</v>
      </c>
      <c r="S492" s="14">
        <f>IF(ISNUMBER('Klisz-Verbräuche'!T162), 'Klisz-Verbräuche'!T162*Emissionsfaktoren!R162/1000, 0)</f>
        <v>0</v>
      </c>
      <c r="T492" s="14">
        <f>IF(ISNUMBER('Klisz-Verbräuche'!U162), 'Klisz-Verbräuche'!U162*Emissionsfaktoren!S162/1000, 0)</f>
        <v>0</v>
      </c>
      <c r="U492" s="14">
        <f>IF(ISNUMBER('Klisz-Verbräuche'!V162), 'Klisz-Verbräuche'!V162*Emissionsfaktoren!T162/1000, 0)</f>
        <v>0</v>
      </c>
      <c r="V492" s="14">
        <f>IF(ISNUMBER('Klisz-Verbräuche'!W162), 'Klisz-Verbräuche'!W162*Emissionsfaktoren!U162/1000, 0)</f>
        <v>0</v>
      </c>
      <c r="W492" s="14">
        <f>IF(ISNUMBER('Klisz-Verbräuche'!X162), 'Klisz-Verbräuche'!X162*Emissionsfaktoren!V162/1000, 0)</f>
        <v>0</v>
      </c>
      <c r="X492" s="14">
        <f>IF(ISNUMBER('Klisz-Verbräuche'!Y162), 'Klisz-Verbräuche'!Y162*Emissionsfaktoren!W162/1000, 0)</f>
        <v>0</v>
      </c>
      <c r="Y492" s="14">
        <f>IF(ISNUMBER('Klisz-Verbräuche'!Z162), 'Klisz-Verbräuche'!Z162*Emissionsfaktoren!X162/1000, 0)</f>
        <v>0</v>
      </c>
    </row>
    <row r="493" spans="2:25" ht="16.5">
      <c r="B493" s="14">
        <v>147</v>
      </c>
      <c r="C493" s="14" t="str">
        <f>'Refsz-Verbräuche'!C163</f>
        <v>Waren mit negativem GWP total</v>
      </c>
      <c r="D493" s="19" t="str">
        <f>'Refsz-Verbräuche'!D163</f>
        <v>Holzfaserdämmpatte (flexibe Matte)</v>
      </c>
      <c r="E493" t="s">
        <v>195</v>
      </c>
      <c r="F493" s="14">
        <f>IF(ISNUMBER('Klisz-Verbräuche'!G163), 'Klisz-Verbräuche'!G163*Emissionsfaktoren!E163/1000, 0)</f>
        <v>0</v>
      </c>
      <c r="G493" s="14">
        <f>IF(ISNUMBER('Klisz-Verbräuche'!H163), 'Klisz-Verbräuche'!H163*Emissionsfaktoren!F163/1000, 0)</f>
        <v>0</v>
      </c>
      <c r="H493" s="14">
        <f>IF(ISNUMBER('Klisz-Verbräuche'!I163), 'Klisz-Verbräuche'!I163*Emissionsfaktoren!G163/1000, 0)</f>
        <v>0</v>
      </c>
      <c r="I493" s="14">
        <f>IF(ISNUMBER('Klisz-Verbräuche'!J163), 'Klisz-Verbräuche'!J163*Emissionsfaktoren!H163/1000, 0)</f>
        <v>0</v>
      </c>
      <c r="J493" s="14">
        <f>IF(ISNUMBER('Klisz-Verbräuche'!K163), 'Klisz-Verbräuche'!K163*Emissionsfaktoren!I163/1000, 0)</f>
        <v>0</v>
      </c>
      <c r="K493" s="14">
        <f>IF(ISNUMBER('Klisz-Verbräuche'!L163), 'Klisz-Verbräuche'!L163*Emissionsfaktoren!J163/1000, 0)</f>
        <v>0</v>
      </c>
      <c r="L493" s="14">
        <f>IF(ISNUMBER('Klisz-Verbräuche'!M163), 'Klisz-Verbräuche'!M163*Emissionsfaktoren!K163/1000, 0)</f>
        <v>0</v>
      </c>
      <c r="M493" s="14">
        <f>IF(ISNUMBER('Klisz-Verbräuche'!N163), 'Klisz-Verbräuche'!N163*Emissionsfaktoren!L163/1000, 0)</f>
        <v>0</v>
      </c>
      <c r="N493" s="14">
        <f>IF(ISNUMBER('Klisz-Verbräuche'!O163), 'Klisz-Verbräuche'!O163*Emissionsfaktoren!M163/1000, 0)</f>
        <v>0</v>
      </c>
      <c r="O493" s="14">
        <f>IF(ISNUMBER('Klisz-Verbräuche'!P163), 'Klisz-Verbräuche'!P163*Emissionsfaktoren!N163/1000, 0)</f>
        <v>0</v>
      </c>
      <c r="P493" s="14">
        <f>IF(ISNUMBER('Klisz-Verbräuche'!Q163), 'Klisz-Verbräuche'!Q163*Emissionsfaktoren!O163/1000, 0)</f>
        <v>0</v>
      </c>
      <c r="Q493" s="14">
        <f>IF(ISNUMBER('Klisz-Verbräuche'!R163), 'Klisz-Verbräuche'!R163*Emissionsfaktoren!P163/1000, 0)</f>
        <v>0</v>
      </c>
      <c r="R493" s="14">
        <f>IF(ISNUMBER('Klisz-Verbräuche'!S163), 'Klisz-Verbräuche'!S163*Emissionsfaktoren!Q163/1000, 0)</f>
        <v>0</v>
      </c>
      <c r="S493" s="14">
        <f>IF(ISNUMBER('Klisz-Verbräuche'!T163), 'Klisz-Verbräuche'!T163*Emissionsfaktoren!R163/1000, 0)</f>
        <v>0</v>
      </c>
      <c r="T493" s="14">
        <f>IF(ISNUMBER('Klisz-Verbräuche'!U163), 'Klisz-Verbräuche'!U163*Emissionsfaktoren!S163/1000, 0)</f>
        <v>0</v>
      </c>
      <c r="U493" s="14">
        <f>IF(ISNUMBER('Klisz-Verbräuche'!V163), 'Klisz-Verbräuche'!V163*Emissionsfaktoren!T163/1000, 0)</f>
        <v>0</v>
      </c>
      <c r="V493" s="14">
        <f>IF(ISNUMBER('Klisz-Verbräuche'!W163), 'Klisz-Verbräuche'!W163*Emissionsfaktoren!U163/1000, 0)</f>
        <v>0</v>
      </c>
      <c r="W493" s="14">
        <f>IF(ISNUMBER('Klisz-Verbräuche'!X163), 'Klisz-Verbräuche'!X163*Emissionsfaktoren!V163/1000, 0)</f>
        <v>0</v>
      </c>
      <c r="X493" s="14">
        <f>IF(ISNUMBER('Klisz-Verbräuche'!Y163), 'Klisz-Verbräuche'!Y163*Emissionsfaktoren!W163/1000, 0)</f>
        <v>0</v>
      </c>
      <c r="Y493" s="14">
        <f>IF(ISNUMBER('Klisz-Verbräuche'!Z163), 'Klisz-Verbräuche'!Z163*Emissionsfaktoren!X163/1000, 0)</f>
        <v>0</v>
      </c>
    </row>
    <row r="494" spans="2:25" ht="16.5">
      <c r="B494" s="14">
        <v>148</v>
      </c>
      <c r="C494" s="14">
        <f>'Refsz-Verbräuche'!C164</f>
        <v>0</v>
      </c>
      <c r="D494" s="19">
        <f>'Refsz-Verbräuche'!D164</f>
        <v>0</v>
      </c>
      <c r="E494" t="s">
        <v>195</v>
      </c>
      <c r="F494" s="14">
        <f>IF(ISNUMBER('Klisz-Verbräuche'!G164), 'Klisz-Verbräuche'!G164*Emissionsfaktoren!E164/1000, 0)</f>
        <v>0</v>
      </c>
      <c r="G494" s="14">
        <f>IF(ISNUMBER('Klisz-Verbräuche'!H164), 'Klisz-Verbräuche'!H164*Emissionsfaktoren!F164/1000, 0)</f>
        <v>0</v>
      </c>
      <c r="H494" s="14">
        <f>IF(ISNUMBER('Klisz-Verbräuche'!I164), 'Klisz-Verbräuche'!I164*Emissionsfaktoren!G164/1000, 0)</f>
        <v>0</v>
      </c>
      <c r="I494" s="14">
        <f>IF(ISNUMBER('Klisz-Verbräuche'!J164), 'Klisz-Verbräuche'!J164*Emissionsfaktoren!H164/1000, 0)</f>
        <v>0</v>
      </c>
      <c r="J494" s="14">
        <f>IF(ISNUMBER('Klisz-Verbräuche'!K164), 'Klisz-Verbräuche'!K164*Emissionsfaktoren!I164/1000, 0)</f>
        <v>0</v>
      </c>
      <c r="K494" s="14">
        <f>IF(ISNUMBER('Klisz-Verbräuche'!L164), 'Klisz-Verbräuche'!L164*Emissionsfaktoren!J164/1000, 0)</f>
        <v>0</v>
      </c>
      <c r="L494" s="14">
        <f>IF(ISNUMBER('Klisz-Verbräuche'!M164), 'Klisz-Verbräuche'!M164*Emissionsfaktoren!K164/1000, 0)</f>
        <v>0</v>
      </c>
      <c r="M494" s="14">
        <f>IF(ISNUMBER('Klisz-Verbräuche'!N164), 'Klisz-Verbräuche'!N164*Emissionsfaktoren!L164/1000, 0)</f>
        <v>0</v>
      </c>
      <c r="N494" s="14">
        <f>IF(ISNUMBER('Klisz-Verbräuche'!O164), 'Klisz-Verbräuche'!O164*Emissionsfaktoren!M164/1000, 0)</f>
        <v>0</v>
      </c>
      <c r="O494" s="14">
        <f>IF(ISNUMBER('Klisz-Verbräuche'!P164), 'Klisz-Verbräuche'!P164*Emissionsfaktoren!N164/1000, 0)</f>
        <v>0</v>
      </c>
      <c r="P494" s="14">
        <f>IF(ISNUMBER('Klisz-Verbräuche'!Q164), 'Klisz-Verbräuche'!Q164*Emissionsfaktoren!O164/1000, 0)</f>
        <v>0</v>
      </c>
      <c r="Q494" s="14">
        <f>IF(ISNUMBER('Klisz-Verbräuche'!R164), 'Klisz-Verbräuche'!R164*Emissionsfaktoren!P164/1000, 0)</f>
        <v>0</v>
      </c>
      <c r="R494" s="14">
        <f>IF(ISNUMBER('Klisz-Verbräuche'!S164), 'Klisz-Verbräuche'!S164*Emissionsfaktoren!Q164/1000, 0)</f>
        <v>0</v>
      </c>
      <c r="S494" s="14">
        <f>IF(ISNUMBER('Klisz-Verbräuche'!T164), 'Klisz-Verbräuche'!T164*Emissionsfaktoren!R164/1000, 0)</f>
        <v>0</v>
      </c>
      <c r="T494" s="14">
        <f>IF(ISNUMBER('Klisz-Verbräuche'!U164), 'Klisz-Verbräuche'!U164*Emissionsfaktoren!S164/1000, 0)</f>
        <v>0</v>
      </c>
      <c r="U494" s="14">
        <f>IF(ISNUMBER('Klisz-Verbräuche'!V164), 'Klisz-Verbräuche'!V164*Emissionsfaktoren!T164/1000, 0)</f>
        <v>0</v>
      </c>
      <c r="V494" s="14">
        <f>IF(ISNUMBER('Klisz-Verbräuche'!W164), 'Klisz-Verbräuche'!W164*Emissionsfaktoren!U164/1000, 0)</f>
        <v>0</v>
      </c>
      <c r="W494" s="14">
        <f>IF(ISNUMBER('Klisz-Verbräuche'!X164), 'Klisz-Verbräuche'!X164*Emissionsfaktoren!V164/1000, 0)</f>
        <v>0</v>
      </c>
      <c r="X494" s="14">
        <f>IF(ISNUMBER('Klisz-Verbräuche'!Y164), 'Klisz-Verbräuche'!Y164*Emissionsfaktoren!W164/1000, 0)</f>
        <v>0</v>
      </c>
      <c r="Y494" s="14">
        <f>IF(ISNUMBER('Klisz-Verbräuche'!Z164), 'Klisz-Verbräuche'!Z164*Emissionsfaktoren!X164/1000, 0)</f>
        <v>0</v>
      </c>
    </row>
    <row r="495" spans="2:25" ht="16.5">
      <c r="B495" s="14">
        <v>149</v>
      </c>
      <c r="C495" s="14" t="str">
        <f>'Refsz-Verbräuche'!C165</f>
        <v>Kompensation</v>
      </c>
      <c r="D495" s="19" t="str">
        <f>'Refsz-Verbräuche'!D165</f>
        <v>Kompensation</v>
      </c>
      <c r="E495" t="s">
        <v>195</v>
      </c>
      <c r="F495" s="14">
        <f>IF(ISNUMBER('Klisz-Verbräuche'!G165), 'Klisz-Verbräuche'!G165*Emissionsfaktoren!E165/1000, 0)</f>
        <v>0</v>
      </c>
      <c r="G495" s="14">
        <f>IF(ISNUMBER('Klisz-Verbräuche'!H165), 'Klisz-Verbräuche'!H165*Emissionsfaktoren!F165/1000, 0)</f>
        <v>0</v>
      </c>
      <c r="H495" s="14">
        <f>IF(ISNUMBER('Klisz-Verbräuche'!I165), 'Klisz-Verbräuche'!I165*Emissionsfaktoren!G165/1000, 0)</f>
        <v>0</v>
      </c>
      <c r="I495" s="14">
        <f>IF(ISNUMBER('Klisz-Verbräuche'!J165), 'Klisz-Verbräuche'!J165*Emissionsfaktoren!H165/1000, 0)</f>
        <v>0</v>
      </c>
      <c r="J495" s="14">
        <f>IF(ISNUMBER('Klisz-Verbräuche'!K165), 'Klisz-Verbräuche'!K165*Emissionsfaktoren!I165/1000, 0)</f>
        <v>0</v>
      </c>
      <c r="K495" s="14">
        <f>IF(ISNUMBER('Klisz-Verbräuche'!L165), 'Klisz-Verbräuche'!L165*Emissionsfaktoren!J165/1000, 0)</f>
        <v>0</v>
      </c>
      <c r="L495" s="14">
        <f>IF(ISNUMBER('Klisz-Verbräuche'!M165), 'Klisz-Verbräuche'!M165*Emissionsfaktoren!K165/1000, 0)</f>
        <v>0</v>
      </c>
      <c r="M495" s="14">
        <f>IF(ISNUMBER('Klisz-Verbräuche'!N165), 'Klisz-Verbräuche'!N165*Emissionsfaktoren!L165/1000, 0)</f>
        <v>0</v>
      </c>
      <c r="N495" s="14">
        <f>IF(ISNUMBER('Klisz-Verbräuche'!O165), 'Klisz-Verbräuche'!O165*Emissionsfaktoren!M165/1000, 0)</f>
        <v>0</v>
      </c>
      <c r="O495" s="14">
        <f>IF(ISNUMBER('Klisz-Verbräuche'!P165), 'Klisz-Verbräuche'!P165*Emissionsfaktoren!N165/1000, 0)</f>
        <v>0</v>
      </c>
      <c r="P495" s="14">
        <f>IF(ISNUMBER('Klisz-Verbräuche'!Q165), 'Klisz-Verbräuche'!Q165*Emissionsfaktoren!O165/1000, 0)</f>
        <v>0</v>
      </c>
      <c r="Q495" s="14">
        <f>IF(ISNUMBER('Klisz-Verbräuche'!R165), 'Klisz-Verbräuche'!R165*Emissionsfaktoren!P165/1000, 0)</f>
        <v>0</v>
      </c>
      <c r="R495" s="14">
        <f>IF(ISNUMBER('Klisz-Verbräuche'!S165), 'Klisz-Verbräuche'!S165*Emissionsfaktoren!Q165/1000, 0)</f>
        <v>0</v>
      </c>
      <c r="S495" s="14">
        <f>IF(ISNUMBER('Klisz-Verbräuche'!T165), 'Klisz-Verbräuche'!T165*Emissionsfaktoren!R165/1000, 0)</f>
        <v>0</v>
      </c>
      <c r="T495" s="14">
        <f>IF(ISNUMBER('Klisz-Verbräuche'!U165), 'Klisz-Verbräuche'!U165*Emissionsfaktoren!S165/1000, 0)</f>
        <v>0</v>
      </c>
      <c r="U495" s="14">
        <f>IF(ISNUMBER('Klisz-Verbräuche'!V165), 'Klisz-Verbräuche'!V165*Emissionsfaktoren!T165/1000, 0)</f>
        <v>0</v>
      </c>
      <c r="V495" s="14">
        <f>IF(ISNUMBER('Klisz-Verbräuche'!W165), 'Klisz-Verbräuche'!W165*Emissionsfaktoren!U165/1000, 0)</f>
        <v>0</v>
      </c>
      <c r="W495" s="14">
        <f>IF(ISNUMBER('Klisz-Verbräuche'!X165), 'Klisz-Verbräuche'!X165*Emissionsfaktoren!V165/1000, 0)</f>
        <v>0</v>
      </c>
      <c r="X495" s="14">
        <f>IF(ISNUMBER('Klisz-Verbräuche'!Y165), 'Klisz-Verbräuche'!Y165*Emissionsfaktoren!W165/1000, 0)</f>
        <v>0</v>
      </c>
      <c r="Y495" s="14">
        <f>IF(ISNUMBER('Klisz-Verbräuche'!Z165), 'Klisz-Verbräuche'!Z165*Emissionsfaktoren!X165/1000, 0)</f>
        <v>0</v>
      </c>
    </row>
    <row r="496" spans="2:25" ht="16.5">
      <c r="B496" s="14">
        <v>150</v>
      </c>
      <c r="C496" s="14">
        <f>'Refsz-Verbräuche'!C166</f>
        <v>0</v>
      </c>
      <c r="D496" s="19">
        <f>'Refsz-Verbräuche'!D166</f>
        <v>0</v>
      </c>
      <c r="E496" t="s">
        <v>195</v>
      </c>
      <c r="F496" s="14">
        <f>IF(ISNUMBER('Klisz-Verbräuche'!G166), 'Klisz-Verbräuche'!G166*Emissionsfaktoren!E166/1000, 0)</f>
        <v>0</v>
      </c>
      <c r="G496" s="14">
        <f>IF(ISNUMBER('Klisz-Verbräuche'!H166), 'Klisz-Verbräuche'!H166*Emissionsfaktoren!F166/1000, 0)</f>
        <v>0</v>
      </c>
      <c r="H496" s="14">
        <f>IF(ISNUMBER('Klisz-Verbräuche'!I166), 'Klisz-Verbräuche'!I166*Emissionsfaktoren!G166/1000, 0)</f>
        <v>0</v>
      </c>
      <c r="I496" s="14">
        <f>IF(ISNUMBER('Klisz-Verbräuche'!J166), 'Klisz-Verbräuche'!J166*Emissionsfaktoren!H166/1000, 0)</f>
        <v>0</v>
      </c>
      <c r="J496" s="14">
        <f>IF(ISNUMBER('Klisz-Verbräuche'!K166), 'Klisz-Verbräuche'!K166*Emissionsfaktoren!I166/1000, 0)</f>
        <v>0</v>
      </c>
      <c r="K496" s="14">
        <f>IF(ISNUMBER('Klisz-Verbräuche'!L166), 'Klisz-Verbräuche'!L166*Emissionsfaktoren!J166/1000, 0)</f>
        <v>0</v>
      </c>
      <c r="L496" s="14">
        <f>IF(ISNUMBER('Klisz-Verbräuche'!M166), 'Klisz-Verbräuche'!M166*Emissionsfaktoren!K166/1000, 0)</f>
        <v>0</v>
      </c>
      <c r="M496" s="14">
        <f>IF(ISNUMBER('Klisz-Verbräuche'!N166), 'Klisz-Verbräuche'!N166*Emissionsfaktoren!L166/1000, 0)</f>
        <v>0</v>
      </c>
      <c r="N496" s="14">
        <f>IF(ISNUMBER('Klisz-Verbräuche'!O166), 'Klisz-Verbräuche'!O166*Emissionsfaktoren!M166/1000, 0)</f>
        <v>0</v>
      </c>
      <c r="O496" s="14">
        <f>IF(ISNUMBER('Klisz-Verbräuche'!P166), 'Klisz-Verbräuche'!P166*Emissionsfaktoren!N166/1000, 0)</f>
        <v>0</v>
      </c>
      <c r="P496" s="14">
        <f>IF(ISNUMBER('Klisz-Verbräuche'!Q166), 'Klisz-Verbräuche'!Q166*Emissionsfaktoren!O166/1000, 0)</f>
        <v>0</v>
      </c>
      <c r="Q496" s="14">
        <f>IF(ISNUMBER('Klisz-Verbräuche'!R166), 'Klisz-Verbräuche'!R166*Emissionsfaktoren!P166/1000, 0)</f>
        <v>0</v>
      </c>
      <c r="R496" s="14">
        <f>IF(ISNUMBER('Klisz-Verbräuche'!S166), 'Klisz-Verbräuche'!S166*Emissionsfaktoren!Q166/1000, 0)</f>
        <v>0</v>
      </c>
      <c r="S496" s="14">
        <f>IF(ISNUMBER('Klisz-Verbräuche'!T166), 'Klisz-Verbräuche'!T166*Emissionsfaktoren!R166/1000, 0)</f>
        <v>0</v>
      </c>
      <c r="T496" s="14">
        <f>IF(ISNUMBER('Klisz-Verbräuche'!U166), 'Klisz-Verbräuche'!U166*Emissionsfaktoren!S166/1000, 0)</f>
        <v>0</v>
      </c>
      <c r="U496" s="14">
        <f>IF(ISNUMBER('Klisz-Verbräuche'!V166), 'Klisz-Verbräuche'!V166*Emissionsfaktoren!T166/1000, 0)</f>
        <v>0</v>
      </c>
      <c r="V496" s="14">
        <f>IF(ISNUMBER('Klisz-Verbräuche'!W166), 'Klisz-Verbräuche'!W166*Emissionsfaktoren!U166/1000, 0)</f>
        <v>0</v>
      </c>
      <c r="W496" s="14">
        <f>IF(ISNUMBER('Klisz-Verbräuche'!X166), 'Klisz-Verbräuche'!X166*Emissionsfaktoren!V166/1000, 0)</f>
        <v>0</v>
      </c>
      <c r="X496" s="14">
        <f>IF(ISNUMBER('Klisz-Verbräuche'!Y166), 'Klisz-Verbräuche'!Y166*Emissionsfaktoren!W166/1000, 0)</f>
        <v>0</v>
      </c>
      <c r="Y496" s="14">
        <f>IF(ISNUMBER('Klisz-Verbräuche'!Z166), 'Klisz-Verbräuche'!Z166*Emissionsfaktoren!X166/1000, 0)</f>
        <v>0</v>
      </c>
    </row>
    <row r="497" spans="2:25" ht="16.5">
      <c r="B497" s="14">
        <v>151</v>
      </c>
      <c r="C497" s="14">
        <f>'Refsz-Verbräuche'!C167</f>
        <v>0</v>
      </c>
      <c r="D497" s="19">
        <f>'Refsz-Verbräuche'!D167</f>
        <v>0</v>
      </c>
      <c r="E497" t="s">
        <v>195</v>
      </c>
      <c r="F497" s="14">
        <f>IF(ISNUMBER('Klisz-Verbräuche'!G167), 'Klisz-Verbräuche'!G167*Emissionsfaktoren!E167/1000, 0)</f>
        <v>0</v>
      </c>
      <c r="G497" s="14">
        <f>IF(ISNUMBER('Klisz-Verbräuche'!H167), 'Klisz-Verbräuche'!H167*Emissionsfaktoren!F167/1000, 0)</f>
        <v>0</v>
      </c>
      <c r="H497" s="14">
        <f>IF(ISNUMBER('Klisz-Verbräuche'!I167), 'Klisz-Verbräuche'!I167*Emissionsfaktoren!G167/1000, 0)</f>
        <v>0</v>
      </c>
      <c r="I497" s="14">
        <f>IF(ISNUMBER('Klisz-Verbräuche'!J167), 'Klisz-Verbräuche'!J167*Emissionsfaktoren!H167/1000, 0)</f>
        <v>0</v>
      </c>
      <c r="J497" s="14">
        <f>IF(ISNUMBER('Klisz-Verbräuche'!K167), 'Klisz-Verbräuche'!K167*Emissionsfaktoren!I167/1000, 0)</f>
        <v>0</v>
      </c>
      <c r="K497" s="14">
        <f>IF(ISNUMBER('Klisz-Verbräuche'!L167), 'Klisz-Verbräuche'!L167*Emissionsfaktoren!J167/1000, 0)</f>
        <v>0</v>
      </c>
      <c r="L497" s="14">
        <f>IF(ISNUMBER('Klisz-Verbräuche'!M167), 'Klisz-Verbräuche'!M167*Emissionsfaktoren!K167/1000, 0)</f>
        <v>0</v>
      </c>
      <c r="M497" s="14">
        <f>IF(ISNUMBER('Klisz-Verbräuche'!N167), 'Klisz-Verbräuche'!N167*Emissionsfaktoren!L167/1000, 0)</f>
        <v>0</v>
      </c>
      <c r="N497" s="14">
        <f>IF(ISNUMBER('Klisz-Verbräuche'!O167), 'Klisz-Verbräuche'!O167*Emissionsfaktoren!M167/1000, 0)</f>
        <v>0</v>
      </c>
      <c r="O497" s="14">
        <f>IF(ISNUMBER('Klisz-Verbräuche'!P167), 'Klisz-Verbräuche'!P167*Emissionsfaktoren!N167/1000, 0)</f>
        <v>0</v>
      </c>
      <c r="P497" s="14">
        <f>IF(ISNUMBER('Klisz-Verbräuche'!Q167), 'Klisz-Verbräuche'!Q167*Emissionsfaktoren!O167/1000, 0)</f>
        <v>0</v>
      </c>
      <c r="Q497" s="14">
        <f>IF(ISNUMBER('Klisz-Verbräuche'!R167), 'Klisz-Verbräuche'!R167*Emissionsfaktoren!P167/1000, 0)</f>
        <v>0</v>
      </c>
      <c r="R497" s="14">
        <f>IF(ISNUMBER('Klisz-Verbräuche'!S167), 'Klisz-Verbräuche'!S167*Emissionsfaktoren!Q167/1000, 0)</f>
        <v>0</v>
      </c>
      <c r="S497" s="14">
        <f>IF(ISNUMBER('Klisz-Verbräuche'!T167), 'Klisz-Verbräuche'!T167*Emissionsfaktoren!R167/1000, 0)</f>
        <v>0</v>
      </c>
      <c r="T497" s="14">
        <f>IF(ISNUMBER('Klisz-Verbräuche'!U167), 'Klisz-Verbräuche'!U167*Emissionsfaktoren!S167/1000, 0)</f>
        <v>0</v>
      </c>
      <c r="U497" s="14">
        <f>IF(ISNUMBER('Klisz-Verbräuche'!V167), 'Klisz-Verbräuche'!V167*Emissionsfaktoren!T167/1000, 0)</f>
        <v>0</v>
      </c>
      <c r="V497" s="14">
        <f>IF(ISNUMBER('Klisz-Verbräuche'!W167), 'Klisz-Verbräuche'!W167*Emissionsfaktoren!U167/1000, 0)</f>
        <v>0</v>
      </c>
      <c r="W497" s="14">
        <f>IF(ISNUMBER('Klisz-Verbräuche'!X167), 'Klisz-Verbräuche'!X167*Emissionsfaktoren!V167/1000, 0)</f>
        <v>0</v>
      </c>
      <c r="X497" s="14">
        <f>IF(ISNUMBER('Klisz-Verbräuche'!Y167), 'Klisz-Verbräuche'!Y167*Emissionsfaktoren!W167/1000, 0)</f>
        <v>0</v>
      </c>
      <c r="Y497" s="14">
        <f>IF(ISNUMBER('Klisz-Verbräuche'!Z167), 'Klisz-Verbräuche'!Z167*Emissionsfaktoren!X167/1000, 0)</f>
        <v>0</v>
      </c>
    </row>
    <row r="498" spans="2:25" ht="16.5">
      <c r="B498" s="14">
        <v>152</v>
      </c>
      <c r="C498" s="14">
        <f>'Refsz-Verbräuche'!C168</f>
        <v>0</v>
      </c>
      <c r="D498" s="19">
        <f>'Refsz-Verbräuche'!D168</f>
        <v>0</v>
      </c>
      <c r="E498" t="s">
        <v>195</v>
      </c>
      <c r="F498" s="14">
        <f>IF(ISNUMBER('Klisz-Verbräuche'!G168), 'Klisz-Verbräuche'!G168*Emissionsfaktoren!E168/1000, 0)</f>
        <v>0</v>
      </c>
      <c r="G498" s="14">
        <f>IF(ISNUMBER('Klisz-Verbräuche'!H168), 'Klisz-Verbräuche'!H168*Emissionsfaktoren!F168/1000, 0)</f>
        <v>0</v>
      </c>
      <c r="H498" s="14">
        <f>IF(ISNUMBER('Klisz-Verbräuche'!I168), 'Klisz-Verbräuche'!I168*Emissionsfaktoren!G168/1000, 0)</f>
        <v>0</v>
      </c>
      <c r="I498" s="14">
        <f>IF(ISNUMBER('Klisz-Verbräuche'!J168), 'Klisz-Verbräuche'!J168*Emissionsfaktoren!H168/1000, 0)</f>
        <v>0</v>
      </c>
      <c r="J498" s="14">
        <f>IF(ISNUMBER('Klisz-Verbräuche'!K168), 'Klisz-Verbräuche'!K168*Emissionsfaktoren!I168/1000, 0)</f>
        <v>0</v>
      </c>
      <c r="K498" s="14">
        <f>IF(ISNUMBER('Klisz-Verbräuche'!L168), 'Klisz-Verbräuche'!L168*Emissionsfaktoren!J168/1000, 0)</f>
        <v>0</v>
      </c>
      <c r="L498" s="14">
        <f>IF(ISNUMBER('Klisz-Verbräuche'!M168), 'Klisz-Verbräuche'!M168*Emissionsfaktoren!K168/1000, 0)</f>
        <v>0</v>
      </c>
      <c r="M498" s="14">
        <f>IF(ISNUMBER('Klisz-Verbräuche'!N168), 'Klisz-Verbräuche'!N168*Emissionsfaktoren!L168/1000, 0)</f>
        <v>0</v>
      </c>
      <c r="N498" s="14">
        <f>IF(ISNUMBER('Klisz-Verbräuche'!O168), 'Klisz-Verbräuche'!O168*Emissionsfaktoren!M168/1000, 0)</f>
        <v>0</v>
      </c>
      <c r="O498" s="14">
        <f>IF(ISNUMBER('Klisz-Verbräuche'!P168), 'Klisz-Verbräuche'!P168*Emissionsfaktoren!N168/1000, 0)</f>
        <v>0</v>
      </c>
      <c r="P498" s="14">
        <f>IF(ISNUMBER('Klisz-Verbräuche'!Q168), 'Klisz-Verbräuche'!Q168*Emissionsfaktoren!O168/1000, 0)</f>
        <v>0</v>
      </c>
      <c r="Q498" s="14">
        <f>IF(ISNUMBER('Klisz-Verbräuche'!R168), 'Klisz-Verbräuche'!R168*Emissionsfaktoren!P168/1000, 0)</f>
        <v>0</v>
      </c>
      <c r="R498" s="14">
        <f>IF(ISNUMBER('Klisz-Verbräuche'!S168), 'Klisz-Verbräuche'!S168*Emissionsfaktoren!Q168/1000, 0)</f>
        <v>0</v>
      </c>
      <c r="S498" s="14">
        <f>IF(ISNUMBER('Klisz-Verbräuche'!T168), 'Klisz-Verbräuche'!T168*Emissionsfaktoren!R168/1000, 0)</f>
        <v>0</v>
      </c>
      <c r="T498" s="14">
        <f>IF(ISNUMBER('Klisz-Verbräuche'!U168), 'Klisz-Verbräuche'!U168*Emissionsfaktoren!S168/1000, 0)</f>
        <v>0</v>
      </c>
      <c r="U498" s="14">
        <f>IF(ISNUMBER('Klisz-Verbräuche'!V168), 'Klisz-Verbräuche'!V168*Emissionsfaktoren!T168/1000, 0)</f>
        <v>0</v>
      </c>
      <c r="V498" s="14">
        <f>IF(ISNUMBER('Klisz-Verbräuche'!W168), 'Klisz-Verbräuche'!W168*Emissionsfaktoren!U168/1000, 0)</f>
        <v>0</v>
      </c>
      <c r="W498" s="14">
        <f>IF(ISNUMBER('Klisz-Verbräuche'!X168), 'Klisz-Verbräuche'!X168*Emissionsfaktoren!V168/1000, 0)</f>
        <v>0</v>
      </c>
      <c r="X498" s="14">
        <f>IF(ISNUMBER('Klisz-Verbräuche'!Y168), 'Klisz-Verbräuche'!Y168*Emissionsfaktoren!W168/1000, 0)</f>
        <v>0</v>
      </c>
      <c r="Y498" s="14">
        <f>IF(ISNUMBER('Klisz-Verbräuche'!Z168), 'Klisz-Verbräuche'!Z168*Emissionsfaktoren!X168/1000, 0)</f>
        <v>0</v>
      </c>
    </row>
    <row r="499" spans="2:25" ht="16.5">
      <c r="B499" s="14">
        <v>153</v>
      </c>
      <c r="C499" s="14">
        <f>'Refsz-Verbräuche'!C169</f>
        <v>0</v>
      </c>
      <c r="D499" s="19">
        <f>'Refsz-Verbräuche'!D169</f>
        <v>0</v>
      </c>
      <c r="E499" t="s">
        <v>195</v>
      </c>
      <c r="F499" s="14">
        <f>IF(ISNUMBER('Klisz-Verbräuche'!G169), 'Klisz-Verbräuche'!G169*Emissionsfaktoren!E169/1000, 0)</f>
        <v>0</v>
      </c>
      <c r="G499" s="14">
        <f>IF(ISNUMBER('Klisz-Verbräuche'!H169), 'Klisz-Verbräuche'!H169*Emissionsfaktoren!F169/1000, 0)</f>
        <v>0</v>
      </c>
      <c r="H499" s="14">
        <f>IF(ISNUMBER('Klisz-Verbräuche'!I169), 'Klisz-Verbräuche'!I169*Emissionsfaktoren!G169/1000, 0)</f>
        <v>0</v>
      </c>
      <c r="I499" s="14">
        <f>IF(ISNUMBER('Klisz-Verbräuche'!J169), 'Klisz-Verbräuche'!J169*Emissionsfaktoren!H169/1000, 0)</f>
        <v>0</v>
      </c>
      <c r="J499" s="14">
        <f>IF(ISNUMBER('Klisz-Verbräuche'!K169), 'Klisz-Verbräuche'!K169*Emissionsfaktoren!I169/1000, 0)</f>
        <v>0</v>
      </c>
      <c r="K499" s="14">
        <f>IF(ISNUMBER('Klisz-Verbräuche'!L169), 'Klisz-Verbräuche'!L169*Emissionsfaktoren!J169/1000, 0)</f>
        <v>0</v>
      </c>
      <c r="L499" s="14">
        <f>IF(ISNUMBER('Klisz-Verbräuche'!M169), 'Klisz-Verbräuche'!M169*Emissionsfaktoren!K169/1000, 0)</f>
        <v>0</v>
      </c>
      <c r="M499" s="14">
        <f>IF(ISNUMBER('Klisz-Verbräuche'!N169), 'Klisz-Verbräuche'!N169*Emissionsfaktoren!L169/1000, 0)</f>
        <v>0</v>
      </c>
      <c r="N499" s="14">
        <f>IF(ISNUMBER('Klisz-Verbräuche'!O169), 'Klisz-Verbräuche'!O169*Emissionsfaktoren!M169/1000, 0)</f>
        <v>0</v>
      </c>
      <c r="O499" s="14">
        <f>IF(ISNUMBER('Klisz-Verbräuche'!P169), 'Klisz-Verbräuche'!P169*Emissionsfaktoren!N169/1000, 0)</f>
        <v>0</v>
      </c>
      <c r="P499" s="14">
        <f>IF(ISNUMBER('Klisz-Verbräuche'!Q169), 'Klisz-Verbräuche'!Q169*Emissionsfaktoren!O169/1000, 0)</f>
        <v>0</v>
      </c>
      <c r="Q499" s="14">
        <f>IF(ISNUMBER('Klisz-Verbräuche'!R169), 'Klisz-Verbräuche'!R169*Emissionsfaktoren!P169/1000, 0)</f>
        <v>0</v>
      </c>
      <c r="R499" s="14">
        <f>IF(ISNUMBER('Klisz-Verbräuche'!S169), 'Klisz-Verbräuche'!S169*Emissionsfaktoren!Q169/1000, 0)</f>
        <v>0</v>
      </c>
      <c r="S499" s="14">
        <f>IF(ISNUMBER('Klisz-Verbräuche'!T169), 'Klisz-Verbräuche'!T169*Emissionsfaktoren!R169/1000, 0)</f>
        <v>0</v>
      </c>
      <c r="T499" s="14">
        <f>IF(ISNUMBER('Klisz-Verbräuche'!U169), 'Klisz-Verbräuche'!U169*Emissionsfaktoren!S169/1000, 0)</f>
        <v>0</v>
      </c>
      <c r="U499" s="14">
        <f>IF(ISNUMBER('Klisz-Verbräuche'!V169), 'Klisz-Verbräuche'!V169*Emissionsfaktoren!T169/1000, 0)</f>
        <v>0</v>
      </c>
      <c r="V499" s="14">
        <f>IF(ISNUMBER('Klisz-Verbräuche'!W169), 'Klisz-Verbräuche'!W169*Emissionsfaktoren!U169/1000, 0)</f>
        <v>0</v>
      </c>
      <c r="W499" s="14">
        <f>IF(ISNUMBER('Klisz-Verbräuche'!X169), 'Klisz-Verbräuche'!X169*Emissionsfaktoren!V169/1000, 0)</f>
        <v>0</v>
      </c>
      <c r="X499" s="14">
        <f>IF(ISNUMBER('Klisz-Verbräuche'!Y169), 'Klisz-Verbräuche'!Y169*Emissionsfaktoren!W169/1000, 0)</f>
        <v>0</v>
      </c>
      <c r="Y499" s="14">
        <f>IF(ISNUMBER('Klisz-Verbräuche'!Z169), 'Klisz-Verbräuche'!Z169*Emissionsfaktoren!X169/1000, 0)</f>
        <v>0</v>
      </c>
    </row>
    <row r="500" spans="2:25" ht="16.5">
      <c r="B500" s="14">
        <v>154</v>
      </c>
      <c r="C500" s="14">
        <f>'Refsz-Verbräuche'!C170</f>
        <v>0</v>
      </c>
      <c r="D500" s="19">
        <f>'Refsz-Verbräuche'!D170</f>
        <v>0</v>
      </c>
      <c r="E500" t="s">
        <v>195</v>
      </c>
      <c r="F500" s="14">
        <f>IF(ISNUMBER('Klisz-Verbräuche'!G170), 'Klisz-Verbräuche'!G170*Emissionsfaktoren!E170/1000, 0)</f>
        <v>0</v>
      </c>
      <c r="G500" s="14">
        <f>IF(ISNUMBER('Klisz-Verbräuche'!H170), 'Klisz-Verbräuche'!H170*Emissionsfaktoren!F170/1000, 0)</f>
        <v>0</v>
      </c>
      <c r="H500" s="14">
        <f>IF(ISNUMBER('Klisz-Verbräuche'!I170), 'Klisz-Verbräuche'!I170*Emissionsfaktoren!G170/1000, 0)</f>
        <v>0</v>
      </c>
      <c r="I500" s="14">
        <f>IF(ISNUMBER('Klisz-Verbräuche'!J170), 'Klisz-Verbräuche'!J170*Emissionsfaktoren!H170/1000, 0)</f>
        <v>0</v>
      </c>
      <c r="J500" s="14">
        <f>IF(ISNUMBER('Klisz-Verbräuche'!K170), 'Klisz-Verbräuche'!K170*Emissionsfaktoren!I170/1000, 0)</f>
        <v>0</v>
      </c>
      <c r="K500" s="14">
        <f>IF(ISNUMBER('Klisz-Verbräuche'!L170), 'Klisz-Verbräuche'!L170*Emissionsfaktoren!J170/1000, 0)</f>
        <v>0</v>
      </c>
      <c r="L500" s="14">
        <f>IF(ISNUMBER('Klisz-Verbräuche'!M170), 'Klisz-Verbräuche'!M170*Emissionsfaktoren!K170/1000, 0)</f>
        <v>0</v>
      </c>
      <c r="M500" s="14">
        <f>IF(ISNUMBER('Klisz-Verbräuche'!N170), 'Klisz-Verbräuche'!N170*Emissionsfaktoren!L170/1000, 0)</f>
        <v>0</v>
      </c>
      <c r="N500" s="14">
        <f>IF(ISNUMBER('Klisz-Verbräuche'!O170), 'Klisz-Verbräuche'!O170*Emissionsfaktoren!M170/1000, 0)</f>
        <v>0</v>
      </c>
      <c r="O500" s="14">
        <f>IF(ISNUMBER('Klisz-Verbräuche'!P170), 'Klisz-Verbräuche'!P170*Emissionsfaktoren!N170/1000, 0)</f>
        <v>0</v>
      </c>
      <c r="P500" s="14">
        <f>IF(ISNUMBER('Klisz-Verbräuche'!Q170), 'Klisz-Verbräuche'!Q170*Emissionsfaktoren!O170/1000, 0)</f>
        <v>0</v>
      </c>
      <c r="Q500" s="14">
        <f>IF(ISNUMBER('Klisz-Verbräuche'!R170), 'Klisz-Verbräuche'!R170*Emissionsfaktoren!P170/1000, 0)</f>
        <v>0</v>
      </c>
      <c r="R500" s="14">
        <f>IF(ISNUMBER('Klisz-Verbräuche'!S170), 'Klisz-Verbräuche'!S170*Emissionsfaktoren!Q170/1000, 0)</f>
        <v>0</v>
      </c>
      <c r="S500" s="14">
        <f>IF(ISNUMBER('Klisz-Verbräuche'!T170), 'Klisz-Verbräuche'!T170*Emissionsfaktoren!R170/1000, 0)</f>
        <v>0</v>
      </c>
      <c r="T500" s="14">
        <f>IF(ISNUMBER('Klisz-Verbräuche'!U170), 'Klisz-Verbräuche'!U170*Emissionsfaktoren!S170/1000, 0)</f>
        <v>0</v>
      </c>
      <c r="U500" s="14">
        <f>IF(ISNUMBER('Klisz-Verbräuche'!V170), 'Klisz-Verbräuche'!V170*Emissionsfaktoren!T170/1000, 0)</f>
        <v>0</v>
      </c>
      <c r="V500" s="14">
        <f>IF(ISNUMBER('Klisz-Verbräuche'!W170), 'Klisz-Verbräuche'!W170*Emissionsfaktoren!U170/1000, 0)</f>
        <v>0</v>
      </c>
      <c r="W500" s="14">
        <f>IF(ISNUMBER('Klisz-Verbräuche'!X170), 'Klisz-Verbräuche'!X170*Emissionsfaktoren!V170/1000, 0)</f>
        <v>0</v>
      </c>
      <c r="X500" s="14">
        <f>IF(ISNUMBER('Klisz-Verbräuche'!Y170), 'Klisz-Verbräuche'!Y170*Emissionsfaktoren!W170/1000, 0)</f>
        <v>0</v>
      </c>
      <c r="Y500" s="14">
        <f>IF(ISNUMBER('Klisz-Verbräuche'!Z170), 'Klisz-Verbräuche'!Z170*Emissionsfaktoren!X170/1000, 0)</f>
        <v>0</v>
      </c>
    </row>
    <row r="501" spans="2:25" ht="16.5">
      <c r="B501" s="14">
        <v>155</v>
      </c>
      <c r="C501" s="14">
        <f>'Refsz-Verbräuche'!C171</f>
        <v>0</v>
      </c>
      <c r="D501" s="19">
        <f>'Refsz-Verbräuche'!D171</f>
        <v>0</v>
      </c>
      <c r="E501" t="s">
        <v>195</v>
      </c>
      <c r="F501" s="14">
        <f>IF(ISNUMBER('Klisz-Verbräuche'!G171), 'Klisz-Verbräuche'!G171*Emissionsfaktoren!E171/1000, 0)</f>
        <v>0</v>
      </c>
      <c r="G501" s="14">
        <f>IF(ISNUMBER('Klisz-Verbräuche'!H171), 'Klisz-Verbräuche'!H171*Emissionsfaktoren!F171/1000, 0)</f>
        <v>0</v>
      </c>
      <c r="H501" s="14">
        <f>IF(ISNUMBER('Klisz-Verbräuche'!I171), 'Klisz-Verbräuche'!I171*Emissionsfaktoren!G171/1000, 0)</f>
        <v>0</v>
      </c>
      <c r="I501" s="14">
        <f>IF(ISNUMBER('Klisz-Verbräuche'!J171), 'Klisz-Verbräuche'!J171*Emissionsfaktoren!H171/1000, 0)</f>
        <v>0</v>
      </c>
      <c r="J501" s="14">
        <f>IF(ISNUMBER('Klisz-Verbräuche'!K171), 'Klisz-Verbräuche'!K171*Emissionsfaktoren!I171/1000, 0)</f>
        <v>0</v>
      </c>
      <c r="K501" s="14">
        <f>IF(ISNUMBER('Klisz-Verbräuche'!L171), 'Klisz-Verbräuche'!L171*Emissionsfaktoren!J171/1000, 0)</f>
        <v>0</v>
      </c>
      <c r="L501" s="14">
        <f>IF(ISNUMBER('Klisz-Verbräuche'!M171), 'Klisz-Verbräuche'!M171*Emissionsfaktoren!K171/1000, 0)</f>
        <v>0</v>
      </c>
      <c r="M501" s="14">
        <f>IF(ISNUMBER('Klisz-Verbräuche'!N171), 'Klisz-Verbräuche'!N171*Emissionsfaktoren!L171/1000, 0)</f>
        <v>0</v>
      </c>
      <c r="N501" s="14">
        <f>IF(ISNUMBER('Klisz-Verbräuche'!O171), 'Klisz-Verbräuche'!O171*Emissionsfaktoren!M171/1000, 0)</f>
        <v>0</v>
      </c>
      <c r="O501" s="14">
        <f>IF(ISNUMBER('Klisz-Verbräuche'!P171), 'Klisz-Verbräuche'!P171*Emissionsfaktoren!N171/1000, 0)</f>
        <v>0</v>
      </c>
      <c r="P501" s="14">
        <f>IF(ISNUMBER('Klisz-Verbräuche'!Q171), 'Klisz-Verbräuche'!Q171*Emissionsfaktoren!O171/1000, 0)</f>
        <v>0</v>
      </c>
      <c r="Q501" s="14">
        <f>IF(ISNUMBER('Klisz-Verbräuche'!R171), 'Klisz-Verbräuche'!R171*Emissionsfaktoren!P171/1000, 0)</f>
        <v>0</v>
      </c>
      <c r="R501" s="14">
        <f>IF(ISNUMBER('Klisz-Verbräuche'!S171), 'Klisz-Verbräuche'!S171*Emissionsfaktoren!Q171/1000, 0)</f>
        <v>0</v>
      </c>
      <c r="S501" s="14">
        <f>IF(ISNUMBER('Klisz-Verbräuche'!T171), 'Klisz-Verbräuche'!T171*Emissionsfaktoren!R171/1000, 0)</f>
        <v>0</v>
      </c>
      <c r="T501" s="14">
        <f>IF(ISNUMBER('Klisz-Verbräuche'!U171), 'Klisz-Verbräuche'!U171*Emissionsfaktoren!S171/1000, 0)</f>
        <v>0</v>
      </c>
      <c r="U501" s="14">
        <f>IF(ISNUMBER('Klisz-Verbräuche'!V171), 'Klisz-Verbräuche'!V171*Emissionsfaktoren!T171/1000, 0)</f>
        <v>0</v>
      </c>
      <c r="V501" s="14">
        <f>IF(ISNUMBER('Klisz-Verbräuche'!W171), 'Klisz-Verbräuche'!W171*Emissionsfaktoren!U171/1000, 0)</f>
        <v>0</v>
      </c>
      <c r="W501" s="14">
        <f>IF(ISNUMBER('Klisz-Verbräuche'!X171), 'Klisz-Verbräuche'!X171*Emissionsfaktoren!V171/1000, 0)</f>
        <v>0</v>
      </c>
      <c r="X501" s="14">
        <f>IF(ISNUMBER('Klisz-Verbräuche'!Y171), 'Klisz-Verbräuche'!Y171*Emissionsfaktoren!W171/1000, 0)</f>
        <v>0</v>
      </c>
      <c r="Y501" s="14">
        <f>IF(ISNUMBER('Klisz-Verbräuche'!Z171), 'Klisz-Verbräuche'!Z171*Emissionsfaktoren!X171/1000, 0)</f>
        <v>0</v>
      </c>
    </row>
    <row r="502" spans="2:25" ht="16.5">
      <c r="B502" s="14">
        <v>156</v>
      </c>
      <c r="C502" s="14">
        <f>'Refsz-Verbräuche'!C172</f>
        <v>0</v>
      </c>
      <c r="D502" s="19">
        <f>'Refsz-Verbräuche'!D172</f>
        <v>0</v>
      </c>
      <c r="E502" t="s">
        <v>195</v>
      </c>
      <c r="F502" s="14">
        <f>IF(ISNUMBER('Klisz-Verbräuche'!G172), 'Klisz-Verbräuche'!G172*Emissionsfaktoren!E172/1000, 0)</f>
        <v>0</v>
      </c>
      <c r="G502" s="14">
        <f>IF(ISNUMBER('Klisz-Verbräuche'!H172), 'Klisz-Verbräuche'!H172*Emissionsfaktoren!F172/1000, 0)</f>
        <v>0</v>
      </c>
      <c r="H502" s="14">
        <f>IF(ISNUMBER('Klisz-Verbräuche'!I172), 'Klisz-Verbräuche'!I172*Emissionsfaktoren!G172/1000, 0)</f>
        <v>0</v>
      </c>
      <c r="I502" s="14">
        <f>IF(ISNUMBER('Klisz-Verbräuche'!J172), 'Klisz-Verbräuche'!J172*Emissionsfaktoren!H172/1000, 0)</f>
        <v>0</v>
      </c>
      <c r="J502" s="14">
        <f>IF(ISNUMBER('Klisz-Verbräuche'!K172), 'Klisz-Verbräuche'!K172*Emissionsfaktoren!I172/1000, 0)</f>
        <v>0</v>
      </c>
      <c r="K502" s="14">
        <f>IF(ISNUMBER('Klisz-Verbräuche'!L172), 'Klisz-Verbräuche'!L172*Emissionsfaktoren!J172/1000, 0)</f>
        <v>0</v>
      </c>
      <c r="L502" s="14">
        <f>IF(ISNUMBER('Klisz-Verbräuche'!M172), 'Klisz-Verbräuche'!M172*Emissionsfaktoren!K172/1000, 0)</f>
        <v>0</v>
      </c>
      <c r="M502" s="14">
        <f>IF(ISNUMBER('Klisz-Verbräuche'!N172), 'Klisz-Verbräuche'!N172*Emissionsfaktoren!L172/1000, 0)</f>
        <v>0</v>
      </c>
      <c r="N502" s="14">
        <f>IF(ISNUMBER('Klisz-Verbräuche'!O172), 'Klisz-Verbräuche'!O172*Emissionsfaktoren!M172/1000, 0)</f>
        <v>0</v>
      </c>
      <c r="O502" s="14">
        <f>IF(ISNUMBER('Klisz-Verbräuche'!P172), 'Klisz-Verbräuche'!P172*Emissionsfaktoren!N172/1000, 0)</f>
        <v>0</v>
      </c>
      <c r="P502" s="14">
        <f>IF(ISNUMBER('Klisz-Verbräuche'!Q172), 'Klisz-Verbräuche'!Q172*Emissionsfaktoren!O172/1000, 0)</f>
        <v>0</v>
      </c>
      <c r="Q502" s="14">
        <f>IF(ISNUMBER('Klisz-Verbräuche'!R172), 'Klisz-Verbräuche'!R172*Emissionsfaktoren!P172/1000, 0)</f>
        <v>0</v>
      </c>
      <c r="R502" s="14">
        <f>IF(ISNUMBER('Klisz-Verbräuche'!S172), 'Klisz-Verbräuche'!S172*Emissionsfaktoren!Q172/1000, 0)</f>
        <v>0</v>
      </c>
      <c r="S502" s="14">
        <f>IF(ISNUMBER('Klisz-Verbräuche'!T172), 'Klisz-Verbräuche'!T172*Emissionsfaktoren!R172/1000, 0)</f>
        <v>0</v>
      </c>
      <c r="T502" s="14">
        <f>IF(ISNUMBER('Klisz-Verbräuche'!U172), 'Klisz-Verbräuche'!U172*Emissionsfaktoren!S172/1000, 0)</f>
        <v>0</v>
      </c>
      <c r="U502" s="14">
        <f>IF(ISNUMBER('Klisz-Verbräuche'!V172), 'Klisz-Verbräuche'!V172*Emissionsfaktoren!T172/1000, 0)</f>
        <v>0</v>
      </c>
      <c r="V502" s="14">
        <f>IF(ISNUMBER('Klisz-Verbräuche'!W172), 'Klisz-Verbräuche'!W172*Emissionsfaktoren!U172/1000, 0)</f>
        <v>0</v>
      </c>
      <c r="W502" s="14">
        <f>IF(ISNUMBER('Klisz-Verbräuche'!X172), 'Klisz-Verbräuche'!X172*Emissionsfaktoren!V172/1000, 0)</f>
        <v>0</v>
      </c>
      <c r="X502" s="14">
        <f>IF(ISNUMBER('Klisz-Verbräuche'!Y172), 'Klisz-Verbräuche'!Y172*Emissionsfaktoren!W172/1000, 0)</f>
        <v>0</v>
      </c>
      <c r="Y502" s="14">
        <f>IF(ISNUMBER('Klisz-Verbräuche'!Z172), 'Klisz-Verbräuche'!Z172*Emissionsfaktoren!X172/1000, 0)</f>
        <v>0</v>
      </c>
    </row>
    <row r="503" spans="2:25" ht="16.5">
      <c r="B503" s="14">
        <v>157</v>
      </c>
      <c r="C503" s="14">
        <f>'Refsz-Verbräuche'!C173</f>
        <v>0</v>
      </c>
      <c r="D503" s="19">
        <f>'Refsz-Verbräuche'!D173</f>
        <v>0</v>
      </c>
      <c r="E503" t="s">
        <v>195</v>
      </c>
      <c r="F503" s="14">
        <f>IF(ISNUMBER('Klisz-Verbräuche'!G173), 'Klisz-Verbräuche'!G173*Emissionsfaktoren!E173/1000, 0)</f>
        <v>0</v>
      </c>
      <c r="G503" s="14">
        <f>IF(ISNUMBER('Klisz-Verbräuche'!H173), 'Klisz-Verbräuche'!H173*Emissionsfaktoren!F173/1000, 0)</f>
        <v>0</v>
      </c>
      <c r="H503" s="14">
        <f>IF(ISNUMBER('Klisz-Verbräuche'!I173), 'Klisz-Verbräuche'!I173*Emissionsfaktoren!G173/1000, 0)</f>
        <v>0</v>
      </c>
      <c r="I503" s="14">
        <f>IF(ISNUMBER('Klisz-Verbräuche'!J173), 'Klisz-Verbräuche'!J173*Emissionsfaktoren!H173/1000, 0)</f>
        <v>0</v>
      </c>
      <c r="J503" s="14">
        <f>IF(ISNUMBER('Klisz-Verbräuche'!K173), 'Klisz-Verbräuche'!K173*Emissionsfaktoren!I173/1000, 0)</f>
        <v>0</v>
      </c>
      <c r="K503" s="14">
        <f>IF(ISNUMBER('Klisz-Verbräuche'!L173), 'Klisz-Verbräuche'!L173*Emissionsfaktoren!J173/1000, 0)</f>
        <v>0</v>
      </c>
      <c r="L503" s="14">
        <f>IF(ISNUMBER('Klisz-Verbräuche'!M173), 'Klisz-Verbräuche'!M173*Emissionsfaktoren!K173/1000, 0)</f>
        <v>0</v>
      </c>
      <c r="M503" s="14">
        <f>IF(ISNUMBER('Klisz-Verbräuche'!N173), 'Klisz-Verbräuche'!N173*Emissionsfaktoren!L173/1000, 0)</f>
        <v>0</v>
      </c>
      <c r="N503" s="14">
        <f>IF(ISNUMBER('Klisz-Verbräuche'!O173), 'Klisz-Verbräuche'!O173*Emissionsfaktoren!M173/1000, 0)</f>
        <v>0</v>
      </c>
      <c r="O503" s="14">
        <f>IF(ISNUMBER('Klisz-Verbräuche'!P173), 'Klisz-Verbräuche'!P173*Emissionsfaktoren!N173/1000, 0)</f>
        <v>0</v>
      </c>
      <c r="P503" s="14">
        <f>IF(ISNUMBER('Klisz-Verbräuche'!Q173), 'Klisz-Verbräuche'!Q173*Emissionsfaktoren!O173/1000, 0)</f>
        <v>0</v>
      </c>
      <c r="Q503" s="14">
        <f>IF(ISNUMBER('Klisz-Verbräuche'!R173), 'Klisz-Verbräuche'!R173*Emissionsfaktoren!P173/1000, 0)</f>
        <v>0</v>
      </c>
      <c r="R503" s="14">
        <f>IF(ISNUMBER('Klisz-Verbräuche'!S173), 'Klisz-Verbräuche'!S173*Emissionsfaktoren!Q173/1000, 0)</f>
        <v>0</v>
      </c>
      <c r="S503" s="14">
        <f>IF(ISNUMBER('Klisz-Verbräuche'!T173), 'Klisz-Verbräuche'!T173*Emissionsfaktoren!R173/1000, 0)</f>
        <v>0</v>
      </c>
      <c r="T503" s="14">
        <f>IF(ISNUMBER('Klisz-Verbräuche'!U173), 'Klisz-Verbräuche'!U173*Emissionsfaktoren!S173/1000, 0)</f>
        <v>0</v>
      </c>
      <c r="U503" s="14">
        <f>IF(ISNUMBER('Klisz-Verbräuche'!V173), 'Klisz-Verbräuche'!V173*Emissionsfaktoren!T173/1000, 0)</f>
        <v>0</v>
      </c>
      <c r="V503" s="14">
        <f>IF(ISNUMBER('Klisz-Verbräuche'!W173), 'Klisz-Verbräuche'!W173*Emissionsfaktoren!U173/1000, 0)</f>
        <v>0</v>
      </c>
      <c r="W503" s="14">
        <f>IF(ISNUMBER('Klisz-Verbräuche'!X173), 'Klisz-Verbräuche'!X173*Emissionsfaktoren!V173/1000, 0)</f>
        <v>0</v>
      </c>
      <c r="X503" s="14">
        <f>IF(ISNUMBER('Klisz-Verbräuche'!Y173), 'Klisz-Verbräuche'!Y173*Emissionsfaktoren!W173/1000, 0)</f>
        <v>0</v>
      </c>
      <c r="Y503" s="14">
        <f>IF(ISNUMBER('Klisz-Verbräuche'!Z173), 'Klisz-Verbräuche'!Z173*Emissionsfaktoren!X173/1000, 0)</f>
        <v>0</v>
      </c>
    </row>
    <row r="504" spans="2:25" ht="16.5">
      <c r="B504" s="14">
        <v>158</v>
      </c>
      <c r="C504" s="14">
        <f>'Refsz-Verbräuche'!C174</f>
        <v>0</v>
      </c>
      <c r="D504" s="19">
        <f>'Refsz-Verbräuche'!D174</f>
        <v>0</v>
      </c>
      <c r="E504" t="s">
        <v>195</v>
      </c>
      <c r="F504" s="14">
        <f>IF(ISNUMBER('Klisz-Verbräuche'!G174), 'Klisz-Verbräuche'!G174*Emissionsfaktoren!E174/1000, 0)</f>
        <v>0</v>
      </c>
      <c r="G504" s="14">
        <f>IF(ISNUMBER('Klisz-Verbräuche'!H174), 'Klisz-Verbräuche'!H174*Emissionsfaktoren!F174/1000, 0)</f>
        <v>0</v>
      </c>
      <c r="H504" s="14">
        <f>IF(ISNUMBER('Klisz-Verbräuche'!I174), 'Klisz-Verbräuche'!I174*Emissionsfaktoren!G174/1000, 0)</f>
        <v>0</v>
      </c>
      <c r="I504" s="14">
        <f>IF(ISNUMBER('Klisz-Verbräuche'!J174), 'Klisz-Verbräuche'!J174*Emissionsfaktoren!H174/1000, 0)</f>
        <v>0</v>
      </c>
      <c r="J504" s="14">
        <f>IF(ISNUMBER('Klisz-Verbräuche'!K174), 'Klisz-Verbräuche'!K174*Emissionsfaktoren!I174/1000, 0)</f>
        <v>0</v>
      </c>
      <c r="K504" s="14">
        <f>IF(ISNUMBER('Klisz-Verbräuche'!L174), 'Klisz-Verbräuche'!L174*Emissionsfaktoren!J174/1000, 0)</f>
        <v>0</v>
      </c>
      <c r="L504" s="14">
        <f>IF(ISNUMBER('Klisz-Verbräuche'!M174), 'Klisz-Verbräuche'!M174*Emissionsfaktoren!K174/1000, 0)</f>
        <v>0</v>
      </c>
      <c r="M504" s="14">
        <f>IF(ISNUMBER('Klisz-Verbräuche'!N174), 'Klisz-Verbräuche'!N174*Emissionsfaktoren!L174/1000, 0)</f>
        <v>0</v>
      </c>
      <c r="N504" s="14">
        <f>IF(ISNUMBER('Klisz-Verbräuche'!O174), 'Klisz-Verbräuche'!O174*Emissionsfaktoren!M174/1000, 0)</f>
        <v>0</v>
      </c>
      <c r="O504" s="14">
        <f>IF(ISNUMBER('Klisz-Verbräuche'!P174), 'Klisz-Verbräuche'!P174*Emissionsfaktoren!N174/1000, 0)</f>
        <v>0</v>
      </c>
      <c r="P504" s="14">
        <f>IF(ISNUMBER('Klisz-Verbräuche'!Q174), 'Klisz-Verbräuche'!Q174*Emissionsfaktoren!O174/1000, 0)</f>
        <v>0</v>
      </c>
      <c r="Q504" s="14">
        <f>IF(ISNUMBER('Klisz-Verbräuche'!R174), 'Klisz-Verbräuche'!R174*Emissionsfaktoren!P174/1000, 0)</f>
        <v>0</v>
      </c>
      <c r="R504" s="14">
        <f>IF(ISNUMBER('Klisz-Verbräuche'!S174), 'Klisz-Verbräuche'!S174*Emissionsfaktoren!Q174/1000, 0)</f>
        <v>0</v>
      </c>
      <c r="S504" s="14">
        <f>IF(ISNUMBER('Klisz-Verbräuche'!T174), 'Klisz-Verbräuche'!T174*Emissionsfaktoren!R174/1000, 0)</f>
        <v>0</v>
      </c>
      <c r="T504" s="14">
        <f>IF(ISNUMBER('Klisz-Verbräuche'!U174), 'Klisz-Verbräuche'!U174*Emissionsfaktoren!S174/1000, 0)</f>
        <v>0</v>
      </c>
      <c r="U504" s="14">
        <f>IF(ISNUMBER('Klisz-Verbräuche'!V174), 'Klisz-Verbräuche'!V174*Emissionsfaktoren!T174/1000, 0)</f>
        <v>0</v>
      </c>
      <c r="V504" s="14">
        <f>IF(ISNUMBER('Klisz-Verbräuche'!W174), 'Klisz-Verbräuche'!W174*Emissionsfaktoren!U174/1000, 0)</f>
        <v>0</v>
      </c>
      <c r="W504" s="14">
        <f>IF(ISNUMBER('Klisz-Verbräuche'!X174), 'Klisz-Verbräuche'!X174*Emissionsfaktoren!V174/1000, 0)</f>
        <v>0</v>
      </c>
      <c r="X504" s="14">
        <f>IF(ISNUMBER('Klisz-Verbräuche'!Y174), 'Klisz-Verbräuche'!Y174*Emissionsfaktoren!W174/1000, 0)</f>
        <v>0</v>
      </c>
      <c r="Y504" s="14">
        <f>IF(ISNUMBER('Klisz-Verbräuche'!Z174), 'Klisz-Verbräuche'!Z174*Emissionsfaktoren!X174/1000, 0)</f>
        <v>0</v>
      </c>
    </row>
    <row r="505" spans="2:25" ht="16.5">
      <c r="B505" s="14">
        <v>159</v>
      </c>
      <c r="C505" s="14">
        <f>'Refsz-Verbräuche'!C175</f>
        <v>0</v>
      </c>
      <c r="D505" s="19">
        <f>'Refsz-Verbräuche'!D175</f>
        <v>0</v>
      </c>
      <c r="E505" t="s">
        <v>195</v>
      </c>
      <c r="F505" s="14">
        <f>IF(ISNUMBER('Klisz-Verbräuche'!G175), 'Klisz-Verbräuche'!G175*Emissionsfaktoren!E175/1000, 0)</f>
        <v>0</v>
      </c>
      <c r="G505" s="14">
        <f>IF(ISNUMBER('Klisz-Verbräuche'!H175), 'Klisz-Verbräuche'!H175*Emissionsfaktoren!F175/1000, 0)</f>
        <v>0</v>
      </c>
      <c r="H505" s="14">
        <f>IF(ISNUMBER('Klisz-Verbräuche'!I175), 'Klisz-Verbräuche'!I175*Emissionsfaktoren!G175/1000, 0)</f>
        <v>0</v>
      </c>
      <c r="I505" s="14">
        <f>IF(ISNUMBER('Klisz-Verbräuche'!J175), 'Klisz-Verbräuche'!J175*Emissionsfaktoren!H175/1000, 0)</f>
        <v>0</v>
      </c>
      <c r="J505" s="14">
        <f>IF(ISNUMBER('Klisz-Verbräuche'!K175), 'Klisz-Verbräuche'!K175*Emissionsfaktoren!I175/1000, 0)</f>
        <v>0</v>
      </c>
      <c r="K505" s="14">
        <f>IF(ISNUMBER('Klisz-Verbräuche'!L175), 'Klisz-Verbräuche'!L175*Emissionsfaktoren!J175/1000, 0)</f>
        <v>0</v>
      </c>
      <c r="L505" s="14">
        <f>IF(ISNUMBER('Klisz-Verbräuche'!M175), 'Klisz-Verbräuche'!M175*Emissionsfaktoren!K175/1000, 0)</f>
        <v>0</v>
      </c>
      <c r="M505" s="14">
        <f>IF(ISNUMBER('Klisz-Verbräuche'!N175), 'Klisz-Verbräuche'!N175*Emissionsfaktoren!L175/1000, 0)</f>
        <v>0</v>
      </c>
      <c r="N505" s="14">
        <f>IF(ISNUMBER('Klisz-Verbräuche'!O175), 'Klisz-Verbräuche'!O175*Emissionsfaktoren!M175/1000, 0)</f>
        <v>0</v>
      </c>
      <c r="O505" s="14">
        <f>IF(ISNUMBER('Klisz-Verbräuche'!P175), 'Klisz-Verbräuche'!P175*Emissionsfaktoren!N175/1000, 0)</f>
        <v>0</v>
      </c>
      <c r="P505" s="14">
        <f>IF(ISNUMBER('Klisz-Verbräuche'!Q175), 'Klisz-Verbräuche'!Q175*Emissionsfaktoren!O175/1000, 0)</f>
        <v>0</v>
      </c>
      <c r="Q505" s="14">
        <f>IF(ISNUMBER('Klisz-Verbräuche'!R175), 'Klisz-Verbräuche'!R175*Emissionsfaktoren!P175/1000, 0)</f>
        <v>0</v>
      </c>
      <c r="R505" s="14">
        <f>IF(ISNUMBER('Klisz-Verbräuche'!S175), 'Klisz-Verbräuche'!S175*Emissionsfaktoren!Q175/1000, 0)</f>
        <v>0</v>
      </c>
      <c r="S505" s="14">
        <f>IF(ISNUMBER('Klisz-Verbräuche'!T175), 'Klisz-Verbräuche'!T175*Emissionsfaktoren!R175/1000, 0)</f>
        <v>0</v>
      </c>
      <c r="T505" s="14">
        <f>IF(ISNUMBER('Klisz-Verbräuche'!U175), 'Klisz-Verbräuche'!U175*Emissionsfaktoren!S175/1000, 0)</f>
        <v>0</v>
      </c>
      <c r="U505" s="14">
        <f>IF(ISNUMBER('Klisz-Verbräuche'!V175), 'Klisz-Verbräuche'!V175*Emissionsfaktoren!T175/1000, 0)</f>
        <v>0</v>
      </c>
      <c r="V505" s="14">
        <f>IF(ISNUMBER('Klisz-Verbräuche'!W175), 'Klisz-Verbräuche'!W175*Emissionsfaktoren!U175/1000, 0)</f>
        <v>0</v>
      </c>
      <c r="W505" s="14">
        <f>IF(ISNUMBER('Klisz-Verbräuche'!X175), 'Klisz-Verbräuche'!X175*Emissionsfaktoren!V175/1000, 0)</f>
        <v>0</v>
      </c>
      <c r="X505" s="14">
        <f>IF(ISNUMBER('Klisz-Verbräuche'!Y175), 'Klisz-Verbräuche'!Y175*Emissionsfaktoren!W175/1000, 0)</f>
        <v>0</v>
      </c>
      <c r="Y505" s="14">
        <f>IF(ISNUMBER('Klisz-Verbräuche'!Z175), 'Klisz-Verbräuche'!Z175*Emissionsfaktoren!X175/1000, 0)</f>
        <v>0</v>
      </c>
    </row>
    <row r="506" spans="2:25" ht="16.5">
      <c r="B506" s="14">
        <v>160</v>
      </c>
      <c r="C506" s="14">
        <f>'Refsz-Verbräuche'!C176</f>
        <v>0</v>
      </c>
      <c r="D506" s="19">
        <f>'Refsz-Verbräuche'!D176</f>
        <v>0</v>
      </c>
      <c r="E506" t="s">
        <v>195</v>
      </c>
      <c r="F506" s="14">
        <f>IF(ISNUMBER('Klisz-Verbräuche'!G176), 'Klisz-Verbräuche'!G176*Emissionsfaktoren!E176/1000, 0)</f>
        <v>0</v>
      </c>
      <c r="G506" s="14">
        <f>IF(ISNUMBER('Klisz-Verbräuche'!H176), 'Klisz-Verbräuche'!H176*Emissionsfaktoren!F176/1000, 0)</f>
        <v>0</v>
      </c>
      <c r="H506" s="14">
        <f>IF(ISNUMBER('Klisz-Verbräuche'!I176), 'Klisz-Verbräuche'!I176*Emissionsfaktoren!G176/1000, 0)</f>
        <v>0</v>
      </c>
      <c r="I506" s="14">
        <f>IF(ISNUMBER('Klisz-Verbräuche'!J176), 'Klisz-Verbräuche'!J176*Emissionsfaktoren!H176/1000, 0)</f>
        <v>0</v>
      </c>
      <c r="J506" s="14">
        <f>IF(ISNUMBER('Klisz-Verbräuche'!K176), 'Klisz-Verbräuche'!K176*Emissionsfaktoren!I176/1000, 0)</f>
        <v>0</v>
      </c>
      <c r="K506" s="14">
        <f>IF(ISNUMBER('Klisz-Verbräuche'!L176), 'Klisz-Verbräuche'!L176*Emissionsfaktoren!J176/1000, 0)</f>
        <v>0</v>
      </c>
      <c r="L506" s="14">
        <f>IF(ISNUMBER('Klisz-Verbräuche'!M176), 'Klisz-Verbräuche'!M176*Emissionsfaktoren!K176/1000, 0)</f>
        <v>0</v>
      </c>
      <c r="M506" s="14">
        <f>IF(ISNUMBER('Klisz-Verbräuche'!N176), 'Klisz-Verbräuche'!N176*Emissionsfaktoren!L176/1000, 0)</f>
        <v>0</v>
      </c>
      <c r="N506" s="14">
        <f>IF(ISNUMBER('Klisz-Verbräuche'!O176), 'Klisz-Verbräuche'!O176*Emissionsfaktoren!M176/1000, 0)</f>
        <v>0</v>
      </c>
      <c r="O506" s="14">
        <f>IF(ISNUMBER('Klisz-Verbräuche'!P176), 'Klisz-Verbräuche'!P176*Emissionsfaktoren!N176/1000, 0)</f>
        <v>0</v>
      </c>
      <c r="P506" s="14">
        <f>IF(ISNUMBER('Klisz-Verbräuche'!Q176), 'Klisz-Verbräuche'!Q176*Emissionsfaktoren!O176/1000, 0)</f>
        <v>0</v>
      </c>
      <c r="Q506" s="14">
        <f>IF(ISNUMBER('Klisz-Verbräuche'!R176), 'Klisz-Verbräuche'!R176*Emissionsfaktoren!P176/1000, 0)</f>
        <v>0</v>
      </c>
      <c r="R506" s="14">
        <f>IF(ISNUMBER('Klisz-Verbräuche'!S176), 'Klisz-Verbräuche'!S176*Emissionsfaktoren!Q176/1000, 0)</f>
        <v>0</v>
      </c>
      <c r="S506" s="14">
        <f>IF(ISNUMBER('Klisz-Verbräuche'!T176), 'Klisz-Verbräuche'!T176*Emissionsfaktoren!R176/1000, 0)</f>
        <v>0</v>
      </c>
      <c r="T506" s="14">
        <f>IF(ISNUMBER('Klisz-Verbräuche'!U176), 'Klisz-Verbräuche'!U176*Emissionsfaktoren!S176/1000, 0)</f>
        <v>0</v>
      </c>
      <c r="U506" s="14">
        <f>IF(ISNUMBER('Klisz-Verbräuche'!V176), 'Klisz-Verbräuche'!V176*Emissionsfaktoren!T176/1000, 0)</f>
        <v>0</v>
      </c>
      <c r="V506" s="14">
        <f>IF(ISNUMBER('Klisz-Verbräuche'!W176), 'Klisz-Verbräuche'!W176*Emissionsfaktoren!U176/1000, 0)</f>
        <v>0</v>
      </c>
      <c r="W506" s="14">
        <f>IF(ISNUMBER('Klisz-Verbräuche'!X176), 'Klisz-Verbräuche'!X176*Emissionsfaktoren!V176/1000, 0)</f>
        <v>0</v>
      </c>
      <c r="X506" s="14">
        <f>IF(ISNUMBER('Klisz-Verbräuche'!Y176), 'Klisz-Verbräuche'!Y176*Emissionsfaktoren!W176/1000, 0)</f>
        <v>0</v>
      </c>
      <c r="Y506" s="14">
        <f>IF(ISNUMBER('Klisz-Verbräuche'!Z176), 'Klisz-Verbräuche'!Z176*Emissionsfaktoren!X176/1000, 0)</f>
        <v>0</v>
      </c>
    </row>
    <row r="507" spans="2:25" ht="16.5">
      <c r="B507" s="14">
        <v>161</v>
      </c>
      <c r="C507" s="14">
        <f>'Refsz-Verbräuche'!C177</f>
        <v>0</v>
      </c>
      <c r="D507" s="19">
        <f>'Refsz-Verbräuche'!D177</f>
        <v>0</v>
      </c>
      <c r="E507" t="s">
        <v>195</v>
      </c>
      <c r="F507" s="14">
        <f>IF(ISNUMBER('Klisz-Verbräuche'!G177), 'Klisz-Verbräuche'!G177*Emissionsfaktoren!E177/1000, 0)</f>
        <v>0</v>
      </c>
      <c r="G507" s="14">
        <f>IF(ISNUMBER('Klisz-Verbräuche'!H177), 'Klisz-Verbräuche'!H177*Emissionsfaktoren!F177/1000, 0)</f>
        <v>0</v>
      </c>
      <c r="H507" s="14">
        <f>IF(ISNUMBER('Klisz-Verbräuche'!I177), 'Klisz-Verbräuche'!I177*Emissionsfaktoren!G177/1000, 0)</f>
        <v>0</v>
      </c>
      <c r="I507" s="14">
        <f>IF(ISNUMBER('Klisz-Verbräuche'!J177), 'Klisz-Verbräuche'!J177*Emissionsfaktoren!H177/1000, 0)</f>
        <v>0</v>
      </c>
      <c r="J507" s="14">
        <f>IF(ISNUMBER('Klisz-Verbräuche'!K177), 'Klisz-Verbräuche'!K177*Emissionsfaktoren!I177/1000, 0)</f>
        <v>0</v>
      </c>
      <c r="K507" s="14">
        <f>IF(ISNUMBER('Klisz-Verbräuche'!L177), 'Klisz-Verbräuche'!L177*Emissionsfaktoren!J177/1000, 0)</f>
        <v>0</v>
      </c>
      <c r="L507" s="14">
        <f>IF(ISNUMBER('Klisz-Verbräuche'!M177), 'Klisz-Verbräuche'!M177*Emissionsfaktoren!K177/1000, 0)</f>
        <v>0</v>
      </c>
      <c r="M507" s="14">
        <f>IF(ISNUMBER('Klisz-Verbräuche'!N177), 'Klisz-Verbräuche'!N177*Emissionsfaktoren!L177/1000, 0)</f>
        <v>0</v>
      </c>
      <c r="N507" s="14">
        <f>IF(ISNUMBER('Klisz-Verbräuche'!O177), 'Klisz-Verbräuche'!O177*Emissionsfaktoren!M177/1000, 0)</f>
        <v>0</v>
      </c>
      <c r="O507" s="14">
        <f>IF(ISNUMBER('Klisz-Verbräuche'!P177), 'Klisz-Verbräuche'!P177*Emissionsfaktoren!N177/1000, 0)</f>
        <v>0</v>
      </c>
      <c r="P507" s="14">
        <f>IF(ISNUMBER('Klisz-Verbräuche'!Q177), 'Klisz-Verbräuche'!Q177*Emissionsfaktoren!O177/1000, 0)</f>
        <v>0</v>
      </c>
      <c r="Q507" s="14">
        <f>IF(ISNUMBER('Klisz-Verbräuche'!R177), 'Klisz-Verbräuche'!R177*Emissionsfaktoren!P177/1000, 0)</f>
        <v>0</v>
      </c>
      <c r="R507" s="14">
        <f>IF(ISNUMBER('Klisz-Verbräuche'!S177), 'Klisz-Verbräuche'!S177*Emissionsfaktoren!Q177/1000, 0)</f>
        <v>0</v>
      </c>
      <c r="S507" s="14">
        <f>IF(ISNUMBER('Klisz-Verbräuche'!T177), 'Klisz-Verbräuche'!T177*Emissionsfaktoren!R177/1000, 0)</f>
        <v>0</v>
      </c>
      <c r="T507" s="14">
        <f>IF(ISNUMBER('Klisz-Verbräuche'!U177), 'Klisz-Verbräuche'!U177*Emissionsfaktoren!S177/1000, 0)</f>
        <v>0</v>
      </c>
      <c r="U507" s="14">
        <f>IF(ISNUMBER('Klisz-Verbräuche'!V177), 'Klisz-Verbräuche'!V177*Emissionsfaktoren!T177/1000, 0)</f>
        <v>0</v>
      </c>
      <c r="V507" s="14">
        <f>IF(ISNUMBER('Klisz-Verbräuche'!W177), 'Klisz-Verbräuche'!W177*Emissionsfaktoren!U177/1000, 0)</f>
        <v>0</v>
      </c>
      <c r="W507" s="14">
        <f>IF(ISNUMBER('Klisz-Verbräuche'!X177), 'Klisz-Verbräuche'!X177*Emissionsfaktoren!V177/1000, 0)</f>
        <v>0</v>
      </c>
      <c r="X507" s="14">
        <f>IF(ISNUMBER('Klisz-Verbräuche'!Y177), 'Klisz-Verbräuche'!Y177*Emissionsfaktoren!W177/1000, 0)</f>
        <v>0</v>
      </c>
      <c r="Y507" s="14">
        <f>IF(ISNUMBER('Klisz-Verbräuche'!Z177), 'Klisz-Verbräuche'!Z177*Emissionsfaktoren!X177/1000, 0)</f>
        <v>0</v>
      </c>
    </row>
    <row r="508" spans="2:25" ht="16.5">
      <c r="B508" s="14">
        <v>162</v>
      </c>
      <c r="C508" s="14">
        <f>'Refsz-Verbräuche'!C178</f>
        <v>0</v>
      </c>
      <c r="D508" s="19">
        <f>'Refsz-Verbräuche'!D178</f>
        <v>0</v>
      </c>
      <c r="E508" t="s">
        <v>195</v>
      </c>
      <c r="F508" s="14">
        <f>IF(ISNUMBER('Klisz-Verbräuche'!G178), 'Klisz-Verbräuche'!G178*Emissionsfaktoren!E178/1000, 0)</f>
        <v>0</v>
      </c>
      <c r="G508" s="14">
        <f>IF(ISNUMBER('Klisz-Verbräuche'!H178), 'Klisz-Verbräuche'!H178*Emissionsfaktoren!F178/1000, 0)</f>
        <v>0</v>
      </c>
      <c r="H508" s="14">
        <f>IF(ISNUMBER('Klisz-Verbräuche'!I178), 'Klisz-Verbräuche'!I178*Emissionsfaktoren!G178/1000, 0)</f>
        <v>0</v>
      </c>
      <c r="I508" s="14">
        <f>IF(ISNUMBER('Klisz-Verbräuche'!J178), 'Klisz-Verbräuche'!J178*Emissionsfaktoren!H178/1000, 0)</f>
        <v>0</v>
      </c>
      <c r="J508" s="14">
        <f>IF(ISNUMBER('Klisz-Verbräuche'!K178), 'Klisz-Verbräuche'!K178*Emissionsfaktoren!I178/1000, 0)</f>
        <v>0</v>
      </c>
      <c r="K508" s="14">
        <f>IF(ISNUMBER('Klisz-Verbräuche'!L178), 'Klisz-Verbräuche'!L178*Emissionsfaktoren!J178/1000, 0)</f>
        <v>0</v>
      </c>
      <c r="L508" s="14">
        <f>IF(ISNUMBER('Klisz-Verbräuche'!M178), 'Klisz-Verbräuche'!M178*Emissionsfaktoren!K178/1000, 0)</f>
        <v>0</v>
      </c>
      <c r="M508" s="14">
        <f>IF(ISNUMBER('Klisz-Verbräuche'!N178), 'Klisz-Verbräuche'!N178*Emissionsfaktoren!L178/1000, 0)</f>
        <v>0</v>
      </c>
      <c r="N508" s="14">
        <f>IF(ISNUMBER('Klisz-Verbräuche'!O178), 'Klisz-Verbräuche'!O178*Emissionsfaktoren!M178/1000, 0)</f>
        <v>0</v>
      </c>
      <c r="O508" s="14">
        <f>IF(ISNUMBER('Klisz-Verbräuche'!P178), 'Klisz-Verbräuche'!P178*Emissionsfaktoren!N178/1000, 0)</f>
        <v>0</v>
      </c>
      <c r="P508" s="14">
        <f>IF(ISNUMBER('Klisz-Verbräuche'!Q178), 'Klisz-Verbräuche'!Q178*Emissionsfaktoren!O178/1000, 0)</f>
        <v>0</v>
      </c>
      <c r="Q508" s="14">
        <f>IF(ISNUMBER('Klisz-Verbräuche'!R178), 'Klisz-Verbräuche'!R178*Emissionsfaktoren!P178/1000, 0)</f>
        <v>0</v>
      </c>
      <c r="R508" s="14">
        <f>IF(ISNUMBER('Klisz-Verbräuche'!S178), 'Klisz-Verbräuche'!S178*Emissionsfaktoren!Q178/1000, 0)</f>
        <v>0</v>
      </c>
      <c r="S508" s="14">
        <f>IF(ISNUMBER('Klisz-Verbräuche'!T178), 'Klisz-Verbräuche'!T178*Emissionsfaktoren!R178/1000, 0)</f>
        <v>0</v>
      </c>
      <c r="T508" s="14">
        <f>IF(ISNUMBER('Klisz-Verbräuche'!U178), 'Klisz-Verbräuche'!U178*Emissionsfaktoren!S178/1000, 0)</f>
        <v>0</v>
      </c>
      <c r="U508" s="14">
        <f>IF(ISNUMBER('Klisz-Verbräuche'!V178), 'Klisz-Verbräuche'!V178*Emissionsfaktoren!T178/1000, 0)</f>
        <v>0</v>
      </c>
      <c r="V508" s="14">
        <f>IF(ISNUMBER('Klisz-Verbräuche'!W178), 'Klisz-Verbräuche'!W178*Emissionsfaktoren!U178/1000, 0)</f>
        <v>0</v>
      </c>
      <c r="W508" s="14">
        <f>IF(ISNUMBER('Klisz-Verbräuche'!X178), 'Klisz-Verbräuche'!X178*Emissionsfaktoren!V178/1000, 0)</f>
        <v>0</v>
      </c>
      <c r="X508" s="14">
        <f>IF(ISNUMBER('Klisz-Verbräuche'!Y178), 'Klisz-Verbräuche'!Y178*Emissionsfaktoren!W178/1000, 0)</f>
        <v>0</v>
      </c>
      <c r="Y508" s="14">
        <f>IF(ISNUMBER('Klisz-Verbräuche'!Z178), 'Klisz-Verbräuche'!Z178*Emissionsfaktoren!X178/1000, 0)</f>
        <v>0</v>
      </c>
    </row>
    <row r="511" spans="2:25">
      <c r="B511" s="1" t="s">
        <v>605</v>
      </c>
    </row>
    <row r="517" spans="2:26">
      <c r="C517" s="2" t="s">
        <v>232</v>
      </c>
      <c r="D517" s="111" t="s">
        <v>374</v>
      </c>
      <c r="E517" s="104"/>
      <c r="F517" s="104"/>
    </row>
    <row r="518" spans="2:26">
      <c r="C518" s="2" t="s">
        <v>227</v>
      </c>
      <c r="D518" s="124" t="s">
        <v>414</v>
      </c>
      <c r="E518" s="104"/>
      <c r="F518" s="104"/>
      <c r="G518" s="104"/>
      <c r="H518" s="104"/>
      <c r="I518" s="104"/>
      <c r="J518" s="104"/>
    </row>
    <row r="520" spans="2:26">
      <c r="B520" s="1" t="s">
        <v>228</v>
      </c>
    </row>
    <row r="521" spans="2:26">
      <c r="B521" s="32" t="s">
        <v>38</v>
      </c>
      <c r="C521" s="32" t="s">
        <v>28</v>
      </c>
      <c r="D521" s="32" t="s">
        <v>2</v>
      </c>
      <c r="E521" s="32" t="s">
        <v>3</v>
      </c>
      <c r="F521" s="32" t="s">
        <v>4</v>
      </c>
      <c r="G521" s="32" t="s">
        <v>5</v>
      </c>
      <c r="H521" s="32" t="s">
        <v>6</v>
      </c>
      <c r="I521" s="32" t="s">
        <v>7</v>
      </c>
      <c r="J521" s="32" t="s">
        <v>8</v>
      </c>
      <c r="K521" s="32" t="s">
        <v>9</v>
      </c>
      <c r="L521" s="32" t="s">
        <v>10</v>
      </c>
      <c r="M521" s="32" t="s">
        <v>11</v>
      </c>
      <c r="N521" s="32" t="s">
        <v>12</v>
      </c>
      <c r="O521" s="32" t="s">
        <v>13</v>
      </c>
      <c r="P521" s="32" t="s">
        <v>14</v>
      </c>
      <c r="Q521" s="32" t="s">
        <v>216</v>
      </c>
      <c r="R521" s="32" t="s">
        <v>217</v>
      </c>
      <c r="S521" s="32" t="s">
        <v>218</v>
      </c>
      <c r="T521" s="32" t="s">
        <v>15</v>
      </c>
      <c r="U521" s="32" t="s">
        <v>16</v>
      </c>
      <c r="V521" s="32" t="s">
        <v>17</v>
      </c>
      <c r="W521" s="32" t="s">
        <v>18</v>
      </c>
      <c r="X521" s="32" t="s">
        <v>19</v>
      </c>
      <c r="Y521" s="32" t="s">
        <v>36</v>
      </c>
      <c r="Z521" s="33" t="s">
        <v>136</v>
      </c>
    </row>
    <row r="522" spans="2:26">
      <c r="B522" s="31">
        <v>1</v>
      </c>
      <c r="C522" s="115" t="s">
        <v>230</v>
      </c>
      <c r="D522" s="115" t="s">
        <v>231</v>
      </c>
      <c r="E522" s="115">
        <v>9.1989999999999998</v>
      </c>
      <c r="F522" s="115">
        <v>9.1989999999999998</v>
      </c>
      <c r="G522" s="115">
        <v>9.1989999999999998</v>
      </c>
      <c r="H522" s="115">
        <v>9.1989999999999998</v>
      </c>
      <c r="I522" s="115">
        <v>9.1989999999999998</v>
      </c>
      <c r="J522" s="115">
        <v>9.0660000000000007</v>
      </c>
      <c r="K522" s="115">
        <v>9.0660000000000007</v>
      </c>
      <c r="L522" s="115">
        <v>9.0660000000000007</v>
      </c>
      <c r="M522" s="115">
        <v>9.0660000000000007</v>
      </c>
      <c r="N522" s="115">
        <v>9.0660000000000007</v>
      </c>
      <c r="O522" s="115">
        <v>9.0660000000000007</v>
      </c>
      <c r="P522" s="115">
        <v>9.0660000000000007</v>
      </c>
      <c r="Q522" s="115">
        <v>8.1630000000000003</v>
      </c>
      <c r="R522" s="115">
        <v>8.1630000000000003</v>
      </c>
      <c r="S522" s="115">
        <v>8.1630000000000003</v>
      </c>
      <c r="T522" s="115">
        <v>8.1630000000000003</v>
      </c>
      <c r="U522" s="115">
        <v>8.1630000000000003</v>
      </c>
      <c r="V522" s="115">
        <v>8.1630000000000003</v>
      </c>
      <c r="W522" s="115">
        <v>8.1630000000000003</v>
      </c>
      <c r="X522" s="115">
        <v>8.1630000000000003</v>
      </c>
      <c r="Y522" s="115" t="s">
        <v>31</v>
      </c>
      <c r="Z522" s="115" t="s">
        <v>229</v>
      </c>
    </row>
    <row r="523" spans="2:26">
      <c r="B523" s="31">
        <v>2</v>
      </c>
      <c r="C523" s="114"/>
      <c r="D523" s="105"/>
      <c r="E523" s="117"/>
      <c r="F523" s="117"/>
      <c r="G523" s="117"/>
      <c r="H523" s="117"/>
      <c r="I523" s="117"/>
      <c r="J523" s="117"/>
      <c r="K523" s="117"/>
      <c r="L523" s="117"/>
      <c r="M523" s="117"/>
      <c r="N523" s="117"/>
      <c r="O523" s="117"/>
      <c r="P523" s="117"/>
      <c r="Q523" s="117"/>
      <c r="R523" s="117"/>
      <c r="S523" s="117"/>
      <c r="T523" s="117"/>
      <c r="U523" s="117"/>
      <c r="V523" s="117"/>
      <c r="W523" s="117"/>
      <c r="X523" s="117"/>
      <c r="Y523" s="118"/>
      <c r="Z523" s="119"/>
    </row>
    <row r="524" spans="2:26">
      <c r="B524" s="31">
        <v>3</v>
      </c>
      <c r="C524" s="116"/>
      <c r="D524" s="120"/>
      <c r="E524" s="121"/>
      <c r="F524" s="121"/>
      <c r="G524" s="121"/>
      <c r="H524" s="121"/>
      <c r="I524" s="121"/>
      <c r="J524" s="121"/>
      <c r="K524" s="121"/>
      <c r="L524" s="121"/>
      <c r="M524" s="121"/>
      <c r="N524" s="121"/>
      <c r="O524" s="121"/>
      <c r="P524" s="121"/>
      <c r="Q524" s="121"/>
      <c r="R524" s="121"/>
      <c r="S524" s="121"/>
      <c r="T524" s="121"/>
      <c r="U524" s="121"/>
      <c r="V524" s="121"/>
      <c r="W524" s="121"/>
      <c r="X524" s="121"/>
      <c r="Y524" s="122"/>
      <c r="Z524" s="123"/>
    </row>
    <row r="526" spans="2:26">
      <c r="B526" s="1" t="s">
        <v>233</v>
      </c>
    </row>
    <row r="527" spans="2:26">
      <c r="B527" t="s">
        <v>38</v>
      </c>
      <c r="C527" t="s">
        <v>28</v>
      </c>
      <c r="D527" s="14" t="s">
        <v>435</v>
      </c>
      <c r="E527" t="s">
        <v>2</v>
      </c>
      <c r="F527" t="s">
        <v>3</v>
      </c>
      <c r="G527" t="s">
        <v>4</v>
      </c>
      <c r="H527" t="s">
        <v>5</v>
      </c>
      <c r="I527" t="s">
        <v>6</v>
      </c>
      <c r="J527" t="s">
        <v>7</v>
      </c>
      <c r="K527" t="s">
        <v>8</v>
      </c>
      <c r="L527" t="s">
        <v>9</v>
      </c>
      <c r="M527" t="s">
        <v>10</v>
      </c>
      <c r="N527" t="s">
        <v>11</v>
      </c>
      <c r="O527" t="s">
        <v>12</v>
      </c>
      <c r="P527" t="s">
        <v>13</v>
      </c>
      <c r="Q527" t="s">
        <v>14</v>
      </c>
      <c r="R527" t="s">
        <v>216</v>
      </c>
      <c r="S527" t="s">
        <v>217</v>
      </c>
      <c r="T527" t="s">
        <v>218</v>
      </c>
      <c r="U527" t="s">
        <v>15</v>
      </c>
      <c r="V527" t="s">
        <v>16</v>
      </c>
      <c r="W527" t="s">
        <v>17</v>
      </c>
      <c r="X527" t="s">
        <v>18</v>
      </c>
      <c r="Y527" t="s">
        <v>19</v>
      </c>
      <c r="Z527" t="s">
        <v>45</v>
      </c>
    </row>
    <row r="528" spans="2:26" ht="16.5">
      <c r="B528" s="14">
        <v>1</v>
      </c>
      <c r="C528" s="14" t="str">
        <f>'Refsz-Verbräuche'!C18</f>
        <v>Elektrischer Strom</v>
      </c>
      <c r="D528" s="113" t="s">
        <v>230</v>
      </c>
      <c r="E528" t="s">
        <v>195</v>
      </c>
      <c r="F528" s="110">
        <f>IF((OR(ISNUMBER('Klisz-Verbräuche'!G18),ISNUMBER('Klisz-Verbräuche'!G19),ISNUMBER('Klisz-Verbräuche'!G20),ISNUMBER('Klisz-Verbräuche'!G21),ISNUMBER('Klisz-Verbräuche'!G22), ISNUMBER('Klisz-Verbräuche'!G23), ISNUMBER('Klisz-Verbräuche'!G24), ISNUMBER('Klisz-Verbräuche'!G25), ISNUMBER('Klisz-Verbräuche'!G26), ISNUMBER('Klisz-Verbräuche'!G27), ISNUMBER('Klisz-Verbräuche'!G28))), (SUM('Klisz-Verbräuche'!G18:G28)*'Klisz-Emissionen'!E522/1000), 0)</f>
        <v>0</v>
      </c>
      <c r="G528" s="110">
        <f>IF((OR(ISNUMBER('Klisz-Verbräuche'!H18),ISNUMBER('Klisz-Verbräuche'!H19),ISNUMBER('Klisz-Verbräuche'!H20),ISNUMBER('Klisz-Verbräuche'!H21),ISNUMBER('Klisz-Verbräuche'!H22), ISNUMBER('Klisz-Verbräuche'!H23), ISNUMBER('Klisz-Verbräuche'!H24), ISNUMBER('Klisz-Verbräuche'!H25), ISNUMBER('Klisz-Verbräuche'!H26), ISNUMBER('Klisz-Verbräuche'!H27), ISNUMBER('Klisz-Verbräuche'!H28))), (SUM('Klisz-Verbräuche'!H18:H28)*'Klisz-Emissionen'!F522/1000), 0)</f>
        <v>0</v>
      </c>
      <c r="H528" s="110">
        <f>IF((OR(ISNUMBER('Klisz-Verbräuche'!I18),ISNUMBER('Klisz-Verbräuche'!I19),ISNUMBER('Klisz-Verbräuche'!I20),ISNUMBER('Klisz-Verbräuche'!I21),ISNUMBER('Klisz-Verbräuche'!I22), ISNUMBER('Klisz-Verbräuche'!I23), ISNUMBER('Klisz-Verbräuche'!I24), ISNUMBER('Klisz-Verbräuche'!I25), ISNUMBER('Klisz-Verbräuche'!I26), ISNUMBER('Klisz-Verbräuche'!I27), ISNUMBER('Klisz-Verbräuche'!I28))), (SUM('Klisz-Verbräuche'!I18:I28)*'Klisz-Emissionen'!G522/1000), 0)</f>
        <v>0</v>
      </c>
      <c r="I528" s="110">
        <f>IF((OR(ISNUMBER('Klisz-Verbräuche'!J18),ISNUMBER('Klisz-Verbräuche'!J19),ISNUMBER('Klisz-Verbräuche'!J20),ISNUMBER('Klisz-Verbräuche'!J21),ISNUMBER('Klisz-Verbräuche'!J22), ISNUMBER('Klisz-Verbräuche'!J23), ISNUMBER('Klisz-Verbräuche'!J24), ISNUMBER('Klisz-Verbräuche'!J25), ISNUMBER('Klisz-Verbräuche'!J26), ISNUMBER('Klisz-Verbräuche'!J27), ISNUMBER('Klisz-Verbräuche'!J28))), (SUM('Klisz-Verbräuche'!J18:J28)*'Klisz-Emissionen'!H522/1000), 0)</f>
        <v>0</v>
      </c>
      <c r="J528" s="110">
        <f>IF((OR(ISNUMBER('Klisz-Verbräuche'!K18),ISNUMBER('Klisz-Verbräuche'!K19),ISNUMBER('Klisz-Verbräuche'!K20),ISNUMBER('Klisz-Verbräuche'!K21),ISNUMBER('Klisz-Verbräuche'!K22), ISNUMBER('Klisz-Verbräuche'!K23), ISNUMBER('Klisz-Verbräuche'!K24), ISNUMBER('Klisz-Verbräuche'!K25), ISNUMBER('Klisz-Verbräuche'!K26), ISNUMBER('Klisz-Verbräuche'!K27), ISNUMBER('Klisz-Verbräuche'!K28))), (SUM('Klisz-Verbräuche'!K18:K28)*'Klisz-Emissionen'!I522/1000), 0)</f>
        <v>0</v>
      </c>
      <c r="K528" s="110">
        <f>IF((OR(ISNUMBER('Klisz-Verbräuche'!L18),ISNUMBER('Klisz-Verbräuche'!L19),ISNUMBER('Klisz-Verbräuche'!L20),ISNUMBER('Klisz-Verbräuche'!L21),ISNUMBER('Klisz-Verbräuche'!L22), ISNUMBER('Klisz-Verbräuche'!L23), ISNUMBER('Klisz-Verbräuche'!L24), ISNUMBER('Klisz-Verbräuche'!L25), ISNUMBER('Klisz-Verbräuche'!L26), ISNUMBER('Klisz-Verbräuche'!L27), ISNUMBER('Klisz-Verbräuche'!L28))), (SUM('Klisz-Verbräuche'!L18:L28)*'Klisz-Emissionen'!J522/1000), 0)</f>
        <v>0</v>
      </c>
      <c r="L528" s="110">
        <f>IF((OR(ISNUMBER('Klisz-Verbräuche'!M18),ISNUMBER('Klisz-Verbräuche'!M19),ISNUMBER('Klisz-Verbräuche'!M20),ISNUMBER('Klisz-Verbräuche'!M21),ISNUMBER('Klisz-Verbräuche'!M22), ISNUMBER('Klisz-Verbräuche'!M23), ISNUMBER('Klisz-Verbräuche'!M24), ISNUMBER('Klisz-Verbräuche'!M25), ISNUMBER('Klisz-Verbräuche'!M26), ISNUMBER('Klisz-Verbräuche'!M27), ISNUMBER('Klisz-Verbräuche'!M28))), (SUM('Klisz-Verbräuche'!M18:M28)*'Klisz-Emissionen'!K522/1000), 0)</f>
        <v>0</v>
      </c>
      <c r="M528" s="110">
        <f>IF((OR(ISNUMBER('Klisz-Verbräuche'!N18),ISNUMBER('Klisz-Verbräuche'!N19),ISNUMBER('Klisz-Verbräuche'!N20),ISNUMBER('Klisz-Verbräuche'!N21),ISNUMBER('Klisz-Verbräuche'!N22), ISNUMBER('Klisz-Verbräuche'!N23), ISNUMBER('Klisz-Verbräuche'!N24), ISNUMBER('Klisz-Verbräuche'!N25), ISNUMBER('Klisz-Verbräuche'!N26), ISNUMBER('Klisz-Verbräuche'!N27), ISNUMBER('Klisz-Verbräuche'!N28))), (SUM('Klisz-Verbräuche'!N18:N28)*'Klisz-Emissionen'!L522/1000), 0)</f>
        <v>0</v>
      </c>
      <c r="N528" s="110">
        <f>IF((OR(ISNUMBER('Klisz-Verbräuche'!O18),ISNUMBER('Klisz-Verbräuche'!O19),ISNUMBER('Klisz-Verbräuche'!O20),ISNUMBER('Klisz-Verbräuche'!O21),ISNUMBER('Klisz-Verbräuche'!O22), ISNUMBER('Klisz-Verbräuche'!O23), ISNUMBER('Klisz-Verbräuche'!O24), ISNUMBER('Klisz-Verbräuche'!O25), ISNUMBER('Klisz-Verbräuche'!O26), ISNUMBER('Klisz-Verbräuche'!O27), ISNUMBER('Klisz-Verbräuche'!O28))), (SUM('Klisz-Verbräuche'!O18:O28)*'Klisz-Emissionen'!M522/1000), 0)</f>
        <v>0</v>
      </c>
      <c r="O528" s="110">
        <f>IF((OR(ISNUMBER('Klisz-Verbräuche'!P18),ISNUMBER('Klisz-Verbräuche'!P19),ISNUMBER('Klisz-Verbräuche'!P20),ISNUMBER('Klisz-Verbräuche'!P21),ISNUMBER('Klisz-Verbräuche'!P22), ISNUMBER('Klisz-Verbräuche'!P23), ISNUMBER('Klisz-Verbräuche'!P24), ISNUMBER('Klisz-Verbräuche'!P25), ISNUMBER('Klisz-Verbräuche'!P26), ISNUMBER('Klisz-Verbräuche'!P27), ISNUMBER('Klisz-Verbräuche'!P28))), (SUM('Klisz-Verbräuche'!P18:P28)*'Klisz-Emissionen'!N522/1000), 0)</f>
        <v>0</v>
      </c>
      <c r="P528" s="110">
        <f>IF((OR(ISNUMBER('Klisz-Verbräuche'!Q18),ISNUMBER('Klisz-Verbräuche'!Q19),ISNUMBER('Klisz-Verbräuche'!Q20),ISNUMBER('Klisz-Verbräuche'!Q21),ISNUMBER('Klisz-Verbräuche'!Q22), ISNUMBER('Klisz-Verbräuche'!Q23), ISNUMBER('Klisz-Verbräuche'!Q24), ISNUMBER('Klisz-Verbräuche'!Q25), ISNUMBER('Klisz-Verbräuche'!Q26), ISNUMBER('Klisz-Verbräuche'!Q27), ISNUMBER('Klisz-Verbräuche'!Q28))), (SUM('Klisz-Verbräuche'!Q18:Q28)*'Klisz-Emissionen'!O522/1000), 0)</f>
        <v>0</v>
      </c>
      <c r="Q528" s="110">
        <f>IF((OR(ISNUMBER('Klisz-Verbräuche'!R18),ISNUMBER('Klisz-Verbräuche'!R19),ISNUMBER('Klisz-Verbräuche'!R20),ISNUMBER('Klisz-Verbräuche'!R21),ISNUMBER('Klisz-Verbräuche'!R22), ISNUMBER('Klisz-Verbräuche'!R23), ISNUMBER('Klisz-Verbräuche'!R24), ISNUMBER('Klisz-Verbräuche'!R25), ISNUMBER('Klisz-Verbräuche'!R26), ISNUMBER('Klisz-Verbräuche'!R27), ISNUMBER('Klisz-Verbräuche'!R28))), (SUM('Klisz-Verbräuche'!R18:R28)*'Klisz-Emissionen'!P522/1000), 0)</f>
        <v>0</v>
      </c>
      <c r="R528" s="110">
        <f>IF((OR(ISNUMBER('Klisz-Verbräuche'!S18),ISNUMBER('Klisz-Verbräuche'!S19),ISNUMBER('Klisz-Verbräuche'!S20),ISNUMBER('Klisz-Verbräuche'!S21),ISNUMBER('Klisz-Verbräuche'!S22), ISNUMBER('Klisz-Verbräuche'!S23), ISNUMBER('Klisz-Verbräuche'!S24), ISNUMBER('Klisz-Verbräuche'!S25), ISNUMBER('Klisz-Verbräuche'!S26), ISNUMBER('Klisz-Verbräuche'!S27), ISNUMBER('Klisz-Verbräuche'!S28))), (SUM('Klisz-Verbräuche'!S18:S28)*'Klisz-Emissionen'!Q522/1000), 0)</f>
        <v>0</v>
      </c>
      <c r="S528" s="110">
        <f>IF((OR(ISNUMBER('Klisz-Verbräuche'!T18),ISNUMBER('Klisz-Verbräuche'!T19),ISNUMBER('Klisz-Verbräuche'!T20),ISNUMBER('Klisz-Verbräuche'!T21),ISNUMBER('Klisz-Verbräuche'!T22), ISNUMBER('Klisz-Verbräuche'!T23), ISNUMBER('Klisz-Verbräuche'!T24), ISNUMBER('Klisz-Verbräuche'!T25), ISNUMBER('Klisz-Verbräuche'!T26), ISNUMBER('Klisz-Verbräuche'!T27), ISNUMBER('Klisz-Verbräuche'!T28))), (SUM('Klisz-Verbräuche'!T18:T28)*'Klisz-Emissionen'!R522/1000), 0)</f>
        <v>0</v>
      </c>
      <c r="T528" s="110">
        <f>IF((OR(ISNUMBER('Klisz-Verbräuche'!U18),ISNUMBER('Klisz-Verbräuche'!U19),ISNUMBER('Klisz-Verbräuche'!U20),ISNUMBER('Klisz-Verbräuche'!U21),ISNUMBER('Klisz-Verbräuche'!U22), ISNUMBER('Klisz-Verbräuche'!U23), ISNUMBER('Klisz-Verbräuche'!U24), ISNUMBER('Klisz-Verbräuche'!U25), ISNUMBER('Klisz-Verbräuche'!U26), ISNUMBER('Klisz-Verbräuche'!U27), ISNUMBER('Klisz-Verbräuche'!U28))), (SUM('Klisz-Verbräuche'!U18:U28)*'Klisz-Emissionen'!S522/1000), 0)</f>
        <v>0</v>
      </c>
      <c r="U528" s="110">
        <f>IF((OR(ISNUMBER('Klisz-Verbräuche'!V18),ISNUMBER('Klisz-Verbräuche'!V19),ISNUMBER('Klisz-Verbräuche'!V20),ISNUMBER('Klisz-Verbräuche'!V21),ISNUMBER('Klisz-Verbräuche'!V22), ISNUMBER('Klisz-Verbräuche'!V23), ISNUMBER('Klisz-Verbräuche'!V24), ISNUMBER('Klisz-Verbräuche'!V25), ISNUMBER('Klisz-Verbräuche'!V26), ISNUMBER('Klisz-Verbräuche'!V27), ISNUMBER('Klisz-Verbräuche'!V28))), (SUM('Klisz-Verbräuche'!V18:V28)*'Klisz-Emissionen'!T522/1000), 0)</f>
        <v>0</v>
      </c>
      <c r="V528" s="110">
        <f>IF((OR(ISNUMBER('Klisz-Verbräuche'!W18),ISNUMBER('Klisz-Verbräuche'!W19),ISNUMBER('Klisz-Verbräuche'!W20),ISNUMBER('Klisz-Verbräuche'!W21),ISNUMBER('Klisz-Verbräuche'!W22), ISNUMBER('Klisz-Verbräuche'!W23), ISNUMBER('Klisz-Verbräuche'!W24), ISNUMBER('Klisz-Verbräuche'!W25), ISNUMBER('Klisz-Verbräuche'!W26), ISNUMBER('Klisz-Verbräuche'!W27), ISNUMBER('Klisz-Verbräuche'!W28))), (SUM('Klisz-Verbräuche'!W18:W28)*'Klisz-Emissionen'!U522/1000), 0)</f>
        <v>0</v>
      </c>
      <c r="W528" s="110">
        <f>IF((OR(ISNUMBER('Klisz-Verbräuche'!X18),ISNUMBER('Klisz-Verbräuche'!X19),ISNUMBER('Klisz-Verbräuche'!X20),ISNUMBER('Klisz-Verbräuche'!X21),ISNUMBER('Klisz-Verbräuche'!X22), ISNUMBER('Klisz-Verbräuche'!X23), ISNUMBER('Klisz-Verbräuche'!X24), ISNUMBER('Klisz-Verbräuche'!X25), ISNUMBER('Klisz-Verbräuche'!X26), ISNUMBER('Klisz-Verbräuche'!X27), ISNUMBER('Klisz-Verbräuche'!X28))), (SUM('Klisz-Verbräuche'!X18:X28)*'Klisz-Emissionen'!V522/1000), 0)</f>
        <v>0</v>
      </c>
      <c r="X528" s="110">
        <f>IF((OR(ISNUMBER('Klisz-Verbräuche'!Y18),ISNUMBER('Klisz-Verbräuche'!Y19),ISNUMBER('Klisz-Verbräuche'!Y20),ISNUMBER('Klisz-Verbräuche'!Y21),ISNUMBER('Klisz-Verbräuche'!Y22), ISNUMBER('Klisz-Verbräuche'!Y23), ISNUMBER('Klisz-Verbräuche'!Y24), ISNUMBER('Klisz-Verbräuche'!Y25), ISNUMBER('Klisz-Verbräuche'!Y26), ISNUMBER('Klisz-Verbräuche'!Y27), ISNUMBER('Klisz-Verbräuche'!Y28))), (SUM('Klisz-Verbräuche'!Y18:Y28)*'Klisz-Emissionen'!W522/1000), 0)</f>
        <v>0</v>
      </c>
      <c r="Y528" s="110">
        <f>IF((OR(ISNUMBER('Klisz-Verbräuche'!Z18),ISNUMBER('Klisz-Verbräuche'!Z19),ISNUMBER('Klisz-Verbräuche'!Z20),ISNUMBER('Klisz-Verbräuche'!Z21),ISNUMBER('Klisz-Verbräuche'!Z22), ISNUMBER('Klisz-Verbräuche'!Z23), ISNUMBER('Klisz-Verbräuche'!Z24), ISNUMBER('Klisz-Verbräuche'!Z25), ISNUMBER('Klisz-Verbräuche'!Z26), ISNUMBER('Klisz-Verbräuche'!Z27), ISNUMBER('Klisz-Verbräuche'!Z28))), (SUM('Klisz-Verbräuche'!Z18:Z28)*'Klisz-Emissionen'!X522/1000), 0)</f>
        <v>0</v>
      </c>
    </row>
    <row r="529" spans="2:25" ht="16.5">
      <c r="B529" s="14">
        <v>2</v>
      </c>
      <c r="C529" s="14" t="str">
        <f>'Refsz-Verbräuche'!C19</f>
        <v>Elektrischer Strom</v>
      </c>
      <c r="D529" s="19" t="str">
        <f>'Refsz-Verbräuche'!D19</f>
        <v>Bundesmix KS80</v>
      </c>
      <c r="E529" t="s">
        <v>195</v>
      </c>
      <c r="F529" s="110"/>
      <c r="G529" s="110"/>
      <c r="H529" s="110"/>
      <c r="I529" s="110"/>
      <c r="J529" s="110"/>
      <c r="K529" s="110"/>
      <c r="L529" s="110"/>
      <c r="M529" s="110"/>
      <c r="N529" s="110"/>
      <c r="O529" s="110"/>
      <c r="P529" s="110"/>
      <c r="Q529" s="110"/>
      <c r="R529" s="110"/>
      <c r="S529" s="110"/>
      <c r="T529" s="110"/>
      <c r="U529" s="110"/>
      <c r="V529" s="110"/>
      <c r="W529" s="110"/>
      <c r="X529" s="110"/>
      <c r="Y529" s="110"/>
    </row>
    <row r="530" spans="2:25" ht="16.5">
      <c r="B530" s="14">
        <v>3</v>
      </c>
      <c r="C530" s="14" t="str">
        <f>'Refsz-Verbräuche'!C20</f>
        <v>Elektrischer Strom</v>
      </c>
      <c r="D530" s="19" t="str">
        <f>'Refsz-Verbräuche'!D20</f>
        <v>Individueller Strommix Einrichtung 1</v>
      </c>
      <c r="E530" t="s">
        <v>195</v>
      </c>
      <c r="F530" s="110"/>
      <c r="G530" s="110"/>
      <c r="H530" s="110"/>
      <c r="I530" s="110"/>
      <c r="J530" s="110"/>
      <c r="K530" s="110"/>
      <c r="L530" s="110"/>
      <c r="M530" s="110"/>
      <c r="N530" s="110"/>
      <c r="O530" s="110"/>
      <c r="P530" s="110"/>
      <c r="Q530" s="110"/>
      <c r="R530" s="110"/>
      <c r="S530" s="110"/>
      <c r="T530" s="110"/>
      <c r="U530" s="110"/>
      <c r="V530" s="110"/>
      <c r="W530" s="110"/>
      <c r="X530" s="110"/>
      <c r="Y530" s="110"/>
    </row>
    <row r="531" spans="2:25" ht="16.5">
      <c r="B531" s="14">
        <v>4</v>
      </c>
      <c r="C531" s="14" t="str">
        <f>'Refsz-Verbräuche'!C21</f>
        <v>Elektrischer Strom</v>
      </c>
      <c r="D531" s="19" t="str">
        <f>'Refsz-Verbräuche'!D21</f>
        <v>Individueller Strommix Einrichtung 2</v>
      </c>
      <c r="E531" t="s">
        <v>195</v>
      </c>
      <c r="F531" s="110"/>
      <c r="G531" s="110"/>
      <c r="H531" s="110"/>
      <c r="I531" s="110"/>
      <c r="J531" s="110"/>
      <c r="K531" s="110"/>
      <c r="L531" s="110"/>
      <c r="M531" s="110"/>
      <c r="N531" s="110"/>
      <c r="O531" s="110"/>
      <c r="P531" s="110"/>
      <c r="Q531" s="110"/>
      <c r="R531" s="110"/>
      <c r="S531" s="110"/>
      <c r="T531" s="110"/>
      <c r="U531" s="110"/>
      <c r="V531" s="110"/>
      <c r="W531" s="110"/>
      <c r="X531" s="110"/>
      <c r="Y531" s="110"/>
    </row>
    <row r="532" spans="2:25" ht="16.5">
      <c r="B532" s="14">
        <v>5</v>
      </c>
      <c r="C532" s="14" t="str">
        <f>'Refsz-Verbräuche'!C22</f>
        <v>Elektrischer Strom</v>
      </c>
      <c r="D532" s="19" t="str">
        <f>'Refsz-Verbräuche'!D22</f>
        <v>Individueller Strommix Einrichtung 3</v>
      </c>
      <c r="E532" t="s">
        <v>195</v>
      </c>
      <c r="F532" s="110"/>
      <c r="G532" s="110"/>
      <c r="H532" s="110"/>
      <c r="I532" s="110"/>
      <c r="J532" s="110"/>
      <c r="K532" s="110"/>
      <c r="L532" s="110"/>
      <c r="M532" s="110"/>
      <c r="N532" s="110"/>
      <c r="O532" s="110"/>
      <c r="P532" s="110"/>
      <c r="Q532" s="110"/>
      <c r="R532" s="110"/>
      <c r="S532" s="110"/>
      <c r="T532" s="110"/>
      <c r="U532" s="110"/>
      <c r="V532" s="110"/>
      <c r="W532" s="110"/>
      <c r="X532" s="110"/>
      <c r="Y532" s="110"/>
    </row>
    <row r="533" spans="2:25" ht="16.5">
      <c r="B533" s="14">
        <v>6</v>
      </c>
      <c r="C533" s="14" t="str">
        <f>'Refsz-Verbräuche'!C23</f>
        <v>Elektrischer Strom</v>
      </c>
      <c r="D533" s="19" t="str">
        <f>'Refsz-Verbräuche'!D23</f>
        <v>Individueller Strommix Einrichtung 4</v>
      </c>
      <c r="E533" t="s">
        <v>195</v>
      </c>
      <c r="F533" s="110"/>
      <c r="G533" s="110"/>
      <c r="H533" s="110"/>
      <c r="I533" s="110"/>
      <c r="J533" s="110"/>
      <c r="K533" s="110"/>
      <c r="L533" s="110"/>
      <c r="M533" s="110"/>
      <c r="N533" s="110"/>
      <c r="O533" s="110"/>
      <c r="P533" s="110"/>
      <c r="Q533" s="110"/>
      <c r="R533" s="110"/>
      <c r="S533" s="110"/>
      <c r="T533" s="110"/>
      <c r="U533" s="110"/>
      <c r="V533" s="110"/>
      <c r="W533" s="110"/>
      <c r="X533" s="110"/>
      <c r="Y533" s="110"/>
    </row>
    <row r="534" spans="2:25" ht="16.5">
      <c r="B534" s="14">
        <v>7</v>
      </c>
      <c r="C534" s="14" t="str">
        <f>'Refsz-Verbräuche'!C24</f>
        <v>Elektrischer Strom</v>
      </c>
      <c r="D534" s="19" t="str">
        <f>'Refsz-Verbräuche'!D24</f>
        <v>Individueller Strommix Einrichtung 5</v>
      </c>
      <c r="E534" t="s">
        <v>195</v>
      </c>
      <c r="F534" s="110"/>
      <c r="G534" s="110"/>
      <c r="H534" s="110"/>
      <c r="I534" s="110"/>
      <c r="J534" s="110"/>
      <c r="K534" s="110"/>
      <c r="L534" s="110"/>
      <c r="M534" s="110"/>
      <c r="N534" s="110"/>
      <c r="O534" s="110"/>
      <c r="P534" s="110"/>
      <c r="Q534" s="110"/>
      <c r="R534" s="110"/>
      <c r="S534" s="110"/>
      <c r="T534" s="110"/>
      <c r="U534" s="110"/>
      <c r="V534" s="110"/>
      <c r="W534" s="110"/>
      <c r="X534" s="110"/>
      <c r="Y534" s="110"/>
    </row>
    <row r="535" spans="2:25" ht="16.5">
      <c r="B535" s="14">
        <v>8</v>
      </c>
      <c r="C535" s="14" t="str">
        <f>'Refsz-Verbräuche'!C25</f>
        <v>Elektrischer Strom</v>
      </c>
      <c r="D535" s="19" t="str">
        <f>'Refsz-Verbräuche'!D25</f>
        <v>Individueller Strommix Einrichtung 6</v>
      </c>
      <c r="E535" t="s">
        <v>195</v>
      </c>
      <c r="F535" s="110"/>
      <c r="G535" s="110"/>
      <c r="H535" s="110"/>
      <c r="I535" s="110"/>
      <c r="J535" s="110"/>
      <c r="K535" s="110"/>
      <c r="L535" s="110"/>
      <c r="M535" s="110"/>
      <c r="N535" s="110"/>
      <c r="O535" s="110"/>
      <c r="P535" s="110"/>
      <c r="Q535" s="110"/>
      <c r="R535" s="110"/>
      <c r="S535" s="110"/>
      <c r="T535" s="110"/>
      <c r="U535" s="110"/>
      <c r="V535" s="110"/>
      <c r="W535" s="110"/>
      <c r="X535" s="110"/>
      <c r="Y535" s="110"/>
    </row>
    <row r="536" spans="2:25" ht="16.5">
      <c r="B536" s="14">
        <v>9</v>
      </c>
      <c r="C536" s="14" t="str">
        <f>'Refsz-Verbräuche'!C26</f>
        <v>Elektrischer Strom</v>
      </c>
      <c r="D536" s="19" t="str">
        <f>'Refsz-Verbräuche'!D26</f>
        <v>BHKW</v>
      </c>
      <c r="E536" t="s">
        <v>195</v>
      </c>
      <c r="F536" s="110">
        <f>'Strommix &amp; BHKW'!D187+'Strommix &amp; BHKW'!D203+'Strommix &amp; BHKW'!D209+'Strommix &amp; BHKW'!D215</f>
        <v>0</v>
      </c>
      <c r="G536" s="110">
        <f>'Strommix &amp; BHKW'!E187+'Strommix &amp; BHKW'!E203+'Strommix &amp; BHKW'!E209+'Strommix &amp; BHKW'!E215</f>
        <v>0</v>
      </c>
      <c r="H536" s="110">
        <f>'Strommix &amp; BHKW'!F187+'Strommix &amp; BHKW'!F203+'Strommix &amp; BHKW'!F209+'Strommix &amp; BHKW'!F215</f>
        <v>0</v>
      </c>
      <c r="I536" s="110">
        <f>'Strommix &amp; BHKW'!G187+'Strommix &amp; BHKW'!G203+'Strommix &amp; BHKW'!G209+'Strommix &amp; BHKW'!G215</f>
        <v>0</v>
      </c>
      <c r="J536" s="110">
        <f>'Strommix &amp; BHKW'!H187+'Strommix &amp; BHKW'!H203+'Strommix &amp; BHKW'!H209+'Strommix &amp; BHKW'!H215</f>
        <v>0</v>
      </c>
      <c r="K536" s="110">
        <f>'Strommix &amp; BHKW'!I187+'Strommix &amp; BHKW'!I203+'Strommix &amp; BHKW'!I209+'Strommix &amp; BHKW'!I215</f>
        <v>0</v>
      </c>
      <c r="L536" s="110">
        <f>'Strommix &amp; BHKW'!J187+'Strommix &amp; BHKW'!J203+'Strommix &amp; BHKW'!J209+'Strommix &amp; BHKW'!J215</f>
        <v>0</v>
      </c>
      <c r="M536" s="110">
        <f>'Strommix &amp; BHKW'!K187+'Strommix &amp; BHKW'!K203+'Strommix &amp; BHKW'!K209+'Strommix &amp; BHKW'!K215</f>
        <v>0</v>
      </c>
      <c r="N536" s="110">
        <f>'Strommix &amp; BHKW'!L187+'Strommix &amp; BHKW'!L203+'Strommix &amp; BHKW'!L209+'Strommix &amp; BHKW'!L215</f>
        <v>0</v>
      </c>
      <c r="O536" s="110">
        <f>'Strommix &amp; BHKW'!M187+'Strommix &amp; BHKW'!M203+'Strommix &amp; BHKW'!M209+'Strommix &amp; BHKW'!M215</f>
        <v>0</v>
      </c>
      <c r="P536" s="110">
        <f>'Strommix &amp; BHKW'!N187+'Strommix &amp; BHKW'!N203+'Strommix &amp; BHKW'!N209+'Strommix &amp; BHKW'!N215</f>
        <v>0</v>
      </c>
      <c r="Q536" s="110">
        <f>'Strommix &amp; BHKW'!O187+'Strommix &amp; BHKW'!O203+'Strommix &amp; BHKW'!O209+'Strommix &amp; BHKW'!O215</f>
        <v>0</v>
      </c>
      <c r="R536" s="110">
        <f>'Strommix &amp; BHKW'!P187+'Strommix &amp; BHKW'!P203+'Strommix &amp; BHKW'!P209+'Strommix &amp; BHKW'!P215</f>
        <v>0</v>
      </c>
      <c r="S536" s="110">
        <f>'Strommix &amp; BHKW'!Q187+'Strommix &amp; BHKW'!Q203+'Strommix &amp; BHKW'!Q209+'Strommix &amp; BHKW'!Q215</f>
        <v>0</v>
      </c>
      <c r="T536" s="110">
        <f>'Strommix &amp; BHKW'!R187+'Strommix &amp; BHKW'!R203+'Strommix &amp; BHKW'!R209+'Strommix &amp; BHKW'!R215</f>
        <v>0</v>
      </c>
      <c r="U536" s="110">
        <f>'Strommix &amp; BHKW'!S187+'Strommix &amp; BHKW'!S203+'Strommix &amp; BHKW'!S209+'Strommix &amp; BHKW'!S215</f>
        <v>0</v>
      </c>
      <c r="V536" s="110">
        <f>'Strommix &amp; BHKW'!T187+'Strommix &amp; BHKW'!T203+'Strommix &amp; BHKW'!T209+'Strommix &amp; BHKW'!T215</f>
        <v>0</v>
      </c>
      <c r="W536" s="110">
        <f>'Strommix &amp; BHKW'!U187+'Strommix &amp; BHKW'!U203+'Strommix &amp; BHKW'!U209+'Strommix &amp; BHKW'!U215</f>
        <v>0</v>
      </c>
      <c r="X536" s="110">
        <f>'Strommix &amp; BHKW'!V187+'Strommix &amp; BHKW'!V203+'Strommix &amp; BHKW'!V209+'Strommix &amp; BHKW'!V215</f>
        <v>0</v>
      </c>
      <c r="Y536" s="110">
        <f>'Strommix &amp; BHKW'!W187+'Strommix &amp; BHKW'!W203+'Strommix &amp; BHKW'!W209+'Strommix &amp; BHKW'!W215</f>
        <v>0</v>
      </c>
    </row>
    <row r="537" spans="2:25" ht="16.5">
      <c r="B537" s="14">
        <v>10</v>
      </c>
      <c r="C537" s="14" t="str">
        <f>'Refsz-Verbräuche'!C27</f>
        <v>Elektrischer Strom</v>
      </c>
      <c r="D537" s="19" t="str">
        <f>'Refsz-Verbräuche'!D27</f>
        <v>Ökostrom</v>
      </c>
      <c r="E537" t="s">
        <v>195</v>
      </c>
      <c r="F537" s="110"/>
      <c r="G537" s="110"/>
      <c r="H537" s="110"/>
      <c r="I537" s="110"/>
      <c r="J537" s="110"/>
      <c r="K537" s="110"/>
      <c r="L537" s="110"/>
      <c r="M537" s="110"/>
      <c r="N537" s="110"/>
      <c r="O537" s="110"/>
      <c r="P537" s="110"/>
      <c r="Q537" s="110"/>
      <c r="R537" s="110"/>
      <c r="S537" s="110"/>
      <c r="T537" s="110"/>
      <c r="U537" s="110"/>
      <c r="V537" s="110"/>
      <c r="W537" s="110"/>
      <c r="X537" s="110"/>
      <c r="Y537" s="110"/>
    </row>
    <row r="538" spans="2:25" ht="16.5">
      <c r="B538" s="14">
        <v>11</v>
      </c>
      <c r="C538" s="14" t="str">
        <f>'Refsz-Verbräuche'!C28</f>
        <v>Elektrischer Strom</v>
      </c>
      <c r="D538" s="19" t="str">
        <f>'Refsz-Verbräuche'!D28</f>
        <v>PV-Eigennutzung</v>
      </c>
      <c r="E538" t="s">
        <v>195</v>
      </c>
      <c r="F538" s="110">
        <f>IF(ISNUMBER('Klisz-Verbräuche'!G28), 'Klisz-Verbräuche'!G28*Emissionsfaktoren!E28/1000, 0)</f>
        <v>0</v>
      </c>
      <c r="G538" s="110">
        <f>IF(ISNUMBER('Klisz-Verbräuche'!H28), 'Klisz-Verbräuche'!H28*Emissionsfaktoren!F28/1000, 0)</f>
        <v>0</v>
      </c>
      <c r="H538" s="110">
        <f>IF(ISNUMBER('Klisz-Verbräuche'!I28), 'Klisz-Verbräuche'!I28*Emissionsfaktoren!G28/1000, 0)</f>
        <v>0</v>
      </c>
      <c r="I538" s="110">
        <f>IF(ISNUMBER('Klisz-Verbräuche'!J28), 'Klisz-Verbräuche'!J28*Emissionsfaktoren!H28/1000, 0)</f>
        <v>0</v>
      </c>
      <c r="J538" s="110">
        <f>IF(ISNUMBER('Klisz-Verbräuche'!K28), 'Klisz-Verbräuche'!K28*Emissionsfaktoren!I28/1000, 0)</f>
        <v>0</v>
      </c>
      <c r="K538" s="110">
        <f>IF(ISNUMBER('Klisz-Verbräuche'!L28), 'Klisz-Verbräuche'!L28*Emissionsfaktoren!J28/1000, 0)</f>
        <v>0</v>
      </c>
      <c r="L538" s="110">
        <f>IF(ISNUMBER('Klisz-Verbräuche'!M28), 'Klisz-Verbräuche'!M28*Emissionsfaktoren!K28/1000, 0)</f>
        <v>0</v>
      </c>
      <c r="M538" s="110">
        <f>IF(ISNUMBER('Klisz-Verbräuche'!N28), 'Klisz-Verbräuche'!N28*Emissionsfaktoren!L28/1000, 0)</f>
        <v>0</v>
      </c>
      <c r="N538" s="110">
        <f>IF(ISNUMBER('Klisz-Verbräuche'!O28), 'Klisz-Verbräuche'!O28*Emissionsfaktoren!M28/1000, 0)</f>
        <v>0</v>
      </c>
      <c r="O538" s="110">
        <f>IF(ISNUMBER('Klisz-Verbräuche'!P28), 'Klisz-Verbräuche'!P28*Emissionsfaktoren!N28/1000, 0)</f>
        <v>0</v>
      </c>
      <c r="P538" s="110">
        <f>IF(ISNUMBER('Klisz-Verbräuche'!Q28), 'Klisz-Verbräuche'!Q28*Emissionsfaktoren!O28/1000, 0)</f>
        <v>0</v>
      </c>
      <c r="Q538" s="110">
        <f>IF(ISNUMBER('Klisz-Verbräuche'!R28), 'Klisz-Verbräuche'!R28*Emissionsfaktoren!P28/1000, 0)</f>
        <v>0</v>
      </c>
      <c r="R538" s="110">
        <f>IF(ISNUMBER('Klisz-Verbräuche'!S28), 'Klisz-Verbräuche'!S28*Emissionsfaktoren!Q28/1000, 0)</f>
        <v>0</v>
      </c>
      <c r="S538" s="110">
        <f>IF(ISNUMBER('Klisz-Verbräuche'!T28), 'Klisz-Verbräuche'!T28*Emissionsfaktoren!R28/1000, 0)</f>
        <v>0</v>
      </c>
      <c r="T538" s="110">
        <f>IF(ISNUMBER('Klisz-Verbräuche'!U28), 'Klisz-Verbräuche'!U28*Emissionsfaktoren!S28/1000, 0)</f>
        <v>0</v>
      </c>
      <c r="U538" s="110">
        <f>IF(ISNUMBER('Klisz-Verbräuche'!V28), 'Klisz-Verbräuche'!V28*Emissionsfaktoren!T28/1000, 0)</f>
        <v>0</v>
      </c>
      <c r="V538" s="110">
        <f>IF(ISNUMBER('Klisz-Verbräuche'!W28), 'Klisz-Verbräuche'!W28*Emissionsfaktoren!U28/1000, 0)</f>
        <v>0</v>
      </c>
      <c r="W538" s="110">
        <f>IF(ISNUMBER('Klisz-Verbräuche'!X28), 'Klisz-Verbräuche'!X28*Emissionsfaktoren!V28/1000, 0)</f>
        <v>0</v>
      </c>
      <c r="X538" s="110">
        <f>IF(ISNUMBER('Klisz-Verbräuche'!Y28), 'Klisz-Verbräuche'!Y28*Emissionsfaktoren!W28/1000, 0)</f>
        <v>0</v>
      </c>
      <c r="Y538" s="110">
        <f>IF(ISNUMBER('Klisz-Verbräuche'!Z28), 'Klisz-Verbräuche'!Z28*Emissionsfaktoren!X28/1000, 0)</f>
        <v>0</v>
      </c>
    </row>
    <row r="539" spans="2:25" ht="16.5">
      <c r="B539" s="14">
        <v>12</v>
      </c>
      <c r="C539" s="14" t="str">
        <f>'Refsz-Verbräuche'!C29</f>
        <v>Wärme</v>
      </c>
      <c r="D539" s="19" t="str">
        <f>'Refsz-Verbräuche'!D29</f>
        <v>Erdgas</v>
      </c>
      <c r="E539" t="s">
        <v>195</v>
      </c>
      <c r="F539" s="110">
        <f>IF(ISNUMBER('Klisz-Verbräuche'!G29), 'Klisz-Verbräuche'!G29*Emissionsfaktoren!E29/1000, 0)</f>
        <v>0</v>
      </c>
      <c r="G539" s="110">
        <f>IF(ISNUMBER('Klisz-Verbräuche'!H29), 'Klisz-Verbräuche'!H29*Emissionsfaktoren!F29/1000, 0)</f>
        <v>0</v>
      </c>
      <c r="H539" s="110">
        <f>IF(ISNUMBER('Klisz-Verbräuche'!I29), 'Klisz-Verbräuche'!I29*Emissionsfaktoren!G29/1000, 0)</f>
        <v>0</v>
      </c>
      <c r="I539" s="110">
        <f>IF(ISNUMBER('Klisz-Verbräuche'!J29), 'Klisz-Verbräuche'!J29*Emissionsfaktoren!H29/1000, 0)</f>
        <v>0</v>
      </c>
      <c r="J539" s="110">
        <f>IF(ISNUMBER('Klisz-Verbräuche'!K29), 'Klisz-Verbräuche'!K29*Emissionsfaktoren!I29/1000, 0)</f>
        <v>0</v>
      </c>
      <c r="K539" s="110">
        <f>IF(ISNUMBER('Klisz-Verbräuche'!L29), 'Klisz-Verbräuche'!L29*Emissionsfaktoren!J29/1000, 0)</f>
        <v>0</v>
      </c>
      <c r="L539" s="110">
        <f>IF(ISNUMBER('Klisz-Verbräuche'!M29), 'Klisz-Verbräuche'!M29*Emissionsfaktoren!K29/1000, 0)</f>
        <v>0</v>
      </c>
      <c r="M539" s="110">
        <f>IF(ISNUMBER('Klisz-Verbräuche'!N29), 'Klisz-Verbräuche'!N29*Emissionsfaktoren!L29/1000, 0)</f>
        <v>0</v>
      </c>
      <c r="N539" s="110">
        <f>IF(ISNUMBER('Klisz-Verbräuche'!O29), 'Klisz-Verbräuche'!O29*Emissionsfaktoren!M29/1000, 0)</f>
        <v>0</v>
      </c>
      <c r="O539" s="110">
        <f>IF(ISNUMBER('Klisz-Verbräuche'!P29), 'Klisz-Verbräuche'!P29*Emissionsfaktoren!N29/1000, 0)</f>
        <v>0</v>
      </c>
      <c r="P539" s="110">
        <f>IF(ISNUMBER('Klisz-Verbräuche'!Q29), 'Klisz-Verbräuche'!Q29*Emissionsfaktoren!O29/1000, 0)</f>
        <v>0</v>
      </c>
      <c r="Q539" s="110">
        <f>IF(ISNUMBER('Klisz-Verbräuche'!R29), 'Klisz-Verbräuche'!R29*Emissionsfaktoren!P29/1000, 0)</f>
        <v>0</v>
      </c>
      <c r="R539" s="110">
        <f>IF(ISNUMBER('Klisz-Verbräuche'!S29), 'Klisz-Verbräuche'!S29*Emissionsfaktoren!Q29/1000, 0)</f>
        <v>0</v>
      </c>
      <c r="S539" s="110">
        <f>IF(ISNUMBER('Klisz-Verbräuche'!T29), 'Klisz-Verbräuche'!T29*Emissionsfaktoren!R29/1000, 0)</f>
        <v>0</v>
      </c>
      <c r="T539" s="110">
        <f>IF(ISNUMBER('Klisz-Verbräuche'!U29), 'Klisz-Verbräuche'!U29*Emissionsfaktoren!S29/1000, 0)</f>
        <v>0</v>
      </c>
      <c r="U539" s="110">
        <f>IF(ISNUMBER('Klisz-Verbräuche'!V29), 'Klisz-Verbräuche'!V29*Emissionsfaktoren!T29/1000, 0)</f>
        <v>0</v>
      </c>
      <c r="V539" s="110">
        <f>IF(ISNUMBER('Klisz-Verbräuche'!W29), 'Klisz-Verbräuche'!W29*Emissionsfaktoren!U29/1000, 0)</f>
        <v>0</v>
      </c>
      <c r="W539" s="110">
        <f>IF(ISNUMBER('Klisz-Verbräuche'!X29), 'Klisz-Verbräuche'!X29*Emissionsfaktoren!V29/1000, 0)</f>
        <v>0</v>
      </c>
      <c r="X539" s="110">
        <f>IF(ISNUMBER('Klisz-Verbräuche'!Y29), 'Klisz-Verbräuche'!Y29*Emissionsfaktoren!W29/1000, 0)</f>
        <v>0</v>
      </c>
      <c r="Y539" s="110">
        <f>IF(ISNUMBER('Klisz-Verbräuche'!Z29), 'Klisz-Verbräuche'!Z29*Emissionsfaktoren!X29/1000, 0)</f>
        <v>0</v>
      </c>
    </row>
    <row r="540" spans="2:25" ht="16.5">
      <c r="B540" s="14">
        <v>13</v>
      </c>
      <c r="C540" s="14" t="str">
        <f>'Refsz-Verbräuche'!C30</f>
        <v>Wärme</v>
      </c>
      <c r="D540" s="19" t="str">
        <f>'Refsz-Verbräuche'!D30</f>
        <v>BHKW</v>
      </c>
      <c r="E540" t="s">
        <v>195</v>
      </c>
      <c r="F540" s="110">
        <f>'Strommix &amp; BHKW'!D186+'Strommix &amp; BHKW'!D204+'Strommix &amp; BHKW'!D210+'Strommix &amp; BHKW'!D216</f>
        <v>0</v>
      </c>
      <c r="G540" s="110">
        <f>'Strommix &amp; BHKW'!E186+'Strommix &amp; BHKW'!E204+'Strommix &amp; BHKW'!E210+'Strommix &amp; BHKW'!E216</f>
        <v>0</v>
      </c>
      <c r="H540" s="110">
        <f>'Strommix &amp; BHKW'!F186+'Strommix &amp; BHKW'!F204+'Strommix &amp; BHKW'!F210+'Strommix &amp; BHKW'!F216</f>
        <v>0</v>
      </c>
      <c r="I540" s="110">
        <f>'Strommix &amp; BHKW'!G186+'Strommix &amp; BHKW'!G204+'Strommix &amp; BHKW'!G210+'Strommix &amp; BHKW'!G216</f>
        <v>0</v>
      </c>
      <c r="J540" s="110">
        <f>'Strommix &amp; BHKW'!H186+'Strommix &amp; BHKW'!H204+'Strommix &amp; BHKW'!H210+'Strommix &amp; BHKW'!H216</f>
        <v>0</v>
      </c>
      <c r="K540" s="110">
        <f>'Strommix &amp; BHKW'!I186+'Strommix &amp; BHKW'!I204+'Strommix &amp; BHKW'!I210+'Strommix &amp; BHKW'!I216</f>
        <v>0</v>
      </c>
      <c r="L540" s="110">
        <f>'Strommix &amp; BHKW'!J186+'Strommix &amp; BHKW'!J204+'Strommix &amp; BHKW'!J210+'Strommix &amp; BHKW'!J216</f>
        <v>0</v>
      </c>
      <c r="M540" s="110">
        <f>'Strommix &amp; BHKW'!K186+'Strommix &amp; BHKW'!K204+'Strommix &amp; BHKW'!K210+'Strommix &amp; BHKW'!K216</f>
        <v>0</v>
      </c>
      <c r="N540" s="110">
        <f>'Strommix &amp; BHKW'!L186+'Strommix &amp; BHKW'!L204+'Strommix &amp; BHKW'!L210+'Strommix &amp; BHKW'!L216</f>
        <v>0</v>
      </c>
      <c r="O540" s="110">
        <f>'Strommix &amp; BHKW'!M186+'Strommix &amp; BHKW'!M204+'Strommix &amp; BHKW'!M210+'Strommix &amp; BHKW'!M216</f>
        <v>0</v>
      </c>
      <c r="P540" s="110">
        <f>'Strommix &amp; BHKW'!N186+'Strommix &amp; BHKW'!N204+'Strommix &amp; BHKW'!N210+'Strommix &amp; BHKW'!N216</f>
        <v>0</v>
      </c>
      <c r="Q540" s="110">
        <f>'Strommix &amp; BHKW'!O186+'Strommix &amp; BHKW'!O204+'Strommix &amp; BHKW'!O210+'Strommix &amp; BHKW'!O216</f>
        <v>0</v>
      </c>
      <c r="R540" s="110">
        <f>'Strommix &amp; BHKW'!P186+'Strommix &amp; BHKW'!P204+'Strommix &amp; BHKW'!P210+'Strommix &amp; BHKW'!P216</f>
        <v>0</v>
      </c>
      <c r="S540" s="110">
        <f>'Strommix &amp; BHKW'!Q186+'Strommix &amp; BHKW'!Q204+'Strommix &amp; BHKW'!Q210+'Strommix &amp; BHKW'!Q216</f>
        <v>0</v>
      </c>
      <c r="T540" s="110">
        <f>'Strommix &amp; BHKW'!R186+'Strommix &amp; BHKW'!R204+'Strommix &amp; BHKW'!R210+'Strommix &amp; BHKW'!R216</f>
        <v>0</v>
      </c>
      <c r="U540" s="110">
        <f>'Strommix &amp; BHKW'!S186+'Strommix &amp; BHKW'!S204+'Strommix &amp; BHKW'!S210+'Strommix &amp; BHKW'!S216</f>
        <v>0</v>
      </c>
      <c r="V540" s="110">
        <f>'Strommix &amp; BHKW'!T186+'Strommix &amp; BHKW'!T204+'Strommix &amp; BHKW'!T210+'Strommix &amp; BHKW'!T216</f>
        <v>0</v>
      </c>
      <c r="W540" s="110">
        <f>'Strommix &amp; BHKW'!U186+'Strommix &amp; BHKW'!U204+'Strommix &amp; BHKW'!U210+'Strommix &amp; BHKW'!U216</f>
        <v>0</v>
      </c>
      <c r="X540" s="110">
        <f>'Strommix &amp; BHKW'!V186+'Strommix &amp; BHKW'!V204+'Strommix &amp; BHKW'!V210+'Strommix &amp; BHKW'!V216</f>
        <v>0</v>
      </c>
      <c r="Y540" s="110">
        <f>'Strommix &amp; BHKW'!W186+'Strommix &amp; BHKW'!W204+'Strommix &amp; BHKW'!W210+'Strommix &amp; BHKW'!W216</f>
        <v>0</v>
      </c>
    </row>
    <row r="541" spans="2:25" ht="16.5">
      <c r="B541" s="14">
        <v>14</v>
      </c>
      <c r="C541" s="14" t="str">
        <f>'Refsz-Verbräuche'!C31</f>
        <v>Wärme</v>
      </c>
      <c r="D541" s="19" t="str">
        <f>'Refsz-Verbräuche'!D31</f>
        <v>Biogas</v>
      </c>
      <c r="E541" t="s">
        <v>195</v>
      </c>
      <c r="F541" s="110">
        <f>IF(ISNUMBER('Klisz-Verbräuche'!G31), 'Klisz-Verbräuche'!G31*Emissionsfaktoren!E31/1000, 0)</f>
        <v>0</v>
      </c>
      <c r="G541" s="110">
        <f>IF(ISNUMBER('Klisz-Verbräuche'!H31), 'Klisz-Verbräuche'!H31*Emissionsfaktoren!F31/1000, 0)</f>
        <v>0</v>
      </c>
      <c r="H541" s="110">
        <f>IF(ISNUMBER('Klisz-Verbräuche'!I31), 'Klisz-Verbräuche'!I31*Emissionsfaktoren!G31/1000, 0)</f>
        <v>0</v>
      </c>
      <c r="I541" s="110">
        <f>IF(ISNUMBER('Klisz-Verbräuche'!J31), 'Klisz-Verbräuche'!J31*Emissionsfaktoren!H31/1000, 0)</f>
        <v>0</v>
      </c>
      <c r="J541" s="110">
        <f>IF(ISNUMBER('Klisz-Verbräuche'!K31), 'Klisz-Verbräuche'!K31*Emissionsfaktoren!I31/1000, 0)</f>
        <v>0</v>
      </c>
      <c r="K541" s="110">
        <f>IF(ISNUMBER('Klisz-Verbräuche'!L31), 'Klisz-Verbräuche'!L31*Emissionsfaktoren!J31/1000, 0)</f>
        <v>0</v>
      </c>
      <c r="L541" s="110">
        <f>IF(ISNUMBER('Klisz-Verbräuche'!M31), 'Klisz-Verbräuche'!M31*Emissionsfaktoren!K31/1000, 0)</f>
        <v>0</v>
      </c>
      <c r="M541" s="110">
        <f>IF(ISNUMBER('Klisz-Verbräuche'!N31), 'Klisz-Verbräuche'!N31*Emissionsfaktoren!L31/1000, 0)</f>
        <v>0</v>
      </c>
      <c r="N541" s="110">
        <f>IF(ISNUMBER('Klisz-Verbräuche'!O31), 'Klisz-Verbräuche'!O31*Emissionsfaktoren!M31/1000, 0)</f>
        <v>0</v>
      </c>
      <c r="O541" s="110">
        <f>IF(ISNUMBER('Klisz-Verbräuche'!P31), 'Klisz-Verbräuche'!P31*Emissionsfaktoren!N31/1000, 0)</f>
        <v>0</v>
      </c>
      <c r="P541" s="110">
        <f>IF(ISNUMBER('Klisz-Verbräuche'!Q31), 'Klisz-Verbräuche'!Q31*Emissionsfaktoren!O31/1000, 0)</f>
        <v>0</v>
      </c>
      <c r="Q541" s="110">
        <f>IF(ISNUMBER('Klisz-Verbräuche'!R31), 'Klisz-Verbräuche'!R31*Emissionsfaktoren!P31/1000, 0)</f>
        <v>0</v>
      </c>
      <c r="R541" s="110">
        <f>IF(ISNUMBER('Klisz-Verbräuche'!S31), 'Klisz-Verbräuche'!S31*Emissionsfaktoren!Q31/1000, 0)</f>
        <v>0</v>
      </c>
      <c r="S541" s="110">
        <f>IF(ISNUMBER('Klisz-Verbräuche'!T31), 'Klisz-Verbräuche'!T31*Emissionsfaktoren!R31/1000, 0)</f>
        <v>0</v>
      </c>
      <c r="T541" s="110">
        <f>IF(ISNUMBER('Klisz-Verbräuche'!U31), 'Klisz-Verbräuche'!U31*Emissionsfaktoren!S31/1000, 0)</f>
        <v>0</v>
      </c>
      <c r="U541" s="110">
        <f>IF(ISNUMBER('Klisz-Verbräuche'!V31), 'Klisz-Verbräuche'!V31*Emissionsfaktoren!T31/1000, 0)</f>
        <v>0</v>
      </c>
      <c r="V541" s="110">
        <f>IF(ISNUMBER('Klisz-Verbräuche'!W31), 'Klisz-Verbräuche'!W31*Emissionsfaktoren!U31/1000, 0)</f>
        <v>0</v>
      </c>
      <c r="W541" s="110">
        <f>IF(ISNUMBER('Klisz-Verbräuche'!X31), 'Klisz-Verbräuche'!X31*Emissionsfaktoren!V31/1000, 0)</f>
        <v>0</v>
      </c>
      <c r="X541" s="110">
        <f>IF(ISNUMBER('Klisz-Verbräuche'!Y31), 'Klisz-Verbräuche'!Y31*Emissionsfaktoren!W31/1000, 0)</f>
        <v>0</v>
      </c>
      <c r="Y541" s="110">
        <f>IF(ISNUMBER('Klisz-Verbräuche'!Z31), 'Klisz-Verbräuche'!Z31*Emissionsfaktoren!X31/1000, 0)</f>
        <v>0</v>
      </c>
    </row>
    <row r="542" spans="2:25" ht="16.5">
      <c r="B542" s="14">
        <v>15</v>
      </c>
      <c r="C542" s="14" t="str">
        <f>'Refsz-Verbräuche'!C32</f>
        <v>Wärme</v>
      </c>
      <c r="D542" s="19" t="str">
        <f>'Refsz-Verbräuche'!D32</f>
        <v>Individueller Emissionsfaktor</v>
      </c>
      <c r="E542" t="s">
        <v>195</v>
      </c>
      <c r="F542" s="110">
        <f>IF(ISNUMBER('Klisz-Verbräuche'!G32), 'Klisz-Verbräuche'!G32*Emissionsfaktoren!E32/1000, 0)</f>
        <v>0</v>
      </c>
      <c r="G542" s="110">
        <f>IF(ISNUMBER('Klisz-Verbräuche'!H32), 'Klisz-Verbräuche'!H32*Emissionsfaktoren!F32/1000, 0)</f>
        <v>0</v>
      </c>
      <c r="H542" s="110">
        <f>IF(ISNUMBER('Klisz-Verbräuche'!I32), 'Klisz-Verbräuche'!I32*Emissionsfaktoren!G32/1000, 0)</f>
        <v>0</v>
      </c>
      <c r="I542" s="110">
        <f>IF(ISNUMBER('Klisz-Verbräuche'!J32), 'Klisz-Verbräuche'!J32*Emissionsfaktoren!H32/1000, 0)</f>
        <v>0</v>
      </c>
      <c r="J542" s="110">
        <f>IF(ISNUMBER('Klisz-Verbräuche'!K32), 'Klisz-Verbräuche'!K32*Emissionsfaktoren!I32/1000, 0)</f>
        <v>0</v>
      </c>
      <c r="K542" s="110">
        <f>IF(ISNUMBER('Klisz-Verbräuche'!L32), 'Klisz-Verbräuche'!L32*Emissionsfaktoren!J32/1000, 0)</f>
        <v>0</v>
      </c>
      <c r="L542" s="110">
        <f>IF(ISNUMBER('Klisz-Verbräuche'!M32), 'Klisz-Verbräuche'!M32*Emissionsfaktoren!K32/1000, 0)</f>
        <v>0</v>
      </c>
      <c r="M542" s="110">
        <f>IF(ISNUMBER('Klisz-Verbräuche'!N32), 'Klisz-Verbräuche'!N32*Emissionsfaktoren!L32/1000, 0)</f>
        <v>0</v>
      </c>
      <c r="N542" s="110">
        <f>IF(ISNUMBER('Klisz-Verbräuche'!O32), 'Klisz-Verbräuche'!O32*Emissionsfaktoren!M32/1000, 0)</f>
        <v>0</v>
      </c>
      <c r="O542" s="110">
        <f>IF(ISNUMBER('Klisz-Verbräuche'!P32), 'Klisz-Verbräuche'!P32*Emissionsfaktoren!N32/1000, 0)</f>
        <v>0</v>
      </c>
      <c r="P542" s="110">
        <f>IF(ISNUMBER('Klisz-Verbräuche'!Q32), 'Klisz-Verbräuche'!Q32*Emissionsfaktoren!O32/1000, 0)</f>
        <v>0</v>
      </c>
      <c r="Q542" s="110">
        <f>IF(ISNUMBER('Klisz-Verbräuche'!R32), 'Klisz-Verbräuche'!R32*Emissionsfaktoren!P32/1000, 0)</f>
        <v>0</v>
      </c>
      <c r="R542" s="110">
        <f>IF(ISNUMBER('Klisz-Verbräuche'!S32), 'Klisz-Verbräuche'!S32*Emissionsfaktoren!Q32/1000, 0)</f>
        <v>0</v>
      </c>
      <c r="S542" s="110">
        <f>IF(ISNUMBER('Klisz-Verbräuche'!T32), 'Klisz-Verbräuche'!T32*Emissionsfaktoren!R32/1000, 0)</f>
        <v>0</v>
      </c>
      <c r="T542" s="110">
        <f>IF(ISNUMBER('Klisz-Verbräuche'!U32), 'Klisz-Verbräuche'!U32*Emissionsfaktoren!S32/1000, 0)</f>
        <v>0</v>
      </c>
      <c r="U542" s="110">
        <f>IF(ISNUMBER('Klisz-Verbräuche'!V32), 'Klisz-Verbräuche'!V32*Emissionsfaktoren!T32/1000, 0)</f>
        <v>0</v>
      </c>
      <c r="V542" s="110">
        <f>IF(ISNUMBER('Klisz-Verbräuche'!W32), 'Klisz-Verbräuche'!W32*Emissionsfaktoren!U32/1000, 0)</f>
        <v>0</v>
      </c>
      <c r="W542" s="110">
        <f>IF(ISNUMBER('Klisz-Verbräuche'!X32), 'Klisz-Verbräuche'!X32*Emissionsfaktoren!V32/1000, 0)</f>
        <v>0</v>
      </c>
      <c r="X542" s="110">
        <f>IF(ISNUMBER('Klisz-Verbräuche'!Y32), 'Klisz-Verbräuche'!Y32*Emissionsfaktoren!W32/1000, 0)</f>
        <v>0</v>
      </c>
      <c r="Y542" s="110">
        <f>IF(ISNUMBER('Klisz-Verbräuche'!Z32), 'Klisz-Verbräuche'!Z32*Emissionsfaktoren!X32/1000, 0)</f>
        <v>0</v>
      </c>
    </row>
    <row r="543" spans="2:25" ht="16.5">
      <c r="B543" s="14">
        <v>16</v>
      </c>
      <c r="C543" s="14" t="str">
        <f>'Refsz-Verbräuche'!C33</f>
        <v>Wärme</v>
      </c>
      <c r="D543" s="19" t="str">
        <f>'Refsz-Verbräuche'!D33</f>
        <v>Holzhackschnitzel</v>
      </c>
      <c r="E543" t="s">
        <v>195</v>
      </c>
      <c r="F543" s="110">
        <f>IF(ISNUMBER('Klisz-Verbräuche'!G33), 'Klisz-Verbräuche'!G33*Emissionsfaktoren!E33/1000, 0)</f>
        <v>0</v>
      </c>
      <c r="G543" s="110">
        <f>IF(ISNUMBER('Klisz-Verbräuche'!H33), 'Klisz-Verbräuche'!H33*Emissionsfaktoren!F33/1000, 0)</f>
        <v>0</v>
      </c>
      <c r="H543" s="110">
        <f>IF(ISNUMBER('Klisz-Verbräuche'!I33), 'Klisz-Verbräuche'!I33*Emissionsfaktoren!G33/1000, 0)</f>
        <v>0</v>
      </c>
      <c r="I543" s="110">
        <f>IF(ISNUMBER('Klisz-Verbräuche'!J33), 'Klisz-Verbräuche'!J33*Emissionsfaktoren!H33/1000, 0)</f>
        <v>0</v>
      </c>
      <c r="J543" s="110">
        <f>IF(ISNUMBER('Klisz-Verbräuche'!K33), 'Klisz-Verbräuche'!K33*Emissionsfaktoren!I33/1000, 0)</f>
        <v>0</v>
      </c>
      <c r="K543" s="110">
        <f>IF(ISNUMBER('Klisz-Verbräuche'!L33), 'Klisz-Verbräuche'!L33*Emissionsfaktoren!J33/1000, 0)</f>
        <v>0</v>
      </c>
      <c r="L543" s="110">
        <f>IF(ISNUMBER('Klisz-Verbräuche'!M33), 'Klisz-Verbräuche'!M33*Emissionsfaktoren!K33/1000, 0)</f>
        <v>0</v>
      </c>
      <c r="M543" s="110">
        <f>IF(ISNUMBER('Klisz-Verbräuche'!N33), 'Klisz-Verbräuche'!N33*Emissionsfaktoren!L33/1000, 0)</f>
        <v>0</v>
      </c>
      <c r="N543" s="110">
        <f>IF(ISNUMBER('Klisz-Verbräuche'!O33), 'Klisz-Verbräuche'!O33*Emissionsfaktoren!M33/1000, 0)</f>
        <v>0</v>
      </c>
      <c r="O543" s="110">
        <f>IF(ISNUMBER('Klisz-Verbräuche'!P33), 'Klisz-Verbräuche'!P33*Emissionsfaktoren!N33/1000, 0)</f>
        <v>0</v>
      </c>
      <c r="P543" s="110">
        <f>IF(ISNUMBER('Klisz-Verbräuche'!Q33), 'Klisz-Verbräuche'!Q33*Emissionsfaktoren!O33/1000, 0)</f>
        <v>0</v>
      </c>
      <c r="Q543" s="110">
        <f>IF(ISNUMBER('Klisz-Verbräuche'!R33), 'Klisz-Verbräuche'!R33*Emissionsfaktoren!P33/1000, 0)</f>
        <v>0</v>
      </c>
      <c r="R543" s="110">
        <f>IF(ISNUMBER('Klisz-Verbräuche'!S33), 'Klisz-Verbräuche'!S33*Emissionsfaktoren!Q33/1000, 0)</f>
        <v>0</v>
      </c>
      <c r="S543" s="110">
        <f>IF(ISNUMBER('Klisz-Verbräuche'!T33), 'Klisz-Verbräuche'!T33*Emissionsfaktoren!R33/1000, 0)</f>
        <v>0</v>
      </c>
      <c r="T543" s="110">
        <f>IF(ISNUMBER('Klisz-Verbräuche'!U33), 'Klisz-Verbräuche'!U33*Emissionsfaktoren!S33/1000, 0)</f>
        <v>0</v>
      </c>
      <c r="U543" s="110">
        <f>IF(ISNUMBER('Klisz-Verbräuche'!V33), 'Klisz-Verbräuche'!V33*Emissionsfaktoren!T33/1000, 0)</f>
        <v>0</v>
      </c>
      <c r="V543" s="110">
        <f>IF(ISNUMBER('Klisz-Verbräuche'!W33), 'Klisz-Verbräuche'!W33*Emissionsfaktoren!U33/1000, 0)</f>
        <v>0</v>
      </c>
      <c r="W543" s="110">
        <f>IF(ISNUMBER('Klisz-Verbräuche'!X33), 'Klisz-Verbräuche'!X33*Emissionsfaktoren!V33/1000, 0)</f>
        <v>0</v>
      </c>
      <c r="X543" s="110">
        <f>IF(ISNUMBER('Klisz-Verbräuche'!Y33), 'Klisz-Verbräuche'!Y33*Emissionsfaktoren!W33/1000, 0)</f>
        <v>0</v>
      </c>
      <c r="Y543" s="110">
        <f>IF(ISNUMBER('Klisz-Verbräuche'!Z33), 'Klisz-Verbräuche'!Z33*Emissionsfaktoren!X33/1000, 0)</f>
        <v>0</v>
      </c>
    </row>
    <row r="544" spans="2:25" ht="16.5">
      <c r="B544" s="14">
        <v>17</v>
      </c>
      <c r="C544" s="14" t="str">
        <f>'Refsz-Verbräuche'!C34</f>
        <v>Wärme</v>
      </c>
      <c r="D544" s="19" t="str">
        <f>'Refsz-Verbräuche'!D34</f>
        <v>Holzpellets, 10kW/kleinere Zentralheizung</v>
      </c>
      <c r="E544" t="s">
        <v>195</v>
      </c>
      <c r="F544" s="110">
        <f>IF(ISNUMBER('Klisz-Verbräuche'!G34), 'Klisz-Verbräuche'!G34*Emissionsfaktoren!E34/1000, 0)</f>
        <v>0</v>
      </c>
      <c r="G544" s="110">
        <f>IF(ISNUMBER('Klisz-Verbräuche'!H34), 'Klisz-Verbräuche'!H34*Emissionsfaktoren!F34/1000, 0)</f>
        <v>0</v>
      </c>
      <c r="H544" s="110">
        <f>IF(ISNUMBER('Klisz-Verbräuche'!I34), 'Klisz-Verbräuche'!I34*Emissionsfaktoren!G34/1000, 0)</f>
        <v>0</v>
      </c>
      <c r="I544" s="110">
        <f>IF(ISNUMBER('Klisz-Verbräuche'!J34), 'Klisz-Verbräuche'!J34*Emissionsfaktoren!H34/1000, 0)</f>
        <v>0</v>
      </c>
      <c r="J544" s="110">
        <f>IF(ISNUMBER('Klisz-Verbräuche'!K34), 'Klisz-Verbräuche'!K34*Emissionsfaktoren!I34/1000, 0)</f>
        <v>0</v>
      </c>
      <c r="K544" s="110">
        <f>IF(ISNUMBER('Klisz-Verbräuche'!L34), 'Klisz-Verbräuche'!L34*Emissionsfaktoren!J34/1000, 0)</f>
        <v>0</v>
      </c>
      <c r="L544" s="110">
        <f>IF(ISNUMBER('Klisz-Verbräuche'!M34), 'Klisz-Verbräuche'!M34*Emissionsfaktoren!K34/1000, 0)</f>
        <v>0</v>
      </c>
      <c r="M544" s="110">
        <f>IF(ISNUMBER('Klisz-Verbräuche'!N34), 'Klisz-Verbräuche'!N34*Emissionsfaktoren!L34/1000, 0)</f>
        <v>0</v>
      </c>
      <c r="N544" s="110">
        <f>IF(ISNUMBER('Klisz-Verbräuche'!O34), 'Klisz-Verbräuche'!O34*Emissionsfaktoren!M34/1000, 0)</f>
        <v>0</v>
      </c>
      <c r="O544" s="110">
        <f>IF(ISNUMBER('Klisz-Verbräuche'!P34), 'Klisz-Verbräuche'!P34*Emissionsfaktoren!N34/1000, 0)</f>
        <v>0</v>
      </c>
      <c r="P544" s="110">
        <f>IF(ISNUMBER('Klisz-Verbräuche'!Q34), 'Klisz-Verbräuche'!Q34*Emissionsfaktoren!O34/1000, 0)</f>
        <v>0</v>
      </c>
      <c r="Q544" s="110">
        <f>IF(ISNUMBER('Klisz-Verbräuche'!R34), 'Klisz-Verbräuche'!R34*Emissionsfaktoren!P34/1000, 0)</f>
        <v>0</v>
      </c>
      <c r="R544" s="110">
        <f>IF(ISNUMBER('Klisz-Verbräuche'!S34), 'Klisz-Verbräuche'!S34*Emissionsfaktoren!Q34/1000, 0)</f>
        <v>0</v>
      </c>
      <c r="S544" s="110">
        <f>IF(ISNUMBER('Klisz-Verbräuche'!T34), 'Klisz-Verbräuche'!T34*Emissionsfaktoren!R34/1000, 0)</f>
        <v>0</v>
      </c>
      <c r="T544" s="110">
        <f>IF(ISNUMBER('Klisz-Verbräuche'!U34), 'Klisz-Verbräuche'!U34*Emissionsfaktoren!S34/1000, 0)</f>
        <v>0</v>
      </c>
      <c r="U544" s="110">
        <f>IF(ISNUMBER('Klisz-Verbräuche'!V34), 'Klisz-Verbräuche'!V34*Emissionsfaktoren!T34/1000, 0)</f>
        <v>0</v>
      </c>
      <c r="V544" s="110">
        <f>IF(ISNUMBER('Klisz-Verbräuche'!W34), 'Klisz-Verbräuche'!W34*Emissionsfaktoren!U34/1000, 0)</f>
        <v>0</v>
      </c>
      <c r="W544" s="110">
        <f>IF(ISNUMBER('Klisz-Verbräuche'!X34), 'Klisz-Verbräuche'!X34*Emissionsfaktoren!V34/1000, 0)</f>
        <v>0</v>
      </c>
      <c r="X544" s="110">
        <f>IF(ISNUMBER('Klisz-Verbräuche'!Y34), 'Klisz-Verbräuche'!Y34*Emissionsfaktoren!W34/1000, 0)</f>
        <v>0</v>
      </c>
      <c r="Y544" s="110">
        <f>IF(ISNUMBER('Klisz-Verbräuche'!Z34), 'Klisz-Verbräuche'!Z34*Emissionsfaktoren!X34/1000, 0)</f>
        <v>0</v>
      </c>
    </row>
    <row r="545" spans="2:25" ht="16.5">
      <c r="B545" s="14">
        <v>18</v>
      </c>
      <c r="C545" s="14" t="str">
        <f>'Refsz-Verbräuche'!C35</f>
        <v>Wärme</v>
      </c>
      <c r="D545" s="19" t="str">
        <f>'Refsz-Verbräuche'!D35</f>
        <v>Holzpellets, 50kW/größere Zentralheizung</v>
      </c>
      <c r="E545" t="s">
        <v>195</v>
      </c>
      <c r="F545" s="110">
        <f>IF(ISNUMBER('Klisz-Verbräuche'!G35), 'Klisz-Verbräuche'!G35*Emissionsfaktoren!E35/1000, 0)</f>
        <v>0</v>
      </c>
      <c r="G545" s="110">
        <f>IF(ISNUMBER('Klisz-Verbräuche'!H35), 'Klisz-Verbräuche'!H35*Emissionsfaktoren!F35/1000, 0)</f>
        <v>0</v>
      </c>
      <c r="H545" s="110">
        <f>IF(ISNUMBER('Klisz-Verbräuche'!I35), 'Klisz-Verbräuche'!I35*Emissionsfaktoren!G35/1000, 0)</f>
        <v>0</v>
      </c>
      <c r="I545" s="110">
        <f>IF(ISNUMBER('Klisz-Verbräuche'!J35), 'Klisz-Verbräuche'!J35*Emissionsfaktoren!H35/1000, 0)</f>
        <v>0</v>
      </c>
      <c r="J545" s="110">
        <f>IF(ISNUMBER('Klisz-Verbräuche'!K35), 'Klisz-Verbräuche'!K35*Emissionsfaktoren!I35/1000, 0)</f>
        <v>0</v>
      </c>
      <c r="K545" s="110">
        <f>IF(ISNUMBER('Klisz-Verbräuche'!L35), 'Klisz-Verbräuche'!L35*Emissionsfaktoren!J35/1000, 0)</f>
        <v>0</v>
      </c>
      <c r="L545" s="110">
        <f>IF(ISNUMBER('Klisz-Verbräuche'!M35), 'Klisz-Verbräuche'!M35*Emissionsfaktoren!K35/1000, 0)</f>
        <v>0</v>
      </c>
      <c r="M545" s="110">
        <f>IF(ISNUMBER('Klisz-Verbräuche'!N35), 'Klisz-Verbräuche'!N35*Emissionsfaktoren!L35/1000, 0)</f>
        <v>0</v>
      </c>
      <c r="N545" s="110">
        <f>IF(ISNUMBER('Klisz-Verbräuche'!O35), 'Klisz-Verbräuche'!O35*Emissionsfaktoren!M35/1000, 0)</f>
        <v>0</v>
      </c>
      <c r="O545" s="110">
        <f>IF(ISNUMBER('Klisz-Verbräuche'!P35), 'Klisz-Verbräuche'!P35*Emissionsfaktoren!N35/1000, 0)</f>
        <v>0</v>
      </c>
      <c r="P545" s="110">
        <f>IF(ISNUMBER('Klisz-Verbräuche'!Q35), 'Klisz-Verbräuche'!Q35*Emissionsfaktoren!O35/1000, 0)</f>
        <v>0</v>
      </c>
      <c r="Q545" s="110">
        <f>IF(ISNUMBER('Klisz-Verbräuche'!R35), 'Klisz-Verbräuche'!R35*Emissionsfaktoren!P35/1000, 0)</f>
        <v>0</v>
      </c>
      <c r="R545" s="110">
        <f>IF(ISNUMBER('Klisz-Verbräuche'!S35), 'Klisz-Verbräuche'!S35*Emissionsfaktoren!Q35/1000, 0)</f>
        <v>0</v>
      </c>
      <c r="S545" s="110">
        <f>IF(ISNUMBER('Klisz-Verbräuche'!T35), 'Klisz-Verbräuche'!T35*Emissionsfaktoren!R35/1000, 0)</f>
        <v>0</v>
      </c>
      <c r="T545" s="110">
        <f>IF(ISNUMBER('Klisz-Verbräuche'!U35), 'Klisz-Verbräuche'!U35*Emissionsfaktoren!S35/1000, 0)</f>
        <v>0</v>
      </c>
      <c r="U545" s="110">
        <f>IF(ISNUMBER('Klisz-Verbräuche'!V35), 'Klisz-Verbräuche'!V35*Emissionsfaktoren!T35/1000, 0)</f>
        <v>0</v>
      </c>
      <c r="V545" s="110">
        <f>IF(ISNUMBER('Klisz-Verbräuche'!W35), 'Klisz-Verbräuche'!W35*Emissionsfaktoren!U35/1000, 0)</f>
        <v>0</v>
      </c>
      <c r="W545" s="110">
        <f>IF(ISNUMBER('Klisz-Verbräuche'!X35), 'Klisz-Verbräuche'!X35*Emissionsfaktoren!V35/1000, 0)</f>
        <v>0</v>
      </c>
      <c r="X545" s="110">
        <f>IF(ISNUMBER('Klisz-Verbräuche'!Y35), 'Klisz-Verbräuche'!Y35*Emissionsfaktoren!W35/1000, 0)</f>
        <v>0</v>
      </c>
      <c r="Y545" s="110">
        <f>IF(ISNUMBER('Klisz-Verbräuche'!Z35), 'Klisz-Verbräuche'!Z35*Emissionsfaktoren!X35/1000, 0)</f>
        <v>0</v>
      </c>
    </row>
    <row r="546" spans="2:25" ht="16.5">
      <c r="B546" s="14">
        <v>19</v>
      </c>
      <c r="C546" s="14" t="str">
        <f>'Refsz-Verbräuche'!C36</f>
        <v>Wärme</v>
      </c>
      <c r="D546" s="19" t="str">
        <f>'Refsz-Verbräuche'!D36</f>
        <v>Fernwärme Mix</v>
      </c>
      <c r="E546" t="s">
        <v>195</v>
      </c>
      <c r="F546" s="110">
        <f>IF(ISNUMBER('Klisz-Verbräuche'!G36), 'Klisz-Verbräuche'!G36*Emissionsfaktoren!E36/1000, 0)</f>
        <v>0</v>
      </c>
      <c r="G546" s="110">
        <f>IF(ISNUMBER('Klisz-Verbräuche'!H36), 'Klisz-Verbräuche'!H36*Emissionsfaktoren!F36/1000, 0)</f>
        <v>0</v>
      </c>
      <c r="H546" s="110">
        <f>IF(ISNUMBER('Klisz-Verbräuche'!I36), 'Klisz-Verbräuche'!I36*Emissionsfaktoren!G36/1000, 0)</f>
        <v>0</v>
      </c>
      <c r="I546" s="110">
        <f>IF(ISNUMBER('Klisz-Verbräuche'!J36), 'Klisz-Verbräuche'!J36*Emissionsfaktoren!H36/1000, 0)</f>
        <v>0</v>
      </c>
      <c r="J546" s="110">
        <f>IF(ISNUMBER('Klisz-Verbräuche'!K36), 'Klisz-Verbräuche'!K36*Emissionsfaktoren!I36/1000, 0)</f>
        <v>0</v>
      </c>
      <c r="K546" s="110">
        <f>IF(ISNUMBER('Klisz-Verbräuche'!L36), 'Klisz-Verbräuche'!L36*Emissionsfaktoren!J36/1000, 0)</f>
        <v>0</v>
      </c>
      <c r="L546" s="110">
        <f>IF(ISNUMBER('Klisz-Verbräuche'!M36), 'Klisz-Verbräuche'!M36*Emissionsfaktoren!K36/1000, 0)</f>
        <v>0</v>
      </c>
      <c r="M546" s="110">
        <f>IF(ISNUMBER('Klisz-Verbräuche'!N36), 'Klisz-Verbräuche'!N36*Emissionsfaktoren!L36/1000, 0)</f>
        <v>0</v>
      </c>
      <c r="N546" s="110">
        <f>IF(ISNUMBER('Klisz-Verbräuche'!O36), 'Klisz-Verbräuche'!O36*Emissionsfaktoren!M36/1000, 0)</f>
        <v>0</v>
      </c>
      <c r="O546" s="110">
        <f>IF(ISNUMBER('Klisz-Verbräuche'!P36), 'Klisz-Verbräuche'!P36*Emissionsfaktoren!N36/1000, 0)</f>
        <v>0</v>
      </c>
      <c r="P546" s="110">
        <f>IF(ISNUMBER('Klisz-Verbräuche'!Q36), 'Klisz-Verbräuche'!Q36*Emissionsfaktoren!O36/1000, 0)</f>
        <v>0</v>
      </c>
      <c r="Q546" s="110">
        <f>IF(ISNUMBER('Klisz-Verbräuche'!R36), 'Klisz-Verbräuche'!R36*Emissionsfaktoren!P36/1000, 0)</f>
        <v>0</v>
      </c>
      <c r="R546" s="110">
        <f>IF(ISNUMBER('Klisz-Verbräuche'!S36), 'Klisz-Verbräuche'!S36*Emissionsfaktoren!Q36/1000, 0)</f>
        <v>0</v>
      </c>
      <c r="S546" s="110">
        <f>IF(ISNUMBER('Klisz-Verbräuche'!T36), 'Klisz-Verbräuche'!T36*Emissionsfaktoren!R36/1000, 0)</f>
        <v>0</v>
      </c>
      <c r="T546" s="110">
        <f>IF(ISNUMBER('Klisz-Verbräuche'!U36), 'Klisz-Verbräuche'!U36*Emissionsfaktoren!S36/1000, 0)</f>
        <v>0</v>
      </c>
      <c r="U546" s="110">
        <f>IF(ISNUMBER('Klisz-Verbräuche'!V36), 'Klisz-Verbräuche'!V36*Emissionsfaktoren!T36/1000, 0)</f>
        <v>0</v>
      </c>
      <c r="V546" s="110">
        <f>IF(ISNUMBER('Klisz-Verbräuche'!W36), 'Klisz-Verbräuche'!W36*Emissionsfaktoren!U36/1000, 0)</f>
        <v>0</v>
      </c>
      <c r="W546" s="110">
        <f>IF(ISNUMBER('Klisz-Verbräuche'!X36), 'Klisz-Verbräuche'!X36*Emissionsfaktoren!V36/1000, 0)</f>
        <v>0</v>
      </c>
      <c r="X546" s="110">
        <f>IF(ISNUMBER('Klisz-Verbräuche'!Y36), 'Klisz-Verbräuche'!Y36*Emissionsfaktoren!W36/1000, 0)</f>
        <v>0</v>
      </c>
      <c r="Y546" s="110">
        <f>IF(ISNUMBER('Klisz-Verbräuche'!Z36), 'Klisz-Verbräuche'!Z36*Emissionsfaktoren!X36/1000, 0)</f>
        <v>0</v>
      </c>
    </row>
    <row r="547" spans="2:25" ht="16.5">
      <c r="B547" s="14">
        <v>20</v>
      </c>
      <c r="C547" s="14" t="str">
        <f>'Refsz-Verbräuche'!C37</f>
        <v>Wärme</v>
      </c>
      <c r="D547" s="19" t="str">
        <f>'Refsz-Verbräuche'!D37</f>
        <v>Fernwärme Abfall</v>
      </c>
      <c r="E547" t="s">
        <v>195</v>
      </c>
      <c r="F547" s="110">
        <f>IF(ISNUMBER('Klisz-Verbräuche'!G37), 'Klisz-Verbräuche'!G37*Emissionsfaktoren!E37/1000, 0)</f>
        <v>0</v>
      </c>
      <c r="G547" s="110">
        <f>IF(ISNUMBER('Klisz-Verbräuche'!H37), 'Klisz-Verbräuche'!H37*Emissionsfaktoren!F37/1000, 0)</f>
        <v>0</v>
      </c>
      <c r="H547" s="110">
        <f>IF(ISNUMBER('Klisz-Verbräuche'!I37), 'Klisz-Verbräuche'!I37*Emissionsfaktoren!G37/1000, 0)</f>
        <v>0</v>
      </c>
      <c r="I547" s="110">
        <f>IF(ISNUMBER('Klisz-Verbräuche'!J37), 'Klisz-Verbräuche'!J37*Emissionsfaktoren!H37/1000, 0)</f>
        <v>0</v>
      </c>
      <c r="J547" s="110">
        <f>IF(ISNUMBER('Klisz-Verbräuche'!K37), 'Klisz-Verbräuche'!K37*Emissionsfaktoren!I37/1000, 0)</f>
        <v>0</v>
      </c>
      <c r="K547" s="110">
        <f>IF(ISNUMBER('Klisz-Verbräuche'!L37), 'Klisz-Verbräuche'!L37*Emissionsfaktoren!J37/1000, 0)</f>
        <v>0</v>
      </c>
      <c r="L547" s="110">
        <f>IF(ISNUMBER('Klisz-Verbräuche'!M37), 'Klisz-Verbräuche'!M37*Emissionsfaktoren!K37/1000, 0)</f>
        <v>0</v>
      </c>
      <c r="M547" s="110">
        <f>IF(ISNUMBER('Klisz-Verbräuche'!N37), 'Klisz-Verbräuche'!N37*Emissionsfaktoren!L37/1000, 0)</f>
        <v>0</v>
      </c>
      <c r="N547" s="110">
        <f>IF(ISNUMBER('Klisz-Verbräuche'!O37), 'Klisz-Verbräuche'!O37*Emissionsfaktoren!M37/1000, 0)</f>
        <v>0</v>
      </c>
      <c r="O547" s="110">
        <f>IF(ISNUMBER('Klisz-Verbräuche'!P37), 'Klisz-Verbräuche'!P37*Emissionsfaktoren!N37/1000, 0)</f>
        <v>0</v>
      </c>
      <c r="P547" s="110">
        <f>IF(ISNUMBER('Klisz-Verbräuche'!Q37), 'Klisz-Verbräuche'!Q37*Emissionsfaktoren!O37/1000, 0)</f>
        <v>0</v>
      </c>
      <c r="Q547" s="110">
        <f>IF(ISNUMBER('Klisz-Verbräuche'!R37), 'Klisz-Verbräuche'!R37*Emissionsfaktoren!P37/1000, 0)</f>
        <v>0</v>
      </c>
      <c r="R547" s="110">
        <f>IF(ISNUMBER('Klisz-Verbräuche'!S37), 'Klisz-Verbräuche'!S37*Emissionsfaktoren!Q37/1000, 0)</f>
        <v>0</v>
      </c>
      <c r="S547" s="110">
        <f>IF(ISNUMBER('Klisz-Verbräuche'!T37), 'Klisz-Verbräuche'!T37*Emissionsfaktoren!R37/1000, 0)</f>
        <v>0</v>
      </c>
      <c r="T547" s="110">
        <f>IF(ISNUMBER('Klisz-Verbräuche'!U37), 'Klisz-Verbräuche'!U37*Emissionsfaktoren!S37/1000, 0)</f>
        <v>0</v>
      </c>
      <c r="U547" s="110">
        <f>IF(ISNUMBER('Klisz-Verbräuche'!V37), 'Klisz-Verbräuche'!V37*Emissionsfaktoren!T37/1000, 0)</f>
        <v>0</v>
      </c>
      <c r="V547" s="110">
        <f>IF(ISNUMBER('Klisz-Verbräuche'!W37), 'Klisz-Verbräuche'!W37*Emissionsfaktoren!U37/1000, 0)</f>
        <v>0</v>
      </c>
      <c r="W547" s="110">
        <f>IF(ISNUMBER('Klisz-Verbräuche'!X37), 'Klisz-Verbräuche'!X37*Emissionsfaktoren!V37/1000, 0)</f>
        <v>0</v>
      </c>
      <c r="X547" s="110">
        <f>IF(ISNUMBER('Klisz-Verbräuche'!Y37), 'Klisz-Verbräuche'!Y37*Emissionsfaktoren!W37/1000, 0)</f>
        <v>0</v>
      </c>
      <c r="Y547" s="110">
        <f>IF(ISNUMBER('Klisz-Verbräuche'!Z37), 'Klisz-Verbräuche'!Z37*Emissionsfaktoren!X37/1000, 0)</f>
        <v>0</v>
      </c>
    </row>
    <row r="548" spans="2:25" ht="16.5">
      <c r="B548" s="14">
        <v>21</v>
      </c>
      <c r="C548" s="14" t="str">
        <f>'Refsz-Verbräuche'!C38</f>
        <v>Wärme</v>
      </c>
      <c r="D548" s="19" t="str">
        <f>'Refsz-Verbräuche'!D38</f>
        <v>Heizöl</v>
      </c>
      <c r="E548" t="s">
        <v>195</v>
      </c>
      <c r="F548" s="110">
        <f>IF(ISNUMBER('Klisz-Verbräuche'!G38), 'Klisz-Verbräuche'!G38*Emissionsfaktoren!E38/1000, 0)</f>
        <v>0</v>
      </c>
      <c r="G548" s="110">
        <f>IF(ISNUMBER('Klisz-Verbräuche'!H38), 'Klisz-Verbräuche'!H38*Emissionsfaktoren!F38/1000, 0)</f>
        <v>0</v>
      </c>
      <c r="H548" s="110">
        <f>IF(ISNUMBER('Klisz-Verbräuche'!I38), 'Klisz-Verbräuche'!I38*Emissionsfaktoren!G38/1000, 0)</f>
        <v>0</v>
      </c>
      <c r="I548" s="110">
        <f>IF(ISNUMBER('Klisz-Verbräuche'!J38), 'Klisz-Verbräuche'!J38*Emissionsfaktoren!H38/1000, 0)</f>
        <v>0</v>
      </c>
      <c r="J548" s="110">
        <f>IF(ISNUMBER('Klisz-Verbräuche'!K38), 'Klisz-Verbräuche'!K38*Emissionsfaktoren!I38/1000, 0)</f>
        <v>0</v>
      </c>
      <c r="K548" s="110">
        <f>IF(ISNUMBER('Klisz-Verbräuche'!L38), 'Klisz-Verbräuche'!L38*Emissionsfaktoren!J38/1000, 0)</f>
        <v>0</v>
      </c>
      <c r="L548" s="110">
        <f>IF(ISNUMBER('Klisz-Verbräuche'!M38), 'Klisz-Verbräuche'!M38*Emissionsfaktoren!K38/1000, 0)</f>
        <v>0</v>
      </c>
      <c r="M548" s="110">
        <f>IF(ISNUMBER('Klisz-Verbräuche'!N38), 'Klisz-Verbräuche'!N38*Emissionsfaktoren!L38/1000, 0)</f>
        <v>0</v>
      </c>
      <c r="N548" s="110">
        <f>IF(ISNUMBER('Klisz-Verbräuche'!O38), 'Klisz-Verbräuche'!O38*Emissionsfaktoren!M38/1000, 0)</f>
        <v>0</v>
      </c>
      <c r="O548" s="110">
        <f>IF(ISNUMBER('Klisz-Verbräuche'!P38), 'Klisz-Verbräuche'!P38*Emissionsfaktoren!N38/1000, 0)</f>
        <v>0</v>
      </c>
      <c r="P548" s="110">
        <f>IF(ISNUMBER('Klisz-Verbräuche'!Q38), 'Klisz-Verbräuche'!Q38*Emissionsfaktoren!O38/1000, 0)</f>
        <v>0</v>
      </c>
      <c r="Q548" s="110">
        <f>IF(ISNUMBER('Klisz-Verbräuche'!R38), 'Klisz-Verbräuche'!R38*Emissionsfaktoren!P38/1000, 0)</f>
        <v>0</v>
      </c>
      <c r="R548" s="110">
        <f>IF(ISNUMBER('Klisz-Verbräuche'!S38), 'Klisz-Verbräuche'!S38*Emissionsfaktoren!Q38/1000, 0)</f>
        <v>0</v>
      </c>
      <c r="S548" s="110">
        <f>IF(ISNUMBER('Klisz-Verbräuche'!T38), 'Klisz-Verbräuche'!T38*Emissionsfaktoren!R38/1000, 0)</f>
        <v>0</v>
      </c>
      <c r="T548" s="110">
        <f>IF(ISNUMBER('Klisz-Verbräuche'!U38), 'Klisz-Verbräuche'!U38*Emissionsfaktoren!S38/1000, 0)</f>
        <v>0</v>
      </c>
      <c r="U548" s="110">
        <f>IF(ISNUMBER('Klisz-Verbräuche'!V38), 'Klisz-Verbräuche'!V38*Emissionsfaktoren!T38/1000, 0)</f>
        <v>0</v>
      </c>
      <c r="V548" s="110">
        <f>IF(ISNUMBER('Klisz-Verbräuche'!W38), 'Klisz-Verbräuche'!W38*Emissionsfaktoren!U38/1000, 0)</f>
        <v>0</v>
      </c>
      <c r="W548" s="110">
        <f>IF(ISNUMBER('Klisz-Verbräuche'!X38), 'Klisz-Verbräuche'!X38*Emissionsfaktoren!V38/1000, 0)</f>
        <v>0</v>
      </c>
      <c r="X548" s="110">
        <f>IF(ISNUMBER('Klisz-Verbräuche'!Y38), 'Klisz-Verbräuche'!Y38*Emissionsfaktoren!W38/1000, 0)</f>
        <v>0</v>
      </c>
      <c r="Y548" s="110">
        <f>IF(ISNUMBER('Klisz-Verbräuche'!Z38), 'Klisz-Verbräuche'!Z38*Emissionsfaktoren!X38/1000, 0)</f>
        <v>0</v>
      </c>
    </row>
    <row r="549" spans="2:25" ht="16.5">
      <c r="B549" s="14">
        <v>22</v>
      </c>
      <c r="C549" s="14" t="str">
        <f>'Refsz-Verbräuche'!C39</f>
        <v>Wärme</v>
      </c>
      <c r="D549" s="19" t="str">
        <f>'Refsz-Verbräuche'!D39</f>
        <v>Solarthermie</v>
      </c>
      <c r="E549" t="s">
        <v>195</v>
      </c>
      <c r="F549" s="110">
        <f>IF(ISNUMBER('Klisz-Verbräuche'!G39), 'Klisz-Verbräuche'!G39*Emissionsfaktoren!E39/1000, 0)</f>
        <v>0</v>
      </c>
      <c r="G549" s="110">
        <f>IF(ISNUMBER('Klisz-Verbräuche'!H39), 'Klisz-Verbräuche'!H39*Emissionsfaktoren!F39/1000, 0)</f>
        <v>0</v>
      </c>
      <c r="H549" s="110">
        <f>IF(ISNUMBER('Klisz-Verbräuche'!I39), 'Klisz-Verbräuche'!I39*Emissionsfaktoren!G39/1000, 0)</f>
        <v>0</v>
      </c>
      <c r="I549" s="110">
        <f>IF(ISNUMBER('Klisz-Verbräuche'!J39), 'Klisz-Verbräuche'!J39*Emissionsfaktoren!H39/1000, 0)</f>
        <v>0</v>
      </c>
      <c r="J549" s="110">
        <f>IF(ISNUMBER('Klisz-Verbräuche'!K39), 'Klisz-Verbräuche'!K39*Emissionsfaktoren!I39/1000, 0)</f>
        <v>0</v>
      </c>
      <c r="K549" s="110">
        <f>IF(ISNUMBER('Klisz-Verbräuche'!L39), 'Klisz-Verbräuche'!L39*Emissionsfaktoren!J39/1000, 0)</f>
        <v>0</v>
      </c>
      <c r="L549" s="110">
        <f>IF(ISNUMBER('Klisz-Verbräuche'!M39), 'Klisz-Verbräuche'!M39*Emissionsfaktoren!K39/1000, 0)</f>
        <v>0</v>
      </c>
      <c r="M549" s="110">
        <f>IF(ISNUMBER('Klisz-Verbräuche'!N39), 'Klisz-Verbräuche'!N39*Emissionsfaktoren!L39/1000, 0)</f>
        <v>0</v>
      </c>
      <c r="N549" s="110">
        <f>IF(ISNUMBER('Klisz-Verbräuche'!O39), 'Klisz-Verbräuche'!O39*Emissionsfaktoren!M39/1000, 0)</f>
        <v>0</v>
      </c>
      <c r="O549" s="110">
        <f>IF(ISNUMBER('Klisz-Verbräuche'!P39), 'Klisz-Verbräuche'!P39*Emissionsfaktoren!N39/1000, 0)</f>
        <v>0</v>
      </c>
      <c r="P549" s="110">
        <f>IF(ISNUMBER('Klisz-Verbräuche'!Q39), 'Klisz-Verbräuche'!Q39*Emissionsfaktoren!O39/1000, 0)</f>
        <v>0</v>
      </c>
      <c r="Q549" s="110">
        <f>IF(ISNUMBER('Klisz-Verbräuche'!R39), 'Klisz-Verbräuche'!R39*Emissionsfaktoren!P39/1000, 0)</f>
        <v>0</v>
      </c>
      <c r="R549" s="110">
        <f>IF(ISNUMBER('Klisz-Verbräuche'!S39), 'Klisz-Verbräuche'!S39*Emissionsfaktoren!Q39/1000, 0)</f>
        <v>0</v>
      </c>
      <c r="S549" s="110">
        <f>IF(ISNUMBER('Klisz-Verbräuche'!T39), 'Klisz-Verbräuche'!T39*Emissionsfaktoren!R39/1000, 0)</f>
        <v>0</v>
      </c>
      <c r="T549" s="110">
        <f>IF(ISNUMBER('Klisz-Verbräuche'!U39), 'Klisz-Verbräuche'!U39*Emissionsfaktoren!S39/1000, 0)</f>
        <v>0</v>
      </c>
      <c r="U549" s="110">
        <f>IF(ISNUMBER('Klisz-Verbräuche'!V39), 'Klisz-Verbräuche'!V39*Emissionsfaktoren!T39/1000, 0)</f>
        <v>0</v>
      </c>
      <c r="V549" s="110">
        <f>IF(ISNUMBER('Klisz-Verbräuche'!W39), 'Klisz-Verbräuche'!W39*Emissionsfaktoren!U39/1000, 0)</f>
        <v>0</v>
      </c>
      <c r="W549" s="110">
        <f>IF(ISNUMBER('Klisz-Verbräuche'!X39), 'Klisz-Verbräuche'!X39*Emissionsfaktoren!V39/1000, 0)</f>
        <v>0</v>
      </c>
      <c r="X549" s="110">
        <f>IF(ISNUMBER('Klisz-Verbräuche'!Y39), 'Klisz-Verbräuche'!Y39*Emissionsfaktoren!W39/1000, 0)</f>
        <v>0</v>
      </c>
      <c r="Y549" s="110">
        <f>IF(ISNUMBER('Klisz-Verbräuche'!Z39), 'Klisz-Verbräuche'!Z39*Emissionsfaktoren!X39/1000, 0)</f>
        <v>0</v>
      </c>
    </row>
    <row r="550" spans="2:25" ht="16.5">
      <c r="B550" s="14">
        <v>23</v>
      </c>
      <c r="C550" s="14" t="str">
        <f>'Refsz-Verbräuche'!C40</f>
        <v>Wärme</v>
      </c>
      <c r="D550" s="19" t="str">
        <f>'Refsz-Verbräuche'!D40</f>
        <v>Sole-Wasser-Wärmepumpe; Bundesstrommix</v>
      </c>
      <c r="E550" t="s">
        <v>195</v>
      </c>
      <c r="F550" s="110">
        <f>IF(ISNUMBER('Klisz-Verbräuche'!G40), 'Klisz-Verbräuche'!G40*Emissionsfaktoren!E40/1000, 0)</f>
        <v>0</v>
      </c>
      <c r="G550" s="110">
        <f>IF(ISNUMBER('Klisz-Verbräuche'!H40), 'Klisz-Verbräuche'!H40*Emissionsfaktoren!F40/1000, 0)</f>
        <v>0</v>
      </c>
      <c r="H550" s="110">
        <f>IF(ISNUMBER('Klisz-Verbräuche'!I40), 'Klisz-Verbräuche'!I40*Emissionsfaktoren!G40/1000, 0)</f>
        <v>0</v>
      </c>
      <c r="I550" s="110">
        <f>IF(ISNUMBER('Klisz-Verbräuche'!J40), 'Klisz-Verbräuche'!J40*Emissionsfaktoren!H40/1000, 0)</f>
        <v>0</v>
      </c>
      <c r="J550" s="110">
        <f>IF(ISNUMBER('Klisz-Verbräuche'!K40), 'Klisz-Verbräuche'!K40*Emissionsfaktoren!I40/1000, 0)</f>
        <v>0</v>
      </c>
      <c r="K550" s="110">
        <f>IF(ISNUMBER('Klisz-Verbräuche'!L40), 'Klisz-Verbräuche'!L40*Emissionsfaktoren!J40/1000, 0)</f>
        <v>0</v>
      </c>
      <c r="L550" s="110">
        <f>IF(ISNUMBER('Klisz-Verbräuche'!M40), 'Klisz-Verbräuche'!M40*Emissionsfaktoren!K40/1000, 0)</f>
        <v>0</v>
      </c>
      <c r="M550" s="110">
        <f>IF(ISNUMBER('Klisz-Verbräuche'!N40), 'Klisz-Verbräuche'!N40*Emissionsfaktoren!L40/1000, 0)</f>
        <v>0</v>
      </c>
      <c r="N550" s="110">
        <f>IF(ISNUMBER('Klisz-Verbräuche'!O40), 'Klisz-Verbräuche'!O40*Emissionsfaktoren!M40/1000, 0)</f>
        <v>0</v>
      </c>
      <c r="O550" s="110">
        <f>IF(ISNUMBER('Klisz-Verbräuche'!P40), 'Klisz-Verbräuche'!P40*Emissionsfaktoren!N40/1000, 0)</f>
        <v>0</v>
      </c>
      <c r="P550" s="110">
        <f>IF(ISNUMBER('Klisz-Verbräuche'!Q40), 'Klisz-Verbräuche'!Q40*Emissionsfaktoren!O40/1000, 0)</f>
        <v>0</v>
      </c>
      <c r="Q550" s="110">
        <f>IF(ISNUMBER('Klisz-Verbräuche'!R40), 'Klisz-Verbräuche'!R40*Emissionsfaktoren!P40/1000, 0)</f>
        <v>0</v>
      </c>
      <c r="R550" s="110">
        <f>IF(ISNUMBER('Klisz-Verbräuche'!S40), 'Klisz-Verbräuche'!S40*Emissionsfaktoren!Q40/1000, 0)</f>
        <v>0</v>
      </c>
      <c r="S550" s="110">
        <f>IF(ISNUMBER('Klisz-Verbräuche'!T40), 'Klisz-Verbräuche'!T40*Emissionsfaktoren!R40/1000, 0)</f>
        <v>0</v>
      </c>
      <c r="T550" s="110">
        <f>IF(ISNUMBER('Klisz-Verbräuche'!U40), 'Klisz-Verbräuche'!U40*Emissionsfaktoren!S40/1000, 0)</f>
        <v>0</v>
      </c>
      <c r="U550" s="110">
        <f>IF(ISNUMBER('Klisz-Verbräuche'!V40), 'Klisz-Verbräuche'!V40*Emissionsfaktoren!T40/1000, 0)</f>
        <v>0</v>
      </c>
      <c r="V550" s="110">
        <f>IF(ISNUMBER('Klisz-Verbräuche'!W40), 'Klisz-Verbräuche'!W40*Emissionsfaktoren!U40/1000, 0)</f>
        <v>0</v>
      </c>
      <c r="W550" s="110">
        <f>IF(ISNUMBER('Klisz-Verbräuche'!X40), 'Klisz-Verbräuche'!X40*Emissionsfaktoren!V40/1000, 0)</f>
        <v>0</v>
      </c>
      <c r="X550" s="110">
        <f>IF(ISNUMBER('Klisz-Verbräuche'!Y40), 'Klisz-Verbräuche'!Y40*Emissionsfaktoren!W40/1000, 0)</f>
        <v>0</v>
      </c>
      <c r="Y550" s="110">
        <f>IF(ISNUMBER('Klisz-Verbräuche'!Z40), 'Klisz-Verbräuche'!Z40*Emissionsfaktoren!X40/1000, 0)</f>
        <v>0</v>
      </c>
    </row>
    <row r="551" spans="2:25">
      <c r="B551" s="14">
        <v>24</v>
      </c>
      <c r="C551" s="14" t="str">
        <f>'Refsz-Verbräuche'!C41</f>
        <v>Wärme</v>
      </c>
      <c r="D551" s="19" t="str">
        <f>'Refsz-Verbräuche'!D41</f>
        <v>Sole-Wasser-Wärmepumpe; Ökostrom</v>
      </c>
      <c r="F551" s="110">
        <f>IF(ISNUMBER('Klisz-Verbräuche'!G41), 'Klisz-Verbräuche'!G41*Emissionsfaktoren!E41/1000, 0)</f>
        <v>0</v>
      </c>
      <c r="G551" s="110">
        <f>IF(ISNUMBER('Klisz-Verbräuche'!H41), 'Klisz-Verbräuche'!H41*Emissionsfaktoren!F41/1000, 0)</f>
        <v>0</v>
      </c>
      <c r="H551" s="110">
        <f>IF(ISNUMBER('Klisz-Verbräuche'!I41), 'Klisz-Verbräuche'!I41*Emissionsfaktoren!G41/1000, 0)</f>
        <v>0</v>
      </c>
      <c r="I551" s="110">
        <f>IF(ISNUMBER('Klisz-Verbräuche'!J41), 'Klisz-Verbräuche'!J41*Emissionsfaktoren!H41/1000, 0)</f>
        <v>0</v>
      </c>
      <c r="J551" s="110">
        <f>IF(ISNUMBER('Klisz-Verbräuche'!K41), 'Klisz-Verbräuche'!K41*Emissionsfaktoren!I41/1000, 0)</f>
        <v>0</v>
      </c>
      <c r="K551" s="110">
        <f>IF(ISNUMBER('Klisz-Verbräuche'!L41), 'Klisz-Verbräuche'!L41*Emissionsfaktoren!J41/1000, 0)</f>
        <v>0</v>
      </c>
      <c r="L551" s="110">
        <f>IF(ISNUMBER('Klisz-Verbräuche'!M41), 'Klisz-Verbräuche'!M41*Emissionsfaktoren!K41/1000, 0)</f>
        <v>0</v>
      </c>
      <c r="M551" s="110">
        <f>IF(ISNUMBER('Klisz-Verbräuche'!N41), 'Klisz-Verbräuche'!N41*Emissionsfaktoren!L41/1000, 0)</f>
        <v>0</v>
      </c>
      <c r="N551" s="110">
        <f>IF(ISNUMBER('Klisz-Verbräuche'!O41), 'Klisz-Verbräuche'!O41*Emissionsfaktoren!M41/1000, 0)</f>
        <v>0</v>
      </c>
      <c r="O551" s="110">
        <f>IF(ISNUMBER('Klisz-Verbräuche'!P41), 'Klisz-Verbräuche'!P41*Emissionsfaktoren!N41/1000, 0)</f>
        <v>0</v>
      </c>
      <c r="P551" s="110">
        <f>IF(ISNUMBER('Klisz-Verbräuche'!Q41), 'Klisz-Verbräuche'!Q41*Emissionsfaktoren!O41/1000, 0)</f>
        <v>0</v>
      </c>
      <c r="Q551" s="110">
        <f>IF(ISNUMBER('Klisz-Verbräuche'!R41), 'Klisz-Verbräuche'!R41*Emissionsfaktoren!P41/1000, 0)</f>
        <v>0</v>
      </c>
      <c r="R551" s="110">
        <f>IF(ISNUMBER('Klisz-Verbräuche'!S41), 'Klisz-Verbräuche'!S41*Emissionsfaktoren!Q41/1000, 0)</f>
        <v>0</v>
      </c>
      <c r="S551" s="110">
        <f>IF(ISNUMBER('Klisz-Verbräuche'!T41), 'Klisz-Verbräuche'!T41*Emissionsfaktoren!R41/1000, 0)</f>
        <v>0</v>
      </c>
      <c r="T551" s="110">
        <f>IF(ISNUMBER('Klisz-Verbräuche'!U41), 'Klisz-Verbräuche'!U41*Emissionsfaktoren!S41/1000, 0)</f>
        <v>0</v>
      </c>
      <c r="U551" s="110">
        <f>IF(ISNUMBER('Klisz-Verbräuche'!V41), 'Klisz-Verbräuche'!V41*Emissionsfaktoren!T41/1000, 0)</f>
        <v>0</v>
      </c>
      <c r="V551" s="110">
        <f>IF(ISNUMBER('Klisz-Verbräuche'!W41), 'Klisz-Verbräuche'!W41*Emissionsfaktoren!U41/1000, 0)</f>
        <v>0</v>
      </c>
      <c r="W551" s="110">
        <f>IF(ISNUMBER('Klisz-Verbräuche'!X41), 'Klisz-Verbräuche'!X41*Emissionsfaktoren!V41/1000, 0)</f>
        <v>0</v>
      </c>
      <c r="X551" s="110">
        <f>IF(ISNUMBER('Klisz-Verbräuche'!Y41), 'Klisz-Verbräuche'!Y41*Emissionsfaktoren!W41/1000, 0)</f>
        <v>0</v>
      </c>
      <c r="Y551" s="110">
        <f>IF(ISNUMBER('Klisz-Verbräuche'!Z41), 'Klisz-Verbräuche'!Z41*Emissionsfaktoren!X41/1000, 0)</f>
        <v>0</v>
      </c>
    </row>
    <row r="552" spans="2:25" ht="16.5">
      <c r="B552" s="14">
        <v>25</v>
      </c>
      <c r="C552" s="14" t="str">
        <f>'Refsz-Verbräuche'!C42</f>
        <v>Wärme</v>
      </c>
      <c r="D552" s="19" t="str">
        <f>'Refsz-Verbräuche'!D42</f>
        <v>Individuelle Wärmepumpe</v>
      </c>
      <c r="E552" t="s">
        <v>195</v>
      </c>
      <c r="F552" s="110">
        <f>IF(ISNUMBER('Klisz-Verbräuche'!G42), 'Klisz-Verbräuche'!G42*Emissionsfaktoren!E42/1000, 0)</f>
        <v>0</v>
      </c>
      <c r="G552" s="110">
        <f>IF(ISNUMBER('Klisz-Verbräuche'!H40), 'Klisz-Verbräuche'!H40*Emissionsfaktoren!F42/1000, 0)</f>
        <v>0</v>
      </c>
      <c r="H552" s="110">
        <f>IF(ISNUMBER('Klisz-Verbräuche'!I40), 'Klisz-Verbräuche'!I40*Emissionsfaktoren!G42/1000, 0)</f>
        <v>0</v>
      </c>
      <c r="I552" s="110">
        <f>IF(ISNUMBER('Klisz-Verbräuche'!J40), 'Klisz-Verbräuche'!J40*Emissionsfaktoren!H42/1000, 0)</f>
        <v>0</v>
      </c>
      <c r="J552" s="110">
        <f>IF(ISNUMBER('Klisz-Verbräuche'!K40), 'Klisz-Verbräuche'!K40*Emissionsfaktoren!I42/1000, 0)</f>
        <v>0</v>
      </c>
      <c r="K552" s="110">
        <f>IF(ISNUMBER('Klisz-Verbräuche'!L40), 'Klisz-Verbräuche'!L40*Emissionsfaktoren!J42/1000, 0)</f>
        <v>0</v>
      </c>
      <c r="L552" s="110">
        <f>IF(ISNUMBER('Klisz-Verbräuche'!M40), 'Klisz-Verbräuche'!M40*Emissionsfaktoren!K42/1000, 0)</f>
        <v>0</v>
      </c>
      <c r="M552" s="110">
        <f>IF(ISNUMBER('Klisz-Verbräuche'!N40), 'Klisz-Verbräuche'!N40*Emissionsfaktoren!L42/1000, 0)</f>
        <v>0</v>
      </c>
      <c r="N552" s="110">
        <f>IF(ISNUMBER('Klisz-Verbräuche'!O40), 'Klisz-Verbräuche'!O40*Emissionsfaktoren!M42/1000, 0)</f>
        <v>0</v>
      </c>
      <c r="O552" s="110">
        <f>IF(ISNUMBER('Klisz-Verbräuche'!P40), 'Klisz-Verbräuche'!P40*Emissionsfaktoren!N42/1000, 0)</f>
        <v>0</v>
      </c>
      <c r="P552" s="110">
        <f>IF(ISNUMBER('Klisz-Verbräuche'!Q40), 'Klisz-Verbräuche'!Q40*Emissionsfaktoren!O42/1000, 0)</f>
        <v>0</v>
      </c>
      <c r="Q552" s="110">
        <f>IF(ISNUMBER('Klisz-Verbräuche'!R40), 'Klisz-Verbräuche'!R40*Emissionsfaktoren!P42/1000, 0)</f>
        <v>0</v>
      </c>
      <c r="R552" s="110">
        <f>IF(ISNUMBER('Klisz-Verbräuche'!S40), 'Klisz-Verbräuche'!S40*Emissionsfaktoren!Q42/1000, 0)</f>
        <v>0</v>
      </c>
      <c r="S552" s="110">
        <f>IF(ISNUMBER('Klisz-Verbräuche'!T40), 'Klisz-Verbräuche'!T40*Emissionsfaktoren!R42/1000, 0)</f>
        <v>0</v>
      </c>
      <c r="T552" s="110">
        <f>IF(ISNUMBER('Klisz-Verbräuche'!U40), 'Klisz-Verbräuche'!U40*Emissionsfaktoren!S42/1000, 0)</f>
        <v>0</v>
      </c>
      <c r="U552" s="110">
        <f>IF(ISNUMBER('Klisz-Verbräuche'!V40), 'Klisz-Verbräuche'!V40*Emissionsfaktoren!T42/1000, 0)</f>
        <v>0</v>
      </c>
      <c r="V552" s="110">
        <f>IF(ISNUMBER('Klisz-Verbräuche'!W40), 'Klisz-Verbräuche'!W40*Emissionsfaktoren!U42/1000, 0)</f>
        <v>0</v>
      </c>
      <c r="W552" s="110">
        <f>IF(ISNUMBER('Klisz-Verbräuche'!X40), 'Klisz-Verbräuche'!X40*Emissionsfaktoren!V42/1000, 0)</f>
        <v>0</v>
      </c>
      <c r="X552" s="110">
        <f>IF(ISNUMBER('Klisz-Verbräuche'!Y40), 'Klisz-Verbräuche'!Y40*Emissionsfaktoren!W42/1000, 0)</f>
        <v>0</v>
      </c>
      <c r="Y552" s="110">
        <f>IF(ISNUMBER('Klisz-Verbräuche'!Z40), 'Klisz-Verbräuche'!Z40*Emissionsfaktoren!X42/1000, 0)</f>
        <v>0</v>
      </c>
    </row>
    <row r="553" spans="2:25" ht="16.5">
      <c r="B553" s="14">
        <v>26</v>
      </c>
      <c r="C553" s="14" t="str">
        <f>'Refsz-Verbräuche'!C43</f>
        <v>Kälte</v>
      </c>
      <c r="D553" s="19" t="str">
        <f>'Refsz-Verbräuche'!D43</f>
        <v>Nachfüllmenge Kältemittel (R22)</v>
      </c>
      <c r="E553" t="s">
        <v>195</v>
      </c>
      <c r="F553" s="110">
        <f>IF(ISNUMBER('Klisz-Verbräuche'!G43), 'Klisz-Verbräuche'!G43*Emissionsfaktoren!E43/1000, 0)</f>
        <v>0</v>
      </c>
      <c r="G553" s="110">
        <f>IF(ISNUMBER('Klisz-Verbräuche'!H43), 'Klisz-Verbräuche'!H43*Emissionsfaktoren!F43/1000, 0)</f>
        <v>0</v>
      </c>
      <c r="H553" s="110">
        <f>IF(ISNUMBER('Klisz-Verbräuche'!I43), 'Klisz-Verbräuche'!I43*Emissionsfaktoren!G43/1000, 0)</f>
        <v>0</v>
      </c>
      <c r="I553" s="110">
        <f>IF(ISNUMBER('Klisz-Verbräuche'!J43), 'Klisz-Verbräuche'!J43*Emissionsfaktoren!H43/1000, 0)</f>
        <v>0</v>
      </c>
      <c r="J553" s="110">
        <f>IF(ISNUMBER('Klisz-Verbräuche'!K43), 'Klisz-Verbräuche'!K43*Emissionsfaktoren!I43/1000, 0)</f>
        <v>0</v>
      </c>
      <c r="K553" s="110">
        <f>IF(ISNUMBER('Klisz-Verbräuche'!L43), 'Klisz-Verbräuche'!L43*Emissionsfaktoren!J43/1000, 0)</f>
        <v>0</v>
      </c>
      <c r="L553" s="110">
        <f>IF(ISNUMBER('Klisz-Verbräuche'!M43), 'Klisz-Verbräuche'!M43*Emissionsfaktoren!K43/1000, 0)</f>
        <v>0</v>
      </c>
      <c r="M553" s="110">
        <f>IF(ISNUMBER('Klisz-Verbräuche'!N43), 'Klisz-Verbräuche'!N43*Emissionsfaktoren!L43/1000, 0)</f>
        <v>0</v>
      </c>
      <c r="N553" s="110">
        <f>IF(ISNUMBER('Klisz-Verbräuche'!O43), 'Klisz-Verbräuche'!O43*Emissionsfaktoren!M43/1000, 0)</f>
        <v>0</v>
      </c>
      <c r="O553" s="110">
        <f>IF(ISNUMBER('Klisz-Verbräuche'!P43), 'Klisz-Verbräuche'!P43*Emissionsfaktoren!N43/1000, 0)</f>
        <v>0</v>
      </c>
      <c r="P553" s="110">
        <f>IF(ISNUMBER('Klisz-Verbräuche'!Q43), 'Klisz-Verbräuche'!Q43*Emissionsfaktoren!O43/1000, 0)</f>
        <v>0</v>
      </c>
      <c r="Q553" s="110">
        <f>IF(ISNUMBER('Klisz-Verbräuche'!R43), 'Klisz-Verbräuche'!R43*Emissionsfaktoren!P43/1000, 0)</f>
        <v>0</v>
      </c>
      <c r="R553" s="110">
        <f>IF(ISNUMBER('Klisz-Verbräuche'!S43), 'Klisz-Verbräuche'!S43*Emissionsfaktoren!Q43/1000, 0)</f>
        <v>0</v>
      </c>
      <c r="S553" s="110">
        <f>IF(ISNUMBER('Klisz-Verbräuche'!T43), 'Klisz-Verbräuche'!T43*Emissionsfaktoren!R43/1000, 0)</f>
        <v>0</v>
      </c>
      <c r="T553" s="110">
        <f>IF(ISNUMBER('Klisz-Verbräuche'!U43), 'Klisz-Verbräuche'!U43*Emissionsfaktoren!S43/1000, 0)</f>
        <v>0</v>
      </c>
      <c r="U553" s="110">
        <f>IF(ISNUMBER('Klisz-Verbräuche'!V43), 'Klisz-Verbräuche'!V43*Emissionsfaktoren!T43/1000, 0)</f>
        <v>0</v>
      </c>
      <c r="V553" s="110">
        <f>IF(ISNUMBER('Klisz-Verbräuche'!W43), 'Klisz-Verbräuche'!W43*Emissionsfaktoren!U43/1000, 0)</f>
        <v>0</v>
      </c>
      <c r="W553" s="110">
        <f>IF(ISNUMBER('Klisz-Verbräuche'!X43), 'Klisz-Verbräuche'!X43*Emissionsfaktoren!V43/1000, 0)</f>
        <v>0</v>
      </c>
      <c r="X553" s="110">
        <f>IF(ISNUMBER('Klisz-Verbräuche'!Y43), 'Klisz-Verbräuche'!Y43*Emissionsfaktoren!W43/1000, 0)</f>
        <v>0</v>
      </c>
      <c r="Y553" s="110">
        <f>IF(ISNUMBER('Klisz-Verbräuche'!Z43), 'Klisz-Verbräuche'!Z43*Emissionsfaktoren!X43/1000, 0)</f>
        <v>0</v>
      </c>
    </row>
    <row r="554" spans="2:25" ht="16.5">
      <c r="B554" s="14">
        <v>27</v>
      </c>
      <c r="C554" s="14" t="str">
        <f>'Refsz-Verbräuche'!C44</f>
        <v>Kälte</v>
      </c>
      <c r="D554" s="19" t="str">
        <f>'Refsz-Verbräuche'!D44</f>
        <v>Nachfüllmenge Kältemittel (R134A)</v>
      </c>
      <c r="E554" t="s">
        <v>195</v>
      </c>
      <c r="F554" s="110">
        <f>IF(ISNUMBER('Klisz-Verbräuche'!G44), 'Klisz-Verbräuche'!G44*Emissionsfaktoren!E44/1000, 0)</f>
        <v>0</v>
      </c>
      <c r="G554" s="110">
        <f>IF(ISNUMBER('Klisz-Verbräuche'!H44), 'Klisz-Verbräuche'!H44*Emissionsfaktoren!F44/1000, 0)</f>
        <v>0</v>
      </c>
      <c r="H554" s="110">
        <f>IF(ISNUMBER('Klisz-Verbräuche'!I44), 'Klisz-Verbräuche'!I44*Emissionsfaktoren!G44/1000, 0)</f>
        <v>0</v>
      </c>
      <c r="I554" s="110">
        <f>IF(ISNUMBER('Klisz-Verbräuche'!J44), 'Klisz-Verbräuche'!J44*Emissionsfaktoren!H44/1000, 0)</f>
        <v>0</v>
      </c>
      <c r="J554" s="110">
        <f>IF(ISNUMBER('Klisz-Verbräuche'!K44), 'Klisz-Verbräuche'!K44*Emissionsfaktoren!I44/1000, 0)</f>
        <v>0</v>
      </c>
      <c r="K554" s="110">
        <f>IF(ISNUMBER('Klisz-Verbräuche'!L44), 'Klisz-Verbräuche'!L44*Emissionsfaktoren!J44/1000, 0)</f>
        <v>0</v>
      </c>
      <c r="L554" s="110">
        <f>IF(ISNUMBER('Klisz-Verbräuche'!M44), 'Klisz-Verbräuche'!M44*Emissionsfaktoren!K44/1000, 0)</f>
        <v>0</v>
      </c>
      <c r="M554" s="110">
        <f>IF(ISNUMBER('Klisz-Verbräuche'!N44), 'Klisz-Verbräuche'!N44*Emissionsfaktoren!L44/1000, 0)</f>
        <v>0</v>
      </c>
      <c r="N554" s="110">
        <f>IF(ISNUMBER('Klisz-Verbräuche'!O44), 'Klisz-Verbräuche'!O44*Emissionsfaktoren!M44/1000, 0)</f>
        <v>0</v>
      </c>
      <c r="O554" s="110">
        <f>IF(ISNUMBER('Klisz-Verbräuche'!P44), 'Klisz-Verbräuche'!P44*Emissionsfaktoren!N44/1000, 0)</f>
        <v>0</v>
      </c>
      <c r="P554" s="110">
        <f>IF(ISNUMBER('Klisz-Verbräuche'!Q44), 'Klisz-Verbräuche'!Q44*Emissionsfaktoren!O44/1000, 0)</f>
        <v>0</v>
      </c>
      <c r="Q554" s="110">
        <f>IF(ISNUMBER('Klisz-Verbräuche'!R44), 'Klisz-Verbräuche'!R44*Emissionsfaktoren!P44/1000, 0)</f>
        <v>0</v>
      </c>
      <c r="R554" s="110">
        <f>IF(ISNUMBER('Klisz-Verbräuche'!S44), 'Klisz-Verbräuche'!S44*Emissionsfaktoren!Q44/1000, 0)</f>
        <v>0</v>
      </c>
      <c r="S554" s="110">
        <f>IF(ISNUMBER('Klisz-Verbräuche'!T44), 'Klisz-Verbräuche'!T44*Emissionsfaktoren!R44/1000, 0)</f>
        <v>0</v>
      </c>
      <c r="T554" s="110">
        <f>IF(ISNUMBER('Klisz-Verbräuche'!U44), 'Klisz-Verbräuche'!U44*Emissionsfaktoren!S44/1000, 0)</f>
        <v>0</v>
      </c>
      <c r="U554" s="110">
        <f>IF(ISNUMBER('Klisz-Verbräuche'!V44), 'Klisz-Verbräuche'!V44*Emissionsfaktoren!T44/1000, 0)</f>
        <v>0</v>
      </c>
      <c r="V554" s="110">
        <f>IF(ISNUMBER('Klisz-Verbräuche'!W44), 'Klisz-Verbräuche'!W44*Emissionsfaktoren!U44/1000, 0)</f>
        <v>0</v>
      </c>
      <c r="W554" s="110">
        <f>IF(ISNUMBER('Klisz-Verbräuche'!X44), 'Klisz-Verbräuche'!X44*Emissionsfaktoren!V44/1000, 0)</f>
        <v>0</v>
      </c>
      <c r="X554" s="110">
        <f>IF(ISNUMBER('Klisz-Verbräuche'!Y44), 'Klisz-Verbräuche'!Y44*Emissionsfaktoren!W44/1000, 0)</f>
        <v>0</v>
      </c>
      <c r="Y554" s="110">
        <f>IF(ISNUMBER('Klisz-Verbräuche'!Z44), 'Klisz-Verbräuche'!Z44*Emissionsfaktoren!X44/1000, 0)</f>
        <v>0</v>
      </c>
    </row>
    <row r="555" spans="2:25" ht="16.5">
      <c r="B555" s="14">
        <v>28</v>
      </c>
      <c r="C555" s="14" t="str">
        <f>'Refsz-Verbräuche'!C45</f>
        <v>Kälte</v>
      </c>
      <c r="D555" s="19" t="str">
        <f>'Refsz-Verbräuche'!D45</f>
        <v>Nachfüllmenge Kältemittel (R404A)</v>
      </c>
      <c r="E555" t="s">
        <v>195</v>
      </c>
      <c r="F555" s="110">
        <f>IF(ISNUMBER('Klisz-Verbräuche'!G45), 'Klisz-Verbräuche'!G45*Emissionsfaktoren!E45/1000, 0)</f>
        <v>0</v>
      </c>
      <c r="G555" s="110">
        <f>IF(ISNUMBER('Klisz-Verbräuche'!H45), 'Klisz-Verbräuche'!H45*Emissionsfaktoren!F45/1000, 0)</f>
        <v>0</v>
      </c>
      <c r="H555" s="110">
        <f>IF(ISNUMBER('Klisz-Verbräuche'!I45), 'Klisz-Verbräuche'!I45*Emissionsfaktoren!G45/1000, 0)</f>
        <v>0</v>
      </c>
      <c r="I555" s="110">
        <f>IF(ISNUMBER('Klisz-Verbräuche'!J45), 'Klisz-Verbräuche'!J45*Emissionsfaktoren!H45/1000, 0)</f>
        <v>0</v>
      </c>
      <c r="J555" s="110">
        <f>IF(ISNUMBER('Klisz-Verbräuche'!K45), 'Klisz-Verbräuche'!K45*Emissionsfaktoren!I45/1000, 0)</f>
        <v>0</v>
      </c>
      <c r="K555" s="110">
        <f>IF(ISNUMBER('Klisz-Verbräuche'!L45), 'Klisz-Verbräuche'!L45*Emissionsfaktoren!J45/1000, 0)</f>
        <v>0</v>
      </c>
      <c r="L555" s="110">
        <f>IF(ISNUMBER('Klisz-Verbräuche'!M45), 'Klisz-Verbräuche'!M45*Emissionsfaktoren!K45/1000, 0)</f>
        <v>0</v>
      </c>
      <c r="M555" s="110">
        <f>IF(ISNUMBER('Klisz-Verbräuche'!N45), 'Klisz-Verbräuche'!N45*Emissionsfaktoren!L45/1000, 0)</f>
        <v>0</v>
      </c>
      <c r="N555" s="110">
        <f>IF(ISNUMBER('Klisz-Verbräuche'!O45), 'Klisz-Verbräuche'!O45*Emissionsfaktoren!M45/1000, 0)</f>
        <v>0</v>
      </c>
      <c r="O555" s="110">
        <f>IF(ISNUMBER('Klisz-Verbräuche'!P45), 'Klisz-Verbräuche'!P45*Emissionsfaktoren!N45/1000, 0)</f>
        <v>0</v>
      </c>
      <c r="P555" s="110">
        <f>IF(ISNUMBER('Klisz-Verbräuche'!Q45), 'Klisz-Verbräuche'!Q45*Emissionsfaktoren!O45/1000, 0)</f>
        <v>0</v>
      </c>
      <c r="Q555" s="110">
        <f>IF(ISNUMBER('Klisz-Verbräuche'!R45), 'Klisz-Verbräuche'!R45*Emissionsfaktoren!P45/1000, 0)</f>
        <v>0</v>
      </c>
      <c r="R555" s="110">
        <f>IF(ISNUMBER('Klisz-Verbräuche'!S45), 'Klisz-Verbräuche'!S45*Emissionsfaktoren!Q45/1000, 0)</f>
        <v>0</v>
      </c>
      <c r="S555" s="110">
        <f>IF(ISNUMBER('Klisz-Verbräuche'!T45), 'Klisz-Verbräuche'!T45*Emissionsfaktoren!R45/1000, 0)</f>
        <v>0</v>
      </c>
      <c r="T555" s="110">
        <f>IF(ISNUMBER('Klisz-Verbräuche'!U45), 'Klisz-Verbräuche'!U45*Emissionsfaktoren!S45/1000, 0)</f>
        <v>0</v>
      </c>
      <c r="U555" s="110">
        <f>IF(ISNUMBER('Klisz-Verbräuche'!V45), 'Klisz-Verbräuche'!V45*Emissionsfaktoren!T45/1000, 0)</f>
        <v>0</v>
      </c>
      <c r="V555" s="110">
        <f>IF(ISNUMBER('Klisz-Verbräuche'!W45), 'Klisz-Verbräuche'!W45*Emissionsfaktoren!U45/1000, 0)</f>
        <v>0</v>
      </c>
      <c r="W555" s="110">
        <f>IF(ISNUMBER('Klisz-Verbräuche'!X45), 'Klisz-Verbräuche'!X45*Emissionsfaktoren!V45/1000, 0)</f>
        <v>0</v>
      </c>
      <c r="X555" s="110">
        <f>IF(ISNUMBER('Klisz-Verbräuche'!Y45), 'Klisz-Verbräuche'!Y45*Emissionsfaktoren!W45/1000, 0)</f>
        <v>0</v>
      </c>
      <c r="Y555" s="110">
        <f>IF(ISNUMBER('Klisz-Verbräuche'!Z45), 'Klisz-Verbräuche'!Z45*Emissionsfaktoren!X45/1000, 0)</f>
        <v>0</v>
      </c>
    </row>
    <row r="556" spans="2:25" ht="16.5">
      <c r="B556" s="14">
        <v>29</v>
      </c>
      <c r="C556" s="14" t="str">
        <f>'Refsz-Verbräuche'!C46</f>
        <v>Kälte</v>
      </c>
      <c r="D556" s="19" t="str">
        <f>'Refsz-Verbräuche'!D46</f>
        <v>Nachfüllmenge Kältemittel (R410A)</v>
      </c>
      <c r="E556" t="s">
        <v>195</v>
      </c>
      <c r="F556" s="110">
        <f>IF(ISNUMBER('Klisz-Verbräuche'!G46), 'Klisz-Verbräuche'!G46*Emissionsfaktoren!E46/1000, 0)</f>
        <v>0</v>
      </c>
      <c r="G556" s="110">
        <f>IF(ISNUMBER('Klisz-Verbräuche'!H46), 'Klisz-Verbräuche'!H46*Emissionsfaktoren!F46/1000, 0)</f>
        <v>0</v>
      </c>
      <c r="H556" s="110">
        <f>IF(ISNUMBER('Klisz-Verbräuche'!I46), 'Klisz-Verbräuche'!I46*Emissionsfaktoren!G46/1000, 0)</f>
        <v>0</v>
      </c>
      <c r="I556" s="110">
        <f>IF(ISNUMBER('Klisz-Verbräuche'!J46), 'Klisz-Verbräuche'!J46*Emissionsfaktoren!H46/1000, 0)</f>
        <v>0</v>
      </c>
      <c r="J556" s="110">
        <f>IF(ISNUMBER('Klisz-Verbräuche'!K46), 'Klisz-Verbräuche'!K46*Emissionsfaktoren!I46/1000, 0)</f>
        <v>0</v>
      </c>
      <c r="K556" s="110">
        <f>IF(ISNUMBER('Klisz-Verbräuche'!L46), 'Klisz-Verbräuche'!L46*Emissionsfaktoren!J46/1000, 0)</f>
        <v>0</v>
      </c>
      <c r="L556" s="110">
        <f>IF(ISNUMBER('Klisz-Verbräuche'!M46), 'Klisz-Verbräuche'!M46*Emissionsfaktoren!K46/1000, 0)</f>
        <v>0</v>
      </c>
      <c r="M556" s="110">
        <f>IF(ISNUMBER('Klisz-Verbräuche'!N46), 'Klisz-Verbräuche'!N46*Emissionsfaktoren!L46/1000, 0)</f>
        <v>0</v>
      </c>
      <c r="N556" s="110">
        <f>IF(ISNUMBER('Klisz-Verbräuche'!O46), 'Klisz-Verbräuche'!O46*Emissionsfaktoren!M46/1000, 0)</f>
        <v>0</v>
      </c>
      <c r="O556" s="110">
        <f>IF(ISNUMBER('Klisz-Verbräuche'!P46), 'Klisz-Verbräuche'!P46*Emissionsfaktoren!N46/1000, 0)</f>
        <v>0</v>
      </c>
      <c r="P556" s="110">
        <f>IF(ISNUMBER('Klisz-Verbräuche'!Q46), 'Klisz-Verbräuche'!Q46*Emissionsfaktoren!O46/1000, 0)</f>
        <v>0</v>
      </c>
      <c r="Q556" s="110">
        <f>IF(ISNUMBER('Klisz-Verbräuche'!R46), 'Klisz-Verbräuche'!R46*Emissionsfaktoren!P46/1000, 0)</f>
        <v>0</v>
      </c>
      <c r="R556" s="110">
        <f>IF(ISNUMBER('Klisz-Verbräuche'!S46), 'Klisz-Verbräuche'!S46*Emissionsfaktoren!Q46/1000, 0)</f>
        <v>0</v>
      </c>
      <c r="S556" s="110">
        <f>IF(ISNUMBER('Klisz-Verbräuche'!T46), 'Klisz-Verbräuche'!T46*Emissionsfaktoren!R46/1000, 0)</f>
        <v>0</v>
      </c>
      <c r="T556" s="110">
        <f>IF(ISNUMBER('Klisz-Verbräuche'!U46), 'Klisz-Verbräuche'!U46*Emissionsfaktoren!S46/1000, 0)</f>
        <v>0</v>
      </c>
      <c r="U556" s="110">
        <f>IF(ISNUMBER('Klisz-Verbräuche'!V46), 'Klisz-Verbräuche'!V46*Emissionsfaktoren!T46/1000, 0)</f>
        <v>0</v>
      </c>
      <c r="V556" s="110">
        <f>IF(ISNUMBER('Klisz-Verbräuche'!W46), 'Klisz-Verbräuche'!W46*Emissionsfaktoren!U46/1000, 0)</f>
        <v>0</v>
      </c>
      <c r="W556" s="110">
        <f>IF(ISNUMBER('Klisz-Verbräuche'!X46), 'Klisz-Verbräuche'!X46*Emissionsfaktoren!V46/1000, 0)</f>
        <v>0</v>
      </c>
      <c r="X556" s="110">
        <f>IF(ISNUMBER('Klisz-Verbräuche'!Y46), 'Klisz-Verbräuche'!Y46*Emissionsfaktoren!W46/1000, 0)</f>
        <v>0</v>
      </c>
      <c r="Y556" s="110">
        <f>IF(ISNUMBER('Klisz-Verbräuche'!Z46), 'Klisz-Verbräuche'!Z46*Emissionsfaktoren!X46/1000, 0)</f>
        <v>0</v>
      </c>
    </row>
    <row r="557" spans="2:25" ht="16.5">
      <c r="B557" s="14">
        <v>30</v>
      </c>
      <c r="C557" s="14">
        <f>'Refsz-Verbräuche'!C47</f>
        <v>0</v>
      </c>
      <c r="D557" s="19">
        <f>'Refsz-Verbräuche'!D47</f>
        <v>0</v>
      </c>
      <c r="E557" t="s">
        <v>195</v>
      </c>
      <c r="F557" s="110">
        <f>IF(ISNUMBER('Klisz-Verbräuche'!G47), 'Klisz-Verbräuche'!G47*Emissionsfaktoren!E47/1000, 0)</f>
        <v>0</v>
      </c>
      <c r="G557" s="110">
        <f>IF(ISNUMBER('Klisz-Verbräuche'!H47), 'Klisz-Verbräuche'!H47*Emissionsfaktoren!F47/1000, 0)</f>
        <v>0</v>
      </c>
      <c r="H557" s="110">
        <f>IF(ISNUMBER('Klisz-Verbräuche'!I47), 'Klisz-Verbräuche'!I47*Emissionsfaktoren!G47/1000, 0)</f>
        <v>0</v>
      </c>
      <c r="I557" s="110">
        <f>IF(ISNUMBER('Klisz-Verbräuche'!J47), 'Klisz-Verbräuche'!J47*Emissionsfaktoren!H47/1000, 0)</f>
        <v>0</v>
      </c>
      <c r="J557" s="110">
        <f>IF(ISNUMBER('Klisz-Verbräuche'!K47), 'Klisz-Verbräuche'!K47*Emissionsfaktoren!I47/1000, 0)</f>
        <v>0</v>
      </c>
      <c r="K557" s="110">
        <f>IF(ISNUMBER('Klisz-Verbräuche'!L47), 'Klisz-Verbräuche'!L47*Emissionsfaktoren!J47/1000, 0)</f>
        <v>0</v>
      </c>
      <c r="L557" s="110">
        <f>IF(ISNUMBER('Klisz-Verbräuche'!M47), 'Klisz-Verbräuche'!M47*Emissionsfaktoren!K47/1000, 0)</f>
        <v>0</v>
      </c>
      <c r="M557" s="110">
        <f>IF(ISNUMBER('Klisz-Verbräuche'!N47), 'Klisz-Verbräuche'!N47*Emissionsfaktoren!L47/1000, 0)</f>
        <v>0</v>
      </c>
      <c r="N557" s="110">
        <f>IF(ISNUMBER('Klisz-Verbräuche'!O47), 'Klisz-Verbräuche'!O47*Emissionsfaktoren!M47/1000, 0)</f>
        <v>0</v>
      </c>
      <c r="O557" s="110">
        <f>IF(ISNUMBER('Klisz-Verbräuche'!P47), 'Klisz-Verbräuche'!P47*Emissionsfaktoren!N47/1000, 0)</f>
        <v>0</v>
      </c>
      <c r="P557" s="110">
        <f>IF(ISNUMBER('Klisz-Verbräuche'!Q47), 'Klisz-Verbräuche'!Q47*Emissionsfaktoren!O47/1000, 0)</f>
        <v>0</v>
      </c>
      <c r="Q557" s="110">
        <f>IF(ISNUMBER('Klisz-Verbräuche'!R47), 'Klisz-Verbräuche'!R47*Emissionsfaktoren!P47/1000, 0)</f>
        <v>0</v>
      </c>
      <c r="R557" s="110">
        <f>IF(ISNUMBER('Klisz-Verbräuche'!S47), 'Klisz-Verbräuche'!S47*Emissionsfaktoren!Q47/1000, 0)</f>
        <v>0</v>
      </c>
      <c r="S557" s="110">
        <f>IF(ISNUMBER('Klisz-Verbräuche'!T47), 'Klisz-Verbräuche'!T47*Emissionsfaktoren!R47/1000, 0)</f>
        <v>0</v>
      </c>
      <c r="T557" s="110">
        <f>IF(ISNUMBER('Klisz-Verbräuche'!U47), 'Klisz-Verbräuche'!U47*Emissionsfaktoren!S47/1000, 0)</f>
        <v>0</v>
      </c>
      <c r="U557" s="110">
        <f>IF(ISNUMBER('Klisz-Verbräuche'!V47), 'Klisz-Verbräuche'!V47*Emissionsfaktoren!T47/1000, 0)</f>
        <v>0</v>
      </c>
      <c r="V557" s="110">
        <f>IF(ISNUMBER('Klisz-Verbräuche'!W47), 'Klisz-Verbräuche'!W47*Emissionsfaktoren!U47/1000, 0)</f>
        <v>0</v>
      </c>
      <c r="W557" s="110">
        <f>IF(ISNUMBER('Klisz-Verbräuche'!X47), 'Klisz-Verbräuche'!X47*Emissionsfaktoren!V47/1000, 0)</f>
        <v>0</v>
      </c>
      <c r="X557" s="110">
        <f>IF(ISNUMBER('Klisz-Verbräuche'!Y47), 'Klisz-Verbräuche'!Y47*Emissionsfaktoren!W47/1000, 0)</f>
        <v>0</v>
      </c>
      <c r="Y557" s="110">
        <f>IF(ISNUMBER('Klisz-Verbräuche'!Z47), 'Klisz-Verbräuche'!Z47*Emissionsfaktoren!X47/1000, 0)</f>
        <v>0</v>
      </c>
    </row>
    <row r="558" spans="2:25" ht="16.5">
      <c r="B558" s="14">
        <v>31</v>
      </c>
      <c r="C558" s="14" t="str">
        <f>'Refsz-Verbräuche'!C48</f>
        <v>Mobilität 1</v>
      </c>
      <c r="D558" s="19" t="str">
        <f>'Refsz-Verbräuche'!D48</f>
        <v>Fuhrpark (Diesel)</v>
      </c>
      <c r="E558" t="s">
        <v>195</v>
      </c>
      <c r="F558" s="110">
        <f>IF(ISNUMBER('Klisz-Verbräuche'!G48), 'Klisz-Verbräuche'!G48*Emissionsfaktoren!E48/1000, 0)</f>
        <v>0</v>
      </c>
      <c r="G558" s="110">
        <f>IF(ISNUMBER('Klisz-Verbräuche'!H48), 'Klisz-Verbräuche'!H48*Emissionsfaktoren!F48/1000, 0)</f>
        <v>0</v>
      </c>
      <c r="H558" s="110">
        <f>IF(ISNUMBER('Klisz-Verbräuche'!I48), 'Klisz-Verbräuche'!I48*Emissionsfaktoren!G48/1000, 0)</f>
        <v>0</v>
      </c>
      <c r="I558" s="110">
        <f>IF(ISNUMBER('Klisz-Verbräuche'!J48), 'Klisz-Verbräuche'!J48*Emissionsfaktoren!H48/1000, 0)</f>
        <v>0</v>
      </c>
      <c r="J558" s="110">
        <f>IF(ISNUMBER('Klisz-Verbräuche'!K48), 'Klisz-Verbräuche'!K48*Emissionsfaktoren!I48/1000, 0)</f>
        <v>0</v>
      </c>
      <c r="K558" s="110">
        <f>IF(ISNUMBER('Klisz-Verbräuche'!L48), 'Klisz-Verbräuche'!L48*Emissionsfaktoren!J48/1000, 0)</f>
        <v>0</v>
      </c>
      <c r="L558" s="110">
        <f>IF(ISNUMBER('Klisz-Verbräuche'!M48), 'Klisz-Verbräuche'!M48*Emissionsfaktoren!K48/1000, 0)</f>
        <v>0</v>
      </c>
      <c r="M558" s="110">
        <f>IF(ISNUMBER('Klisz-Verbräuche'!N48), 'Klisz-Verbräuche'!N48*Emissionsfaktoren!L48/1000, 0)</f>
        <v>0</v>
      </c>
      <c r="N558" s="110">
        <f>IF(ISNUMBER('Klisz-Verbräuche'!O48), 'Klisz-Verbräuche'!O48*Emissionsfaktoren!M48/1000, 0)</f>
        <v>0</v>
      </c>
      <c r="O558" s="110">
        <f>IF(ISNUMBER('Klisz-Verbräuche'!P48), 'Klisz-Verbräuche'!P48*Emissionsfaktoren!N48/1000, 0)</f>
        <v>0</v>
      </c>
      <c r="P558" s="110">
        <f>IF(ISNUMBER('Klisz-Verbräuche'!Q48), 'Klisz-Verbräuche'!Q48*Emissionsfaktoren!O48/1000, 0)</f>
        <v>0</v>
      </c>
      <c r="Q558" s="110">
        <f>IF(ISNUMBER('Klisz-Verbräuche'!R48), 'Klisz-Verbräuche'!R48*Emissionsfaktoren!P48/1000, 0)</f>
        <v>0</v>
      </c>
      <c r="R558" s="110">
        <f>IF(ISNUMBER('Klisz-Verbräuche'!S48), 'Klisz-Verbräuche'!S48*Emissionsfaktoren!Q48/1000, 0)</f>
        <v>0</v>
      </c>
      <c r="S558" s="110">
        <f>IF(ISNUMBER('Klisz-Verbräuche'!T48), 'Klisz-Verbräuche'!T48*Emissionsfaktoren!R48/1000, 0)</f>
        <v>0</v>
      </c>
      <c r="T558" s="110">
        <f>IF(ISNUMBER('Klisz-Verbräuche'!U48), 'Klisz-Verbräuche'!U48*Emissionsfaktoren!S48/1000, 0)</f>
        <v>0</v>
      </c>
      <c r="U558" s="110">
        <f>IF(ISNUMBER('Klisz-Verbräuche'!V48), 'Klisz-Verbräuche'!V48*Emissionsfaktoren!T48/1000, 0)</f>
        <v>0</v>
      </c>
      <c r="V558" s="110">
        <f>IF(ISNUMBER('Klisz-Verbräuche'!W48), 'Klisz-Verbräuche'!W48*Emissionsfaktoren!U48/1000, 0)</f>
        <v>0</v>
      </c>
      <c r="W558" s="110">
        <f>IF(ISNUMBER('Klisz-Verbräuche'!X48), 'Klisz-Verbräuche'!X48*Emissionsfaktoren!V48/1000, 0)</f>
        <v>0</v>
      </c>
      <c r="X558" s="110">
        <f>IF(ISNUMBER('Klisz-Verbräuche'!Y48), 'Klisz-Verbräuche'!Y48*Emissionsfaktoren!W48/1000, 0)</f>
        <v>0</v>
      </c>
      <c r="Y558" s="110">
        <f>IF(ISNUMBER('Klisz-Verbräuche'!Z48), 'Klisz-Verbräuche'!Z48*Emissionsfaktoren!X48/1000, 0)</f>
        <v>0</v>
      </c>
    </row>
    <row r="559" spans="2:25" ht="16.5">
      <c r="B559" s="14">
        <v>32</v>
      </c>
      <c r="C559" s="14" t="str">
        <f>'Refsz-Verbräuche'!C49</f>
        <v>Mobilität 1</v>
      </c>
      <c r="D559" s="19" t="str">
        <f>'Refsz-Verbräuche'!D49</f>
        <v>Fuhrpark (Benzin)</v>
      </c>
      <c r="E559" t="s">
        <v>195</v>
      </c>
      <c r="F559" s="110">
        <f>IF(ISNUMBER('Klisz-Verbräuche'!G49), 'Klisz-Verbräuche'!G49*Emissionsfaktoren!E49/1000, 0)</f>
        <v>0</v>
      </c>
      <c r="G559" s="110">
        <f>IF(ISNUMBER('Klisz-Verbräuche'!H49), 'Klisz-Verbräuche'!H49*Emissionsfaktoren!F49/1000, 0)</f>
        <v>0</v>
      </c>
      <c r="H559" s="110">
        <f>IF(ISNUMBER('Klisz-Verbräuche'!I49), 'Klisz-Verbräuche'!I49*Emissionsfaktoren!G49/1000, 0)</f>
        <v>0</v>
      </c>
      <c r="I559" s="110">
        <f>IF(ISNUMBER('Klisz-Verbräuche'!J49), 'Klisz-Verbräuche'!J49*Emissionsfaktoren!H49/1000, 0)</f>
        <v>0</v>
      </c>
      <c r="J559" s="110">
        <f>IF(ISNUMBER('Klisz-Verbräuche'!K49), 'Klisz-Verbräuche'!K49*Emissionsfaktoren!I49/1000, 0)</f>
        <v>0</v>
      </c>
      <c r="K559" s="110">
        <f>IF(ISNUMBER('Klisz-Verbräuche'!L49), 'Klisz-Verbräuche'!L49*Emissionsfaktoren!J49/1000, 0)</f>
        <v>0</v>
      </c>
      <c r="L559" s="110">
        <f>IF(ISNUMBER('Klisz-Verbräuche'!M49), 'Klisz-Verbräuche'!M49*Emissionsfaktoren!K49/1000, 0)</f>
        <v>0</v>
      </c>
      <c r="M559" s="110">
        <f>IF(ISNUMBER('Klisz-Verbräuche'!N49), 'Klisz-Verbräuche'!N49*Emissionsfaktoren!L49/1000, 0)</f>
        <v>0</v>
      </c>
      <c r="N559" s="110">
        <f>IF(ISNUMBER('Klisz-Verbräuche'!O49), 'Klisz-Verbräuche'!O49*Emissionsfaktoren!M49/1000, 0)</f>
        <v>0</v>
      </c>
      <c r="O559" s="110">
        <f>IF(ISNUMBER('Klisz-Verbräuche'!P49), 'Klisz-Verbräuche'!P49*Emissionsfaktoren!N49/1000, 0)</f>
        <v>0</v>
      </c>
      <c r="P559" s="110">
        <f>IF(ISNUMBER('Klisz-Verbräuche'!Q49), 'Klisz-Verbräuche'!Q49*Emissionsfaktoren!O49/1000, 0)</f>
        <v>0</v>
      </c>
      <c r="Q559" s="110">
        <f>IF(ISNUMBER('Klisz-Verbräuche'!R49), 'Klisz-Verbräuche'!R49*Emissionsfaktoren!P49/1000, 0)</f>
        <v>0</v>
      </c>
      <c r="R559" s="110">
        <f>IF(ISNUMBER('Klisz-Verbräuche'!S49), 'Klisz-Verbräuche'!S49*Emissionsfaktoren!Q49/1000, 0)</f>
        <v>0</v>
      </c>
      <c r="S559" s="110">
        <f>IF(ISNUMBER('Klisz-Verbräuche'!T49), 'Klisz-Verbräuche'!T49*Emissionsfaktoren!R49/1000, 0)</f>
        <v>0</v>
      </c>
      <c r="T559" s="110">
        <f>IF(ISNUMBER('Klisz-Verbräuche'!U49), 'Klisz-Verbräuche'!U49*Emissionsfaktoren!S49/1000, 0)</f>
        <v>0</v>
      </c>
      <c r="U559" s="110">
        <f>IF(ISNUMBER('Klisz-Verbräuche'!V49), 'Klisz-Verbräuche'!V49*Emissionsfaktoren!T49/1000, 0)</f>
        <v>0</v>
      </c>
      <c r="V559" s="110">
        <f>IF(ISNUMBER('Klisz-Verbräuche'!W49), 'Klisz-Verbräuche'!W49*Emissionsfaktoren!U49/1000, 0)</f>
        <v>0</v>
      </c>
      <c r="W559" s="110">
        <f>IF(ISNUMBER('Klisz-Verbräuche'!X49), 'Klisz-Verbräuche'!X49*Emissionsfaktoren!V49/1000, 0)</f>
        <v>0</v>
      </c>
      <c r="X559" s="110">
        <f>IF(ISNUMBER('Klisz-Verbräuche'!Y49), 'Klisz-Verbräuche'!Y49*Emissionsfaktoren!W49/1000, 0)</f>
        <v>0</v>
      </c>
      <c r="Y559" s="110">
        <f>IF(ISNUMBER('Klisz-Verbräuche'!Z49), 'Klisz-Verbräuche'!Z49*Emissionsfaktoren!X49/1000, 0)</f>
        <v>0</v>
      </c>
    </row>
    <row r="560" spans="2:25" ht="16.5">
      <c r="B560" s="14">
        <v>33</v>
      </c>
      <c r="C560" s="14" t="str">
        <f>'Refsz-Verbräuche'!C50</f>
        <v>Mobilität 1</v>
      </c>
      <c r="D560" s="19" t="str">
        <f>'Refsz-Verbräuche'!D50</f>
        <v>Fuhrpark (E-Auto/ BEV)</v>
      </c>
      <c r="E560" t="s">
        <v>195</v>
      </c>
      <c r="F560" s="110">
        <f>IF(ISNUMBER('Klisz-Verbräuche'!G50), 'Klisz-Verbräuche'!G50*Emissionsfaktoren!E50/1000, 0)</f>
        <v>0</v>
      </c>
      <c r="G560" s="110">
        <f>IF(ISNUMBER('Klisz-Verbräuche'!H50), 'Klisz-Verbräuche'!H50*Emissionsfaktoren!F50/1000, 0)</f>
        <v>0</v>
      </c>
      <c r="H560" s="110">
        <f>IF(ISNUMBER('Klisz-Verbräuche'!I50), 'Klisz-Verbräuche'!I50*Emissionsfaktoren!G50/1000, 0)</f>
        <v>0</v>
      </c>
      <c r="I560" s="110">
        <f>IF(ISNUMBER('Klisz-Verbräuche'!J50), 'Klisz-Verbräuche'!J50*Emissionsfaktoren!H50/1000, 0)</f>
        <v>0</v>
      </c>
      <c r="J560" s="110">
        <f>IF(ISNUMBER('Klisz-Verbräuche'!K50), 'Klisz-Verbräuche'!K50*Emissionsfaktoren!I50/1000, 0)</f>
        <v>0</v>
      </c>
      <c r="K560" s="110">
        <f>IF(ISNUMBER('Klisz-Verbräuche'!L50), 'Klisz-Verbräuche'!L50*Emissionsfaktoren!J50/1000, 0)</f>
        <v>0</v>
      </c>
      <c r="L560" s="110">
        <f>IF(ISNUMBER('Klisz-Verbräuche'!M50), 'Klisz-Verbräuche'!M50*Emissionsfaktoren!K50/1000, 0)</f>
        <v>0</v>
      </c>
      <c r="M560" s="110">
        <f>IF(ISNUMBER('Klisz-Verbräuche'!N50), 'Klisz-Verbräuche'!N50*Emissionsfaktoren!L50/1000, 0)</f>
        <v>0</v>
      </c>
      <c r="N560" s="110">
        <f>IF(ISNUMBER('Klisz-Verbräuche'!O50), 'Klisz-Verbräuche'!O50*Emissionsfaktoren!M50/1000, 0)</f>
        <v>0</v>
      </c>
      <c r="O560" s="110">
        <f>IF(ISNUMBER('Klisz-Verbräuche'!P50), 'Klisz-Verbräuche'!P50*Emissionsfaktoren!N50/1000, 0)</f>
        <v>0</v>
      </c>
      <c r="P560" s="110">
        <f>IF(ISNUMBER('Klisz-Verbräuche'!Q50), 'Klisz-Verbräuche'!Q50*Emissionsfaktoren!O50/1000, 0)</f>
        <v>0</v>
      </c>
      <c r="Q560" s="110">
        <f>IF(ISNUMBER('Klisz-Verbräuche'!R50), 'Klisz-Verbräuche'!R50*Emissionsfaktoren!P50/1000, 0)</f>
        <v>0</v>
      </c>
      <c r="R560" s="110">
        <f>IF(ISNUMBER('Klisz-Verbräuche'!S50), 'Klisz-Verbräuche'!S50*Emissionsfaktoren!Q50/1000, 0)</f>
        <v>0</v>
      </c>
      <c r="S560" s="110">
        <f>IF(ISNUMBER('Klisz-Verbräuche'!T50), 'Klisz-Verbräuche'!T50*Emissionsfaktoren!R50/1000, 0)</f>
        <v>0</v>
      </c>
      <c r="T560" s="110">
        <f>IF(ISNUMBER('Klisz-Verbräuche'!U50), 'Klisz-Verbräuche'!U50*Emissionsfaktoren!S50/1000, 0)</f>
        <v>0</v>
      </c>
      <c r="U560" s="110">
        <f>IF(ISNUMBER('Klisz-Verbräuche'!V50), 'Klisz-Verbräuche'!V50*Emissionsfaktoren!T50/1000, 0)</f>
        <v>0</v>
      </c>
      <c r="V560" s="110">
        <f>IF(ISNUMBER('Klisz-Verbräuche'!W50), 'Klisz-Verbräuche'!W50*Emissionsfaktoren!U50/1000, 0)</f>
        <v>0</v>
      </c>
      <c r="W560" s="110">
        <f>IF(ISNUMBER('Klisz-Verbräuche'!X50), 'Klisz-Verbräuche'!X50*Emissionsfaktoren!V50/1000, 0)</f>
        <v>0</v>
      </c>
      <c r="X560" s="110">
        <f>IF(ISNUMBER('Klisz-Verbräuche'!Y50), 'Klisz-Verbräuche'!Y50*Emissionsfaktoren!W50/1000, 0)</f>
        <v>0</v>
      </c>
      <c r="Y560" s="110">
        <f>IF(ISNUMBER('Klisz-Verbräuche'!Z50), 'Klisz-Verbräuche'!Z50*Emissionsfaktoren!X50/1000, 0)</f>
        <v>0</v>
      </c>
    </row>
    <row r="561" spans="2:25" ht="16.5">
      <c r="B561" s="14">
        <v>34</v>
      </c>
      <c r="C561" s="14" t="str">
        <f>'Refsz-Verbräuche'!C51</f>
        <v>Mobilität 1</v>
      </c>
      <c r="D561" s="19" t="str">
        <f>'Refsz-Verbräuche'!D51</f>
        <v>Fuhrpark (Wasserstoff/ FCEV)</v>
      </c>
      <c r="E561" t="s">
        <v>195</v>
      </c>
      <c r="F561" s="110">
        <f>IF(ISNUMBER('Klisz-Verbräuche'!G51), 'Klisz-Verbräuche'!G51*Emissionsfaktoren!E51/1000, 0)</f>
        <v>0</v>
      </c>
      <c r="G561" s="110">
        <f>IF(ISNUMBER('Klisz-Verbräuche'!H51), 'Klisz-Verbräuche'!H51*Emissionsfaktoren!F51/1000, 0)</f>
        <v>0</v>
      </c>
      <c r="H561" s="110">
        <f>IF(ISNUMBER('Klisz-Verbräuche'!I51), 'Klisz-Verbräuche'!I51*Emissionsfaktoren!G51/1000, 0)</f>
        <v>0</v>
      </c>
      <c r="I561" s="110">
        <f>IF(ISNUMBER('Klisz-Verbräuche'!J51), 'Klisz-Verbräuche'!J51*Emissionsfaktoren!H51/1000, 0)</f>
        <v>0</v>
      </c>
      <c r="J561" s="110">
        <f>IF(ISNUMBER('Klisz-Verbräuche'!K51), 'Klisz-Verbräuche'!K51*Emissionsfaktoren!I51/1000, 0)</f>
        <v>0</v>
      </c>
      <c r="K561" s="110">
        <f>IF(ISNUMBER('Klisz-Verbräuche'!L51), 'Klisz-Verbräuche'!L51*Emissionsfaktoren!J51/1000, 0)</f>
        <v>0</v>
      </c>
      <c r="L561" s="110">
        <f>IF(ISNUMBER('Klisz-Verbräuche'!M51), 'Klisz-Verbräuche'!M51*Emissionsfaktoren!K51/1000, 0)</f>
        <v>0</v>
      </c>
      <c r="M561" s="110">
        <f>IF(ISNUMBER('Klisz-Verbräuche'!N51), 'Klisz-Verbräuche'!N51*Emissionsfaktoren!L51/1000, 0)</f>
        <v>0</v>
      </c>
      <c r="N561" s="110">
        <f>IF(ISNUMBER('Klisz-Verbräuche'!O51), 'Klisz-Verbräuche'!O51*Emissionsfaktoren!M51/1000, 0)</f>
        <v>0</v>
      </c>
      <c r="O561" s="110">
        <f>IF(ISNUMBER('Klisz-Verbräuche'!P51), 'Klisz-Verbräuche'!P51*Emissionsfaktoren!N51/1000, 0)</f>
        <v>0</v>
      </c>
      <c r="P561" s="110">
        <f>IF(ISNUMBER('Klisz-Verbräuche'!Q51), 'Klisz-Verbräuche'!Q51*Emissionsfaktoren!O51/1000, 0)</f>
        <v>0</v>
      </c>
      <c r="Q561" s="110">
        <f>IF(ISNUMBER('Klisz-Verbräuche'!R51), 'Klisz-Verbräuche'!R51*Emissionsfaktoren!P51/1000, 0)</f>
        <v>0</v>
      </c>
      <c r="R561" s="110">
        <f>IF(ISNUMBER('Klisz-Verbräuche'!S51), 'Klisz-Verbräuche'!S51*Emissionsfaktoren!Q51/1000, 0)</f>
        <v>0</v>
      </c>
      <c r="S561" s="110">
        <f>IF(ISNUMBER('Klisz-Verbräuche'!T51), 'Klisz-Verbräuche'!T51*Emissionsfaktoren!R51/1000, 0)</f>
        <v>0</v>
      </c>
      <c r="T561" s="110">
        <f>IF(ISNUMBER('Klisz-Verbräuche'!U51), 'Klisz-Verbräuche'!U51*Emissionsfaktoren!S51/1000, 0)</f>
        <v>0</v>
      </c>
      <c r="U561" s="110">
        <f>IF(ISNUMBER('Klisz-Verbräuche'!V51), 'Klisz-Verbräuche'!V51*Emissionsfaktoren!T51/1000, 0)</f>
        <v>0</v>
      </c>
      <c r="V561" s="110">
        <f>IF(ISNUMBER('Klisz-Verbräuche'!W51), 'Klisz-Verbräuche'!W51*Emissionsfaktoren!U51/1000, 0)</f>
        <v>0</v>
      </c>
      <c r="W561" s="110">
        <f>IF(ISNUMBER('Klisz-Verbräuche'!X51), 'Klisz-Verbräuche'!X51*Emissionsfaktoren!V51/1000, 0)</f>
        <v>0</v>
      </c>
      <c r="X561" s="110">
        <f>IF(ISNUMBER('Klisz-Verbräuche'!Y51), 'Klisz-Verbräuche'!Y51*Emissionsfaktoren!W51/1000, 0)</f>
        <v>0</v>
      </c>
      <c r="Y561" s="110">
        <f>IF(ISNUMBER('Klisz-Verbräuche'!Z51), 'Klisz-Verbräuche'!Z51*Emissionsfaktoren!X51/1000, 0)</f>
        <v>0</v>
      </c>
    </row>
    <row r="562" spans="2:25" ht="16.5">
      <c r="B562" s="14">
        <v>35</v>
      </c>
      <c r="C562" s="14" t="str">
        <f>'Refsz-Verbräuche'!C52</f>
        <v>Mobilität 1</v>
      </c>
      <c r="D562" s="19" t="str">
        <f>'Refsz-Verbräuche'!D52</f>
        <v>Fuhrpark (CNG)</v>
      </c>
      <c r="E562" t="s">
        <v>195</v>
      </c>
      <c r="F562" s="110">
        <f>IF(ISNUMBER('Klisz-Verbräuche'!G52), 'Klisz-Verbräuche'!G52*Emissionsfaktoren!E52/1000, 0)</f>
        <v>0</v>
      </c>
      <c r="G562" s="110">
        <f>IF(ISNUMBER('Klisz-Verbräuche'!H52), 'Klisz-Verbräuche'!H52*Emissionsfaktoren!F52/1000, 0)</f>
        <v>0</v>
      </c>
      <c r="H562" s="110">
        <f>IF(ISNUMBER('Klisz-Verbräuche'!I52), 'Klisz-Verbräuche'!I52*Emissionsfaktoren!G52/1000, 0)</f>
        <v>0</v>
      </c>
      <c r="I562" s="110">
        <f>IF(ISNUMBER('Klisz-Verbräuche'!J52), 'Klisz-Verbräuche'!J52*Emissionsfaktoren!H52/1000, 0)</f>
        <v>0</v>
      </c>
      <c r="J562" s="110">
        <f>IF(ISNUMBER('Klisz-Verbräuche'!K52), 'Klisz-Verbräuche'!K52*Emissionsfaktoren!I52/1000, 0)</f>
        <v>0</v>
      </c>
      <c r="K562" s="110">
        <f>IF(ISNUMBER('Klisz-Verbräuche'!L52), 'Klisz-Verbräuche'!L52*Emissionsfaktoren!J52/1000, 0)</f>
        <v>0</v>
      </c>
      <c r="L562" s="110">
        <f>IF(ISNUMBER('Klisz-Verbräuche'!M52), 'Klisz-Verbräuche'!M52*Emissionsfaktoren!K52/1000, 0)</f>
        <v>0</v>
      </c>
      <c r="M562" s="110">
        <f>IF(ISNUMBER('Klisz-Verbräuche'!N52), 'Klisz-Verbräuche'!N52*Emissionsfaktoren!L52/1000, 0)</f>
        <v>0</v>
      </c>
      <c r="N562" s="110">
        <f>IF(ISNUMBER('Klisz-Verbräuche'!O52), 'Klisz-Verbräuche'!O52*Emissionsfaktoren!M52/1000, 0)</f>
        <v>0</v>
      </c>
      <c r="O562" s="110">
        <f>IF(ISNUMBER('Klisz-Verbräuche'!P52), 'Klisz-Verbräuche'!P52*Emissionsfaktoren!N52/1000, 0)</f>
        <v>0</v>
      </c>
      <c r="P562" s="110">
        <f>IF(ISNUMBER('Klisz-Verbräuche'!Q52), 'Klisz-Verbräuche'!Q52*Emissionsfaktoren!O52/1000, 0)</f>
        <v>0</v>
      </c>
      <c r="Q562" s="110">
        <f>IF(ISNUMBER('Klisz-Verbräuche'!R52), 'Klisz-Verbräuche'!R52*Emissionsfaktoren!P52/1000, 0)</f>
        <v>0</v>
      </c>
      <c r="R562" s="110">
        <f>IF(ISNUMBER('Klisz-Verbräuche'!S52), 'Klisz-Verbräuche'!S52*Emissionsfaktoren!Q52/1000, 0)</f>
        <v>0</v>
      </c>
      <c r="S562" s="110">
        <f>IF(ISNUMBER('Klisz-Verbräuche'!T52), 'Klisz-Verbräuche'!T52*Emissionsfaktoren!R52/1000, 0)</f>
        <v>0</v>
      </c>
      <c r="T562" s="110">
        <f>IF(ISNUMBER('Klisz-Verbräuche'!U52), 'Klisz-Verbräuche'!U52*Emissionsfaktoren!S52/1000, 0)</f>
        <v>0</v>
      </c>
      <c r="U562" s="110">
        <f>IF(ISNUMBER('Klisz-Verbräuche'!V52), 'Klisz-Verbräuche'!V52*Emissionsfaktoren!T52/1000, 0)</f>
        <v>0</v>
      </c>
      <c r="V562" s="110">
        <f>IF(ISNUMBER('Klisz-Verbräuche'!W52), 'Klisz-Verbräuche'!W52*Emissionsfaktoren!U52/1000, 0)</f>
        <v>0</v>
      </c>
      <c r="W562" s="110">
        <f>IF(ISNUMBER('Klisz-Verbräuche'!X52), 'Klisz-Verbräuche'!X52*Emissionsfaktoren!V52/1000, 0)</f>
        <v>0</v>
      </c>
      <c r="X562" s="110">
        <f>IF(ISNUMBER('Klisz-Verbräuche'!Y52), 'Klisz-Verbräuche'!Y52*Emissionsfaktoren!W52/1000, 0)</f>
        <v>0</v>
      </c>
      <c r="Y562" s="110">
        <f>IF(ISNUMBER('Klisz-Verbräuche'!Z52), 'Klisz-Verbräuche'!Z52*Emissionsfaktoren!X52/1000, 0)</f>
        <v>0</v>
      </c>
    </row>
    <row r="563" spans="2:25" ht="16.5">
      <c r="B563" s="14">
        <v>36</v>
      </c>
      <c r="C563" s="14" t="str">
        <f>'Refsz-Verbräuche'!C53</f>
        <v>Mobilität 1</v>
      </c>
      <c r="D563" s="19" t="str">
        <f>'Refsz-Verbräuche'!D53</f>
        <v>Fuhrpark (Plug-In-Hybrid, PHEV)</v>
      </c>
      <c r="E563" t="s">
        <v>195</v>
      </c>
      <c r="F563" s="110">
        <f>IF(ISNUMBER('Klisz-Verbräuche'!G53), 'Klisz-Verbräuche'!G53*Emissionsfaktoren!E53/1000, 0)</f>
        <v>0</v>
      </c>
      <c r="G563" s="110">
        <f>IF(ISNUMBER('Klisz-Verbräuche'!H53), 'Klisz-Verbräuche'!H53*Emissionsfaktoren!F53/1000, 0)</f>
        <v>0</v>
      </c>
      <c r="H563" s="110">
        <f>IF(ISNUMBER('Klisz-Verbräuche'!I53), 'Klisz-Verbräuche'!I53*Emissionsfaktoren!G53/1000, 0)</f>
        <v>0</v>
      </c>
      <c r="I563" s="110">
        <f>IF(ISNUMBER('Klisz-Verbräuche'!J53), 'Klisz-Verbräuche'!J53*Emissionsfaktoren!H53/1000, 0)</f>
        <v>0</v>
      </c>
      <c r="J563" s="110">
        <f>IF(ISNUMBER('Klisz-Verbräuche'!K53), 'Klisz-Verbräuche'!K53*Emissionsfaktoren!I53/1000, 0)</f>
        <v>0</v>
      </c>
      <c r="K563" s="110">
        <f>IF(ISNUMBER('Klisz-Verbräuche'!L53), 'Klisz-Verbräuche'!L53*Emissionsfaktoren!J53/1000, 0)</f>
        <v>0</v>
      </c>
      <c r="L563" s="110">
        <f>IF(ISNUMBER('Klisz-Verbräuche'!M53), 'Klisz-Verbräuche'!M53*Emissionsfaktoren!K53/1000, 0)</f>
        <v>0</v>
      </c>
      <c r="M563" s="110">
        <f>IF(ISNUMBER('Klisz-Verbräuche'!N53), 'Klisz-Verbräuche'!N53*Emissionsfaktoren!L53/1000, 0)</f>
        <v>0</v>
      </c>
      <c r="N563" s="110">
        <f>IF(ISNUMBER('Klisz-Verbräuche'!O53), 'Klisz-Verbräuche'!O53*Emissionsfaktoren!M53/1000, 0)</f>
        <v>0</v>
      </c>
      <c r="O563" s="110">
        <f>IF(ISNUMBER('Klisz-Verbräuche'!P53), 'Klisz-Verbräuche'!P53*Emissionsfaktoren!N53/1000, 0)</f>
        <v>0</v>
      </c>
      <c r="P563" s="110">
        <f>IF(ISNUMBER('Klisz-Verbräuche'!Q53), 'Klisz-Verbräuche'!Q53*Emissionsfaktoren!O53/1000, 0)</f>
        <v>0</v>
      </c>
      <c r="Q563" s="110">
        <f>IF(ISNUMBER('Klisz-Verbräuche'!R53), 'Klisz-Verbräuche'!R53*Emissionsfaktoren!P53/1000, 0)</f>
        <v>0</v>
      </c>
      <c r="R563" s="110">
        <f>IF(ISNUMBER('Klisz-Verbräuche'!S53), 'Klisz-Verbräuche'!S53*Emissionsfaktoren!Q53/1000, 0)</f>
        <v>0</v>
      </c>
      <c r="S563" s="110">
        <f>IF(ISNUMBER('Klisz-Verbräuche'!T53), 'Klisz-Verbräuche'!T53*Emissionsfaktoren!R53/1000, 0)</f>
        <v>0</v>
      </c>
      <c r="T563" s="110">
        <f>IF(ISNUMBER('Klisz-Verbräuche'!U53), 'Klisz-Verbräuche'!U53*Emissionsfaktoren!S53/1000, 0)</f>
        <v>0</v>
      </c>
      <c r="U563" s="110">
        <f>IF(ISNUMBER('Klisz-Verbräuche'!V53), 'Klisz-Verbräuche'!V53*Emissionsfaktoren!T53/1000, 0)</f>
        <v>0</v>
      </c>
      <c r="V563" s="110">
        <f>IF(ISNUMBER('Klisz-Verbräuche'!W53), 'Klisz-Verbräuche'!W53*Emissionsfaktoren!U53/1000, 0)</f>
        <v>0</v>
      </c>
      <c r="W563" s="110">
        <f>IF(ISNUMBER('Klisz-Verbräuche'!X53), 'Klisz-Verbräuche'!X53*Emissionsfaktoren!V53/1000, 0)</f>
        <v>0</v>
      </c>
      <c r="X563" s="110">
        <f>IF(ISNUMBER('Klisz-Verbräuche'!Y53), 'Klisz-Verbräuche'!Y53*Emissionsfaktoren!W53/1000, 0)</f>
        <v>0</v>
      </c>
      <c r="Y563" s="110">
        <f>IF(ISNUMBER('Klisz-Verbräuche'!Z53), 'Klisz-Verbräuche'!Z53*Emissionsfaktoren!X53/1000, 0)</f>
        <v>0</v>
      </c>
    </row>
    <row r="564" spans="2:25" ht="16.5">
      <c r="B564" s="14">
        <v>37</v>
      </c>
      <c r="C564" s="14">
        <f>'Refsz-Verbräuche'!C54</f>
        <v>0</v>
      </c>
      <c r="D564" s="19">
        <f>'Refsz-Verbräuche'!D54</f>
        <v>0</v>
      </c>
      <c r="E564" t="s">
        <v>195</v>
      </c>
      <c r="F564" s="110">
        <f>IF(ISNUMBER('Klisz-Verbräuche'!G54), 'Klisz-Verbräuche'!G54*Emissionsfaktoren!E54/1000, 0)</f>
        <v>0</v>
      </c>
      <c r="G564" s="110">
        <f>IF(ISNUMBER('Klisz-Verbräuche'!H54), 'Klisz-Verbräuche'!H54*Emissionsfaktoren!F54/1000, 0)</f>
        <v>0</v>
      </c>
      <c r="H564" s="110">
        <f>IF(ISNUMBER('Klisz-Verbräuche'!I54), 'Klisz-Verbräuche'!I54*Emissionsfaktoren!G54/1000, 0)</f>
        <v>0</v>
      </c>
      <c r="I564" s="110">
        <f>IF(ISNUMBER('Klisz-Verbräuche'!J54), 'Klisz-Verbräuche'!J54*Emissionsfaktoren!H54/1000, 0)</f>
        <v>0</v>
      </c>
      <c r="J564" s="110">
        <f>IF(ISNUMBER('Klisz-Verbräuche'!K54), 'Klisz-Verbräuche'!K54*Emissionsfaktoren!I54/1000, 0)</f>
        <v>0</v>
      </c>
      <c r="K564" s="110">
        <f>IF(ISNUMBER('Klisz-Verbräuche'!L54), 'Klisz-Verbräuche'!L54*Emissionsfaktoren!J54/1000, 0)</f>
        <v>0</v>
      </c>
      <c r="L564" s="110">
        <f>IF(ISNUMBER('Klisz-Verbräuche'!M54), 'Klisz-Verbräuche'!M54*Emissionsfaktoren!K54/1000, 0)</f>
        <v>0</v>
      </c>
      <c r="M564" s="110">
        <f>IF(ISNUMBER('Klisz-Verbräuche'!N54), 'Klisz-Verbräuche'!N54*Emissionsfaktoren!L54/1000, 0)</f>
        <v>0</v>
      </c>
      <c r="N564" s="110">
        <f>IF(ISNUMBER('Klisz-Verbräuche'!O54), 'Klisz-Verbräuche'!O54*Emissionsfaktoren!M54/1000, 0)</f>
        <v>0</v>
      </c>
      <c r="O564" s="110">
        <f>IF(ISNUMBER('Klisz-Verbräuche'!P54), 'Klisz-Verbräuche'!P54*Emissionsfaktoren!N54/1000, 0)</f>
        <v>0</v>
      </c>
      <c r="P564" s="110">
        <f>IF(ISNUMBER('Klisz-Verbräuche'!Q54), 'Klisz-Verbräuche'!Q54*Emissionsfaktoren!O54/1000, 0)</f>
        <v>0</v>
      </c>
      <c r="Q564" s="110">
        <f>IF(ISNUMBER('Klisz-Verbräuche'!R54), 'Klisz-Verbräuche'!R54*Emissionsfaktoren!P54/1000, 0)</f>
        <v>0</v>
      </c>
      <c r="R564" s="110">
        <f>IF(ISNUMBER('Klisz-Verbräuche'!S54), 'Klisz-Verbräuche'!S54*Emissionsfaktoren!Q54/1000, 0)</f>
        <v>0</v>
      </c>
      <c r="S564" s="110">
        <f>IF(ISNUMBER('Klisz-Verbräuche'!T54), 'Klisz-Verbräuche'!T54*Emissionsfaktoren!R54/1000, 0)</f>
        <v>0</v>
      </c>
      <c r="T564" s="110">
        <f>IF(ISNUMBER('Klisz-Verbräuche'!U54), 'Klisz-Verbräuche'!U54*Emissionsfaktoren!S54/1000, 0)</f>
        <v>0</v>
      </c>
      <c r="U564" s="110">
        <f>IF(ISNUMBER('Klisz-Verbräuche'!V54), 'Klisz-Verbräuche'!V54*Emissionsfaktoren!T54/1000, 0)</f>
        <v>0</v>
      </c>
      <c r="V564" s="110">
        <f>IF(ISNUMBER('Klisz-Verbräuche'!W54), 'Klisz-Verbräuche'!W54*Emissionsfaktoren!U54/1000, 0)</f>
        <v>0</v>
      </c>
      <c r="W564" s="110">
        <f>IF(ISNUMBER('Klisz-Verbräuche'!X54), 'Klisz-Verbräuche'!X54*Emissionsfaktoren!V54/1000, 0)</f>
        <v>0</v>
      </c>
      <c r="X564" s="110">
        <f>IF(ISNUMBER('Klisz-Verbräuche'!Y54), 'Klisz-Verbräuche'!Y54*Emissionsfaktoren!W54/1000, 0)</f>
        <v>0</v>
      </c>
      <c r="Y564" s="110">
        <f>IF(ISNUMBER('Klisz-Verbräuche'!Z54), 'Klisz-Verbräuche'!Z54*Emissionsfaktoren!X54/1000, 0)</f>
        <v>0</v>
      </c>
    </row>
    <row r="565" spans="2:25" ht="16.5">
      <c r="B565" s="14">
        <v>38</v>
      </c>
      <c r="C565" s="14" t="str">
        <f>'Refsz-Verbräuche'!C55</f>
        <v>Mobilität 1</v>
      </c>
      <c r="D565" s="19" t="str">
        <f>'Refsz-Verbräuche'!D55</f>
        <v>DR - Flugreisen</v>
      </c>
      <c r="E565" t="s">
        <v>195</v>
      </c>
      <c r="F565" s="110">
        <f>IF(ISNUMBER('Klisz-Verbräuche'!G55), 'Klisz-Verbräuche'!G55*Emissionsfaktoren!E55/1000, 0)</f>
        <v>0</v>
      </c>
      <c r="G565" s="110">
        <f>IF(ISNUMBER('Klisz-Verbräuche'!H55), 'Klisz-Verbräuche'!H55*Emissionsfaktoren!F55/1000, 0)</f>
        <v>0</v>
      </c>
      <c r="H565" s="110">
        <f>IF(ISNUMBER('Klisz-Verbräuche'!I55), 'Klisz-Verbräuche'!I55*Emissionsfaktoren!G55/1000, 0)</f>
        <v>0</v>
      </c>
      <c r="I565" s="110">
        <f>IF(ISNUMBER('Klisz-Verbräuche'!J55), 'Klisz-Verbräuche'!J55*Emissionsfaktoren!H55/1000, 0)</f>
        <v>0</v>
      </c>
      <c r="J565" s="110">
        <f>IF(ISNUMBER('Klisz-Verbräuche'!K55), 'Klisz-Verbräuche'!K55*Emissionsfaktoren!I55/1000, 0)</f>
        <v>0</v>
      </c>
      <c r="K565" s="110">
        <f>IF(ISNUMBER('Klisz-Verbräuche'!L55), 'Klisz-Verbräuche'!L55*Emissionsfaktoren!J55/1000, 0)</f>
        <v>0</v>
      </c>
      <c r="L565" s="110">
        <f>IF(ISNUMBER('Klisz-Verbräuche'!M55), 'Klisz-Verbräuche'!M55*Emissionsfaktoren!K55/1000, 0)</f>
        <v>0</v>
      </c>
      <c r="M565" s="110">
        <f>IF(ISNUMBER('Klisz-Verbräuche'!N55), 'Klisz-Verbräuche'!N55*Emissionsfaktoren!L55/1000, 0)</f>
        <v>0</v>
      </c>
      <c r="N565" s="110">
        <f>IF(ISNUMBER('Klisz-Verbräuche'!O55), 'Klisz-Verbräuche'!O55*Emissionsfaktoren!M55/1000, 0)</f>
        <v>0</v>
      </c>
      <c r="O565" s="110">
        <f>IF(ISNUMBER('Klisz-Verbräuche'!P55), 'Klisz-Verbräuche'!P55*Emissionsfaktoren!N55/1000, 0)</f>
        <v>0</v>
      </c>
      <c r="P565" s="110">
        <f>IF(ISNUMBER('Klisz-Verbräuche'!Q55), 'Klisz-Verbräuche'!Q55*Emissionsfaktoren!O55/1000, 0)</f>
        <v>0</v>
      </c>
      <c r="Q565" s="110">
        <f>IF(ISNUMBER('Klisz-Verbräuche'!R55), 'Klisz-Verbräuche'!R55*Emissionsfaktoren!P55/1000, 0)</f>
        <v>0</v>
      </c>
      <c r="R565" s="110">
        <f>IF(ISNUMBER('Klisz-Verbräuche'!S55), 'Klisz-Verbräuche'!S55*Emissionsfaktoren!Q55/1000, 0)</f>
        <v>0</v>
      </c>
      <c r="S565" s="110">
        <f>IF(ISNUMBER('Klisz-Verbräuche'!T55), 'Klisz-Verbräuche'!T55*Emissionsfaktoren!R55/1000, 0)</f>
        <v>0</v>
      </c>
      <c r="T565" s="110">
        <f>IF(ISNUMBER('Klisz-Verbräuche'!U55), 'Klisz-Verbräuche'!U55*Emissionsfaktoren!S55/1000, 0)</f>
        <v>0</v>
      </c>
      <c r="U565" s="110">
        <f>IF(ISNUMBER('Klisz-Verbräuche'!V55), 'Klisz-Verbräuche'!V55*Emissionsfaktoren!T55/1000, 0)</f>
        <v>0</v>
      </c>
      <c r="V565" s="110">
        <f>IF(ISNUMBER('Klisz-Verbräuche'!W55), 'Klisz-Verbräuche'!W55*Emissionsfaktoren!U55/1000, 0)</f>
        <v>0</v>
      </c>
      <c r="W565" s="110">
        <f>IF(ISNUMBER('Klisz-Verbräuche'!X55), 'Klisz-Verbräuche'!X55*Emissionsfaktoren!V55/1000, 0)</f>
        <v>0</v>
      </c>
      <c r="X565" s="110">
        <f>IF(ISNUMBER('Klisz-Verbräuche'!Y55), 'Klisz-Verbräuche'!Y55*Emissionsfaktoren!W55/1000, 0)</f>
        <v>0</v>
      </c>
      <c r="Y565" s="110">
        <f>IF(ISNUMBER('Klisz-Verbräuche'!Z55), 'Klisz-Verbräuche'!Z55*Emissionsfaktoren!X55/1000, 0)</f>
        <v>0</v>
      </c>
    </row>
    <row r="566" spans="2:25" ht="16.5">
      <c r="B566" s="14">
        <v>39</v>
      </c>
      <c r="C566" s="14" t="str">
        <f>'Refsz-Verbräuche'!C56</f>
        <v>Mobilität 1</v>
      </c>
      <c r="D566" s="19" t="str">
        <f>'Refsz-Verbräuche'!D56</f>
        <v>DR - Eisenbahn (Fernverkehr)</v>
      </c>
      <c r="E566" t="s">
        <v>195</v>
      </c>
      <c r="F566" s="110">
        <f>IF(ISNUMBER('Klisz-Verbräuche'!G56), 'Klisz-Verbräuche'!G56*Emissionsfaktoren!E56/1000, 0)</f>
        <v>0</v>
      </c>
      <c r="G566" s="110">
        <f>IF(ISNUMBER('Klisz-Verbräuche'!H56), 'Klisz-Verbräuche'!H56*Emissionsfaktoren!F56/1000, 0)</f>
        <v>0</v>
      </c>
      <c r="H566" s="110">
        <f>IF(ISNUMBER('Klisz-Verbräuche'!I56), 'Klisz-Verbräuche'!I56*Emissionsfaktoren!G56/1000, 0)</f>
        <v>0</v>
      </c>
      <c r="I566" s="110">
        <f>IF(ISNUMBER('Klisz-Verbräuche'!J56), 'Klisz-Verbräuche'!J56*Emissionsfaktoren!H56/1000, 0)</f>
        <v>0</v>
      </c>
      <c r="J566" s="110">
        <f>IF(ISNUMBER('Klisz-Verbräuche'!K56), 'Klisz-Verbräuche'!K56*Emissionsfaktoren!I56/1000, 0)</f>
        <v>0</v>
      </c>
      <c r="K566" s="110">
        <f>IF(ISNUMBER('Klisz-Verbräuche'!L56), 'Klisz-Verbräuche'!L56*Emissionsfaktoren!J56/1000, 0)</f>
        <v>0</v>
      </c>
      <c r="L566" s="110">
        <f>IF(ISNUMBER('Klisz-Verbräuche'!M56), 'Klisz-Verbräuche'!M56*Emissionsfaktoren!K56/1000, 0)</f>
        <v>0</v>
      </c>
      <c r="M566" s="110">
        <f>IF(ISNUMBER('Klisz-Verbräuche'!N56), 'Klisz-Verbräuche'!N56*Emissionsfaktoren!L56/1000, 0)</f>
        <v>0</v>
      </c>
      <c r="N566" s="110">
        <f>IF(ISNUMBER('Klisz-Verbräuche'!O56), 'Klisz-Verbräuche'!O56*Emissionsfaktoren!M56/1000, 0)</f>
        <v>0</v>
      </c>
      <c r="O566" s="110">
        <f>IF(ISNUMBER('Klisz-Verbräuche'!P56), 'Klisz-Verbräuche'!P56*Emissionsfaktoren!N56/1000, 0)</f>
        <v>0</v>
      </c>
      <c r="P566" s="110">
        <f>IF(ISNUMBER('Klisz-Verbräuche'!Q56), 'Klisz-Verbräuche'!Q56*Emissionsfaktoren!O56/1000, 0)</f>
        <v>0</v>
      </c>
      <c r="Q566" s="110">
        <f>IF(ISNUMBER('Klisz-Verbräuche'!R56), 'Klisz-Verbräuche'!R56*Emissionsfaktoren!P56/1000, 0)</f>
        <v>0</v>
      </c>
      <c r="R566" s="110">
        <f>IF(ISNUMBER('Klisz-Verbräuche'!S56), 'Klisz-Verbräuche'!S56*Emissionsfaktoren!Q56/1000, 0)</f>
        <v>0</v>
      </c>
      <c r="S566" s="110">
        <f>IF(ISNUMBER('Klisz-Verbräuche'!T56), 'Klisz-Verbräuche'!T56*Emissionsfaktoren!R56/1000, 0)</f>
        <v>0</v>
      </c>
      <c r="T566" s="110">
        <f>IF(ISNUMBER('Klisz-Verbräuche'!U56), 'Klisz-Verbräuche'!U56*Emissionsfaktoren!S56/1000, 0)</f>
        <v>0</v>
      </c>
      <c r="U566" s="110">
        <f>IF(ISNUMBER('Klisz-Verbräuche'!V56), 'Klisz-Verbräuche'!V56*Emissionsfaktoren!T56/1000, 0)</f>
        <v>0</v>
      </c>
      <c r="V566" s="110">
        <f>IF(ISNUMBER('Klisz-Verbräuche'!W56), 'Klisz-Verbräuche'!W56*Emissionsfaktoren!U56/1000, 0)</f>
        <v>0</v>
      </c>
      <c r="W566" s="110">
        <f>IF(ISNUMBER('Klisz-Verbräuche'!X56), 'Klisz-Verbräuche'!X56*Emissionsfaktoren!V56/1000, 0)</f>
        <v>0</v>
      </c>
      <c r="X566" s="110">
        <f>IF(ISNUMBER('Klisz-Verbräuche'!Y56), 'Klisz-Verbräuche'!Y56*Emissionsfaktoren!W56/1000, 0)</f>
        <v>0</v>
      </c>
      <c r="Y566" s="110">
        <f>IF(ISNUMBER('Klisz-Verbräuche'!Z56), 'Klisz-Verbräuche'!Z56*Emissionsfaktoren!X56/1000, 0)</f>
        <v>0</v>
      </c>
    </row>
    <row r="567" spans="2:25" ht="16.5">
      <c r="B567" s="14">
        <v>40</v>
      </c>
      <c r="C567" s="14" t="str">
        <f>'Refsz-Verbräuche'!C57</f>
        <v>Mobilität 1</v>
      </c>
      <c r="D567" s="19" t="str">
        <f>'Refsz-Verbräuche'!D57</f>
        <v>DR - Eisenbahn (Nahverkehr)</v>
      </c>
      <c r="E567" t="s">
        <v>195</v>
      </c>
      <c r="F567" s="110">
        <f>IF(ISNUMBER('Klisz-Verbräuche'!G57), 'Klisz-Verbräuche'!G57*Emissionsfaktoren!E57/1000, 0)</f>
        <v>0</v>
      </c>
      <c r="G567" s="110">
        <f>IF(ISNUMBER('Klisz-Verbräuche'!H57), 'Klisz-Verbräuche'!H57*Emissionsfaktoren!F57/1000, 0)</f>
        <v>0</v>
      </c>
      <c r="H567" s="110">
        <f>IF(ISNUMBER('Klisz-Verbräuche'!I57), 'Klisz-Verbräuche'!I57*Emissionsfaktoren!G57/1000, 0)</f>
        <v>0</v>
      </c>
      <c r="I567" s="110">
        <f>IF(ISNUMBER('Klisz-Verbräuche'!J57), 'Klisz-Verbräuche'!J57*Emissionsfaktoren!H57/1000, 0)</f>
        <v>0</v>
      </c>
      <c r="J567" s="110">
        <f>IF(ISNUMBER('Klisz-Verbräuche'!K57), 'Klisz-Verbräuche'!K57*Emissionsfaktoren!I57/1000, 0)</f>
        <v>0</v>
      </c>
      <c r="K567" s="110">
        <f>IF(ISNUMBER('Klisz-Verbräuche'!L57), 'Klisz-Verbräuche'!L57*Emissionsfaktoren!J57/1000, 0)</f>
        <v>0</v>
      </c>
      <c r="L567" s="110">
        <f>IF(ISNUMBER('Klisz-Verbräuche'!M57), 'Klisz-Verbräuche'!M57*Emissionsfaktoren!K57/1000, 0)</f>
        <v>0</v>
      </c>
      <c r="M567" s="110">
        <f>IF(ISNUMBER('Klisz-Verbräuche'!N57), 'Klisz-Verbräuche'!N57*Emissionsfaktoren!L57/1000, 0)</f>
        <v>0</v>
      </c>
      <c r="N567" s="110">
        <f>IF(ISNUMBER('Klisz-Verbräuche'!O57), 'Klisz-Verbräuche'!O57*Emissionsfaktoren!M57/1000, 0)</f>
        <v>0</v>
      </c>
      <c r="O567" s="110">
        <f>IF(ISNUMBER('Klisz-Verbräuche'!P57), 'Klisz-Verbräuche'!P57*Emissionsfaktoren!N57/1000, 0)</f>
        <v>0</v>
      </c>
      <c r="P567" s="110">
        <f>IF(ISNUMBER('Klisz-Verbräuche'!Q57), 'Klisz-Verbräuche'!Q57*Emissionsfaktoren!O57/1000, 0)</f>
        <v>0</v>
      </c>
      <c r="Q567" s="110">
        <f>IF(ISNUMBER('Klisz-Verbräuche'!R57), 'Klisz-Verbräuche'!R57*Emissionsfaktoren!P57/1000, 0)</f>
        <v>0</v>
      </c>
      <c r="R567" s="110">
        <f>IF(ISNUMBER('Klisz-Verbräuche'!S57), 'Klisz-Verbräuche'!S57*Emissionsfaktoren!Q57/1000, 0)</f>
        <v>0</v>
      </c>
      <c r="S567" s="110">
        <f>IF(ISNUMBER('Klisz-Verbräuche'!T57), 'Klisz-Verbräuche'!T57*Emissionsfaktoren!R57/1000, 0)</f>
        <v>0</v>
      </c>
      <c r="T567" s="110">
        <f>IF(ISNUMBER('Klisz-Verbräuche'!U57), 'Klisz-Verbräuche'!U57*Emissionsfaktoren!S57/1000, 0)</f>
        <v>0</v>
      </c>
      <c r="U567" s="110">
        <f>IF(ISNUMBER('Klisz-Verbräuche'!V57), 'Klisz-Verbräuche'!V57*Emissionsfaktoren!T57/1000, 0)</f>
        <v>0</v>
      </c>
      <c r="V567" s="110">
        <f>IF(ISNUMBER('Klisz-Verbräuche'!W57), 'Klisz-Verbräuche'!W57*Emissionsfaktoren!U57/1000, 0)</f>
        <v>0</v>
      </c>
      <c r="W567" s="110">
        <f>IF(ISNUMBER('Klisz-Verbräuche'!X57), 'Klisz-Verbräuche'!X57*Emissionsfaktoren!V57/1000, 0)</f>
        <v>0</v>
      </c>
      <c r="X567" s="110">
        <f>IF(ISNUMBER('Klisz-Verbräuche'!Y57), 'Klisz-Verbräuche'!Y57*Emissionsfaktoren!W57/1000, 0)</f>
        <v>0</v>
      </c>
      <c r="Y567" s="110">
        <f>IF(ISNUMBER('Klisz-Verbräuche'!Z57), 'Klisz-Verbräuche'!Z57*Emissionsfaktoren!X57/1000, 0)</f>
        <v>0</v>
      </c>
    </row>
    <row r="568" spans="2:25" ht="16.5">
      <c r="B568" s="14">
        <v>41</v>
      </c>
      <c r="C568" s="14" t="str">
        <f>'Refsz-Verbräuche'!C58</f>
        <v>Mobilität 1</v>
      </c>
      <c r="D568" s="19" t="str">
        <f>'Refsz-Verbräuche'!D58</f>
        <v>DR - Reisebus, Linienbus (Fernverkehr)</v>
      </c>
      <c r="E568" t="s">
        <v>195</v>
      </c>
      <c r="F568" s="110">
        <f>IF(ISNUMBER('Klisz-Verbräuche'!G58), 'Klisz-Verbräuche'!G58*Emissionsfaktoren!E58/1000, 0)</f>
        <v>0</v>
      </c>
      <c r="G568" s="110">
        <f>IF(ISNUMBER('Klisz-Verbräuche'!H58), 'Klisz-Verbräuche'!H58*Emissionsfaktoren!F58/1000, 0)</f>
        <v>0</v>
      </c>
      <c r="H568" s="110">
        <f>IF(ISNUMBER('Klisz-Verbräuche'!I58), 'Klisz-Verbräuche'!I58*Emissionsfaktoren!G58/1000, 0)</f>
        <v>0</v>
      </c>
      <c r="I568" s="110">
        <f>IF(ISNUMBER('Klisz-Verbräuche'!J58), 'Klisz-Verbräuche'!J58*Emissionsfaktoren!H58/1000, 0)</f>
        <v>0</v>
      </c>
      <c r="J568" s="110">
        <f>IF(ISNUMBER('Klisz-Verbräuche'!K58), 'Klisz-Verbräuche'!K58*Emissionsfaktoren!I58/1000, 0)</f>
        <v>0</v>
      </c>
      <c r="K568" s="110">
        <f>IF(ISNUMBER('Klisz-Verbräuche'!L58), 'Klisz-Verbräuche'!L58*Emissionsfaktoren!J58/1000, 0)</f>
        <v>0</v>
      </c>
      <c r="L568" s="110">
        <f>IF(ISNUMBER('Klisz-Verbräuche'!M58), 'Klisz-Verbräuche'!M58*Emissionsfaktoren!K58/1000, 0)</f>
        <v>0</v>
      </c>
      <c r="M568" s="110">
        <f>IF(ISNUMBER('Klisz-Verbräuche'!N58), 'Klisz-Verbräuche'!N58*Emissionsfaktoren!L58/1000, 0)</f>
        <v>0</v>
      </c>
      <c r="N568" s="110">
        <f>IF(ISNUMBER('Klisz-Verbräuche'!O58), 'Klisz-Verbräuche'!O58*Emissionsfaktoren!M58/1000, 0)</f>
        <v>0</v>
      </c>
      <c r="O568" s="110">
        <f>IF(ISNUMBER('Klisz-Verbräuche'!P58), 'Klisz-Verbräuche'!P58*Emissionsfaktoren!N58/1000, 0)</f>
        <v>0</v>
      </c>
      <c r="P568" s="110">
        <f>IF(ISNUMBER('Klisz-Verbräuche'!Q58), 'Klisz-Verbräuche'!Q58*Emissionsfaktoren!O58/1000, 0)</f>
        <v>0</v>
      </c>
      <c r="Q568" s="110">
        <f>IF(ISNUMBER('Klisz-Verbräuche'!R58), 'Klisz-Verbräuche'!R58*Emissionsfaktoren!P58/1000, 0)</f>
        <v>0</v>
      </c>
      <c r="R568" s="110">
        <f>IF(ISNUMBER('Klisz-Verbräuche'!S58), 'Klisz-Verbräuche'!S58*Emissionsfaktoren!Q58/1000, 0)</f>
        <v>0</v>
      </c>
      <c r="S568" s="110">
        <f>IF(ISNUMBER('Klisz-Verbräuche'!T58), 'Klisz-Verbräuche'!T58*Emissionsfaktoren!R58/1000, 0)</f>
        <v>0</v>
      </c>
      <c r="T568" s="110">
        <f>IF(ISNUMBER('Klisz-Verbräuche'!U58), 'Klisz-Verbräuche'!U58*Emissionsfaktoren!S58/1000, 0)</f>
        <v>0</v>
      </c>
      <c r="U568" s="110">
        <f>IF(ISNUMBER('Klisz-Verbräuche'!V58), 'Klisz-Verbräuche'!V58*Emissionsfaktoren!T58/1000, 0)</f>
        <v>0</v>
      </c>
      <c r="V568" s="110">
        <f>IF(ISNUMBER('Klisz-Verbräuche'!W58), 'Klisz-Verbräuche'!W58*Emissionsfaktoren!U58/1000, 0)</f>
        <v>0</v>
      </c>
      <c r="W568" s="110">
        <f>IF(ISNUMBER('Klisz-Verbräuche'!X58), 'Klisz-Verbräuche'!X58*Emissionsfaktoren!V58/1000, 0)</f>
        <v>0</v>
      </c>
      <c r="X568" s="110">
        <f>IF(ISNUMBER('Klisz-Verbräuche'!Y58), 'Klisz-Verbräuche'!Y58*Emissionsfaktoren!W58/1000, 0)</f>
        <v>0</v>
      </c>
      <c r="Y568" s="110">
        <f>IF(ISNUMBER('Klisz-Verbräuche'!Z58), 'Klisz-Verbräuche'!Z58*Emissionsfaktoren!X58/1000, 0)</f>
        <v>0</v>
      </c>
    </row>
    <row r="569" spans="2:25" ht="16.5">
      <c r="B569" s="14">
        <v>42</v>
      </c>
      <c r="C569" s="14" t="str">
        <f>'Refsz-Verbräuche'!C59</f>
        <v>Mobilität 1</v>
      </c>
      <c r="D569" s="19" t="str">
        <f>'Refsz-Verbräuche'!D59</f>
        <v>DR - Linienbus (Nahverkehr)</v>
      </c>
      <c r="E569" t="s">
        <v>195</v>
      </c>
      <c r="F569" s="110">
        <f>IF(ISNUMBER('Klisz-Verbräuche'!G59), 'Klisz-Verbräuche'!G59*Emissionsfaktoren!E59/1000, 0)</f>
        <v>0</v>
      </c>
      <c r="G569" s="110">
        <f>IF(ISNUMBER('Klisz-Verbräuche'!H59), 'Klisz-Verbräuche'!H59*Emissionsfaktoren!F59/1000, 0)</f>
        <v>0</v>
      </c>
      <c r="H569" s="110">
        <f>IF(ISNUMBER('Klisz-Verbräuche'!I59), 'Klisz-Verbräuche'!I59*Emissionsfaktoren!G59/1000, 0)</f>
        <v>0</v>
      </c>
      <c r="I569" s="110">
        <f>IF(ISNUMBER('Klisz-Verbräuche'!J59), 'Klisz-Verbräuche'!J59*Emissionsfaktoren!H59/1000, 0)</f>
        <v>0</v>
      </c>
      <c r="J569" s="110">
        <f>IF(ISNUMBER('Klisz-Verbräuche'!K59), 'Klisz-Verbräuche'!K59*Emissionsfaktoren!I59/1000, 0)</f>
        <v>0</v>
      </c>
      <c r="K569" s="110">
        <f>IF(ISNUMBER('Klisz-Verbräuche'!L59), 'Klisz-Verbräuche'!L59*Emissionsfaktoren!J59/1000, 0)</f>
        <v>0</v>
      </c>
      <c r="L569" s="110">
        <f>IF(ISNUMBER('Klisz-Verbräuche'!M59), 'Klisz-Verbräuche'!M59*Emissionsfaktoren!K59/1000, 0)</f>
        <v>0</v>
      </c>
      <c r="M569" s="110">
        <f>IF(ISNUMBER('Klisz-Verbräuche'!N59), 'Klisz-Verbräuche'!N59*Emissionsfaktoren!L59/1000, 0)</f>
        <v>0</v>
      </c>
      <c r="N569" s="110">
        <f>IF(ISNUMBER('Klisz-Verbräuche'!O59), 'Klisz-Verbräuche'!O59*Emissionsfaktoren!M59/1000, 0)</f>
        <v>0</v>
      </c>
      <c r="O569" s="110">
        <f>IF(ISNUMBER('Klisz-Verbräuche'!P59), 'Klisz-Verbräuche'!P59*Emissionsfaktoren!N59/1000, 0)</f>
        <v>0</v>
      </c>
      <c r="P569" s="110">
        <f>IF(ISNUMBER('Klisz-Verbräuche'!Q59), 'Klisz-Verbräuche'!Q59*Emissionsfaktoren!O59/1000, 0)</f>
        <v>0</v>
      </c>
      <c r="Q569" s="110">
        <f>IF(ISNUMBER('Klisz-Verbräuche'!R59), 'Klisz-Verbräuche'!R59*Emissionsfaktoren!P59/1000, 0)</f>
        <v>0</v>
      </c>
      <c r="R569" s="110">
        <f>IF(ISNUMBER('Klisz-Verbräuche'!S59), 'Klisz-Verbräuche'!S59*Emissionsfaktoren!Q59/1000, 0)</f>
        <v>0</v>
      </c>
      <c r="S569" s="110">
        <f>IF(ISNUMBER('Klisz-Verbräuche'!T59), 'Klisz-Verbräuche'!T59*Emissionsfaktoren!R59/1000, 0)</f>
        <v>0</v>
      </c>
      <c r="T569" s="110">
        <f>IF(ISNUMBER('Klisz-Verbräuche'!U59), 'Klisz-Verbräuche'!U59*Emissionsfaktoren!S59/1000, 0)</f>
        <v>0</v>
      </c>
      <c r="U569" s="110">
        <f>IF(ISNUMBER('Klisz-Verbräuche'!V59), 'Klisz-Verbräuche'!V59*Emissionsfaktoren!T59/1000, 0)</f>
        <v>0</v>
      </c>
      <c r="V569" s="110">
        <f>IF(ISNUMBER('Klisz-Verbräuche'!W59), 'Klisz-Verbräuche'!W59*Emissionsfaktoren!U59/1000, 0)</f>
        <v>0</v>
      </c>
      <c r="W569" s="110">
        <f>IF(ISNUMBER('Klisz-Verbräuche'!X59), 'Klisz-Verbräuche'!X59*Emissionsfaktoren!V59/1000, 0)</f>
        <v>0</v>
      </c>
      <c r="X569" s="110">
        <f>IF(ISNUMBER('Klisz-Verbräuche'!Y59), 'Klisz-Verbräuche'!Y59*Emissionsfaktoren!W59/1000, 0)</f>
        <v>0</v>
      </c>
      <c r="Y569" s="110">
        <f>IF(ISNUMBER('Klisz-Verbräuche'!Z59), 'Klisz-Verbräuche'!Z59*Emissionsfaktoren!X59/1000, 0)</f>
        <v>0</v>
      </c>
    </row>
    <row r="570" spans="2:25" ht="16.5">
      <c r="B570" s="14">
        <v>43</v>
      </c>
      <c r="C570" s="14" t="str">
        <f>'Refsz-Verbräuche'!C60</f>
        <v>Mobilität 1</v>
      </c>
      <c r="D570" s="19" t="str">
        <f>'Refsz-Verbräuche'!D60</f>
        <v>DR - Privater PKW (alle Antriebsarten)</v>
      </c>
      <c r="E570" t="s">
        <v>195</v>
      </c>
      <c r="F570" s="110">
        <f>IF(ISNUMBER('Klisz-Verbräuche'!G60), 'Klisz-Verbräuche'!G60*Emissionsfaktoren!E60/1000, 0)</f>
        <v>0</v>
      </c>
      <c r="G570" s="110">
        <f>IF(ISNUMBER('Klisz-Verbräuche'!H60), 'Klisz-Verbräuche'!H60*Emissionsfaktoren!F60/1000, 0)</f>
        <v>0</v>
      </c>
      <c r="H570" s="110">
        <f>IF(ISNUMBER('Klisz-Verbräuche'!I60), 'Klisz-Verbräuche'!I60*Emissionsfaktoren!G60/1000, 0)</f>
        <v>0</v>
      </c>
      <c r="I570" s="110">
        <f>IF(ISNUMBER('Klisz-Verbräuche'!J60), 'Klisz-Verbräuche'!J60*Emissionsfaktoren!H60/1000, 0)</f>
        <v>0</v>
      </c>
      <c r="J570" s="110">
        <f>IF(ISNUMBER('Klisz-Verbräuche'!K60), 'Klisz-Verbräuche'!K60*Emissionsfaktoren!I60/1000, 0)</f>
        <v>0</v>
      </c>
      <c r="K570" s="110">
        <f>IF(ISNUMBER('Klisz-Verbräuche'!L60), 'Klisz-Verbräuche'!L60*Emissionsfaktoren!J60/1000, 0)</f>
        <v>0</v>
      </c>
      <c r="L570" s="110">
        <f>IF(ISNUMBER('Klisz-Verbräuche'!M60), 'Klisz-Verbräuche'!M60*Emissionsfaktoren!K60/1000, 0)</f>
        <v>0</v>
      </c>
      <c r="M570" s="110">
        <f>IF(ISNUMBER('Klisz-Verbräuche'!N60), 'Klisz-Verbräuche'!N60*Emissionsfaktoren!L60/1000, 0)</f>
        <v>0</v>
      </c>
      <c r="N570" s="110">
        <f>IF(ISNUMBER('Klisz-Verbräuche'!O60), 'Klisz-Verbräuche'!O60*Emissionsfaktoren!M60/1000, 0)</f>
        <v>0</v>
      </c>
      <c r="O570" s="110">
        <f>IF(ISNUMBER('Klisz-Verbräuche'!P60), 'Klisz-Verbräuche'!P60*Emissionsfaktoren!N60/1000, 0)</f>
        <v>0</v>
      </c>
      <c r="P570" s="110">
        <f>IF(ISNUMBER('Klisz-Verbräuche'!Q60), 'Klisz-Verbräuche'!Q60*Emissionsfaktoren!O60/1000, 0)</f>
        <v>0</v>
      </c>
      <c r="Q570" s="110">
        <f>IF(ISNUMBER('Klisz-Verbräuche'!R60), 'Klisz-Verbräuche'!R60*Emissionsfaktoren!P60/1000, 0)</f>
        <v>0</v>
      </c>
      <c r="R570" s="110">
        <f>IF(ISNUMBER('Klisz-Verbräuche'!S60), 'Klisz-Verbräuche'!S60*Emissionsfaktoren!Q60/1000, 0)</f>
        <v>0</v>
      </c>
      <c r="S570" s="110">
        <f>IF(ISNUMBER('Klisz-Verbräuche'!T60), 'Klisz-Verbräuche'!T60*Emissionsfaktoren!R60/1000, 0)</f>
        <v>0</v>
      </c>
      <c r="T570" s="110">
        <f>IF(ISNUMBER('Klisz-Verbräuche'!U60), 'Klisz-Verbräuche'!U60*Emissionsfaktoren!S60/1000, 0)</f>
        <v>0</v>
      </c>
      <c r="U570" s="110">
        <f>IF(ISNUMBER('Klisz-Verbräuche'!V60), 'Klisz-Verbräuche'!V60*Emissionsfaktoren!T60/1000, 0)</f>
        <v>0</v>
      </c>
      <c r="V570" s="110">
        <f>IF(ISNUMBER('Klisz-Verbräuche'!W60), 'Klisz-Verbräuche'!W60*Emissionsfaktoren!U60/1000, 0)</f>
        <v>0</v>
      </c>
      <c r="W570" s="110">
        <f>IF(ISNUMBER('Klisz-Verbräuche'!X60), 'Klisz-Verbräuche'!X60*Emissionsfaktoren!V60/1000, 0)</f>
        <v>0</v>
      </c>
      <c r="X570" s="110">
        <f>IF(ISNUMBER('Klisz-Verbräuche'!Y60), 'Klisz-Verbräuche'!Y60*Emissionsfaktoren!W60/1000, 0)</f>
        <v>0</v>
      </c>
      <c r="Y570" s="110">
        <f>IF(ISNUMBER('Klisz-Verbräuche'!Z60), 'Klisz-Verbräuche'!Z60*Emissionsfaktoren!X60/1000, 0)</f>
        <v>0</v>
      </c>
    </row>
    <row r="571" spans="2:25" ht="16.5">
      <c r="B571" s="14">
        <v>44</v>
      </c>
      <c r="C571" s="14" t="str">
        <f>'Refsz-Verbräuche'!C61</f>
        <v>Mobilität 1</v>
      </c>
      <c r="D571" s="19" t="str">
        <f>'Refsz-Verbräuche'!D61</f>
        <v>DR - Privater PKW (Diesel)</v>
      </c>
      <c r="E571" t="s">
        <v>195</v>
      </c>
      <c r="F571" s="110">
        <f>IF(ISNUMBER('Klisz-Verbräuche'!G61), 'Klisz-Verbräuche'!G61*Emissionsfaktoren!E61/1000, 0)</f>
        <v>0</v>
      </c>
      <c r="G571" s="110">
        <f>IF(ISNUMBER('Klisz-Verbräuche'!H61), 'Klisz-Verbräuche'!H61*Emissionsfaktoren!F61/1000, 0)</f>
        <v>0</v>
      </c>
      <c r="H571" s="110">
        <f>IF(ISNUMBER('Klisz-Verbräuche'!I61), 'Klisz-Verbräuche'!I61*Emissionsfaktoren!G61/1000, 0)</f>
        <v>0</v>
      </c>
      <c r="I571" s="110">
        <f>IF(ISNUMBER('Klisz-Verbräuche'!J61), 'Klisz-Verbräuche'!J61*Emissionsfaktoren!H61/1000, 0)</f>
        <v>0</v>
      </c>
      <c r="J571" s="110">
        <f>IF(ISNUMBER('Klisz-Verbräuche'!K61), 'Klisz-Verbräuche'!K61*Emissionsfaktoren!I61/1000, 0)</f>
        <v>0</v>
      </c>
      <c r="K571" s="110">
        <f>IF(ISNUMBER('Klisz-Verbräuche'!L61), 'Klisz-Verbräuche'!L61*Emissionsfaktoren!J61/1000, 0)</f>
        <v>0</v>
      </c>
      <c r="L571" s="110">
        <f>IF(ISNUMBER('Klisz-Verbräuche'!M61), 'Klisz-Verbräuche'!M61*Emissionsfaktoren!K61/1000, 0)</f>
        <v>0</v>
      </c>
      <c r="M571" s="110">
        <f>IF(ISNUMBER('Klisz-Verbräuche'!N61), 'Klisz-Verbräuche'!N61*Emissionsfaktoren!L61/1000, 0)</f>
        <v>0</v>
      </c>
      <c r="N571" s="110">
        <f>IF(ISNUMBER('Klisz-Verbräuche'!O61), 'Klisz-Verbräuche'!O61*Emissionsfaktoren!M61/1000, 0)</f>
        <v>0</v>
      </c>
      <c r="O571" s="110">
        <f>IF(ISNUMBER('Klisz-Verbräuche'!P61), 'Klisz-Verbräuche'!P61*Emissionsfaktoren!N61/1000, 0)</f>
        <v>0</v>
      </c>
      <c r="P571" s="110">
        <f>IF(ISNUMBER('Klisz-Verbräuche'!Q61), 'Klisz-Verbräuche'!Q61*Emissionsfaktoren!O61/1000, 0)</f>
        <v>0</v>
      </c>
      <c r="Q571" s="110">
        <f>IF(ISNUMBER('Klisz-Verbräuche'!R61), 'Klisz-Verbräuche'!R61*Emissionsfaktoren!P61/1000, 0)</f>
        <v>0</v>
      </c>
      <c r="R571" s="110">
        <f>IF(ISNUMBER('Klisz-Verbräuche'!S61), 'Klisz-Verbräuche'!S61*Emissionsfaktoren!Q61/1000, 0)</f>
        <v>0</v>
      </c>
      <c r="S571" s="110">
        <f>IF(ISNUMBER('Klisz-Verbräuche'!T61), 'Klisz-Verbräuche'!T61*Emissionsfaktoren!R61/1000, 0)</f>
        <v>0</v>
      </c>
      <c r="T571" s="110">
        <f>IF(ISNUMBER('Klisz-Verbräuche'!U61), 'Klisz-Verbräuche'!U61*Emissionsfaktoren!S61/1000, 0)</f>
        <v>0</v>
      </c>
      <c r="U571" s="110">
        <f>IF(ISNUMBER('Klisz-Verbräuche'!V61), 'Klisz-Verbräuche'!V61*Emissionsfaktoren!T61/1000, 0)</f>
        <v>0</v>
      </c>
      <c r="V571" s="110">
        <f>IF(ISNUMBER('Klisz-Verbräuche'!W61), 'Klisz-Verbräuche'!W61*Emissionsfaktoren!U61/1000, 0)</f>
        <v>0</v>
      </c>
      <c r="W571" s="110">
        <f>IF(ISNUMBER('Klisz-Verbräuche'!X61), 'Klisz-Verbräuche'!X61*Emissionsfaktoren!V61/1000, 0)</f>
        <v>0</v>
      </c>
      <c r="X571" s="110">
        <f>IF(ISNUMBER('Klisz-Verbräuche'!Y61), 'Klisz-Verbräuche'!Y61*Emissionsfaktoren!W61/1000, 0)</f>
        <v>0</v>
      </c>
      <c r="Y571" s="110">
        <f>IF(ISNUMBER('Klisz-Verbräuche'!Z61), 'Klisz-Verbräuche'!Z61*Emissionsfaktoren!X61/1000, 0)</f>
        <v>0</v>
      </c>
    </row>
    <row r="572" spans="2:25" ht="16.5">
      <c r="B572" s="14">
        <v>45</v>
      </c>
      <c r="C572" s="14" t="str">
        <f>'Refsz-Verbräuche'!C62</f>
        <v>Mobilität 1</v>
      </c>
      <c r="D572" s="19" t="str">
        <f>'Refsz-Verbräuche'!D62</f>
        <v>DR - Privater PKW (Benzin)</v>
      </c>
      <c r="E572" t="s">
        <v>195</v>
      </c>
      <c r="F572" s="110">
        <f>IF(ISNUMBER('Klisz-Verbräuche'!G62), 'Klisz-Verbräuche'!G62*Emissionsfaktoren!E62/1000, 0)</f>
        <v>0</v>
      </c>
      <c r="G572" s="110">
        <f>IF(ISNUMBER('Klisz-Verbräuche'!H62), 'Klisz-Verbräuche'!H62*Emissionsfaktoren!F62/1000, 0)</f>
        <v>0</v>
      </c>
      <c r="H572" s="110">
        <f>IF(ISNUMBER('Klisz-Verbräuche'!I62), 'Klisz-Verbräuche'!I62*Emissionsfaktoren!G62/1000, 0)</f>
        <v>0</v>
      </c>
      <c r="I572" s="110">
        <f>IF(ISNUMBER('Klisz-Verbräuche'!J62), 'Klisz-Verbräuche'!J62*Emissionsfaktoren!H62/1000, 0)</f>
        <v>0</v>
      </c>
      <c r="J572" s="110">
        <f>IF(ISNUMBER('Klisz-Verbräuche'!K62), 'Klisz-Verbräuche'!K62*Emissionsfaktoren!I62/1000, 0)</f>
        <v>0</v>
      </c>
      <c r="K572" s="110">
        <f>IF(ISNUMBER('Klisz-Verbräuche'!L62), 'Klisz-Verbräuche'!L62*Emissionsfaktoren!J62/1000, 0)</f>
        <v>0</v>
      </c>
      <c r="L572" s="110">
        <f>IF(ISNUMBER('Klisz-Verbräuche'!M62), 'Klisz-Verbräuche'!M62*Emissionsfaktoren!K62/1000, 0)</f>
        <v>0</v>
      </c>
      <c r="M572" s="110">
        <f>IF(ISNUMBER('Klisz-Verbräuche'!N62), 'Klisz-Verbräuche'!N62*Emissionsfaktoren!L62/1000, 0)</f>
        <v>0</v>
      </c>
      <c r="N572" s="110">
        <f>IF(ISNUMBER('Klisz-Verbräuche'!O62), 'Klisz-Verbräuche'!O62*Emissionsfaktoren!M62/1000, 0)</f>
        <v>0</v>
      </c>
      <c r="O572" s="110">
        <f>IF(ISNUMBER('Klisz-Verbräuche'!P62), 'Klisz-Verbräuche'!P62*Emissionsfaktoren!N62/1000, 0)</f>
        <v>0</v>
      </c>
      <c r="P572" s="110">
        <f>IF(ISNUMBER('Klisz-Verbräuche'!Q62), 'Klisz-Verbräuche'!Q62*Emissionsfaktoren!O62/1000, 0)</f>
        <v>0</v>
      </c>
      <c r="Q572" s="110">
        <f>IF(ISNUMBER('Klisz-Verbräuche'!R62), 'Klisz-Verbräuche'!R62*Emissionsfaktoren!P62/1000, 0)</f>
        <v>0</v>
      </c>
      <c r="R572" s="110">
        <f>IF(ISNUMBER('Klisz-Verbräuche'!S62), 'Klisz-Verbräuche'!S62*Emissionsfaktoren!Q62/1000, 0)</f>
        <v>0</v>
      </c>
      <c r="S572" s="110">
        <f>IF(ISNUMBER('Klisz-Verbräuche'!T62), 'Klisz-Verbräuche'!T62*Emissionsfaktoren!R62/1000, 0)</f>
        <v>0</v>
      </c>
      <c r="T572" s="110">
        <f>IF(ISNUMBER('Klisz-Verbräuche'!U62), 'Klisz-Verbräuche'!U62*Emissionsfaktoren!S62/1000, 0)</f>
        <v>0</v>
      </c>
      <c r="U572" s="110">
        <f>IF(ISNUMBER('Klisz-Verbräuche'!V62), 'Klisz-Verbräuche'!V62*Emissionsfaktoren!T62/1000, 0)</f>
        <v>0</v>
      </c>
      <c r="V572" s="110">
        <f>IF(ISNUMBER('Klisz-Verbräuche'!W62), 'Klisz-Verbräuche'!W62*Emissionsfaktoren!U62/1000, 0)</f>
        <v>0</v>
      </c>
      <c r="W572" s="110">
        <f>IF(ISNUMBER('Klisz-Verbräuche'!X62), 'Klisz-Verbräuche'!X62*Emissionsfaktoren!V62/1000, 0)</f>
        <v>0</v>
      </c>
      <c r="X572" s="110">
        <f>IF(ISNUMBER('Klisz-Verbräuche'!Y62), 'Klisz-Verbräuche'!Y62*Emissionsfaktoren!W62/1000, 0)</f>
        <v>0</v>
      </c>
      <c r="Y572" s="110">
        <f>IF(ISNUMBER('Klisz-Verbräuche'!Z62), 'Klisz-Verbräuche'!Z62*Emissionsfaktoren!X62/1000, 0)</f>
        <v>0</v>
      </c>
    </row>
    <row r="573" spans="2:25" ht="16.5">
      <c r="B573" s="14">
        <v>46</v>
      </c>
      <c r="C573" s="14" t="str">
        <f>'Refsz-Verbräuche'!C63</f>
        <v>Mobilität 1</v>
      </c>
      <c r="D573" s="19" t="str">
        <f>'Refsz-Verbräuche'!D63</f>
        <v>DR - Mietwägen (Diesel)</v>
      </c>
      <c r="E573" t="s">
        <v>195</v>
      </c>
      <c r="F573" s="110">
        <f>IF(ISNUMBER('Klisz-Verbräuche'!G63), 'Klisz-Verbräuche'!G63*Emissionsfaktoren!E63/1000, 0)</f>
        <v>0</v>
      </c>
      <c r="G573" s="110">
        <f>IF(ISNUMBER('Klisz-Verbräuche'!H63), 'Klisz-Verbräuche'!H63*Emissionsfaktoren!F63/1000, 0)</f>
        <v>0</v>
      </c>
      <c r="H573" s="110">
        <f>IF(ISNUMBER('Klisz-Verbräuche'!I63), 'Klisz-Verbräuche'!I63*Emissionsfaktoren!G63/1000, 0)</f>
        <v>0</v>
      </c>
      <c r="I573" s="110">
        <f>IF(ISNUMBER('Klisz-Verbräuche'!J63), 'Klisz-Verbräuche'!J63*Emissionsfaktoren!H63/1000, 0)</f>
        <v>0</v>
      </c>
      <c r="J573" s="110">
        <f>IF(ISNUMBER('Klisz-Verbräuche'!K63), 'Klisz-Verbräuche'!K63*Emissionsfaktoren!I63/1000, 0)</f>
        <v>0</v>
      </c>
      <c r="K573" s="110">
        <f>IF(ISNUMBER('Klisz-Verbräuche'!L63), 'Klisz-Verbräuche'!L63*Emissionsfaktoren!J63/1000, 0)</f>
        <v>0</v>
      </c>
      <c r="L573" s="110">
        <f>IF(ISNUMBER('Klisz-Verbräuche'!M63), 'Klisz-Verbräuche'!M63*Emissionsfaktoren!K63/1000, 0)</f>
        <v>0</v>
      </c>
      <c r="M573" s="110">
        <f>IF(ISNUMBER('Klisz-Verbräuche'!N63), 'Klisz-Verbräuche'!N63*Emissionsfaktoren!L63/1000, 0)</f>
        <v>0</v>
      </c>
      <c r="N573" s="110">
        <f>IF(ISNUMBER('Klisz-Verbräuche'!O63), 'Klisz-Verbräuche'!O63*Emissionsfaktoren!M63/1000, 0)</f>
        <v>0</v>
      </c>
      <c r="O573" s="110">
        <f>IF(ISNUMBER('Klisz-Verbräuche'!P63), 'Klisz-Verbräuche'!P63*Emissionsfaktoren!N63/1000, 0)</f>
        <v>0</v>
      </c>
      <c r="P573" s="110">
        <f>IF(ISNUMBER('Klisz-Verbräuche'!Q63), 'Klisz-Verbräuche'!Q63*Emissionsfaktoren!O63/1000, 0)</f>
        <v>0</v>
      </c>
      <c r="Q573" s="110">
        <f>IF(ISNUMBER('Klisz-Verbräuche'!R63), 'Klisz-Verbräuche'!R63*Emissionsfaktoren!P63/1000, 0)</f>
        <v>0</v>
      </c>
      <c r="R573" s="110">
        <f>IF(ISNUMBER('Klisz-Verbräuche'!S63), 'Klisz-Verbräuche'!S63*Emissionsfaktoren!Q63/1000, 0)</f>
        <v>0</v>
      </c>
      <c r="S573" s="110">
        <f>IF(ISNUMBER('Klisz-Verbräuche'!T63), 'Klisz-Verbräuche'!T63*Emissionsfaktoren!R63/1000, 0)</f>
        <v>0</v>
      </c>
      <c r="T573" s="110">
        <f>IF(ISNUMBER('Klisz-Verbräuche'!U63), 'Klisz-Verbräuche'!U63*Emissionsfaktoren!S63/1000, 0)</f>
        <v>0</v>
      </c>
      <c r="U573" s="110">
        <f>IF(ISNUMBER('Klisz-Verbräuche'!V63), 'Klisz-Verbräuche'!V63*Emissionsfaktoren!T63/1000, 0)</f>
        <v>0</v>
      </c>
      <c r="V573" s="110">
        <f>IF(ISNUMBER('Klisz-Verbräuche'!W63), 'Klisz-Verbräuche'!W63*Emissionsfaktoren!U63/1000, 0)</f>
        <v>0</v>
      </c>
      <c r="W573" s="110">
        <f>IF(ISNUMBER('Klisz-Verbräuche'!X63), 'Klisz-Verbräuche'!X63*Emissionsfaktoren!V63/1000, 0)</f>
        <v>0</v>
      </c>
      <c r="X573" s="110">
        <f>IF(ISNUMBER('Klisz-Verbräuche'!Y63), 'Klisz-Verbräuche'!Y63*Emissionsfaktoren!W63/1000, 0)</f>
        <v>0</v>
      </c>
      <c r="Y573" s="110">
        <f>IF(ISNUMBER('Klisz-Verbräuche'!Z63), 'Klisz-Verbräuche'!Z63*Emissionsfaktoren!X63/1000, 0)</f>
        <v>0</v>
      </c>
    </row>
    <row r="574" spans="2:25" ht="16.5">
      <c r="B574" s="14">
        <v>47</v>
      </c>
      <c r="C574" s="14" t="str">
        <f>'Refsz-Verbräuche'!C64</f>
        <v>Mobilität 1</v>
      </c>
      <c r="D574" s="19" t="str">
        <f>'Refsz-Verbräuche'!D64</f>
        <v>DR - Mietwägen (Benzin)</v>
      </c>
      <c r="E574" t="s">
        <v>195</v>
      </c>
      <c r="F574" s="110">
        <f>IF(ISNUMBER('Klisz-Verbräuche'!G64), 'Klisz-Verbräuche'!G64*Emissionsfaktoren!E64/1000, 0)</f>
        <v>0</v>
      </c>
      <c r="G574" s="110">
        <f>IF(ISNUMBER('Klisz-Verbräuche'!H64), 'Klisz-Verbräuche'!H64*Emissionsfaktoren!F64/1000, 0)</f>
        <v>0</v>
      </c>
      <c r="H574" s="110">
        <f>IF(ISNUMBER('Klisz-Verbräuche'!I64), 'Klisz-Verbräuche'!I64*Emissionsfaktoren!G64/1000, 0)</f>
        <v>0</v>
      </c>
      <c r="I574" s="110">
        <f>IF(ISNUMBER('Klisz-Verbräuche'!J64), 'Klisz-Verbräuche'!J64*Emissionsfaktoren!H64/1000, 0)</f>
        <v>0</v>
      </c>
      <c r="J574" s="110">
        <f>IF(ISNUMBER('Klisz-Verbräuche'!K64), 'Klisz-Verbräuche'!K64*Emissionsfaktoren!I64/1000, 0)</f>
        <v>0</v>
      </c>
      <c r="K574" s="110">
        <f>IF(ISNUMBER('Klisz-Verbräuche'!L64), 'Klisz-Verbräuche'!L64*Emissionsfaktoren!J64/1000, 0)</f>
        <v>0</v>
      </c>
      <c r="L574" s="110">
        <f>IF(ISNUMBER('Klisz-Verbräuche'!M64), 'Klisz-Verbräuche'!M64*Emissionsfaktoren!K64/1000, 0)</f>
        <v>0</v>
      </c>
      <c r="M574" s="110">
        <f>IF(ISNUMBER('Klisz-Verbräuche'!N64), 'Klisz-Verbräuche'!N64*Emissionsfaktoren!L64/1000, 0)</f>
        <v>0</v>
      </c>
      <c r="N574" s="110">
        <f>IF(ISNUMBER('Klisz-Verbräuche'!O64), 'Klisz-Verbräuche'!O64*Emissionsfaktoren!M64/1000, 0)</f>
        <v>0</v>
      </c>
      <c r="O574" s="110">
        <f>IF(ISNUMBER('Klisz-Verbräuche'!P64), 'Klisz-Verbräuche'!P64*Emissionsfaktoren!N64/1000, 0)</f>
        <v>0</v>
      </c>
      <c r="P574" s="110">
        <f>IF(ISNUMBER('Klisz-Verbräuche'!Q64), 'Klisz-Verbräuche'!Q64*Emissionsfaktoren!O64/1000, 0)</f>
        <v>0</v>
      </c>
      <c r="Q574" s="110">
        <f>IF(ISNUMBER('Klisz-Verbräuche'!R64), 'Klisz-Verbräuche'!R64*Emissionsfaktoren!P64/1000, 0)</f>
        <v>0</v>
      </c>
      <c r="R574" s="110">
        <f>IF(ISNUMBER('Klisz-Verbräuche'!S64), 'Klisz-Verbräuche'!S64*Emissionsfaktoren!Q64/1000, 0)</f>
        <v>0</v>
      </c>
      <c r="S574" s="110">
        <f>IF(ISNUMBER('Klisz-Verbräuche'!T64), 'Klisz-Verbräuche'!T64*Emissionsfaktoren!R64/1000, 0)</f>
        <v>0</v>
      </c>
      <c r="T574" s="110">
        <f>IF(ISNUMBER('Klisz-Verbräuche'!U64), 'Klisz-Verbräuche'!U64*Emissionsfaktoren!S64/1000, 0)</f>
        <v>0</v>
      </c>
      <c r="U574" s="110">
        <f>IF(ISNUMBER('Klisz-Verbräuche'!V64), 'Klisz-Verbräuche'!V64*Emissionsfaktoren!T64/1000, 0)</f>
        <v>0</v>
      </c>
      <c r="V574" s="110">
        <f>IF(ISNUMBER('Klisz-Verbräuche'!W64), 'Klisz-Verbräuche'!W64*Emissionsfaktoren!U64/1000, 0)</f>
        <v>0</v>
      </c>
      <c r="W574" s="110">
        <f>IF(ISNUMBER('Klisz-Verbräuche'!X64), 'Klisz-Verbräuche'!X64*Emissionsfaktoren!V64/1000, 0)</f>
        <v>0</v>
      </c>
      <c r="X574" s="110">
        <f>IF(ISNUMBER('Klisz-Verbräuche'!Y64), 'Klisz-Verbräuche'!Y64*Emissionsfaktoren!W64/1000, 0)</f>
        <v>0</v>
      </c>
      <c r="Y574" s="110">
        <f>IF(ISNUMBER('Klisz-Verbräuche'!Z64), 'Klisz-Verbräuche'!Z64*Emissionsfaktoren!X64/1000, 0)</f>
        <v>0</v>
      </c>
    </row>
    <row r="575" spans="2:25" ht="16.5">
      <c r="B575" s="14">
        <v>48</v>
      </c>
      <c r="C575" s="14" t="str">
        <f>'Refsz-Verbräuche'!C65</f>
        <v>Mobilität 1</v>
      </c>
      <c r="D575" s="19" t="str">
        <f>'Refsz-Verbräuche'!D65</f>
        <v>DR - Mietwägen (E-Auto/ BEV)</v>
      </c>
      <c r="E575" t="s">
        <v>195</v>
      </c>
      <c r="F575" s="110">
        <f>IF(ISNUMBER('Klisz-Verbräuche'!G65), 'Klisz-Verbräuche'!G65*Emissionsfaktoren!E65/1000, 0)</f>
        <v>0</v>
      </c>
      <c r="G575" s="110">
        <f>IF(ISNUMBER('Klisz-Verbräuche'!H65), 'Klisz-Verbräuche'!H65*Emissionsfaktoren!F65/1000, 0)</f>
        <v>0</v>
      </c>
      <c r="H575" s="110">
        <f>IF(ISNUMBER('Klisz-Verbräuche'!I65), 'Klisz-Verbräuche'!I65*Emissionsfaktoren!G65/1000, 0)</f>
        <v>0</v>
      </c>
      <c r="I575" s="110">
        <f>IF(ISNUMBER('Klisz-Verbräuche'!J65), 'Klisz-Verbräuche'!J65*Emissionsfaktoren!H65/1000, 0)</f>
        <v>0</v>
      </c>
      <c r="J575" s="110">
        <f>IF(ISNUMBER('Klisz-Verbräuche'!K65), 'Klisz-Verbräuche'!K65*Emissionsfaktoren!I65/1000, 0)</f>
        <v>0</v>
      </c>
      <c r="K575" s="110">
        <f>IF(ISNUMBER('Klisz-Verbräuche'!L65), 'Klisz-Verbräuche'!L65*Emissionsfaktoren!J65/1000, 0)</f>
        <v>0</v>
      </c>
      <c r="L575" s="110">
        <f>IF(ISNUMBER('Klisz-Verbräuche'!M65), 'Klisz-Verbräuche'!M65*Emissionsfaktoren!K65/1000, 0)</f>
        <v>0</v>
      </c>
      <c r="M575" s="110">
        <f>IF(ISNUMBER('Klisz-Verbräuche'!N65), 'Klisz-Verbräuche'!N65*Emissionsfaktoren!L65/1000, 0)</f>
        <v>0</v>
      </c>
      <c r="N575" s="110">
        <f>IF(ISNUMBER('Klisz-Verbräuche'!O65), 'Klisz-Verbräuche'!O65*Emissionsfaktoren!M65/1000, 0)</f>
        <v>0</v>
      </c>
      <c r="O575" s="110">
        <f>IF(ISNUMBER('Klisz-Verbräuche'!P65), 'Klisz-Verbräuche'!P65*Emissionsfaktoren!N65/1000, 0)</f>
        <v>0</v>
      </c>
      <c r="P575" s="110">
        <f>IF(ISNUMBER('Klisz-Verbräuche'!Q65), 'Klisz-Verbräuche'!Q65*Emissionsfaktoren!O65/1000, 0)</f>
        <v>0</v>
      </c>
      <c r="Q575" s="110">
        <f>IF(ISNUMBER('Klisz-Verbräuche'!R65), 'Klisz-Verbräuche'!R65*Emissionsfaktoren!P65/1000, 0)</f>
        <v>0</v>
      </c>
      <c r="R575" s="110">
        <f>IF(ISNUMBER('Klisz-Verbräuche'!S65), 'Klisz-Verbräuche'!S65*Emissionsfaktoren!Q65/1000, 0)</f>
        <v>0</v>
      </c>
      <c r="S575" s="110">
        <f>IF(ISNUMBER('Klisz-Verbräuche'!T65), 'Klisz-Verbräuche'!T65*Emissionsfaktoren!R65/1000, 0)</f>
        <v>0</v>
      </c>
      <c r="T575" s="110">
        <f>IF(ISNUMBER('Klisz-Verbräuche'!U65), 'Klisz-Verbräuche'!U65*Emissionsfaktoren!S65/1000, 0)</f>
        <v>0</v>
      </c>
      <c r="U575" s="110">
        <f>IF(ISNUMBER('Klisz-Verbräuche'!V65), 'Klisz-Verbräuche'!V65*Emissionsfaktoren!T65/1000, 0)</f>
        <v>0</v>
      </c>
      <c r="V575" s="110">
        <f>IF(ISNUMBER('Klisz-Verbräuche'!W65), 'Klisz-Verbräuche'!W65*Emissionsfaktoren!U65/1000, 0)</f>
        <v>0</v>
      </c>
      <c r="W575" s="110">
        <f>IF(ISNUMBER('Klisz-Verbräuche'!X65), 'Klisz-Verbräuche'!X65*Emissionsfaktoren!V65/1000, 0)</f>
        <v>0</v>
      </c>
      <c r="X575" s="110">
        <f>IF(ISNUMBER('Klisz-Verbräuche'!Y65), 'Klisz-Verbräuche'!Y65*Emissionsfaktoren!W65/1000, 0)</f>
        <v>0</v>
      </c>
      <c r="Y575" s="110">
        <f>IF(ISNUMBER('Klisz-Verbräuche'!Z65), 'Klisz-Verbräuche'!Z65*Emissionsfaktoren!X65/1000, 0)</f>
        <v>0</v>
      </c>
    </row>
    <row r="576" spans="2:25" ht="16.5">
      <c r="B576" s="14">
        <v>49</v>
      </c>
      <c r="C576" s="14" t="str">
        <f>'Refsz-Verbräuche'!C66</f>
        <v>Mobilität 1</v>
      </c>
      <c r="D576" s="19" t="str">
        <f>'Refsz-Verbräuche'!D66</f>
        <v>DR - Mietwägen (Wasserstoff/ FCEV)</v>
      </c>
      <c r="E576" t="s">
        <v>195</v>
      </c>
      <c r="F576" s="110">
        <f>IF(ISNUMBER('Klisz-Verbräuche'!G66), 'Klisz-Verbräuche'!G66*Emissionsfaktoren!E66/1000, 0)</f>
        <v>0</v>
      </c>
      <c r="G576" s="110">
        <f>IF(ISNUMBER('Klisz-Verbräuche'!H66), 'Klisz-Verbräuche'!H66*Emissionsfaktoren!F66/1000, 0)</f>
        <v>0</v>
      </c>
      <c r="H576" s="110">
        <f>IF(ISNUMBER('Klisz-Verbräuche'!I66), 'Klisz-Verbräuche'!I66*Emissionsfaktoren!G66/1000, 0)</f>
        <v>0</v>
      </c>
      <c r="I576" s="110">
        <f>IF(ISNUMBER('Klisz-Verbräuche'!J66), 'Klisz-Verbräuche'!J66*Emissionsfaktoren!H66/1000, 0)</f>
        <v>0</v>
      </c>
      <c r="J576" s="110">
        <f>IF(ISNUMBER('Klisz-Verbräuche'!K66), 'Klisz-Verbräuche'!K66*Emissionsfaktoren!I66/1000, 0)</f>
        <v>0</v>
      </c>
      <c r="K576" s="110">
        <f>IF(ISNUMBER('Klisz-Verbräuche'!L66), 'Klisz-Verbräuche'!L66*Emissionsfaktoren!J66/1000, 0)</f>
        <v>0</v>
      </c>
      <c r="L576" s="110">
        <f>IF(ISNUMBER('Klisz-Verbräuche'!M66), 'Klisz-Verbräuche'!M66*Emissionsfaktoren!K66/1000, 0)</f>
        <v>0</v>
      </c>
      <c r="M576" s="110">
        <f>IF(ISNUMBER('Klisz-Verbräuche'!N66), 'Klisz-Verbräuche'!N66*Emissionsfaktoren!L66/1000, 0)</f>
        <v>0</v>
      </c>
      <c r="N576" s="110">
        <f>IF(ISNUMBER('Klisz-Verbräuche'!O66), 'Klisz-Verbräuche'!O66*Emissionsfaktoren!M66/1000, 0)</f>
        <v>0</v>
      </c>
      <c r="O576" s="110">
        <f>IF(ISNUMBER('Klisz-Verbräuche'!P66), 'Klisz-Verbräuche'!P66*Emissionsfaktoren!N66/1000, 0)</f>
        <v>0</v>
      </c>
      <c r="P576" s="110">
        <f>IF(ISNUMBER('Klisz-Verbräuche'!Q66), 'Klisz-Verbräuche'!Q66*Emissionsfaktoren!O66/1000, 0)</f>
        <v>0</v>
      </c>
      <c r="Q576" s="110">
        <f>IF(ISNUMBER('Klisz-Verbräuche'!R66), 'Klisz-Verbräuche'!R66*Emissionsfaktoren!P66/1000, 0)</f>
        <v>0</v>
      </c>
      <c r="R576" s="110">
        <f>IF(ISNUMBER('Klisz-Verbräuche'!S66), 'Klisz-Verbräuche'!S66*Emissionsfaktoren!Q66/1000, 0)</f>
        <v>0</v>
      </c>
      <c r="S576" s="110">
        <f>IF(ISNUMBER('Klisz-Verbräuche'!T66), 'Klisz-Verbräuche'!T66*Emissionsfaktoren!R66/1000, 0)</f>
        <v>0</v>
      </c>
      <c r="T576" s="110">
        <f>IF(ISNUMBER('Klisz-Verbräuche'!U66), 'Klisz-Verbräuche'!U66*Emissionsfaktoren!S66/1000, 0)</f>
        <v>0</v>
      </c>
      <c r="U576" s="110">
        <f>IF(ISNUMBER('Klisz-Verbräuche'!V66), 'Klisz-Verbräuche'!V66*Emissionsfaktoren!T66/1000, 0)</f>
        <v>0</v>
      </c>
      <c r="V576" s="110">
        <f>IF(ISNUMBER('Klisz-Verbräuche'!W66), 'Klisz-Verbräuche'!W66*Emissionsfaktoren!U66/1000, 0)</f>
        <v>0</v>
      </c>
      <c r="W576" s="110">
        <f>IF(ISNUMBER('Klisz-Verbräuche'!X66), 'Klisz-Verbräuche'!X66*Emissionsfaktoren!V66/1000, 0)</f>
        <v>0</v>
      </c>
      <c r="X576" s="110">
        <f>IF(ISNUMBER('Klisz-Verbräuche'!Y66), 'Klisz-Verbräuche'!Y66*Emissionsfaktoren!W66/1000, 0)</f>
        <v>0</v>
      </c>
      <c r="Y576" s="110">
        <f>IF(ISNUMBER('Klisz-Verbräuche'!Z66), 'Klisz-Verbräuche'!Z66*Emissionsfaktoren!X66/1000, 0)</f>
        <v>0</v>
      </c>
    </row>
    <row r="577" spans="2:25" ht="16.5">
      <c r="B577" s="14">
        <v>50</v>
      </c>
      <c r="C577" s="14" t="str">
        <f>'Refsz-Verbräuche'!C67</f>
        <v>Mobilität 1</v>
      </c>
      <c r="D577" s="19" t="str">
        <f>'Refsz-Verbräuche'!D67</f>
        <v>DR - Mietwägen (CNG)</v>
      </c>
      <c r="E577" t="s">
        <v>195</v>
      </c>
      <c r="F577" s="110">
        <f>IF(ISNUMBER('Klisz-Verbräuche'!G67), 'Klisz-Verbräuche'!G67*Emissionsfaktoren!E67/1000, 0)</f>
        <v>0</v>
      </c>
      <c r="G577" s="110">
        <f>IF(ISNUMBER('Klisz-Verbräuche'!H67), 'Klisz-Verbräuche'!H67*Emissionsfaktoren!F67/1000, 0)</f>
        <v>0</v>
      </c>
      <c r="H577" s="110">
        <f>IF(ISNUMBER('Klisz-Verbräuche'!I67), 'Klisz-Verbräuche'!I67*Emissionsfaktoren!G67/1000, 0)</f>
        <v>0</v>
      </c>
      <c r="I577" s="110">
        <f>IF(ISNUMBER('Klisz-Verbräuche'!J67), 'Klisz-Verbräuche'!J67*Emissionsfaktoren!H67/1000, 0)</f>
        <v>0</v>
      </c>
      <c r="J577" s="110">
        <f>IF(ISNUMBER('Klisz-Verbräuche'!K67), 'Klisz-Verbräuche'!K67*Emissionsfaktoren!I67/1000, 0)</f>
        <v>0</v>
      </c>
      <c r="K577" s="110">
        <f>IF(ISNUMBER('Klisz-Verbräuche'!L67), 'Klisz-Verbräuche'!L67*Emissionsfaktoren!J67/1000, 0)</f>
        <v>0</v>
      </c>
      <c r="L577" s="110">
        <f>IF(ISNUMBER('Klisz-Verbräuche'!M67), 'Klisz-Verbräuche'!M67*Emissionsfaktoren!K67/1000, 0)</f>
        <v>0</v>
      </c>
      <c r="M577" s="110">
        <f>IF(ISNUMBER('Klisz-Verbräuche'!N67), 'Klisz-Verbräuche'!N67*Emissionsfaktoren!L67/1000, 0)</f>
        <v>0</v>
      </c>
      <c r="N577" s="110">
        <f>IF(ISNUMBER('Klisz-Verbräuche'!O67), 'Klisz-Verbräuche'!O67*Emissionsfaktoren!M67/1000, 0)</f>
        <v>0</v>
      </c>
      <c r="O577" s="110">
        <f>IF(ISNUMBER('Klisz-Verbräuche'!P67), 'Klisz-Verbräuche'!P67*Emissionsfaktoren!N67/1000, 0)</f>
        <v>0</v>
      </c>
      <c r="P577" s="110">
        <f>IF(ISNUMBER('Klisz-Verbräuche'!Q67), 'Klisz-Verbräuche'!Q67*Emissionsfaktoren!O67/1000, 0)</f>
        <v>0</v>
      </c>
      <c r="Q577" s="110">
        <f>IF(ISNUMBER('Klisz-Verbräuche'!R67), 'Klisz-Verbräuche'!R67*Emissionsfaktoren!P67/1000, 0)</f>
        <v>0</v>
      </c>
      <c r="R577" s="110">
        <f>IF(ISNUMBER('Klisz-Verbräuche'!S67), 'Klisz-Verbräuche'!S67*Emissionsfaktoren!Q67/1000, 0)</f>
        <v>0</v>
      </c>
      <c r="S577" s="110">
        <f>IF(ISNUMBER('Klisz-Verbräuche'!T67), 'Klisz-Verbräuche'!T67*Emissionsfaktoren!R67/1000, 0)</f>
        <v>0</v>
      </c>
      <c r="T577" s="110">
        <f>IF(ISNUMBER('Klisz-Verbräuche'!U67), 'Klisz-Verbräuche'!U67*Emissionsfaktoren!S67/1000, 0)</f>
        <v>0</v>
      </c>
      <c r="U577" s="110">
        <f>IF(ISNUMBER('Klisz-Verbräuche'!V67), 'Klisz-Verbräuche'!V67*Emissionsfaktoren!T67/1000, 0)</f>
        <v>0</v>
      </c>
      <c r="V577" s="110">
        <f>IF(ISNUMBER('Klisz-Verbräuche'!W67), 'Klisz-Verbräuche'!W67*Emissionsfaktoren!U67/1000, 0)</f>
        <v>0</v>
      </c>
      <c r="W577" s="110">
        <f>IF(ISNUMBER('Klisz-Verbräuche'!X67), 'Klisz-Verbräuche'!X67*Emissionsfaktoren!V67/1000, 0)</f>
        <v>0</v>
      </c>
      <c r="X577" s="110">
        <f>IF(ISNUMBER('Klisz-Verbräuche'!Y67), 'Klisz-Verbräuche'!Y67*Emissionsfaktoren!W67/1000, 0)</f>
        <v>0</v>
      </c>
      <c r="Y577" s="110">
        <f>IF(ISNUMBER('Klisz-Verbräuche'!Z67), 'Klisz-Verbräuche'!Z67*Emissionsfaktoren!X67/1000, 0)</f>
        <v>0</v>
      </c>
    </row>
    <row r="578" spans="2:25" ht="16.5">
      <c r="B578" s="14">
        <v>51</v>
      </c>
      <c r="C578" s="14" t="str">
        <f>'Refsz-Verbräuche'!C68</f>
        <v>Mobilität 1</v>
      </c>
      <c r="D578" s="19" t="str">
        <f>'Refsz-Verbräuche'!D68</f>
        <v>DR - Mietwägen (Plug-In-Hybrid/ PHEV)</v>
      </c>
      <c r="E578" t="s">
        <v>195</v>
      </c>
      <c r="F578" s="110">
        <f>IF(ISNUMBER('Klisz-Verbräuche'!G68), 'Klisz-Verbräuche'!G68*Emissionsfaktoren!E68/1000, 0)</f>
        <v>0</v>
      </c>
      <c r="G578" s="110">
        <f>IF(ISNUMBER('Klisz-Verbräuche'!H68), 'Klisz-Verbräuche'!H68*Emissionsfaktoren!F68/1000, 0)</f>
        <v>0</v>
      </c>
      <c r="H578" s="110">
        <f>IF(ISNUMBER('Klisz-Verbräuche'!I68), 'Klisz-Verbräuche'!I68*Emissionsfaktoren!G68/1000, 0)</f>
        <v>0</v>
      </c>
      <c r="I578" s="110">
        <f>IF(ISNUMBER('Klisz-Verbräuche'!J68), 'Klisz-Verbräuche'!J68*Emissionsfaktoren!H68/1000, 0)</f>
        <v>0</v>
      </c>
      <c r="J578" s="110">
        <f>IF(ISNUMBER('Klisz-Verbräuche'!K68), 'Klisz-Verbräuche'!K68*Emissionsfaktoren!I68/1000, 0)</f>
        <v>0</v>
      </c>
      <c r="K578" s="110">
        <f>IF(ISNUMBER('Klisz-Verbräuche'!L68), 'Klisz-Verbräuche'!L68*Emissionsfaktoren!J68/1000, 0)</f>
        <v>0</v>
      </c>
      <c r="L578" s="110">
        <f>IF(ISNUMBER('Klisz-Verbräuche'!M68), 'Klisz-Verbräuche'!M68*Emissionsfaktoren!K68/1000, 0)</f>
        <v>0</v>
      </c>
      <c r="M578" s="110">
        <f>IF(ISNUMBER('Klisz-Verbräuche'!N68), 'Klisz-Verbräuche'!N68*Emissionsfaktoren!L68/1000, 0)</f>
        <v>0</v>
      </c>
      <c r="N578" s="110">
        <f>IF(ISNUMBER('Klisz-Verbräuche'!O68), 'Klisz-Verbräuche'!O68*Emissionsfaktoren!M68/1000, 0)</f>
        <v>0</v>
      </c>
      <c r="O578" s="110">
        <f>IF(ISNUMBER('Klisz-Verbräuche'!P68), 'Klisz-Verbräuche'!P68*Emissionsfaktoren!N68/1000, 0)</f>
        <v>0</v>
      </c>
      <c r="P578" s="110">
        <f>IF(ISNUMBER('Klisz-Verbräuche'!Q68), 'Klisz-Verbräuche'!Q68*Emissionsfaktoren!O68/1000, 0)</f>
        <v>0</v>
      </c>
      <c r="Q578" s="110">
        <f>IF(ISNUMBER('Klisz-Verbräuche'!R68), 'Klisz-Verbräuche'!R68*Emissionsfaktoren!P68/1000, 0)</f>
        <v>0</v>
      </c>
      <c r="R578" s="110">
        <f>IF(ISNUMBER('Klisz-Verbräuche'!S68), 'Klisz-Verbräuche'!S68*Emissionsfaktoren!Q68/1000, 0)</f>
        <v>0</v>
      </c>
      <c r="S578" s="110">
        <f>IF(ISNUMBER('Klisz-Verbräuche'!T68), 'Klisz-Verbräuche'!T68*Emissionsfaktoren!R68/1000, 0)</f>
        <v>0</v>
      </c>
      <c r="T578" s="110">
        <f>IF(ISNUMBER('Klisz-Verbräuche'!U68), 'Klisz-Verbräuche'!U68*Emissionsfaktoren!S68/1000, 0)</f>
        <v>0</v>
      </c>
      <c r="U578" s="110">
        <f>IF(ISNUMBER('Klisz-Verbräuche'!V68), 'Klisz-Verbräuche'!V68*Emissionsfaktoren!T68/1000, 0)</f>
        <v>0</v>
      </c>
      <c r="V578" s="110">
        <f>IF(ISNUMBER('Klisz-Verbräuche'!W68), 'Klisz-Verbräuche'!W68*Emissionsfaktoren!U68/1000, 0)</f>
        <v>0</v>
      </c>
      <c r="W578" s="110">
        <f>IF(ISNUMBER('Klisz-Verbräuche'!X68), 'Klisz-Verbräuche'!X68*Emissionsfaktoren!V68/1000, 0)</f>
        <v>0</v>
      </c>
      <c r="X578" s="110">
        <f>IF(ISNUMBER('Klisz-Verbräuche'!Y68), 'Klisz-Verbräuche'!Y68*Emissionsfaktoren!W68/1000, 0)</f>
        <v>0</v>
      </c>
      <c r="Y578" s="110">
        <f>IF(ISNUMBER('Klisz-Verbräuche'!Z68), 'Klisz-Verbräuche'!Z68*Emissionsfaktoren!X68/1000, 0)</f>
        <v>0</v>
      </c>
    </row>
    <row r="579" spans="2:25" ht="16.5">
      <c r="B579" s="14">
        <v>52</v>
      </c>
      <c r="C579" s="14" t="str">
        <f>'Refsz-Verbräuche'!C69</f>
        <v>Mobilität 1</v>
      </c>
      <c r="D579" s="19" t="str">
        <f>'Refsz-Verbräuche'!D69</f>
        <v>DR - E-Bike</v>
      </c>
      <c r="E579" t="s">
        <v>195</v>
      </c>
      <c r="F579" s="110">
        <f>IF(ISNUMBER('Klisz-Verbräuche'!G69), 'Klisz-Verbräuche'!G69*Emissionsfaktoren!E69/1000, 0)</f>
        <v>0</v>
      </c>
      <c r="G579" s="110">
        <f>IF(ISNUMBER('Klisz-Verbräuche'!H69), 'Klisz-Verbräuche'!H69*Emissionsfaktoren!F69/1000, 0)</f>
        <v>0</v>
      </c>
      <c r="H579" s="110">
        <f>IF(ISNUMBER('Klisz-Verbräuche'!I69), 'Klisz-Verbräuche'!I69*Emissionsfaktoren!G69/1000, 0)</f>
        <v>0</v>
      </c>
      <c r="I579" s="110">
        <f>IF(ISNUMBER('Klisz-Verbräuche'!J69), 'Klisz-Verbräuche'!J69*Emissionsfaktoren!H69/1000, 0)</f>
        <v>0</v>
      </c>
      <c r="J579" s="110">
        <f>IF(ISNUMBER('Klisz-Verbräuche'!K69), 'Klisz-Verbräuche'!K69*Emissionsfaktoren!I69/1000, 0)</f>
        <v>0</v>
      </c>
      <c r="K579" s="110">
        <f>IF(ISNUMBER('Klisz-Verbräuche'!L69), 'Klisz-Verbräuche'!L69*Emissionsfaktoren!J69/1000, 0)</f>
        <v>0</v>
      </c>
      <c r="L579" s="110">
        <f>IF(ISNUMBER('Klisz-Verbräuche'!M69), 'Klisz-Verbräuche'!M69*Emissionsfaktoren!K69/1000, 0)</f>
        <v>0</v>
      </c>
      <c r="M579" s="110">
        <f>IF(ISNUMBER('Klisz-Verbräuche'!N69), 'Klisz-Verbräuche'!N69*Emissionsfaktoren!L69/1000, 0)</f>
        <v>0</v>
      </c>
      <c r="N579" s="110">
        <f>IF(ISNUMBER('Klisz-Verbräuche'!O69), 'Klisz-Verbräuche'!O69*Emissionsfaktoren!M69/1000, 0)</f>
        <v>0</v>
      </c>
      <c r="O579" s="110">
        <f>IF(ISNUMBER('Klisz-Verbräuche'!P69), 'Klisz-Verbräuche'!P69*Emissionsfaktoren!N69/1000, 0)</f>
        <v>0</v>
      </c>
      <c r="P579" s="110">
        <f>IF(ISNUMBER('Klisz-Verbräuche'!Q69), 'Klisz-Verbräuche'!Q69*Emissionsfaktoren!O69/1000, 0)</f>
        <v>0</v>
      </c>
      <c r="Q579" s="110">
        <f>IF(ISNUMBER('Klisz-Verbräuche'!R69), 'Klisz-Verbräuche'!R69*Emissionsfaktoren!P69/1000, 0)</f>
        <v>0</v>
      </c>
      <c r="R579" s="110">
        <f>IF(ISNUMBER('Klisz-Verbräuche'!S69), 'Klisz-Verbräuche'!S69*Emissionsfaktoren!Q69/1000, 0)</f>
        <v>0</v>
      </c>
      <c r="S579" s="110">
        <f>IF(ISNUMBER('Klisz-Verbräuche'!T69), 'Klisz-Verbräuche'!T69*Emissionsfaktoren!R69/1000, 0)</f>
        <v>0</v>
      </c>
      <c r="T579" s="110">
        <f>IF(ISNUMBER('Klisz-Verbräuche'!U69), 'Klisz-Verbräuche'!U69*Emissionsfaktoren!S69/1000, 0)</f>
        <v>0</v>
      </c>
      <c r="U579" s="110">
        <f>IF(ISNUMBER('Klisz-Verbräuche'!V69), 'Klisz-Verbräuche'!V69*Emissionsfaktoren!T69/1000, 0)</f>
        <v>0</v>
      </c>
      <c r="V579" s="110">
        <f>IF(ISNUMBER('Klisz-Verbräuche'!W69), 'Klisz-Verbräuche'!W69*Emissionsfaktoren!U69/1000, 0)</f>
        <v>0</v>
      </c>
      <c r="W579" s="110">
        <f>IF(ISNUMBER('Klisz-Verbräuche'!X69), 'Klisz-Verbräuche'!X69*Emissionsfaktoren!V69/1000, 0)</f>
        <v>0</v>
      </c>
      <c r="X579" s="110">
        <f>IF(ISNUMBER('Klisz-Verbräuche'!Y69), 'Klisz-Verbräuche'!Y69*Emissionsfaktoren!W69/1000, 0)</f>
        <v>0</v>
      </c>
      <c r="Y579" s="110">
        <f>IF(ISNUMBER('Klisz-Verbräuche'!Z69), 'Klisz-Verbräuche'!Z69*Emissionsfaktoren!X69/1000, 0)</f>
        <v>0</v>
      </c>
    </row>
    <row r="580" spans="2:25" ht="16.5">
      <c r="B580" s="14">
        <v>53</v>
      </c>
      <c r="C580" s="14" t="str">
        <f>'Refsz-Verbräuche'!C70</f>
        <v>Mobilität 1</v>
      </c>
      <c r="D580" s="19" t="str">
        <f>'Refsz-Verbräuche'!D70</f>
        <v>DR - Fahrrad</v>
      </c>
      <c r="E580" t="s">
        <v>195</v>
      </c>
      <c r="F580" s="110">
        <f>IF(ISNUMBER('Klisz-Verbräuche'!G70), 'Klisz-Verbräuche'!G70*Emissionsfaktoren!E70/1000, 0)</f>
        <v>0</v>
      </c>
      <c r="G580" s="110">
        <f>IF(ISNUMBER('Klisz-Verbräuche'!H70), 'Klisz-Verbräuche'!H70*Emissionsfaktoren!F70/1000, 0)</f>
        <v>0</v>
      </c>
      <c r="H580" s="110">
        <f>IF(ISNUMBER('Klisz-Verbräuche'!I70), 'Klisz-Verbräuche'!I70*Emissionsfaktoren!G70/1000, 0)</f>
        <v>0</v>
      </c>
      <c r="I580" s="110">
        <f>IF(ISNUMBER('Klisz-Verbräuche'!J70), 'Klisz-Verbräuche'!J70*Emissionsfaktoren!H70/1000, 0)</f>
        <v>0</v>
      </c>
      <c r="J580" s="110">
        <f>IF(ISNUMBER('Klisz-Verbräuche'!K70), 'Klisz-Verbräuche'!K70*Emissionsfaktoren!I70/1000, 0)</f>
        <v>0</v>
      </c>
      <c r="K580" s="110">
        <f>IF(ISNUMBER('Klisz-Verbräuche'!L70), 'Klisz-Verbräuche'!L70*Emissionsfaktoren!J70/1000, 0)</f>
        <v>0</v>
      </c>
      <c r="L580" s="110">
        <f>IF(ISNUMBER('Klisz-Verbräuche'!M70), 'Klisz-Verbräuche'!M70*Emissionsfaktoren!K70/1000, 0)</f>
        <v>0</v>
      </c>
      <c r="M580" s="110">
        <f>IF(ISNUMBER('Klisz-Verbräuche'!N70), 'Klisz-Verbräuche'!N70*Emissionsfaktoren!L70/1000, 0)</f>
        <v>0</v>
      </c>
      <c r="N580" s="110">
        <f>IF(ISNUMBER('Klisz-Verbräuche'!O70), 'Klisz-Verbräuche'!O70*Emissionsfaktoren!M70/1000, 0)</f>
        <v>0</v>
      </c>
      <c r="O580" s="110">
        <f>IF(ISNUMBER('Klisz-Verbräuche'!P70), 'Klisz-Verbräuche'!P70*Emissionsfaktoren!N70/1000, 0)</f>
        <v>0</v>
      </c>
      <c r="P580" s="110">
        <f>IF(ISNUMBER('Klisz-Verbräuche'!Q70), 'Klisz-Verbräuche'!Q70*Emissionsfaktoren!O70/1000, 0)</f>
        <v>0</v>
      </c>
      <c r="Q580" s="110">
        <f>IF(ISNUMBER('Klisz-Verbräuche'!R70), 'Klisz-Verbräuche'!R70*Emissionsfaktoren!P70/1000, 0)</f>
        <v>0</v>
      </c>
      <c r="R580" s="110">
        <f>IF(ISNUMBER('Klisz-Verbräuche'!S70), 'Klisz-Verbräuche'!S70*Emissionsfaktoren!Q70/1000, 0)</f>
        <v>0</v>
      </c>
      <c r="S580" s="110">
        <f>IF(ISNUMBER('Klisz-Verbräuche'!T70), 'Klisz-Verbräuche'!T70*Emissionsfaktoren!R70/1000, 0)</f>
        <v>0</v>
      </c>
      <c r="T580" s="110">
        <f>IF(ISNUMBER('Klisz-Verbräuche'!U70), 'Klisz-Verbräuche'!U70*Emissionsfaktoren!S70/1000, 0)</f>
        <v>0</v>
      </c>
      <c r="U580" s="110">
        <f>IF(ISNUMBER('Klisz-Verbräuche'!V70), 'Klisz-Verbräuche'!V70*Emissionsfaktoren!T70/1000, 0)</f>
        <v>0</v>
      </c>
      <c r="V580" s="110">
        <f>IF(ISNUMBER('Klisz-Verbräuche'!W70), 'Klisz-Verbräuche'!W70*Emissionsfaktoren!U70/1000, 0)</f>
        <v>0</v>
      </c>
      <c r="W580" s="110">
        <f>IF(ISNUMBER('Klisz-Verbräuche'!X70), 'Klisz-Verbräuche'!X70*Emissionsfaktoren!V70/1000, 0)</f>
        <v>0</v>
      </c>
      <c r="X580" s="110">
        <f>IF(ISNUMBER('Klisz-Verbräuche'!Y70), 'Klisz-Verbräuche'!Y70*Emissionsfaktoren!W70/1000, 0)</f>
        <v>0</v>
      </c>
      <c r="Y580" s="110">
        <f>IF(ISNUMBER('Klisz-Verbräuche'!Z70), 'Klisz-Verbräuche'!Z70*Emissionsfaktoren!X70/1000, 0)</f>
        <v>0</v>
      </c>
    </row>
    <row r="581" spans="2:25" ht="16.5">
      <c r="B581" s="14">
        <v>54</v>
      </c>
      <c r="C581" s="14">
        <f>'Refsz-Verbräuche'!C71</f>
        <v>0</v>
      </c>
      <c r="D581" s="19">
        <f>'Refsz-Verbräuche'!D71</f>
        <v>0</v>
      </c>
      <c r="E581" t="s">
        <v>195</v>
      </c>
      <c r="F581" s="110">
        <f>IF(ISNUMBER('Klisz-Verbräuche'!G71), 'Klisz-Verbräuche'!G71*Emissionsfaktoren!E71/1000, 0)</f>
        <v>0</v>
      </c>
      <c r="G581" s="110">
        <f>IF(ISNUMBER('Klisz-Verbräuche'!H71), 'Klisz-Verbräuche'!H71*Emissionsfaktoren!F71/1000, 0)</f>
        <v>0</v>
      </c>
      <c r="H581" s="110">
        <f>IF(ISNUMBER('Klisz-Verbräuche'!I71), 'Klisz-Verbräuche'!I71*Emissionsfaktoren!G71/1000, 0)</f>
        <v>0</v>
      </c>
      <c r="I581" s="110">
        <f>IF(ISNUMBER('Klisz-Verbräuche'!J71), 'Klisz-Verbräuche'!J71*Emissionsfaktoren!H71/1000, 0)</f>
        <v>0</v>
      </c>
      <c r="J581" s="110">
        <f>IF(ISNUMBER('Klisz-Verbräuche'!K71), 'Klisz-Verbräuche'!K71*Emissionsfaktoren!I71/1000, 0)</f>
        <v>0</v>
      </c>
      <c r="K581" s="110">
        <f>IF(ISNUMBER('Klisz-Verbräuche'!L71), 'Klisz-Verbräuche'!L71*Emissionsfaktoren!J71/1000, 0)</f>
        <v>0</v>
      </c>
      <c r="L581" s="110">
        <f>IF(ISNUMBER('Klisz-Verbräuche'!M71), 'Klisz-Verbräuche'!M71*Emissionsfaktoren!K71/1000, 0)</f>
        <v>0</v>
      </c>
      <c r="M581" s="110">
        <f>IF(ISNUMBER('Klisz-Verbräuche'!N71), 'Klisz-Verbräuche'!N71*Emissionsfaktoren!L71/1000, 0)</f>
        <v>0</v>
      </c>
      <c r="N581" s="110">
        <f>IF(ISNUMBER('Klisz-Verbräuche'!O71), 'Klisz-Verbräuche'!O71*Emissionsfaktoren!M71/1000, 0)</f>
        <v>0</v>
      </c>
      <c r="O581" s="110">
        <f>IF(ISNUMBER('Klisz-Verbräuche'!P71), 'Klisz-Verbräuche'!P71*Emissionsfaktoren!N71/1000, 0)</f>
        <v>0</v>
      </c>
      <c r="P581" s="110">
        <f>IF(ISNUMBER('Klisz-Verbräuche'!Q71), 'Klisz-Verbräuche'!Q71*Emissionsfaktoren!O71/1000, 0)</f>
        <v>0</v>
      </c>
      <c r="Q581" s="110">
        <f>IF(ISNUMBER('Klisz-Verbräuche'!R71), 'Klisz-Verbräuche'!R71*Emissionsfaktoren!P71/1000, 0)</f>
        <v>0</v>
      </c>
      <c r="R581" s="110">
        <f>IF(ISNUMBER('Klisz-Verbräuche'!S71), 'Klisz-Verbräuche'!S71*Emissionsfaktoren!Q71/1000, 0)</f>
        <v>0</v>
      </c>
      <c r="S581" s="110">
        <f>IF(ISNUMBER('Klisz-Verbräuche'!T71), 'Klisz-Verbräuche'!T71*Emissionsfaktoren!R71/1000, 0)</f>
        <v>0</v>
      </c>
      <c r="T581" s="110">
        <f>IF(ISNUMBER('Klisz-Verbräuche'!U71), 'Klisz-Verbräuche'!U71*Emissionsfaktoren!S71/1000, 0)</f>
        <v>0</v>
      </c>
      <c r="U581" s="110">
        <f>IF(ISNUMBER('Klisz-Verbräuche'!V71), 'Klisz-Verbräuche'!V71*Emissionsfaktoren!T71/1000, 0)</f>
        <v>0</v>
      </c>
      <c r="V581" s="110">
        <f>IF(ISNUMBER('Klisz-Verbräuche'!W71), 'Klisz-Verbräuche'!W71*Emissionsfaktoren!U71/1000, 0)</f>
        <v>0</v>
      </c>
      <c r="W581" s="110">
        <f>IF(ISNUMBER('Klisz-Verbräuche'!X71), 'Klisz-Verbräuche'!X71*Emissionsfaktoren!V71/1000, 0)</f>
        <v>0</v>
      </c>
      <c r="X581" s="110">
        <f>IF(ISNUMBER('Klisz-Verbräuche'!Y71), 'Klisz-Verbräuche'!Y71*Emissionsfaktoren!W71/1000, 0)</f>
        <v>0</v>
      </c>
      <c r="Y581" s="110">
        <f>IF(ISNUMBER('Klisz-Verbräuche'!Z71), 'Klisz-Verbräuche'!Z71*Emissionsfaktoren!X71/1000, 0)</f>
        <v>0</v>
      </c>
    </row>
    <row r="582" spans="2:25" ht="16.5">
      <c r="B582" s="14">
        <v>55</v>
      </c>
      <c r="C582" s="14" t="str">
        <f>'Refsz-Verbräuche'!C72</f>
        <v>Mobilität 1</v>
      </c>
      <c r="D582" s="19" t="str">
        <f>'Refsz-Verbräuche'!D72</f>
        <v>Studierendenreisen (Outgoing) - Flugreisen</v>
      </c>
      <c r="E582" t="s">
        <v>195</v>
      </c>
      <c r="F582" s="110">
        <f>IF(ISNUMBER('Klisz-Verbräuche'!G72), 'Klisz-Verbräuche'!G72*Emissionsfaktoren!E72/1000, 0)</f>
        <v>0</v>
      </c>
      <c r="G582" s="110">
        <f>IF(ISNUMBER('Klisz-Verbräuche'!H72), 'Klisz-Verbräuche'!H72*Emissionsfaktoren!F72/1000, 0)</f>
        <v>0</v>
      </c>
      <c r="H582" s="110">
        <f>IF(ISNUMBER('Klisz-Verbräuche'!I72), 'Klisz-Verbräuche'!I72*Emissionsfaktoren!G72/1000, 0)</f>
        <v>0</v>
      </c>
      <c r="I582" s="110">
        <f>IF(ISNUMBER('Klisz-Verbräuche'!J72), 'Klisz-Verbräuche'!J72*Emissionsfaktoren!H72/1000, 0)</f>
        <v>0</v>
      </c>
      <c r="J582" s="110">
        <f>IF(ISNUMBER('Klisz-Verbräuche'!K72), 'Klisz-Verbräuche'!K72*Emissionsfaktoren!I72/1000, 0)</f>
        <v>0</v>
      </c>
      <c r="K582" s="110">
        <f>IF(ISNUMBER('Klisz-Verbräuche'!L72), 'Klisz-Verbräuche'!L72*Emissionsfaktoren!J72/1000, 0)</f>
        <v>0</v>
      </c>
      <c r="L582" s="110">
        <f>IF(ISNUMBER('Klisz-Verbräuche'!M72), 'Klisz-Verbräuche'!M72*Emissionsfaktoren!K72/1000, 0)</f>
        <v>0</v>
      </c>
      <c r="M582" s="110">
        <f>IF(ISNUMBER('Klisz-Verbräuche'!N72), 'Klisz-Verbräuche'!N72*Emissionsfaktoren!L72/1000, 0)</f>
        <v>0</v>
      </c>
      <c r="N582" s="110">
        <f>IF(ISNUMBER('Klisz-Verbräuche'!O72), 'Klisz-Verbräuche'!O72*Emissionsfaktoren!M72/1000, 0)</f>
        <v>0</v>
      </c>
      <c r="O582" s="110">
        <f>IF(ISNUMBER('Klisz-Verbräuche'!P72), 'Klisz-Verbräuche'!P72*Emissionsfaktoren!N72/1000, 0)</f>
        <v>0</v>
      </c>
      <c r="P582" s="110">
        <f>IF(ISNUMBER('Klisz-Verbräuche'!Q72), 'Klisz-Verbräuche'!Q72*Emissionsfaktoren!O72/1000, 0)</f>
        <v>0</v>
      </c>
      <c r="Q582" s="110">
        <f>IF(ISNUMBER('Klisz-Verbräuche'!R72), 'Klisz-Verbräuche'!R72*Emissionsfaktoren!P72/1000, 0)</f>
        <v>0</v>
      </c>
      <c r="R582" s="110">
        <f>IF(ISNUMBER('Klisz-Verbräuche'!S72), 'Klisz-Verbräuche'!S72*Emissionsfaktoren!Q72/1000, 0)</f>
        <v>0</v>
      </c>
      <c r="S582" s="110">
        <f>IF(ISNUMBER('Klisz-Verbräuche'!T72), 'Klisz-Verbräuche'!T72*Emissionsfaktoren!R72/1000, 0)</f>
        <v>0</v>
      </c>
      <c r="T582" s="110">
        <f>IF(ISNUMBER('Klisz-Verbräuche'!U72), 'Klisz-Verbräuche'!U72*Emissionsfaktoren!S72/1000, 0)</f>
        <v>0</v>
      </c>
      <c r="U582" s="110">
        <f>IF(ISNUMBER('Klisz-Verbräuche'!V72), 'Klisz-Verbräuche'!V72*Emissionsfaktoren!T72/1000, 0)</f>
        <v>0</v>
      </c>
      <c r="V582" s="110">
        <f>IF(ISNUMBER('Klisz-Verbräuche'!W72), 'Klisz-Verbräuche'!W72*Emissionsfaktoren!U72/1000, 0)</f>
        <v>0</v>
      </c>
      <c r="W582" s="110">
        <f>IF(ISNUMBER('Klisz-Verbräuche'!X72), 'Klisz-Verbräuche'!X72*Emissionsfaktoren!V72/1000, 0)</f>
        <v>0</v>
      </c>
      <c r="X582" s="110">
        <f>IF(ISNUMBER('Klisz-Verbräuche'!Y72), 'Klisz-Verbräuche'!Y72*Emissionsfaktoren!W72/1000, 0)</f>
        <v>0</v>
      </c>
      <c r="Y582" s="110">
        <f>IF(ISNUMBER('Klisz-Verbräuche'!Z72), 'Klisz-Verbräuche'!Z72*Emissionsfaktoren!X72/1000, 0)</f>
        <v>0</v>
      </c>
    </row>
    <row r="583" spans="2:25" ht="16.5">
      <c r="B583" s="14">
        <v>56</v>
      </c>
      <c r="C583" s="14" t="str">
        <f>'Refsz-Verbräuche'!C73</f>
        <v>Mobilität 1</v>
      </c>
      <c r="D583" s="19" t="str">
        <f>'Refsz-Verbräuche'!D73</f>
        <v>Studierendenreisen (Outgoing) - Eisenbahn (Nahverkehr)</v>
      </c>
      <c r="E583" t="s">
        <v>195</v>
      </c>
      <c r="F583" s="110">
        <f>IF(ISNUMBER('Klisz-Verbräuche'!G73), 'Klisz-Verbräuche'!G73*Emissionsfaktoren!E73/1000, 0)</f>
        <v>0</v>
      </c>
      <c r="G583" s="110">
        <f>IF(ISNUMBER('Klisz-Verbräuche'!H73), 'Klisz-Verbräuche'!H73*Emissionsfaktoren!F73/1000, 0)</f>
        <v>0</v>
      </c>
      <c r="H583" s="110">
        <f>IF(ISNUMBER('Klisz-Verbräuche'!I73), 'Klisz-Verbräuche'!I73*Emissionsfaktoren!G73/1000, 0)</f>
        <v>0</v>
      </c>
      <c r="I583" s="110">
        <f>IF(ISNUMBER('Klisz-Verbräuche'!J73), 'Klisz-Verbräuche'!J73*Emissionsfaktoren!H73/1000, 0)</f>
        <v>0</v>
      </c>
      <c r="J583" s="110">
        <f>IF(ISNUMBER('Klisz-Verbräuche'!K73), 'Klisz-Verbräuche'!K73*Emissionsfaktoren!I73/1000, 0)</f>
        <v>0</v>
      </c>
      <c r="K583" s="110">
        <f>IF(ISNUMBER('Klisz-Verbräuche'!L73), 'Klisz-Verbräuche'!L73*Emissionsfaktoren!J73/1000, 0)</f>
        <v>0</v>
      </c>
      <c r="L583" s="110">
        <f>IF(ISNUMBER('Klisz-Verbräuche'!M73), 'Klisz-Verbräuche'!M73*Emissionsfaktoren!K73/1000, 0)</f>
        <v>0</v>
      </c>
      <c r="M583" s="110">
        <f>IF(ISNUMBER('Klisz-Verbräuche'!N73), 'Klisz-Verbräuche'!N73*Emissionsfaktoren!L73/1000, 0)</f>
        <v>0</v>
      </c>
      <c r="N583" s="110">
        <f>IF(ISNUMBER('Klisz-Verbräuche'!O73), 'Klisz-Verbräuche'!O73*Emissionsfaktoren!M73/1000, 0)</f>
        <v>0</v>
      </c>
      <c r="O583" s="110">
        <f>IF(ISNUMBER('Klisz-Verbräuche'!P73), 'Klisz-Verbräuche'!P73*Emissionsfaktoren!N73/1000, 0)</f>
        <v>0</v>
      </c>
      <c r="P583" s="110">
        <f>IF(ISNUMBER('Klisz-Verbräuche'!Q73), 'Klisz-Verbräuche'!Q73*Emissionsfaktoren!O73/1000, 0)</f>
        <v>0</v>
      </c>
      <c r="Q583" s="110">
        <f>IF(ISNUMBER('Klisz-Verbräuche'!R73), 'Klisz-Verbräuche'!R73*Emissionsfaktoren!P73/1000, 0)</f>
        <v>0</v>
      </c>
      <c r="R583" s="110">
        <f>IF(ISNUMBER('Klisz-Verbräuche'!S73), 'Klisz-Verbräuche'!S73*Emissionsfaktoren!Q73/1000, 0)</f>
        <v>0</v>
      </c>
      <c r="S583" s="110">
        <f>IF(ISNUMBER('Klisz-Verbräuche'!T73), 'Klisz-Verbräuche'!T73*Emissionsfaktoren!R73/1000, 0)</f>
        <v>0</v>
      </c>
      <c r="T583" s="110">
        <f>IF(ISNUMBER('Klisz-Verbräuche'!U73), 'Klisz-Verbräuche'!U73*Emissionsfaktoren!S73/1000, 0)</f>
        <v>0</v>
      </c>
      <c r="U583" s="110">
        <f>IF(ISNUMBER('Klisz-Verbräuche'!V73), 'Klisz-Verbräuche'!V73*Emissionsfaktoren!T73/1000, 0)</f>
        <v>0</v>
      </c>
      <c r="V583" s="110">
        <f>IF(ISNUMBER('Klisz-Verbräuche'!W73), 'Klisz-Verbräuche'!W73*Emissionsfaktoren!U73/1000, 0)</f>
        <v>0</v>
      </c>
      <c r="W583" s="110">
        <f>IF(ISNUMBER('Klisz-Verbräuche'!X73), 'Klisz-Verbräuche'!X73*Emissionsfaktoren!V73/1000, 0)</f>
        <v>0</v>
      </c>
      <c r="X583" s="110">
        <f>IF(ISNUMBER('Klisz-Verbräuche'!Y73), 'Klisz-Verbräuche'!Y73*Emissionsfaktoren!W73/1000, 0)</f>
        <v>0</v>
      </c>
      <c r="Y583" s="110">
        <f>IF(ISNUMBER('Klisz-Verbräuche'!Z73), 'Klisz-Verbräuche'!Z73*Emissionsfaktoren!X73/1000, 0)</f>
        <v>0</v>
      </c>
    </row>
    <row r="584" spans="2:25" ht="16.5">
      <c r="B584" s="14">
        <v>57</v>
      </c>
      <c r="C584" s="14" t="str">
        <f>'Refsz-Verbräuche'!C74</f>
        <v>Mobilität 1</v>
      </c>
      <c r="D584" s="19" t="str">
        <f>'Refsz-Verbräuche'!D74</f>
        <v>Studierendenreisen (Outgoing) - Privater PKW (alle Antriebsarten)</v>
      </c>
      <c r="E584" t="s">
        <v>195</v>
      </c>
      <c r="F584" s="110">
        <f>IF(ISNUMBER('Klisz-Verbräuche'!G74), 'Klisz-Verbräuche'!G74*Emissionsfaktoren!E74/1000, 0)</f>
        <v>0</v>
      </c>
      <c r="G584" s="110">
        <f>IF(ISNUMBER('Klisz-Verbräuche'!H74), 'Klisz-Verbräuche'!H74*Emissionsfaktoren!F74/1000, 0)</f>
        <v>0</v>
      </c>
      <c r="H584" s="110">
        <f>IF(ISNUMBER('Klisz-Verbräuche'!I74), 'Klisz-Verbräuche'!I74*Emissionsfaktoren!G74/1000, 0)</f>
        <v>0</v>
      </c>
      <c r="I584" s="110">
        <f>IF(ISNUMBER('Klisz-Verbräuche'!J74), 'Klisz-Verbräuche'!J74*Emissionsfaktoren!H74/1000, 0)</f>
        <v>0</v>
      </c>
      <c r="J584" s="110">
        <f>IF(ISNUMBER('Klisz-Verbräuche'!K74), 'Klisz-Verbräuche'!K74*Emissionsfaktoren!I74/1000, 0)</f>
        <v>0</v>
      </c>
      <c r="K584" s="110">
        <f>IF(ISNUMBER('Klisz-Verbräuche'!L74), 'Klisz-Verbräuche'!L74*Emissionsfaktoren!J74/1000, 0)</f>
        <v>0</v>
      </c>
      <c r="L584" s="110">
        <f>IF(ISNUMBER('Klisz-Verbräuche'!M74), 'Klisz-Verbräuche'!M74*Emissionsfaktoren!K74/1000, 0)</f>
        <v>0</v>
      </c>
      <c r="M584" s="110">
        <f>IF(ISNUMBER('Klisz-Verbräuche'!N74), 'Klisz-Verbräuche'!N74*Emissionsfaktoren!L74/1000, 0)</f>
        <v>0</v>
      </c>
      <c r="N584" s="110">
        <f>IF(ISNUMBER('Klisz-Verbräuche'!O74), 'Klisz-Verbräuche'!O74*Emissionsfaktoren!M74/1000, 0)</f>
        <v>0</v>
      </c>
      <c r="O584" s="110">
        <f>IF(ISNUMBER('Klisz-Verbräuche'!P74), 'Klisz-Verbräuche'!P74*Emissionsfaktoren!N74/1000, 0)</f>
        <v>0</v>
      </c>
      <c r="P584" s="110">
        <f>IF(ISNUMBER('Klisz-Verbräuche'!Q74), 'Klisz-Verbräuche'!Q74*Emissionsfaktoren!O74/1000, 0)</f>
        <v>0</v>
      </c>
      <c r="Q584" s="110">
        <f>IF(ISNUMBER('Klisz-Verbräuche'!R74), 'Klisz-Verbräuche'!R74*Emissionsfaktoren!P74/1000, 0)</f>
        <v>0</v>
      </c>
      <c r="R584" s="110">
        <f>IF(ISNUMBER('Klisz-Verbräuche'!S74), 'Klisz-Verbräuche'!S74*Emissionsfaktoren!Q74/1000, 0)</f>
        <v>0</v>
      </c>
      <c r="S584" s="110">
        <f>IF(ISNUMBER('Klisz-Verbräuche'!T74), 'Klisz-Verbräuche'!T74*Emissionsfaktoren!R74/1000, 0)</f>
        <v>0</v>
      </c>
      <c r="T584" s="110">
        <f>IF(ISNUMBER('Klisz-Verbräuche'!U74), 'Klisz-Verbräuche'!U74*Emissionsfaktoren!S74/1000, 0)</f>
        <v>0</v>
      </c>
      <c r="U584" s="110">
        <f>IF(ISNUMBER('Klisz-Verbräuche'!V74), 'Klisz-Verbräuche'!V74*Emissionsfaktoren!T74/1000, 0)</f>
        <v>0</v>
      </c>
      <c r="V584" s="110">
        <f>IF(ISNUMBER('Klisz-Verbräuche'!W74), 'Klisz-Verbräuche'!W74*Emissionsfaktoren!U74/1000, 0)</f>
        <v>0</v>
      </c>
      <c r="W584" s="110">
        <f>IF(ISNUMBER('Klisz-Verbräuche'!X74), 'Klisz-Verbräuche'!X74*Emissionsfaktoren!V74/1000, 0)</f>
        <v>0</v>
      </c>
      <c r="X584" s="110">
        <f>IF(ISNUMBER('Klisz-Verbräuche'!Y74), 'Klisz-Verbräuche'!Y74*Emissionsfaktoren!W74/1000, 0)</f>
        <v>0</v>
      </c>
      <c r="Y584" s="110">
        <f>IF(ISNUMBER('Klisz-Verbräuche'!Z74), 'Klisz-Verbräuche'!Z74*Emissionsfaktoren!X74/1000, 0)</f>
        <v>0</v>
      </c>
    </row>
    <row r="585" spans="2:25" ht="16.5">
      <c r="B585" s="14">
        <v>58</v>
      </c>
      <c r="C585" s="14">
        <f>'Refsz-Verbräuche'!C75</f>
        <v>0</v>
      </c>
      <c r="D585" s="19">
        <f>'Refsz-Verbräuche'!D75</f>
        <v>0</v>
      </c>
      <c r="E585" t="s">
        <v>195</v>
      </c>
      <c r="F585" s="110">
        <f>IF(ISNUMBER('Klisz-Verbräuche'!G75), 'Klisz-Verbräuche'!G75*Emissionsfaktoren!E75/1000, 0)</f>
        <v>0</v>
      </c>
      <c r="G585" s="110">
        <f>IF(ISNUMBER('Klisz-Verbräuche'!H75), 'Klisz-Verbräuche'!H75*Emissionsfaktoren!F75/1000, 0)</f>
        <v>0</v>
      </c>
      <c r="H585" s="110">
        <f>IF(ISNUMBER('Klisz-Verbräuche'!I75), 'Klisz-Verbräuche'!I75*Emissionsfaktoren!G75/1000, 0)</f>
        <v>0</v>
      </c>
      <c r="I585" s="110">
        <f>IF(ISNUMBER('Klisz-Verbräuche'!J75), 'Klisz-Verbräuche'!J75*Emissionsfaktoren!H75/1000, 0)</f>
        <v>0</v>
      </c>
      <c r="J585" s="110">
        <f>IF(ISNUMBER('Klisz-Verbräuche'!K75), 'Klisz-Verbräuche'!K75*Emissionsfaktoren!I75/1000, 0)</f>
        <v>0</v>
      </c>
      <c r="K585" s="110">
        <f>IF(ISNUMBER('Klisz-Verbräuche'!L75), 'Klisz-Verbräuche'!L75*Emissionsfaktoren!J75/1000, 0)</f>
        <v>0</v>
      </c>
      <c r="L585" s="110">
        <f>IF(ISNUMBER('Klisz-Verbräuche'!M75), 'Klisz-Verbräuche'!M75*Emissionsfaktoren!K75/1000, 0)</f>
        <v>0</v>
      </c>
      <c r="M585" s="110">
        <f>IF(ISNUMBER('Klisz-Verbräuche'!N75), 'Klisz-Verbräuche'!N75*Emissionsfaktoren!L75/1000, 0)</f>
        <v>0</v>
      </c>
      <c r="N585" s="110">
        <f>IF(ISNUMBER('Klisz-Verbräuche'!O75), 'Klisz-Verbräuche'!O75*Emissionsfaktoren!M75/1000, 0)</f>
        <v>0</v>
      </c>
      <c r="O585" s="110">
        <f>IF(ISNUMBER('Klisz-Verbräuche'!P75), 'Klisz-Verbräuche'!P75*Emissionsfaktoren!N75/1000, 0)</f>
        <v>0</v>
      </c>
      <c r="P585" s="110">
        <f>IF(ISNUMBER('Klisz-Verbräuche'!Q75), 'Klisz-Verbräuche'!Q75*Emissionsfaktoren!O75/1000, 0)</f>
        <v>0</v>
      </c>
      <c r="Q585" s="110">
        <f>IF(ISNUMBER('Klisz-Verbräuche'!R75), 'Klisz-Verbräuche'!R75*Emissionsfaktoren!P75/1000, 0)</f>
        <v>0</v>
      </c>
      <c r="R585" s="110">
        <f>IF(ISNUMBER('Klisz-Verbräuche'!S75), 'Klisz-Verbräuche'!S75*Emissionsfaktoren!Q75/1000, 0)</f>
        <v>0</v>
      </c>
      <c r="S585" s="110">
        <f>IF(ISNUMBER('Klisz-Verbräuche'!T75), 'Klisz-Verbräuche'!T75*Emissionsfaktoren!R75/1000, 0)</f>
        <v>0</v>
      </c>
      <c r="T585" s="110">
        <f>IF(ISNUMBER('Klisz-Verbräuche'!U75), 'Klisz-Verbräuche'!U75*Emissionsfaktoren!S75/1000, 0)</f>
        <v>0</v>
      </c>
      <c r="U585" s="110">
        <f>IF(ISNUMBER('Klisz-Verbräuche'!V75), 'Klisz-Verbräuche'!V75*Emissionsfaktoren!T75/1000, 0)</f>
        <v>0</v>
      </c>
      <c r="V585" s="110">
        <f>IF(ISNUMBER('Klisz-Verbräuche'!W75), 'Klisz-Verbräuche'!W75*Emissionsfaktoren!U75/1000, 0)</f>
        <v>0</v>
      </c>
      <c r="W585" s="110">
        <f>IF(ISNUMBER('Klisz-Verbräuche'!X75), 'Klisz-Verbräuche'!X75*Emissionsfaktoren!V75/1000, 0)</f>
        <v>0</v>
      </c>
      <c r="X585" s="110">
        <f>IF(ISNUMBER('Klisz-Verbräuche'!Y75), 'Klisz-Verbräuche'!Y75*Emissionsfaktoren!W75/1000, 0)</f>
        <v>0</v>
      </c>
      <c r="Y585" s="110">
        <f>IF(ISNUMBER('Klisz-Verbräuche'!Z75), 'Klisz-Verbräuche'!Z75*Emissionsfaktoren!X75/1000, 0)</f>
        <v>0</v>
      </c>
    </row>
    <row r="586" spans="2:25" ht="16.5">
      <c r="B586" s="14">
        <v>59</v>
      </c>
      <c r="C586" s="14" t="str">
        <f>'Refsz-Verbräuche'!C76</f>
        <v>Mobilität 1</v>
      </c>
      <c r="D586" s="19" t="str">
        <f>'Refsz-Verbräuche'!D76</f>
        <v>Exkursionen - Flugreisen</v>
      </c>
      <c r="E586" t="s">
        <v>195</v>
      </c>
      <c r="F586" s="110">
        <f>IF(ISNUMBER('Klisz-Verbräuche'!G76), 'Klisz-Verbräuche'!G76*Emissionsfaktoren!E76/1000, 0)</f>
        <v>0</v>
      </c>
      <c r="G586" s="110">
        <f>IF(ISNUMBER('Klisz-Verbräuche'!H76), 'Klisz-Verbräuche'!H76*Emissionsfaktoren!F76/1000, 0)</f>
        <v>0</v>
      </c>
      <c r="H586" s="110">
        <f>IF(ISNUMBER('Klisz-Verbräuche'!I76), 'Klisz-Verbräuche'!I76*Emissionsfaktoren!G76/1000, 0)</f>
        <v>0</v>
      </c>
      <c r="I586" s="110">
        <f>IF(ISNUMBER('Klisz-Verbräuche'!J76), 'Klisz-Verbräuche'!J76*Emissionsfaktoren!H76/1000, 0)</f>
        <v>0</v>
      </c>
      <c r="J586" s="110">
        <f>IF(ISNUMBER('Klisz-Verbräuche'!K76), 'Klisz-Verbräuche'!K76*Emissionsfaktoren!I76/1000, 0)</f>
        <v>0</v>
      </c>
      <c r="K586" s="110">
        <f>IF(ISNUMBER('Klisz-Verbräuche'!L76), 'Klisz-Verbräuche'!L76*Emissionsfaktoren!J76/1000, 0)</f>
        <v>0</v>
      </c>
      <c r="L586" s="110">
        <f>IF(ISNUMBER('Klisz-Verbräuche'!M76), 'Klisz-Verbräuche'!M76*Emissionsfaktoren!K76/1000, 0)</f>
        <v>0</v>
      </c>
      <c r="M586" s="110">
        <f>IF(ISNUMBER('Klisz-Verbräuche'!N76), 'Klisz-Verbräuche'!N76*Emissionsfaktoren!L76/1000, 0)</f>
        <v>0</v>
      </c>
      <c r="N586" s="110">
        <f>IF(ISNUMBER('Klisz-Verbräuche'!O76), 'Klisz-Verbräuche'!O76*Emissionsfaktoren!M76/1000, 0)</f>
        <v>0</v>
      </c>
      <c r="O586" s="110">
        <f>IF(ISNUMBER('Klisz-Verbräuche'!P76), 'Klisz-Verbräuche'!P76*Emissionsfaktoren!N76/1000, 0)</f>
        <v>0</v>
      </c>
      <c r="P586" s="110">
        <f>IF(ISNUMBER('Klisz-Verbräuche'!Q76), 'Klisz-Verbräuche'!Q76*Emissionsfaktoren!O76/1000, 0)</f>
        <v>0</v>
      </c>
      <c r="Q586" s="110">
        <f>IF(ISNUMBER('Klisz-Verbräuche'!R76), 'Klisz-Verbräuche'!R76*Emissionsfaktoren!P76/1000, 0)</f>
        <v>0</v>
      </c>
      <c r="R586" s="110">
        <f>IF(ISNUMBER('Klisz-Verbräuche'!S76), 'Klisz-Verbräuche'!S76*Emissionsfaktoren!Q76/1000, 0)</f>
        <v>0</v>
      </c>
      <c r="S586" s="110">
        <f>IF(ISNUMBER('Klisz-Verbräuche'!T76), 'Klisz-Verbräuche'!T76*Emissionsfaktoren!R76/1000, 0)</f>
        <v>0</v>
      </c>
      <c r="T586" s="110">
        <f>IF(ISNUMBER('Klisz-Verbräuche'!U76), 'Klisz-Verbräuche'!U76*Emissionsfaktoren!S76/1000, 0)</f>
        <v>0</v>
      </c>
      <c r="U586" s="110">
        <f>IF(ISNUMBER('Klisz-Verbräuche'!V76), 'Klisz-Verbräuche'!V76*Emissionsfaktoren!T76/1000, 0)</f>
        <v>0</v>
      </c>
      <c r="V586" s="110">
        <f>IF(ISNUMBER('Klisz-Verbräuche'!W76), 'Klisz-Verbräuche'!W76*Emissionsfaktoren!U76/1000, 0)</f>
        <v>0</v>
      </c>
      <c r="W586" s="110">
        <f>IF(ISNUMBER('Klisz-Verbräuche'!X76), 'Klisz-Verbräuche'!X76*Emissionsfaktoren!V76/1000, 0)</f>
        <v>0</v>
      </c>
      <c r="X586" s="110">
        <f>IF(ISNUMBER('Klisz-Verbräuche'!Y76), 'Klisz-Verbräuche'!Y76*Emissionsfaktoren!W76/1000, 0)</f>
        <v>0</v>
      </c>
      <c r="Y586" s="110">
        <f>IF(ISNUMBER('Klisz-Verbräuche'!Z76), 'Klisz-Verbräuche'!Z76*Emissionsfaktoren!X76/1000, 0)</f>
        <v>0</v>
      </c>
    </row>
    <row r="587" spans="2:25" ht="16.5">
      <c r="B587" s="14">
        <v>60</v>
      </c>
      <c r="C587" s="14" t="str">
        <f>'Refsz-Verbräuche'!C77</f>
        <v>Mobilität 1</v>
      </c>
      <c r="D587" s="19" t="str">
        <f>'Refsz-Verbräuche'!D77</f>
        <v>Exkursionen - Eisenbahn (Nahverkehr)</v>
      </c>
      <c r="E587" t="s">
        <v>195</v>
      </c>
      <c r="F587" s="110">
        <f>IF(ISNUMBER('Klisz-Verbräuche'!G77), 'Klisz-Verbräuche'!G77*Emissionsfaktoren!E77/1000, 0)</f>
        <v>0</v>
      </c>
      <c r="G587" s="110">
        <f>IF(ISNUMBER('Klisz-Verbräuche'!H77), 'Klisz-Verbräuche'!H77*Emissionsfaktoren!F77/1000, 0)</f>
        <v>0</v>
      </c>
      <c r="H587" s="110">
        <f>IF(ISNUMBER('Klisz-Verbräuche'!I77), 'Klisz-Verbräuche'!I77*Emissionsfaktoren!G77/1000, 0)</f>
        <v>0</v>
      </c>
      <c r="I587" s="110">
        <f>IF(ISNUMBER('Klisz-Verbräuche'!J77), 'Klisz-Verbräuche'!J77*Emissionsfaktoren!H77/1000, 0)</f>
        <v>0</v>
      </c>
      <c r="J587" s="110">
        <f>IF(ISNUMBER('Klisz-Verbräuche'!K77), 'Klisz-Verbräuche'!K77*Emissionsfaktoren!I77/1000, 0)</f>
        <v>0</v>
      </c>
      <c r="K587" s="110">
        <f>IF(ISNUMBER('Klisz-Verbräuche'!L77), 'Klisz-Verbräuche'!L77*Emissionsfaktoren!J77/1000, 0)</f>
        <v>0</v>
      </c>
      <c r="L587" s="110">
        <f>IF(ISNUMBER('Klisz-Verbräuche'!M77), 'Klisz-Verbräuche'!M77*Emissionsfaktoren!K77/1000, 0)</f>
        <v>0</v>
      </c>
      <c r="M587" s="110">
        <f>IF(ISNUMBER('Klisz-Verbräuche'!N77), 'Klisz-Verbräuche'!N77*Emissionsfaktoren!L77/1000, 0)</f>
        <v>0</v>
      </c>
      <c r="N587" s="110">
        <f>IF(ISNUMBER('Klisz-Verbräuche'!O77), 'Klisz-Verbräuche'!O77*Emissionsfaktoren!M77/1000, 0)</f>
        <v>0</v>
      </c>
      <c r="O587" s="110">
        <f>IF(ISNUMBER('Klisz-Verbräuche'!P77), 'Klisz-Verbräuche'!P77*Emissionsfaktoren!N77/1000, 0)</f>
        <v>0</v>
      </c>
      <c r="P587" s="110">
        <f>IF(ISNUMBER('Klisz-Verbräuche'!Q77), 'Klisz-Verbräuche'!Q77*Emissionsfaktoren!O77/1000, 0)</f>
        <v>0</v>
      </c>
      <c r="Q587" s="110">
        <f>IF(ISNUMBER('Klisz-Verbräuche'!R77), 'Klisz-Verbräuche'!R77*Emissionsfaktoren!P77/1000, 0)</f>
        <v>0</v>
      </c>
      <c r="R587" s="110">
        <f>IF(ISNUMBER('Klisz-Verbräuche'!S77), 'Klisz-Verbräuche'!S77*Emissionsfaktoren!Q77/1000, 0)</f>
        <v>0</v>
      </c>
      <c r="S587" s="110">
        <f>IF(ISNUMBER('Klisz-Verbräuche'!T77), 'Klisz-Verbräuche'!T77*Emissionsfaktoren!R77/1000, 0)</f>
        <v>0</v>
      </c>
      <c r="T587" s="110">
        <f>IF(ISNUMBER('Klisz-Verbräuche'!U77), 'Klisz-Verbräuche'!U77*Emissionsfaktoren!S77/1000, 0)</f>
        <v>0</v>
      </c>
      <c r="U587" s="110">
        <f>IF(ISNUMBER('Klisz-Verbräuche'!V77), 'Klisz-Verbräuche'!V77*Emissionsfaktoren!T77/1000, 0)</f>
        <v>0</v>
      </c>
      <c r="V587" s="110">
        <f>IF(ISNUMBER('Klisz-Verbräuche'!W77), 'Klisz-Verbräuche'!W77*Emissionsfaktoren!U77/1000, 0)</f>
        <v>0</v>
      </c>
      <c r="W587" s="110">
        <f>IF(ISNUMBER('Klisz-Verbräuche'!X77), 'Klisz-Verbräuche'!X77*Emissionsfaktoren!V77/1000, 0)</f>
        <v>0</v>
      </c>
      <c r="X587" s="110">
        <f>IF(ISNUMBER('Klisz-Verbräuche'!Y77), 'Klisz-Verbräuche'!Y77*Emissionsfaktoren!W77/1000, 0)</f>
        <v>0</v>
      </c>
      <c r="Y587" s="110">
        <f>IF(ISNUMBER('Klisz-Verbräuche'!Z77), 'Klisz-Verbräuche'!Z77*Emissionsfaktoren!X77/1000, 0)</f>
        <v>0</v>
      </c>
    </row>
    <row r="588" spans="2:25" ht="16.5">
      <c r="B588" s="14">
        <v>61</v>
      </c>
      <c r="C588" s="14" t="str">
        <f>'Refsz-Verbräuche'!C78</f>
        <v>Mobilität 1</v>
      </c>
      <c r="D588" s="19" t="str">
        <f>'Refsz-Verbräuche'!D78</f>
        <v>Exkursionen - Privater PKW (alle Antriebsarten)</v>
      </c>
      <c r="E588" t="s">
        <v>195</v>
      </c>
      <c r="F588" s="110">
        <f>IF(ISNUMBER('Klisz-Verbräuche'!G78), 'Klisz-Verbräuche'!G78*Emissionsfaktoren!E78/1000, 0)</f>
        <v>0</v>
      </c>
      <c r="G588" s="110">
        <f>IF(ISNUMBER('Klisz-Verbräuche'!H78), 'Klisz-Verbräuche'!H78*Emissionsfaktoren!F78/1000, 0)</f>
        <v>0</v>
      </c>
      <c r="H588" s="110">
        <f>IF(ISNUMBER('Klisz-Verbräuche'!I78), 'Klisz-Verbräuche'!I78*Emissionsfaktoren!G78/1000, 0)</f>
        <v>0</v>
      </c>
      <c r="I588" s="110">
        <f>IF(ISNUMBER('Klisz-Verbräuche'!J78), 'Klisz-Verbräuche'!J78*Emissionsfaktoren!H78/1000, 0)</f>
        <v>0</v>
      </c>
      <c r="J588" s="110">
        <f>IF(ISNUMBER('Klisz-Verbräuche'!K78), 'Klisz-Verbräuche'!K78*Emissionsfaktoren!I78/1000, 0)</f>
        <v>0</v>
      </c>
      <c r="K588" s="110">
        <f>IF(ISNUMBER('Klisz-Verbräuche'!L78), 'Klisz-Verbräuche'!L78*Emissionsfaktoren!J78/1000, 0)</f>
        <v>0</v>
      </c>
      <c r="L588" s="110">
        <f>IF(ISNUMBER('Klisz-Verbräuche'!M78), 'Klisz-Verbräuche'!M78*Emissionsfaktoren!K78/1000, 0)</f>
        <v>0</v>
      </c>
      <c r="M588" s="110">
        <f>IF(ISNUMBER('Klisz-Verbräuche'!N78), 'Klisz-Verbräuche'!N78*Emissionsfaktoren!L78/1000, 0)</f>
        <v>0</v>
      </c>
      <c r="N588" s="110">
        <f>IF(ISNUMBER('Klisz-Verbräuche'!O78), 'Klisz-Verbräuche'!O78*Emissionsfaktoren!M78/1000, 0)</f>
        <v>0</v>
      </c>
      <c r="O588" s="110">
        <f>IF(ISNUMBER('Klisz-Verbräuche'!P78), 'Klisz-Verbräuche'!P78*Emissionsfaktoren!N78/1000, 0)</f>
        <v>0</v>
      </c>
      <c r="P588" s="110">
        <f>IF(ISNUMBER('Klisz-Verbräuche'!Q78), 'Klisz-Verbräuche'!Q78*Emissionsfaktoren!O78/1000, 0)</f>
        <v>0</v>
      </c>
      <c r="Q588" s="110">
        <f>IF(ISNUMBER('Klisz-Verbräuche'!R78), 'Klisz-Verbräuche'!R78*Emissionsfaktoren!P78/1000, 0)</f>
        <v>0</v>
      </c>
      <c r="R588" s="110">
        <f>IF(ISNUMBER('Klisz-Verbräuche'!S78), 'Klisz-Verbräuche'!S78*Emissionsfaktoren!Q78/1000, 0)</f>
        <v>0</v>
      </c>
      <c r="S588" s="110">
        <f>IF(ISNUMBER('Klisz-Verbräuche'!T78), 'Klisz-Verbräuche'!T78*Emissionsfaktoren!R78/1000, 0)</f>
        <v>0</v>
      </c>
      <c r="T588" s="110">
        <f>IF(ISNUMBER('Klisz-Verbräuche'!U78), 'Klisz-Verbräuche'!U78*Emissionsfaktoren!S78/1000, 0)</f>
        <v>0</v>
      </c>
      <c r="U588" s="110">
        <f>IF(ISNUMBER('Klisz-Verbräuche'!V78), 'Klisz-Verbräuche'!V78*Emissionsfaktoren!T78/1000, 0)</f>
        <v>0</v>
      </c>
      <c r="V588" s="110">
        <f>IF(ISNUMBER('Klisz-Verbräuche'!W78), 'Klisz-Verbräuche'!W78*Emissionsfaktoren!U78/1000, 0)</f>
        <v>0</v>
      </c>
      <c r="W588" s="110">
        <f>IF(ISNUMBER('Klisz-Verbräuche'!X78), 'Klisz-Verbräuche'!X78*Emissionsfaktoren!V78/1000, 0)</f>
        <v>0</v>
      </c>
      <c r="X588" s="110">
        <f>IF(ISNUMBER('Klisz-Verbräuche'!Y78), 'Klisz-Verbräuche'!Y78*Emissionsfaktoren!W78/1000, 0)</f>
        <v>0</v>
      </c>
      <c r="Y588" s="110">
        <f>IF(ISNUMBER('Klisz-Verbräuche'!Z78), 'Klisz-Verbräuche'!Z78*Emissionsfaktoren!X78/1000, 0)</f>
        <v>0</v>
      </c>
    </row>
    <row r="589" spans="2:25" ht="16.5">
      <c r="B589" s="14">
        <v>62</v>
      </c>
      <c r="C589" s="14">
        <f>'Refsz-Verbräuche'!C79</f>
        <v>0</v>
      </c>
      <c r="D589" s="19">
        <f>'Refsz-Verbräuche'!D79</f>
        <v>0</v>
      </c>
      <c r="E589" t="s">
        <v>195</v>
      </c>
      <c r="F589" s="110">
        <f>IF(ISNUMBER('Klisz-Verbräuche'!G79), 'Klisz-Verbräuche'!G79*Emissionsfaktoren!E79/1000, 0)</f>
        <v>0</v>
      </c>
      <c r="G589" s="110">
        <f>IF(ISNUMBER('Klisz-Verbräuche'!H79), 'Klisz-Verbräuche'!H79*Emissionsfaktoren!F79/1000, 0)</f>
        <v>0</v>
      </c>
      <c r="H589" s="110">
        <f>IF(ISNUMBER('Klisz-Verbräuche'!I79), 'Klisz-Verbräuche'!I79*Emissionsfaktoren!G79/1000, 0)</f>
        <v>0</v>
      </c>
      <c r="I589" s="110">
        <f>IF(ISNUMBER('Klisz-Verbräuche'!J79), 'Klisz-Verbräuche'!J79*Emissionsfaktoren!H79/1000, 0)</f>
        <v>0</v>
      </c>
      <c r="J589" s="110">
        <f>IF(ISNUMBER('Klisz-Verbräuche'!K79), 'Klisz-Verbräuche'!K79*Emissionsfaktoren!I79/1000, 0)</f>
        <v>0</v>
      </c>
      <c r="K589" s="110">
        <f>IF(ISNUMBER('Klisz-Verbräuche'!L79), 'Klisz-Verbräuche'!L79*Emissionsfaktoren!J79/1000, 0)</f>
        <v>0</v>
      </c>
      <c r="L589" s="110">
        <f>IF(ISNUMBER('Klisz-Verbräuche'!M79), 'Klisz-Verbräuche'!M79*Emissionsfaktoren!K79/1000, 0)</f>
        <v>0</v>
      </c>
      <c r="M589" s="110">
        <f>IF(ISNUMBER('Klisz-Verbräuche'!N79), 'Klisz-Verbräuche'!N79*Emissionsfaktoren!L79/1000, 0)</f>
        <v>0</v>
      </c>
      <c r="N589" s="110">
        <f>IF(ISNUMBER('Klisz-Verbräuche'!O79), 'Klisz-Verbräuche'!O79*Emissionsfaktoren!M79/1000, 0)</f>
        <v>0</v>
      </c>
      <c r="O589" s="110">
        <f>IF(ISNUMBER('Klisz-Verbräuche'!P79), 'Klisz-Verbräuche'!P79*Emissionsfaktoren!N79/1000, 0)</f>
        <v>0</v>
      </c>
      <c r="P589" s="110">
        <f>IF(ISNUMBER('Klisz-Verbräuche'!Q79), 'Klisz-Verbräuche'!Q79*Emissionsfaktoren!O79/1000, 0)</f>
        <v>0</v>
      </c>
      <c r="Q589" s="110">
        <f>IF(ISNUMBER('Klisz-Verbräuche'!R79), 'Klisz-Verbräuche'!R79*Emissionsfaktoren!P79/1000, 0)</f>
        <v>0</v>
      </c>
      <c r="R589" s="110">
        <f>IF(ISNUMBER('Klisz-Verbräuche'!S79), 'Klisz-Verbräuche'!S79*Emissionsfaktoren!Q79/1000, 0)</f>
        <v>0</v>
      </c>
      <c r="S589" s="110">
        <f>IF(ISNUMBER('Klisz-Verbräuche'!T79), 'Klisz-Verbräuche'!T79*Emissionsfaktoren!R79/1000, 0)</f>
        <v>0</v>
      </c>
      <c r="T589" s="110">
        <f>IF(ISNUMBER('Klisz-Verbräuche'!U79), 'Klisz-Verbräuche'!U79*Emissionsfaktoren!S79/1000, 0)</f>
        <v>0</v>
      </c>
      <c r="U589" s="110">
        <f>IF(ISNUMBER('Klisz-Verbräuche'!V79), 'Klisz-Verbräuche'!V79*Emissionsfaktoren!T79/1000, 0)</f>
        <v>0</v>
      </c>
      <c r="V589" s="110">
        <f>IF(ISNUMBER('Klisz-Verbräuche'!W79), 'Klisz-Verbräuche'!W79*Emissionsfaktoren!U79/1000, 0)</f>
        <v>0</v>
      </c>
      <c r="W589" s="110">
        <f>IF(ISNUMBER('Klisz-Verbräuche'!X79), 'Klisz-Verbräuche'!X79*Emissionsfaktoren!V79/1000, 0)</f>
        <v>0</v>
      </c>
      <c r="X589" s="110">
        <f>IF(ISNUMBER('Klisz-Verbräuche'!Y79), 'Klisz-Verbräuche'!Y79*Emissionsfaktoren!W79/1000, 0)</f>
        <v>0</v>
      </c>
      <c r="Y589" s="110">
        <f>IF(ISNUMBER('Klisz-Verbräuche'!Z79), 'Klisz-Verbräuche'!Z79*Emissionsfaktoren!X79/1000, 0)</f>
        <v>0</v>
      </c>
    </row>
    <row r="590" spans="2:25" ht="16.5">
      <c r="B590" s="14">
        <v>63</v>
      </c>
      <c r="C590" s="14" t="str">
        <f>'Refsz-Verbräuche'!C80</f>
        <v>Mobilität 2</v>
      </c>
      <c r="D590" s="19" t="str">
        <f>'Refsz-Verbräuche'!D80</f>
        <v>Pendeln - Eisenbahn (Fernverkehr)</v>
      </c>
      <c r="E590" t="s">
        <v>195</v>
      </c>
      <c r="F590" s="110">
        <f>IF(ISNUMBER('Klisz-Verbräuche'!G80), 'Klisz-Verbräuche'!G80*Emissionsfaktoren!E80/1000, 0)</f>
        <v>0</v>
      </c>
      <c r="G590" s="110">
        <f>IF(ISNUMBER('Klisz-Verbräuche'!H80), 'Klisz-Verbräuche'!H80*Emissionsfaktoren!F80/1000, 0)</f>
        <v>0</v>
      </c>
      <c r="H590" s="110">
        <f>IF(ISNUMBER('Klisz-Verbräuche'!I80), 'Klisz-Verbräuche'!I80*Emissionsfaktoren!G80/1000, 0)</f>
        <v>0</v>
      </c>
      <c r="I590" s="110">
        <f>IF(ISNUMBER('Klisz-Verbräuche'!J80), 'Klisz-Verbräuche'!J80*Emissionsfaktoren!H80/1000, 0)</f>
        <v>0</v>
      </c>
      <c r="J590" s="110">
        <f>IF(ISNUMBER('Klisz-Verbräuche'!K80), 'Klisz-Verbräuche'!K80*Emissionsfaktoren!I80/1000, 0)</f>
        <v>0</v>
      </c>
      <c r="K590" s="110">
        <f>IF(ISNUMBER('Klisz-Verbräuche'!L80), 'Klisz-Verbräuche'!L80*Emissionsfaktoren!J80/1000, 0)</f>
        <v>0</v>
      </c>
      <c r="L590" s="110">
        <f>IF(ISNUMBER('Klisz-Verbräuche'!M80), 'Klisz-Verbräuche'!M80*Emissionsfaktoren!K80/1000, 0)</f>
        <v>0</v>
      </c>
      <c r="M590" s="110">
        <f>IF(ISNUMBER('Klisz-Verbräuche'!N80), 'Klisz-Verbräuche'!N80*Emissionsfaktoren!L80/1000, 0)</f>
        <v>0</v>
      </c>
      <c r="N590" s="110">
        <f>IF(ISNUMBER('Klisz-Verbräuche'!O80), 'Klisz-Verbräuche'!O80*Emissionsfaktoren!M80/1000, 0)</f>
        <v>0</v>
      </c>
      <c r="O590" s="110">
        <f>IF(ISNUMBER('Klisz-Verbräuche'!P80), 'Klisz-Verbräuche'!P80*Emissionsfaktoren!N80/1000, 0)</f>
        <v>0</v>
      </c>
      <c r="P590" s="110">
        <f>IF(ISNUMBER('Klisz-Verbräuche'!Q80), 'Klisz-Verbräuche'!Q80*Emissionsfaktoren!O80/1000, 0)</f>
        <v>0</v>
      </c>
      <c r="Q590" s="110">
        <f>IF(ISNUMBER('Klisz-Verbräuche'!R80), 'Klisz-Verbräuche'!R80*Emissionsfaktoren!P80/1000, 0)</f>
        <v>0</v>
      </c>
      <c r="R590" s="110">
        <f>IF(ISNUMBER('Klisz-Verbräuche'!S80), 'Klisz-Verbräuche'!S80*Emissionsfaktoren!Q80/1000, 0)</f>
        <v>0</v>
      </c>
      <c r="S590" s="110">
        <f>IF(ISNUMBER('Klisz-Verbräuche'!T80), 'Klisz-Verbräuche'!T80*Emissionsfaktoren!R80/1000, 0)</f>
        <v>0</v>
      </c>
      <c r="T590" s="110">
        <f>IF(ISNUMBER('Klisz-Verbräuche'!U80), 'Klisz-Verbräuche'!U80*Emissionsfaktoren!S80/1000, 0)</f>
        <v>0</v>
      </c>
      <c r="U590" s="110">
        <f>IF(ISNUMBER('Klisz-Verbräuche'!V80), 'Klisz-Verbräuche'!V80*Emissionsfaktoren!T80/1000, 0)</f>
        <v>0</v>
      </c>
      <c r="V590" s="110">
        <f>IF(ISNUMBER('Klisz-Verbräuche'!W80), 'Klisz-Verbräuche'!W80*Emissionsfaktoren!U80/1000, 0)</f>
        <v>0</v>
      </c>
      <c r="W590" s="110">
        <f>IF(ISNUMBER('Klisz-Verbräuche'!X80), 'Klisz-Verbräuche'!X80*Emissionsfaktoren!V80/1000, 0)</f>
        <v>0</v>
      </c>
      <c r="X590" s="110">
        <f>IF(ISNUMBER('Klisz-Verbräuche'!Y80), 'Klisz-Verbräuche'!Y80*Emissionsfaktoren!W80/1000, 0)</f>
        <v>0</v>
      </c>
      <c r="Y590" s="110">
        <f>IF(ISNUMBER('Klisz-Verbräuche'!Z80), 'Klisz-Verbräuche'!Z80*Emissionsfaktoren!X80/1000, 0)</f>
        <v>0</v>
      </c>
    </row>
    <row r="591" spans="2:25" ht="16.5">
      <c r="B591" s="14">
        <v>64</v>
      </c>
      <c r="C591" s="14" t="str">
        <f>'Refsz-Verbräuche'!C81</f>
        <v>Mobilität 2</v>
      </c>
      <c r="D591" s="19" t="str">
        <f>'Refsz-Verbräuche'!D81</f>
        <v>Pendeln - Eisenbahn (Nahverkehr)</v>
      </c>
      <c r="E591" t="s">
        <v>195</v>
      </c>
      <c r="F591" s="110">
        <f>IF(ISNUMBER('Klisz-Verbräuche'!G81), 'Klisz-Verbräuche'!G81*Emissionsfaktoren!E81/1000, 0)</f>
        <v>0</v>
      </c>
      <c r="G591" s="110">
        <f>IF(ISNUMBER('Klisz-Verbräuche'!H81), 'Klisz-Verbräuche'!H81*Emissionsfaktoren!F81/1000, 0)</f>
        <v>0</v>
      </c>
      <c r="H591" s="110">
        <f>IF(ISNUMBER('Klisz-Verbräuche'!I81), 'Klisz-Verbräuche'!I81*Emissionsfaktoren!G81/1000, 0)</f>
        <v>0</v>
      </c>
      <c r="I591" s="110">
        <f>IF(ISNUMBER('Klisz-Verbräuche'!J81), 'Klisz-Verbräuche'!J81*Emissionsfaktoren!H81/1000, 0)</f>
        <v>0</v>
      </c>
      <c r="J591" s="110">
        <f>IF(ISNUMBER('Klisz-Verbräuche'!K81), 'Klisz-Verbräuche'!K81*Emissionsfaktoren!I81/1000, 0)</f>
        <v>0</v>
      </c>
      <c r="K591" s="110">
        <f>IF(ISNUMBER('Klisz-Verbräuche'!L81), 'Klisz-Verbräuche'!L81*Emissionsfaktoren!J81/1000, 0)</f>
        <v>0</v>
      </c>
      <c r="L591" s="110">
        <f>IF(ISNUMBER('Klisz-Verbräuche'!M81), 'Klisz-Verbräuche'!M81*Emissionsfaktoren!K81/1000, 0)</f>
        <v>0</v>
      </c>
      <c r="M591" s="110">
        <f>IF(ISNUMBER('Klisz-Verbräuche'!N81), 'Klisz-Verbräuche'!N81*Emissionsfaktoren!L81/1000, 0)</f>
        <v>0</v>
      </c>
      <c r="N591" s="110">
        <f>IF(ISNUMBER('Klisz-Verbräuche'!O81), 'Klisz-Verbräuche'!O81*Emissionsfaktoren!M81/1000, 0)</f>
        <v>0</v>
      </c>
      <c r="O591" s="110">
        <f>IF(ISNUMBER('Klisz-Verbräuche'!P81), 'Klisz-Verbräuche'!P81*Emissionsfaktoren!N81/1000, 0)</f>
        <v>0</v>
      </c>
      <c r="P591" s="110">
        <f>IF(ISNUMBER('Klisz-Verbräuche'!Q81), 'Klisz-Verbräuche'!Q81*Emissionsfaktoren!O81/1000, 0)</f>
        <v>0</v>
      </c>
      <c r="Q591" s="110">
        <f>IF(ISNUMBER('Klisz-Verbräuche'!R81), 'Klisz-Verbräuche'!R81*Emissionsfaktoren!P81/1000, 0)</f>
        <v>0</v>
      </c>
      <c r="R591" s="110">
        <f>IF(ISNUMBER('Klisz-Verbräuche'!S81), 'Klisz-Verbräuche'!S81*Emissionsfaktoren!Q81/1000, 0)</f>
        <v>0</v>
      </c>
      <c r="S591" s="110">
        <f>IF(ISNUMBER('Klisz-Verbräuche'!T81), 'Klisz-Verbräuche'!T81*Emissionsfaktoren!R81/1000, 0)</f>
        <v>0</v>
      </c>
      <c r="T591" s="110">
        <f>IF(ISNUMBER('Klisz-Verbräuche'!U81), 'Klisz-Verbräuche'!U81*Emissionsfaktoren!S81/1000, 0)</f>
        <v>0</v>
      </c>
      <c r="U591" s="110">
        <f>IF(ISNUMBER('Klisz-Verbräuche'!V81), 'Klisz-Verbräuche'!V81*Emissionsfaktoren!T81/1000, 0)</f>
        <v>0</v>
      </c>
      <c r="V591" s="110">
        <f>IF(ISNUMBER('Klisz-Verbräuche'!W81), 'Klisz-Verbräuche'!W81*Emissionsfaktoren!U81/1000, 0)</f>
        <v>0</v>
      </c>
      <c r="W591" s="110">
        <f>IF(ISNUMBER('Klisz-Verbräuche'!X81), 'Klisz-Verbräuche'!X81*Emissionsfaktoren!V81/1000, 0)</f>
        <v>0</v>
      </c>
      <c r="X591" s="110">
        <f>IF(ISNUMBER('Klisz-Verbräuche'!Y81), 'Klisz-Verbräuche'!Y81*Emissionsfaktoren!W81/1000, 0)</f>
        <v>0</v>
      </c>
      <c r="Y591" s="110">
        <f>IF(ISNUMBER('Klisz-Verbräuche'!Z81), 'Klisz-Verbräuche'!Z81*Emissionsfaktoren!X81/1000, 0)</f>
        <v>0</v>
      </c>
    </row>
    <row r="592" spans="2:25" ht="16.5">
      <c r="B592" s="14">
        <v>65</v>
      </c>
      <c r="C592" s="14" t="str">
        <f>'Refsz-Verbräuche'!C82</f>
        <v>Mobilität 2</v>
      </c>
      <c r="D592" s="19" t="str">
        <f>'Refsz-Verbräuche'!D82</f>
        <v>Pendeln - Linienbus (Nahverkehr)</v>
      </c>
      <c r="E592" t="s">
        <v>195</v>
      </c>
      <c r="F592" s="110">
        <f>IF(ISNUMBER('Klisz-Verbräuche'!G82), 'Klisz-Verbräuche'!G82*Emissionsfaktoren!E82/1000, 0)</f>
        <v>0</v>
      </c>
      <c r="G592" s="110">
        <f>IF(ISNUMBER('Klisz-Verbräuche'!H82), 'Klisz-Verbräuche'!H82*Emissionsfaktoren!F82/1000, 0)</f>
        <v>0</v>
      </c>
      <c r="H592" s="110">
        <f>IF(ISNUMBER('Klisz-Verbräuche'!I82), 'Klisz-Verbräuche'!I82*Emissionsfaktoren!G82/1000, 0)</f>
        <v>0</v>
      </c>
      <c r="I592" s="110">
        <f>IF(ISNUMBER('Klisz-Verbräuche'!J82), 'Klisz-Verbräuche'!J82*Emissionsfaktoren!H82/1000, 0)</f>
        <v>0</v>
      </c>
      <c r="J592" s="110">
        <f>IF(ISNUMBER('Klisz-Verbräuche'!K82), 'Klisz-Verbräuche'!K82*Emissionsfaktoren!I82/1000, 0)</f>
        <v>0</v>
      </c>
      <c r="K592" s="110">
        <f>IF(ISNUMBER('Klisz-Verbräuche'!L82), 'Klisz-Verbräuche'!L82*Emissionsfaktoren!J82/1000, 0)</f>
        <v>0</v>
      </c>
      <c r="L592" s="110">
        <f>IF(ISNUMBER('Klisz-Verbräuche'!M82), 'Klisz-Verbräuche'!M82*Emissionsfaktoren!K82/1000, 0)</f>
        <v>0</v>
      </c>
      <c r="M592" s="110">
        <f>IF(ISNUMBER('Klisz-Verbräuche'!N82), 'Klisz-Verbräuche'!N82*Emissionsfaktoren!L82/1000, 0)</f>
        <v>0</v>
      </c>
      <c r="N592" s="110">
        <f>IF(ISNUMBER('Klisz-Verbräuche'!O82), 'Klisz-Verbräuche'!O82*Emissionsfaktoren!M82/1000, 0)</f>
        <v>0</v>
      </c>
      <c r="O592" s="110">
        <f>IF(ISNUMBER('Klisz-Verbräuche'!P82), 'Klisz-Verbräuche'!P82*Emissionsfaktoren!N82/1000, 0)</f>
        <v>0</v>
      </c>
      <c r="P592" s="110">
        <f>IF(ISNUMBER('Klisz-Verbräuche'!Q82), 'Klisz-Verbräuche'!Q82*Emissionsfaktoren!O82/1000, 0)</f>
        <v>0</v>
      </c>
      <c r="Q592" s="110">
        <f>IF(ISNUMBER('Klisz-Verbräuche'!R82), 'Klisz-Verbräuche'!R82*Emissionsfaktoren!P82/1000, 0)</f>
        <v>0</v>
      </c>
      <c r="R592" s="110">
        <f>IF(ISNUMBER('Klisz-Verbräuche'!S82), 'Klisz-Verbräuche'!S82*Emissionsfaktoren!Q82/1000, 0)</f>
        <v>0</v>
      </c>
      <c r="S592" s="110">
        <f>IF(ISNUMBER('Klisz-Verbräuche'!T82), 'Klisz-Verbräuche'!T82*Emissionsfaktoren!R82/1000, 0)</f>
        <v>0</v>
      </c>
      <c r="T592" s="110">
        <f>IF(ISNUMBER('Klisz-Verbräuche'!U82), 'Klisz-Verbräuche'!U82*Emissionsfaktoren!S82/1000, 0)</f>
        <v>0</v>
      </c>
      <c r="U592" s="110">
        <f>IF(ISNUMBER('Klisz-Verbräuche'!V82), 'Klisz-Verbräuche'!V82*Emissionsfaktoren!T82/1000, 0)</f>
        <v>0</v>
      </c>
      <c r="V592" s="110">
        <f>IF(ISNUMBER('Klisz-Verbräuche'!W82), 'Klisz-Verbräuche'!W82*Emissionsfaktoren!U82/1000, 0)</f>
        <v>0</v>
      </c>
      <c r="W592" s="110">
        <f>IF(ISNUMBER('Klisz-Verbräuche'!X82), 'Klisz-Verbräuche'!X82*Emissionsfaktoren!V82/1000, 0)</f>
        <v>0</v>
      </c>
      <c r="X592" s="110">
        <f>IF(ISNUMBER('Klisz-Verbräuche'!Y82), 'Klisz-Verbräuche'!Y82*Emissionsfaktoren!W82/1000, 0)</f>
        <v>0</v>
      </c>
      <c r="Y592" s="110">
        <f>IF(ISNUMBER('Klisz-Verbräuche'!Z82), 'Klisz-Verbräuche'!Z82*Emissionsfaktoren!X82/1000, 0)</f>
        <v>0</v>
      </c>
    </row>
    <row r="593" spans="2:25" ht="16.5">
      <c r="B593" s="14">
        <v>66</v>
      </c>
      <c r="C593" s="14" t="str">
        <f>'Refsz-Verbräuche'!C83</f>
        <v>Mobilität 2</v>
      </c>
      <c r="D593" s="19" t="str">
        <f>'Refsz-Verbräuche'!D83</f>
        <v>Pendeln - PKW (alle Antriebsarten)</v>
      </c>
      <c r="E593" t="s">
        <v>195</v>
      </c>
      <c r="F593" s="110">
        <f>IF(ISNUMBER('Klisz-Verbräuche'!G83), 'Klisz-Verbräuche'!G83*Emissionsfaktoren!E83/1000, 0)</f>
        <v>0</v>
      </c>
      <c r="G593" s="110">
        <f>IF(ISNUMBER('Klisz-Verbräuche'!H83), 'Klisz-Verbräuche'!H83*Emissionsfaktoren!F83/1000, 0)</f>
        <v>0</v>
      </c>
      <c r="H593" s="110">
        <f>IF(ISNUMBER('Klisz-Verbräuche'!I83), 'Klisz-Verbräuche'!I83*Emissionsfaktoren!G83/1000, 0)</f>
        <v>0</v>
      </c>
      <c r="I593" s="110">
        <f>IF(ISNUMBER('Klisz-Verbräuche'!J83), 'Klisz-Verbräuche'!J83*Emissionsfaktoren!H83/1000, 0)</f>
        <v>0</v>
      </c>
      <c r="J593" s="110">
        <f>IF(ISNUMBER('Klisz-Verbräuche'!K83), 'Klisz-Verbräuche'!K83*Emissionsfaktoren!I83/1000, 0)</f>
        <v>0</v>
      </c>
      <c r="K593" s="110">
        <f>IF(ISNUMBER('Klisz-Verbräuche'!L83), 'Klisz-Verbräuche'!L83*Emissionsfaktoren!J83/1000, 0)</f>
        <v>0</v>
      </c>
      <c r="L593" s="110">
        <f>IF(ISNUMBER('Klisz-Verbräuche'!M83), 'Klisz-Verbräuche'!M83*Emissionsfaktoren!K83/1000, 0)</f>
        <v>0</v>
      </c>
      <c r="M593" s="110">
        <f>IF(ISNUMBER('Klisz-Verbräuche'!N83), 'Klisz-Verbräuche'!N83*Emissionsfaktoren!L83/1000, 0)</f>
        <v>0</v>
      </c>
      <c r="N593" s="110">
        <f>IF(ISNUMBER('Klisz-Verbräuche'!O83), 'Klisz-Verbräuche'!O83*Emissionsfaktoren!M83/1000, 0)</f>
        <v>0</v>
      </c>
      <c r="O593" s="110">
        <f>IF(ISNUMBER('Klisz-Verbräuche'!P83), 'Klisz-Verbräuche'!P83*Emissionsfaktoren!N83/1000, 0)</f>
        <v>0</v>
      </c>
      <c r="P593" s="110">
        <f>IF(ISNUMBER('Klisz-Verbräuche'!Q83), 'Klisz-Verbräuche'!Q83*Emissionsfaktoren!O83/1000, 0)</f>
        <v>0</v>
      </c>
      <c r="Q593" s="110">
        <f>IF(ISNUMBER('Klisz-Verbräuche'!R83), 'Klisz-Verbräuche'!R83*Emissionsfaktoren!P83/1000, 0)</f>
        <v>0</v>
      </c>
      <c r="R593" s="110">
        <f>IF(ISNUMBER('Klisz-Verbräuche'!S83), 'Klisz-Verbräuche'!S83*Emissionsfaktoren!Q83/1000, 0)</f>
        <v>0</v>
      </c>
      <c r="S593" s="110">
        <f>IF(ISNUMBER('Klisz-Verbräuche'!T83), 'Klisz-Verbräuche'!T83*Emissionsfaktoren!R83/1000, 0)</f>
        <v>0</v>
      </c>
      <c r="T593" s="110">
        <f>IF(ISNUMBER('Klisz-Verbräuche'!U83), 'Klisz-Verbräuche'!U83*Emissionsfaktoren!S83/1000, 0)</f>
        <v>0</v>
      </c>
      <c r="U593" s="110">
        <f>IF(ISNUMBER('Klisz-Verbräuche'!V83), 'Klisz-Verbräuche'!V83*Emissionsfaktoren!T83/1000, 0)</f>
        <v>0</v>
      </c>
      <c r="V593" s="110">
        <f>IF(ISNUMBER('Klisz-Verbräuche'!W83), 'Klisz-Verbräuche'!W83*Emissionsfaktoren!U83/1000, 0)</f>
        <v>0</v>
      </c>
      <c r="W593" s="110">
        <f>IF(ISNUMBER('Klisz-Verbräuche'!X83), 'Klisz-Verbräuche'!X83*Emissionsfaktoren!V83/1000, 0)</f>
        <v>0</v>
      </c>
      <c r="X593" s="110">
        <f>IF(ISNUMBER('Klisz-Verbräuche'!Y83), 'Klisz-Verbräuche'!Y83*Emissionsfaktoren!W83/1000, 0)</f>
        <v>0</v>
      </c>
      <c r="Y593" s="110">
        <f>IF(ISNUMBER('Klisz-Verbräuche'!Z83), 'Klisz-Verbräuche'!Z83*Emissionsfaktoren!X83/1000, 0)</f>
        <v>0</v>
      </c>
    </row>
    <row r="594" spans="2:25" ht="16.5">
      <c r="B594" s="14">
        <v>67</v>
      </c>
      <c r="C594" s="14" t="str">
        <f>'Refsz-Verbräuche'!C84</f>
        <v>Mobilität 2</v>
      </c>
      <c r="D594" s="19" t="str">
        <f>'Refsz-Verbräuche'!D84</f>
        <v>Pendeln - PKW (Diesel)</v>
      </c>
      <c r="E594" t="s">
        <v>195</v>
      </c>
      <c r="F594" s="110">
        <f>IF(ISNUMBER('Klisz-Verbräuche'!G84), 'Klisz-Verbräuche'!G84*Emissionsfaktoren!E84/1000, 0)</f>
        <v>0</v>
      </c>
      <c r="G594" s="110">
        <f>IF(ISNUMBER('Klisz-Verbräuche'!H84), 'Klisz-Verbräuche'!H84*Emissionsfaktoren!F84/1000, 0)</f>
        <v>0</v>
      </c>
      <c r="H594" s="110">
        <f>IF(ISNUMBER('Klisz-Verbräuche'!I84), 'Klisz-Verbräuche'!I84*Emissionsfaktoren!G84/1000, 0)</f>
        <v>0</v>
      </c>
      <c r="I594" s="110">
        <f>IF(ISNUMBER('Klisz-Verbräuche'!J84), 'Klisz-Verbräuche'!J84*Emissionsfaktoren!H84/1000, 0)</f>
        <v>0</v>
      </c>
      <c r="J594" s="110">
        <f>IF(ISNUMBER('Klisz-Verbräuche'!K84), 'Klisz-Verbräuche'!K84*Emissionsfaktoren!I84/1000, 0)</f>
        <v>0</v>
      </c>
      <c r="K594" s="110">
        <f>IF(ISNUMBER('Klisz-Verbräuche'!L84), 'Klisz-Verbräuche'!L84*Emissionsfaktoren!J84/1000, 0)</f>
        <v>0</v>
      </c>
      <c r="L594" s="110">
        <f>IF(ISNUMBER('Klisz-Verbräuche'!M84), 'Klisz-Verbräuche'!M84*Emissionsfaktoren!K84/1000, 0)</f>
        <v>0</v>
      </c>
      <c r="M594" s="110">
        <f>IF(ISNUMBER('Klisz-Verbräuche'!N84), 'Klisz-Verbräuche'!N84*Emissionsfaktoren!L84/1000, 0)</f>
        <v>0</v>
      </c>
      <c r="N594" s="110">
        <f>IF(ISNUMBER('Klisz-Verbräuche'!O84), 'Klisz-Verbräuche'!O84*Emissionsfaktoren!M84/1000, 0)</f>
        <v>0</v>
      </c>
      <c r="O594" s="110">
        <f>IF(ISNUMBER('Klisz-Verbräuche'!P84), 'Klisz-Verbräuche'!P84*Emissionsfaktoren!N84/1000, 0)</f>
        <v>0</v>
      </c>
      <c r="P594" s="110">
        <f>IF(ISNUMBER('Klisz-Verbräuche'!Q84), 'Klisz-Verbräuche'!Q84*Emissionsfaktoren!O84/1000, 0)</f>
        <v>0</v>
      </c>
      <c r="Q594" s="110">
        <f>IF(ISNUMBER('Klisz-Verbräuche'!R84), 'Klisz-Verbräuche'!R84*Emissionsfaktoren!P84/1000, 0)</f>
        <v>0</v>
      </c>
      <c r="R594" s="110">
        <f>IF(ISNUMBER('Klisz-Verbräuche'!S84), 'Klisz-Verbräuche'!S84*Emissionsfaktoren!Q84/1000, 0)</f>
        <v>0</v>
      </c>
      <c r="S594" s="110">
        <f>IF(ISNUMBER('Klisz-Verbräuche'!T84), 'Klisz-Verbräuche'!T84*Emissionsfaktoren!R84/1000, 0)</f>
        <v>0</v>
      </c>
      <c r="T594" s="110">
        <f>IF(ISNUMBER('Klisz-Verbräuche'!U84), 'Klisz-Verbräuche'!U84*Emissionsfaktoren!S84/1000, 0)</f>
        <v>0</v>
      </c>
      <c r="U594" s="110">
        <f>IF(ISNUMBER('Klisz-Verbräuche'!V84), 'Klisz-Verbräuche'!V84*Emissionsfaktoren!T84/1000, 0)</f>
        <v>0</v>
      </c>
      <c r="V594" s="110">
        <f>IF(ISNUMBER('Klisz-Verbräuche'!W84), 'Klisz-Verbräuche'!W84*Emissionsfaktoren!U84/1000, 0)</f>
        <v>0</v>
      </c>
      <c r="W594" s="110">
        <f>IF(ISNUMBER('Klisz-Verbräuche'!X84), 'Klisz-Verbräuche'!X84*Emissionsfaktoren!V84/1000, 0)</f>
        <v>0</v>
      </c>
      <c r="X594" s="110">
        <f>IF(ISNUMBER('Klisz-Verbräuche'!Y84), 'Klisz-Verbräuche'!Y84*Emissionsfaktoren!W84/1000, 0)</f>
        <v>0</v>
      </c>
      <c r="Y594" s="110">
        <f>IF(ISNUMBER('Klisz-Verbräuche'!Z84), 'Klisz-Verbräuche'!Z84*Emissionsfaktoren!X84/1000, 0)</f>
        <v>0</v>
      </c>
    </row>
    <row r="595" spans="2:25" ht="16.5">
      <c r="B595" s="14">
        <v>68</v>
      </c>
      <c r="C595" s="14" t="str">
        <f>'Refsz-Verbräuche'!C85</f>
        <v>Mobilität 2</v>
      </c>
      <c r="D595" s="19" t="str">
        <f>'Refsz-Verbräuche'!D85</f>
        <v>Pendeln - PKW (Benzin)</v>
      </c>
      <c r="E595" t="s">
        <v>195</v>
      </c>
      <c r="F595" s="110">
        <f>IF(ISNUMBER('Klisz-Verbräuche'!G85), 'Klisz-Verbräuche'!G85*Emissionsfaktoren!E85/1000, 0)</f>
        <v>0</v>
      </c>
      <c r="G595" s="110">
        <f>IF(ISNUMBER('Klisz-Verbräuche'!H85), 'Klisz-Verbräuche'!H85*Emissionsfaktoren!F85/1000, 0)</f>
        <v>0</v>
      </c>
      <c r="H595" s="110">
        <f>IF(ISNUMBER('Klisz-Verbräuche'!I85), 'Klisz-Verbräuche'!I85*Emissionsfaktoren!G85/1000, 0)</f>
        <v>0</v>
      </c>
      <c r="I595" s="110">
        <f>IF(ISNUMBER('Klisz-Verbräuche'!J85), 'Klisz-Verbräuche'!J85*Emissionsfaktoren!H85/1000, 0)</f>
        <v>0</v>
      </c>
      <c r="J595" s="110">
        <f>IF(ISNUMBER('Klisz-Verbräuche'!K85), 'Klisz-Verbräuche'!K85*Emissionsfaktoren!I85/1000, 0)</f>
        <v>0</v>
      </c>
      <c r="K595" s="110">
        <f>IF(ISNUMBER('Klisz-Verbräuche'!L85), 'Klisz-Verbräuche'!L85*Emissionsfaktoren!J85/1000, 0)</f>
        <v>0</v>
      </c>
      <c r="L595" s="110">
        <f>IF(ISNUMBER('Klisz-Verbräuche'!M85), 'Klisz-Verbräuche'!M85*Emissionsfaktoren!K85/1000, 0)</f>
        <v>0</v>
      </c>
      <c r="M595" s="110">
        <f>IF(ISNUMBER('Klisz-Verbräuche'!N85), 'Klisz-Verbräuche'!N85*Emissionsfaktoren!L85/1000, 0)</f>
        <v>0</v>
      </c>
      <c r="N595" s="110">
        <f>IF(ISNUMBER('Klisz-Verbräuche'!O85), 'Klisz-Verbräuche'!O85*Emissionsfaktoren!M85/1000, 0)</f>
        <v>0</v>
      </c>
      <c r="O595" s="110">
        <f>IF(ISNUMBER('Klisz-Verbräuche'!P85), 'Klisz-Verbräuche'!P85*Emissionsfaktoren!N85/1000, 0)</f>
        <v>0</v>
      </c>
      <c r="P595" s="110">
        <f>IF(ISNUMBER('Klisz-Verbräuche'!Q85), 'Klisz-Verbräuche'!Q85*Emissionsfaktoren!O85/1000, 0)</f>
        <v>0</v>
      </c>
      <c r="Q595" s="110">
        <f>IF(ISNUMBER('Klisz-Verbräuche'!R85), 'Klisz-Verbräuche'!R85*Emissionsfaktoren!P85/1000, 0)</f>
        <v>0</v>
      </c>
      <c r="R595" s="110">
        <f>IF(ISNUMBER('Klisz-Verbräuche'!S85), 'Klisz-Verbräuche'!S85*Emissionsfaktoren!Q85/1000, 0)</f>
        <v>0</v>
      </c>
      <c r="S595" s="110">
        <f>IF(ISNUMBER('Klisz-Verbräuche'!T85), 'Klisz-Verbräuche'!T85*Emissionsfaktoren!R85/1000, 0)</f>
        <v>0</v>
      </c>
      <c r="T595" s="110">
        <f>IF(ISNUMBER('Klisz-Verbräuche'!U85), 'Klisz-Verbräuche'!U85*Emissionsfaktoren!S85/1000, 0)</f>
        <v>0</v>
      </c>
      <c r="U595" s="110">
        <f>IF(ISNUMBER('Klisz-Verbräuche'!V85), 'Klisz-Verbräuche'!V85*Emissionsfaktoren!T85/1000, 0)</f>
        <v>0</v>
      </c>
      <c r="V595" s="110">
        <f>IF(ISNUMBER('Klisz-Verbräuche'!W85), 'Klisz-Verbräuche'!W85*Emissionsfaktoren!U85/1000, 0)</f>
        <v>0</v>
      </c>
      <c r="W595" s="110">
        <f>IF(ISNUMBER('Klisz-Verbräuche'!X85), 'Klisz-Verbräuche'!X85*Emissionsfaktoren!V85/1000, 0)</f>
        <v>0</v>
      </c>
      <c r="X595" s="110">
        <f>IF(ISNUMBER('Klisz-Verbräuche'!Y85), 'Klisz-Verbräuche'!Y85*Emissionsfaktoren!W85/1000, 0)</f>
        <v>0</v>
      </c>
      <c r="Y595" s="110">
        <f>IF(ISNUMBER('Klisz-Verbräuche'!Z85), 'Klisz-Verbräuche'!Z85*Emissionsfaktoren!X85/1000, 0)</f>
        <v>0</v>
      </c>
    </row>
    <row r="596" spans="2:25" ht="16.5">
      <c r="B596" s="14">
        <v>69</v>
      </c>
      <c r="C596" s="14" t="str">
        <f>'Refsz-Verbräuche'!C86</f>
        <v>Mobilität 2</v>
      </c>
      <c r="D596" s="19" t="str">
        <f>'Refsz-Verbräuche'!D86</f>
        <v>Pendeln - PKW (E-Auto/ BEV)</v>
      </c>
      <c r="E596" t="s">
        <v>195</v>
      </c>
      <c r="F596" s="110">
        <f>IF(ISNUMBER('Klisz-Verbräuche'!G86), 'Klisz-Verbräuche'!G86*Emissionsfaktoren!E86/1000, 0)</f>
        <v>0</v>
      </c>
      <c r="G596" s="110">
        <f>IF(ISNUMBER('Klisz-Verbräuche'!H86), 'Klisz-Verbräuche'!H86*Emissionsfaktoren!F86/1000, 0)</f>
        <v>0</v>
      </c>
      <c r="H596" s="110">
        <f>IF(ISNUMBER('Klisz-Verbräuche'!I86), 'Klisz-Verbräuche'!I86*Emissionsfaktoren!G86/1000, 0)</f>
        <v>0</v>
      </c>
      <c r="I596" s="110">
        <f>IF(ISNUMBER('Klisz-Verbräuche'!J86), 'Klisz-Verbräuche'!J86*Emissionsfaktoren!H86/1000, 0)</f>
        <v>0</v>
      </c>
      <c r="J596" s="110">
        <f>IF(ISNUMBER('Klisz-Verbräuche'!K86), 'Klisz-Verbräuche'!K86*Emissionsfaktoren!I86/1000, 0)</f>
        <v>0</v>
      </c>
      <c r="K596" s="110">
        <f>IF(ISNUMBER('Klisz-Verbräuche'!L86), 'Klisz-Verbräuche'!L86*Emissionsfaktoren!J86/1000, 0)</f>
        <v>0</v>
      </c>
      <c r="L596" s="110">
        <f>IF(ISNUMBER('Klisz-Verbräuche'!M86), 'Klisz-Verbräuche'!M86*Emissionsfaktoren!K86/1000, 0)</f>
        <v>0</v>
      </c>
      <c r="M596" s="110">
        <f>IF(ISNUMBER('Klisz-Verbräuche'!N86), 'Klisz-Verbräuche'!N86*Emissionsfaktoren!L86/1000, 0)</f>
        <v>0</v>
      </c>
      <c r="N596" s="110">
        <f>IF(ISNUMBER('Klisz-Verbräuche'!O86), 'Klisz-Verbräuche'!O86*Emissionsfaktoren!M86/1000, 0)</f>
        <v>0</v>
      </c>
      <c r="O596" s="110">
        <f>IF(ISNUMBER('Klisz-Verbräuche'!P86), 'Klisz-Verbräuche'!P86*Emissionsfaktoren!N86/1000, 0)</f>
        <v>0</v>
      </c>
      <c r="P596" s="110">
        <f>IF(ISNUMBER('Klisz-Verbräuche'!Q86), 'Klisz-Verbräuche'!Q86*Emissionsfaktoren!O86/1000, 0)</f>
        <v>0</v>
      </c>
      <c r="Q596" s="110">
        <f>IF(ISNUMBER('Klisz-Verbräuche'!R86), 'Klisz-Verbräuche'!R86*Emissionsfaktoren!P86/1000, 0)</f>
        <v>0</v>
      </c>
      <c r="R596" s="110">
        <f>IF(ISNUMBER('Klisz-Verbräuche'!S86), 'Klisz-Verbräuche'!S86*Emissionsfaktoren!Q86/1000, 0)</f>
        <v>0</v>
      </c>
      <c r="S596" s="110">
        <f>IF(ISNUMBER('Klisz-Verbräuche'!T86), 'Klisz-Verbräuche'!T86*Emissionsfaktoren!R86/1000, 0)</f>
        <v>0</v>
      </c>
      <c r="T596" s="110">
        <f>IF(ISNUMBER('Klisz-Verbräuche'!U86), 'Klisz-Verbräuche'!U86*Emissionsfaktoren!S86/1000, 0)</f>
        <v>0</v>
      </c>
      <c r="U596" s="110">
        <f>IF(ISNUMBER('Klisz-Verbräuche'!V86), 'Klisz-Verbräuche'!V86*Emissionsfaktoren!T86/1000, 0)</f>
        <v>0</v>
      </c>
      <c r="V596" s="110">
        <f>IF(ISNUMBER('Klisz-Verbräuche'!W86), 'Klisz-Verbräuche'!W86*Emissionsfaktoren!U86/1000, 0)</f>
        <v>0</v>
      </c>
      <c r="W596" s="110">
        <f>IF(ISNUMBER('Klisz-Verbräuche'!X86), 'Klisz-Verbräuche'!X86*Emissionsfaktoren!V86/1000, 0)</f>
        <v>0</v>
      </c>
      <c r="X596" s="110">
        <f>IF(ISNUMBER('Klisz-Verbräuche'!Y86), 'Klisz-Verbräuche'!Y86*Emissionsfaktoren!W86/1000, 0)</f>
        <v>0</v>
      </c>
      <c r="Y596" s="110">
        <f>IF(ISNUMBER('Klisz-Verbräuche'!Z86), 'Klisz-Verbräuche'!Z86*Emissionsfaktoren!X86/1000, 0)</f>
        <v>0</v>
      </c>
    </row>
    <row r="597" spans="2:25" ht="16.5">
      <c r="B597" s="14">
        <v>70</v>
      </c>
      <c r="C597" s="14" t="str">
        <f>'Refsz-Verbräuche'!C87</f>
        <v>Mobilität 2</v>
      </c>
      <c r="D597" s="19" t="str">
        <f>'Refsz-Verbräuche'!D87</f>
        <v>Pendeln - PKW (Wasserstoff/ FCEV)</v>
      </c>
      <c r="E597" t="s">
        <v>195</v>
      </c>
      <c r="F597" s="110">
        <f>IF(ISNUMBER('Klisz-Verbräuche'!G87), 'Klisz-Verbräuche'!G87*Emissionsfaktoren!E87/1000, 0)</f>
        <v>0</v>
      </c>
      <c r="G597" s="110">
        <f>IF(ISNUMBER('Klisz-Verbräuche'!H87), 'Klisz-Verbräuche'!H87*Emissionsfaktoren!F87/1000, 0)</f>
        <v>0</v>
      </c>
      <c r="H597" s="110">
        <f>IF(ISNUMBER('Klisz-Verbräuche'!I87), 'Klisz-Verbräuche'!I87*Emissionsfaktoren!G87/1000, 0)</f>
        <v>0</v>
      </c>
      <c r="I597" s="110">
        <f>IF(ISNUMBER('Klisz-Verbräuche'!J87), 'Klisz-Verbräuche'!J87*Emissionsfaktoren!H87/1000, 0)</f>
        <v>0</v>
      </c>
      <c r="J597" s="110">
        <f>IF(ISNUMBER('Klisz-Verbräuche'!K87), 'Klisz-Verbräuche'!K87*Emissionsfaktoren!I87/1000, 0)</f>
        <v>0</v>
      </c>
      <c r="K597" s="110">
        <f>IF(ISNUMBER('Klisz-Verbräuche'!L87), 'Klisz-Verbräuche'!L87*Emissionsfaktoren!J87/1000, 0)</f>
        <v>0</v>
      </c>
      <c r="L597" s="110">
        <f>IF(ISNUMBER('Klisz-Verbräuche'!M87), 'Klisz-Verbräuche'!M87*Emissionsfaktoren!K87/1000, 0)</f>
        <v>0</v>
      </c>
      <c r="M597" s="110">
        <f>IF(ISNUMBER('Klisz-Verbräuche'!N87), 'Klisz-Verbräuche'!N87*Emissionsfaktoren!L87/1000, 0)</f>
        <v>0</v>
      </c>
      <c r="N597" s="110">
        <f>IF(ISNUMBER('Klisz-Verbräuche'!O87), 'Klisz-Verbräuche'!O87*Emissionsfaktoren!M87/1000, 0)</f>
        <v>0</v>
      </c>
      <c r="O597" s="110">
        <f>IF(ISNUMBER('Klisz-Verbräuche'!P87), 'Klisz-Verbräuche'!P87*Emissionsfaktoren!N87/1000, 0)</f>
        <v>0</v>
      </c>
      <c r="P597" s="110">
        <f>IF(ISNUMBER('Klisz-Verbräuche'!Q87), 'Klisz-Verbräuche'!Q87*Emissionsfaktoren!O87/1000, 0)</f>
        <v>0</v>
      </c>
      <c r="Q597" s="110">
        <f>IF(ISNUMBER('Klisz-Verbräuche'!R87), 'Klisz-Verbräuche'!R87*Emissionsfaktoren!P87/1000, 0)</f>
        <v>0</v>
      </c>
      <c r="R597" s="110">
        <f>IF(ISNUMBER('Klisz-Verbräuche'!S87), 'Klisz-Verbräuche'!S87*Emissionsfaktoren!Q87/1000, 0)</f>
        <v>0</v>
      </c>
      <c r="S597" s="110">
        <f>IF(ISNUMBER('Klisz-Verbräuche'!T87), 'Klisz-Verbräuche'!T87*Emissionsfaktoren!R87/1000, 0)</f>
        <v>0</v>
      </c>
      <c r="T597" s="110">
        <f>IF(ISNUMBER('Klisz-Verbräuche'!U87), 'Klisz-Verbräuche'!U87*Emissionsfaktoren!S87/1000, 0)</f>
        <v>0</v>
      </c>
      <c r="U597" s="110">
        <f>IF(ISNUMBER('Klisz-Verbräuche'!V87), 'Klisz-Verbräuche'!V87*Emissionsfaktoren!T87/1000, 0)</f>
        <v>0</v>
      </c>
      <c r="V597" s="110">
        <f>IF(ISNUMBER('Klisz-Verbräuche'!W87), 'Klisz-Verbräuche'!W87*Emissionsfaktoren!U87/1000, 0)</f>
        <v>0</v>
      </c>
      <c r="W597" s="110">
        <f>IF(ISNUMBER('Klisz-Verbräuche'!X87), 'Klisz-Verbräuche'!X87*Emissionsfaktoren!V87/1000, 0)</f>
        <v>0</v>
      </c>
      <c r="X597" s="110">
        <f>IF(ISNUMBER('Klisz-Verbräuche'!Y87), 'Klisz-Verbräuche'!Y87*Emissionsfaktoren!W87/1000, 0)</f>
        <v>0</v>
      </c>
      <c r="Y597" s="110">
        <f>IF(ISNUMBER('Klisz-Verbräuche'!Z87), 'Klisz-Verbräuche'!Z87*Emissionsfaktoren!X87/1000, 0)</f>
        <v>0</v>
      </c>
    </row>
    <row r="598" spans="2:25" ht="16.5">
      <c r="B598" s="14">
        <v>71</v>
      </c>
      <c r="C598" s="14" t="str">
        <f>'Refsz-Verbräuche'!C88</f>
        <v>Mobilität 2</v>
      </c>
      <c r="D598" s="19" t="str">
        <f>'Refsz-Verbräuche'!D88</f>
        <v>Pendeln - PKW (CNG)</v>
      </c>
      <c r="E598" t="s">
        <v>195</v>
      </c>
      <c r="F598" s="110">
        <f>IF(ISNUMBER('Klisz-Verbräuche'!G88), 'Klisz-Verbräuche'!G88*Emissionsfaktoren!E88/1000, 0)</f>
        <v>0</v>
      </c>
      <c r="G598" s="110">
        <f>IF(ISNUMBER('Klisz-Verbräuche'!H88), 'Klisz-Verbräuche'!H88*Emissionsfaktoren!F88/1000, 0)</f>
        <v>0</v>
      </c>
      <c r="H598" s="110">
        <f>IF(ISNUMBER('Klisz-Verbräuche'!I88), 'Klisz-Verbräuche'!I88*Emissionsfaktoren!G88/1000, 0)</f>
        <v>0</v>
      </c>
      <c r="I598" s="110">
        <f>IF(ISNUMBER('Klisz-Verbräuche'!J88), 'Klisz-Verbräuche'!J88*Emissionsfaktoren!H88/1000, 0)</f>
        <v>0</v>
      </c>
      <c r="J598" s="110">
        <f>IF(ISNUMBER('Klisz-Verbräuche'!K88), 'Klisz-Verbräuche'!K88*Emissionsfaktoren!I88/1000, 0)</f>
        <v>0</v>
      </c>
      <c r="K598" s="110">
        <f>IF(ISNUMBER('Klisz-Verbräuche'!L88), 'Klisz-Verbräuche'!L88*Emissionsfaktoren!J88/1000, 0)</f>
        <v>0</v>
      </c>
      <c r="L598" s="110">
        <f>IF(ISNUMBER('Klisz-Verbräuche'!M88), 'Klisz-Verbräuche'!M88*Emissionsfaktoren!K88/1000, 0)</f>
        <v>0</v>
      </c>
      <c r="M598" s="110">
        <f>IF(ISNUMBER('Klisz-Verbräuche'!N88), 'Klisz-Verbräuche'!N88*Emissionsfaktoren!L88/1000, 0)</f>
        <v>0</v>
      </c>
      <c r="N598" s="110">
        <f>IF(ISNUMBER('Klisz-Verbräuche'!O88), 'Klisz-Verbräuche'!O88*Emissionsfaktoren!M88/1000, 0)</f>
        <v>0</v>
      </c>
      <c r="O598" s="110">
        <f>IF(ISNUMBER('Klisz-Verbräuche'!P88), 'Klisz-Verbräuche'!P88*Emissionsfaktoren!N88/1000, 0)</f>
        <v>0</v>
      </c>
      <c r="P598" s="110">
        <f>IF(ISNUMBER('Klisz-Verbräuche'!Q88), 'Klisz-Verbräuche'!Q88*Emissionsfaktoren!O88/1000, 0)</f>
        <v>0</v>
      </c>
      <c r="Q598" s="110">
        <f>IF(ISNUMBER('Klisz-Verbräuche'!R88), 'Klisz-Verbräuche'!R88*Emissionsfaktoren!P88/1000, 0)</f>
        <v>0</v>
      </c>
      <c r="R598" s="110">
        <f>IF(ISNUMBER('Klisz-Verbräuche'!S88), 'Klisz-Verbräuche'!S88*Emissionsfaktoren!Q88/1000, 0)</f>
        <v>0</v>
      </c>
      <c r="S598" s="110">
        <f>IF(ISNUMBER('Klisz-Verbräuche'!T88), 'Klisz-Verbräuche'!T88*Emissionsfaktoren!R88/1000, 0)</f>
        <v>0</v>
      </c>
      <c r="T598" s="110">
        <f>IF(ISNUMBER('Klisz-Verbräuche'!U88), 'Klisz-Verbräuche'!U88*Emissionsfaktoren!S88/1000, 0)</f>
        <v>0</v>
      </c>
      <c r="U598" s="110">
        <f>IF(ISNUMBER('Klisz-Verbräuche'!V88), 'Klisz-Verbräuche'!V88*Emissionsfaktoren!T88/1000, 0)</f>
        <v>0</v>
      </c>
      <c r="V598" s="110">
        <f>IF(ISNUMBER('Klisz-Verbräuche'!W88), 'Klisz-Verbräuche'!W88*Emissionsfaktoren!U88/1000, 0)</f>
        <v>0</v>
      </c>
      <c r="W598" s="110">
        <f>IF(ISNUMBER('Klisz-Verbräuche'!X88), 'Klisz-Verbräuche'!X88*Emissionsfaktoren!V88/1000, 0)</f>
        <v>0</v>
      </c>
      <c r="X598" s="110">
        <f>IF(ISNUMBER('Klisz-Verbräuche'!Y88), 'Klisz-Verbräuche'!Y88*Emissionsfaktoren!W88/1000, 0)</f>
        <v>0</v>
      </c>
      <c r="Y598" s="110">
        <f>IF(ISNUMBER('Klisz-Verbräuche'!Z88), 'Klisz-Verbräuche'!Z88*Emissionsfaktoren!X88/1000, 0)</f>
        <v>0</v>
      </c>
    </row>
    <row r="599" spans="2:25" ht="16.5">
      <c r="B599" s="14">
        <v>72</v>
      </c>
      <c r="C599" s="14" t="str">
        <f>'Refsz-Verbräuche'!C89</f>
        <v>Mobilität 2</v>
      </c>
      <c r="D599" s="19" t="str">
        <f>'Refsz-Verbräuche'!D89</f>
        <v>Pendeln - PKW (Plug-In-Hybrid/PHEV)</v>
      </c>
      <c r="E599" t="s">
        <v>195</v>
      </c>
      <c r="F599" s="110">
        <f>IF(ISNUMBER('Klisz-Verbräuche'!G89), 'Klisz-Verbräuche'!G89*Emissionsfaktoren!E89/1000, 0)</f>
        <v>0</v>
      </c>
      <c r="G599" s="110">
        <f>IF(ISNUMBER('Klisz-Verbräuche'!H89), 'Klisz-Verbräuche'!H89*Emissionsfaktoren!F89/1000, 0)</f>
        <v>0</v>
      </c>
      <c r="H599" s="110">
        <f>IF(ISNUMBER('Klisz-Verbräuche'!I89), 'Klisz-Verbräuche'!I89*Emissionsfaktoren!G89/1000, 0)</f>
        <v>0</v>
      </c>
      <c r="I599" s="110">
        <f>IF(ISNUMBER('Klisz-Verbräuche'!J89), 'Klisz-Verbräuche'!J89*Emissionsfaktoren!H89/1000, 0)</f>
        <v>0</v>
      </c>
      <c r="J599" s="110">
        <f>IF(ISNUMBER('Klisz-Verbräuche'!K89), 'Klisz-Verbräuche'!K89*Emissionsfaktoren!I89/1000, 0)</f>
        <v>0</v>
      </c>
      <c r="K599" s="110">
        <f>IF(ISNUMBER('Klisz-Verbräuche'!L89), 'Klisz-Verbräuche'!L89*Emissionsfaktoren!J89/1000, 0)</f>
        <v>0</v>
      </c>
      <c r="L599" s="110">
        <f>IF(ISNUMBER('Klisz-Verbräuche'!M89), 'Klisz-Verbräuche'!M89*Emissionsfaktoren!K89/1000, 0)</f>
        <v>0</v>
      </c>
      <c r="M599" s="110">
        <f>IF(ISNUMBER('Klisz-Verbräuche'!N89), 'Klisz-Verbräuche'!N89*Emissionsfaktoren!L89/1000, 0)</f>
        <v>0</v>
      </c>
      <c r="N599" s="110">
        <f>IF(ISNUMBER('Klisz-Verbräuche'!O89), 'Klisz-Verbräuche'!O89*Emissionsfaktoren!M89/1000, 0)</f>
        <v>0</v>
      </c>
      <c r="O599" s="110">
        <f>IF(ISNUMBER('Klisz-Verbräuche'!P89), 'Klisz-Verbräuche'!P89*Emissionsfaktoren!N89/1000, 0)</f>
        <v>0</v>
      </c>
      <c r="P599" s="110">
        <f>IF(ISNUMBER('Klisz-Verbräuche'!Q89), 'Klisz-Verbräuche'!Q89*Emissionsfaktoren!O89/1000, 0)</f>
        <v>0</v>
      </c>
      <c r="Q599" s="110">
        <f>IF(ISNUMBER('Klisz-Verbräuche'!R89), 'Klisz-Verbräuche'!R89*Emissionsfaktoren!P89/1000, 0)</f>
        <v>0</v>
      </c>
      <c r="R599" s="110">
        <f>IF(ISNUMBER('Klisz-Verbräuche'!S89), 'Klisz-Verbräuche'!S89*Emissionsfaktoren!Q89/1000, 0)</f>
        <v>0</v>
      </c>
      <c r="S599" s="110">
        <f>IF(ISNUMBER('Klisz-Verbräuche'!T89), 'Klisz-Verbräuche'!T89*Emissionsfaktoren!R89/1000, 0)</f>
        <v>0</v>
      </c>
      <c r="T599" s="110">
        <f>IF(ISNUMBER('Klisz-Verbräuche'!U89), 'Klisz-Verbräuche'!U89*Emissionsfaktoren!S89/1000, 0)</f>
        <v>0</v>
      </c>
      <c r="U599" s="110">
        <f>IF(ISNUMBER('Klisz-Verbräuche'!V89), 'Klisz-Verbräuche'!V89*Emissionsfaktoren!T89/1000, 0)</f>
        <v>0</v>
      </c>
      <c r="V599" s="110">
        <f>IF(ISNUMBER('Klisz-Verbräuche'!W89), 'Klisz-Verbräuche'!W89*Emissionsfaktoren!U89/1000, 0)</f>
        <v>0</v>
      </c>
      <c r="W599" s="110">
        <f>IF(ISNUMBER('Klisz-Verbräuche'!X89), 'Klisz-Verbräuche'!X89*Emissionsfaktoren!V89/1000, 0)</f>
        <v>0</v>
      </c>
      <c r="X599" s="110">
        <f>IF(ISNUMBER('Klisz-Verbräuche'!Y89), 'Klisz-Verbräuche'!Y89*Emissionsfaktoren!W89/1000, 0)</f>
        <v>0</v>
      </c>
      <c r="Y599" s="110">
        <f>IF(ISNUMBER('Klisz-Verbräuche'!Z89), 'Klisz-Verbräuche'!Z89*Emissionsfaktoren!X89/1000, 0)</f>
        <v>0</v>
      </c>
    </row>
    <row r="600" spans="2:25" ht="16.5">
      <c r="B600" s="14">
        <v>73</v>
      </c>
      <c r="C600" s="14" t="str">
        <f>'Refsz-Verbräuche'!C90</f>
        <v>Mobilität 2</v>
      </c>
      <c r="D600" s="19" t="str">
        <f>'Refsz-Verbräuche'!D90</f>
        <v>Pendeln - Motorisierte Zweiräder</v>
      </c>
      <c r="E600" t="s">
        <v>195</v>
      </c>
      <c r="F600" s="110">
        <f>IF(ISNUMBER('Klisz-Verbräuche'!G90), 'Klisz-Verbräuche'!G90*Emissionsfaktoren!E90/1000, 0)</f>
        <v>0</v>
      </c>
      <c r="G600" s="110">
        <f>IF(ISNUMBER('Klisz-Verbräuche'!H90), 'Klisz-Verbräuche'!H90*Emissionsfaktoren!F90/1000, 0)</f>
        <v>0</v>
      </c>
      <c r="H600" s="110">
        <f>IF(ISNUMBER('Klisz-Verbräuche'!I90), 'Klisz-Verbräuche'!I90*Emissionsfaktoren!G90/1000, 0)</f>
        <v>0</v>
      </c>
      <c r="I600" s="110">
        <f>IF(ISNUMBER('Klisz-Verbräuche'!J90), 'Klisz-Verbräuche'!J90*Emissionsfaktoren!H90/1000, 0)</f>
        <v>0</v>
      </c>
      <c r="J600" s="110">
        <f>IF(ISNUMBER('Klisz-Verbräuche'!K90), 'Klisz-Verbräuche'!K90*Emissionsfaktoren!I90/1000, 0)</f>
        <v>0</v>
      </c>
      <c r="K600" s="110">
        <f>IF(ISNUMBER('Klisz-Verbräuche'!L90), 'Klisz-Verbräuche'!L90*Emissionsfaktoren!J90/1000, 0)</f>
        <v>0</v>
      </c>
      <c r="L600" s="110">
        <f>IF(ISNUMBER('Klisz-Verbräuche'!M90), 'Klisz-Verbräuche'!M90*Emissionsfaktoren!K90/1000, 0)</f>
        <v>0</v>
      </c>
      <c r="M600" s="110">
        <f>IF(ISNUMBER('Klisz-Verbräuche'!N90), 'Klisz-Verbräuche'!N90*Emissionsfaktoren!L90/1000, 0)</f>
        <v>0</v>
      </c>
      <c r="N600" s="110">
        <f>IF(ISNUMBER('Klisz-Verbräuche'!O90), 'Klisz-Verbräuche'!O90*Emissionsfaktoren!M90/1000, 0)</f>
        <v>0</v>
      </c>
      <c r="O600" s="110">
        <f>IF(ISNUMBER('Klisz-Verbräuche'!P90), 'Klisz-Verbräuche'!P90*Emissionsfaktoren!N90/1000, 0)</f>
        <v>0</v>
      </c>
      <c r="P600" s="110">
        <f>IF(ISNUMBER('Klisz-Verbräuche'!Q90), 'Klisz-Verbräuche'!Q90*Emissionsfaktoren!O90/1000, 0)</f>
        <v>0</v>
      </c>
      <c r="Q600" s="110">
        <f>IF(ISNUMBER('Klisz-Verbräuche'!R90), 'Klisz-Verbräuche'!R90*Emissionsfaktoren!P90/1000, 0)</f>
        <v>0</v>
      </c>
      <c r="R600" s="110">
        <f>IF(ISNUMBER('Klisz-Verbräuche'!S90), 'Klisz-Verbräuche'!S90*Emissionsfaktoren!Q90/1000, 0)</f>
        <v>0</v>
      </c>
      <c r="S600" s="110">
        <f>IF(ISNUMBER('Klisz-Verbräuche'!T90), 'Klisz-Verbräuche'!T90*Emissionsfaktoren!R90/1000, 0)</f>
        <v>0</v>
      </c>
      <c r="T600" s="110">
        <f>IF(ISNUMBER('Klisz-Verbräuche'!U90), 'Klisz-Verbräuche'!U90*Emissionsfaktoren!S90/1000, 0)</f>
        <v>0</v>
      </c>
      <c r="U600" s="110">
        <f>IF(ISNUMBER('Klisz-Verbräuche'!V90), 'Klisz-Verbräuche'!V90*Emissionsfaktoren!T90/1000, 0)</f>
        <v>0</v>
      </c>
      <c r="V600" s="110">
        <f>IF(ISNUMBER('Klisz-Verbräuche'!W90), 'Klisz-Verbräuche'!W90*Emissionsfaktoren!U90/1000, 0)</f>
        <v>0</v>
      </c>
      <c r="W600" s="110">
        <f>IF(ISNUMBER('Klisz-Verbräuche'!X90), 'Klisz-Verbräuche'!X90*Emissionsfaktoren!V90/1000, 0)</f>
        <v>0</v>
      </c>
      <c r="X600" s="110">
        <f>IF(ISNUMBER('Klisz-Verbräuche'!Y90), 'Klisz-Verbräuche'!Y90*Emissionsfaktoren!W90/1000, 0)</f>
        <v>0</v>
      </c>
      <c r="Y600" s="110">
        <f>IF(ISNUMBER('Klisz-Verbräuche'!Z90), 'Klisz-Verbräuche'!Z90*Emissionsfaktoren!X90/1000, 0)</f>
        <v>0</v>
      </c>
    </row>
    <row r="601" spans="2:25" ht="16.5">
      <c r="B601" s="14">
        <v>74</v>
      </c>
      <c r="C601" s="14" t="str">
        <f>'Refsz-Verbräuche'!C91</f>
        <v>Mobilität 2</v>
      </c>
      <c r="D601" s="19" t="str">
        <f>'Refsz-Verbräuche'!D91</f>
        <v>Pendeln - Fahrrad</v>
      </c>
      <c r="E601" t="s">
        <v>195</v>
      </c>
      <c r="F601" s="110">
        <f>IF(ISNUMBER('Klisz-Verbräuche'!G91), 'Klisz-Verbräuche'!G91*Emissionsfaktoren!E91/1000, 0)</f>
        <v>0</v>
      </c>
      <c r="G601" s="110">
        <f>IF(ISNUMBER('Klisz-Verbräuche'!H91), 'Klisz-Verbräuche'!H91*Emissionsfaktoren!F91/1000, 0)</f>
        <v>0</v>
      </c>
      <c r="H601" s="110">
        <f>IF(ISNUMBER('Klisz-Verbräuche'!I91), 'Klisz-Verbräuche'!I91*Emissionsfaktoren!G91/1000, 0)</f>
        <v>0</v>
      </c>
      <c r="I601" s="110">
        <f>IF(ISNUMBER('Klisz-Verbräuche'!J91), 'Klisz-Verbräuche'!J91*Emissionsfaktoren!H91/1000, 0)</f>
        <v>0</v>
      </c>
      <c r="J601" s="110">
        <f>IF(ISNUMBER('Klisz-Verbräuche'!K91), 'Klisz-Verbräuche'!K91*Emissionsfaktoren!I91/1000, 0)</f>
        <v>0</v>
      </c>
      <c r="K601" s="110">
        <f>IF(ISNUMBER('Klisz-Verbräuche'!L91), 'Klisz-Verbräuche'!L91*Emissionsfaktoren!J91/1000, 0)</f>
        <v>0</v>
      </c>
      <c r="L601" s="110">
        <f>IF(ISNUMBER('Klisz-Verbräuche'!M91), 'Klisz-Verbräuche'!M91*Emissionsfaktoren!K91/1000, 0)</f>
        <v>0</v>
      </c>
      <c r="M601" s="110">
        <f>IF(ISNUMBER('Klisz-Verbräuche'!N91), 'Klisz-Verbräuche'!N91*Emissionsfaktoren!L91/1000, 0)</f>
        <v>0</v>
      </c>
      <c r="N601" s="110">
        <f>IF(ISNUMBER('Klisz-Verbräuche'!O91), 'Klisz-Verbräuche'!O91*Emissionsfaktoren!M91/1000, 0)</f>
        <v>0</v>
      </c>
      <c r="O601" s="110">
        <f>IF(ISNUMBER('Klisz-Verbräuche'!P91), 'Klisz-Verbräuche'!P91*Emissionsfaktoren!N91/1000, 0)</f>
        <v>0</v>
      </c>
      <c r="P601" s="110">
        <f>IF(ISNUMBER('Klisz-Verbräuche'!Q91), 'Klisz-Verbräuche'!Q91*Emissionsfaktoren!O91/1000, 0)</f>
        <v>0</v>
      </c>
      <c r="Q601" s="110">
        <f>IF(ISNUMBER('Klisz-Verbräuche'!R91), 'Klisz-Verbräuche'!R91*Emissionsfaktoren!P91/1000, 0)</f>
        <v>0</v>
      </c>
      <c r="R601" s="110">
        <f>IF(ISNUMBER('Klisz-Verbräuche'!S91), 'Klisz-Verbräuche'!S91*Emissionsfaktoren!Q91/1000, 0)</f>
        <v>0</v>
      </c>
      <c r="S601" s="110">
        <f>IF(ISNUMBER('Klisz-Verbräuche'!T91), 'Klisz-Verbräuche'!T91*Emissionsfaktoren!R91/1000, 0)</f>
        <v>0</v>
      </c>
      <c r="T601" s="110">
        <f>IF(ISNUMBER('Klisz-Verbräuche'!U91), 'Klisz-Verbräuche'!U91*Emissionsfaktoren!S91/1000, 0)</f>
        <v>0</v>
      </c>
      <c r="U601" s="110">
        <f>IF(ISNUMBER('Klisz-Verbräuche'!V91), 'Klisz-Verbräuche'!V91*Emissionsfaktoren!T91/1000, 0)</f>
        <v>0</v>
      </c>
      <c r="V601" s="110">
        <f>IF(ISNUMBER('Klisz-Verbräuche'!W91), 'Klisz-Verbräuche'!W91*Emissionsfaktoren!U91/1000, 0)</f>
        <v>0</v>
      </c>
      <c r="W601" s="110">
        <f>IF(ISNUMBER('Klisz-Verbräuche'!X91), 'Klisz-Verbräuche'!X91*Emissionsfaktoren!V91/1000, 0)</f>
        <v>0</v>
      </c>
      <c r="X601" s="110">
        <f>IF(ISNUMBER('Klisz-Verbräuche'!Y91), 'Klisz-Verbräuche'!Y91*Emissionsfaktoren!W91/1000, 0)</f>
        <v>0</v>
      </c>
      <c r="Y601" s="110">
        <f>IF(ISNUMBER('Klisz-Verbräuche'!Z91), 'Klisz-Verbräuche'!Z91*Emissionsfaktoren!X91/1000, 0)</f>
        <v>0</v>
      </c>
    </row>
    <row r="602" spans="2:25" ht="16.5">
      <c r="B602" s="14">
        <v>75</v>
      </c>
      <c r="C602" s="14" t="str">
        <f>'Refsz-Verbräuche'!C92</f>
        <v>Mobilität 2</v>
      </c>
      <c r="D602" s="19" t="str">
        <f>'Refsz-Verbräuche'!D92</f>
        <v>Pendeln - E-Bike</v>
      </c>
      <c r="E602" t="s">
        <v>195</v>
      </c>
      <c r="F602" s="110">
        <f>IF(ISNUMBER('Klisz-Verbräuche'!G92), 'Klisz-Verbräuche'!G92*Emissionsfaktoren!E93/1000, 0)</f>
        <v>0</v>
      </c>
      <c r="G602" s="110">
        <f>IF(ISNUMBER('Klisz-Verbräuche'!H92), 'Klisz-Verbräuche'!H92*Emissionsfaktoren!F93/1000, 0)</f>
        <v>0</v>
      </c>
      <c r="H602" s="110">
        <f>IF(ISNUMBER('Klisz-Verbräuche'!I92), 'Klisz-Verbräuche'!I92*Emissionsfaktoren!G93/1000, 0)</f>
        <v>0</v>
      </c>
      <c r="I602" s="110">
        <f>IF(ISNUMBER('Klisz-Verbräuche'!J92), 'Klisz-Verbräuche'!J92*Emissionsfaktoren!H93/1000, 0)</f>
        <v>0</v>
      </c>
      <c r="J602" s="110">
        <f>IF(ISNUMBER('Klisz-Verbräuche'!K92), 'Klisz-Verbräuche'!K92*Emissionsfaktoren!I93/1000, 0)</f>
        <v>0</v>
      </c>
      <c r="K602" s="110">
        <f>IF(ISNUMBER('Klisz-Verbräuche'!L92), 'Klisz-Verbräuche'!L92*Emissionsfaktoren!J93/1000, 0)</f>
        <v>0</v>
      </c>
      <c r="L602" s="110">
        <f>IF(ISNUMBER('Klisz-Verbräuche'!M92), 'Klisz-Verbräuche'!M92*Emissionsfaktoren!K93/1000, 0)</f>
        <v>0</v>
      </c>
      <c r="M602" s="110">
        <f>IF(ISNUMBER('Klisz-Verbräuche'!N92), 'Klisz-Verbräuche'!N92*Emissionsfaktoren!L93/1000, 0)</f>
        <v>0</v>
      </c>
      <c r="N602" s="110">
        <f>IF(ISNUMBER('Klisz-Verbräuche'!O92), 'Klisz-Verbräuche'!O92*Emissionsfaktoren!M93/1000, 0)</f>
        <v>0</v>
      </c>
      <c r="O602" s="110">
        <f>IF(ISNUMBER('Klisz-Verbräuche'!P92), 'Klisz-Verbräuche'!P92*Emissionsfaktoren!N93/1000, 0)</f>
        <v>0</v>
      </c>
      <c r="P602" s="110">
        <f>IF(ISNUMBER('Klisz-Verbräuche'!Q92), 'Klisz-Verbräuche'!Q92*Emissionsfaktoren!O93/1000, 0)</f>
        <v>0</v>
      </c>
      <c r="Q602" s="110">
        <f>IF(ISNUMBER('Klisz-Verbräuche'!R92), 'Klisz-Verbräuche'!R92*Emissionsfaktoren!P93/1000, 0)</f>
        <v>0</v>
      </c>
      <c r="R602" s="110">
        <f>IF(ISNUMBER('Klisz-Verbräuche'!S92), 'Klisz-Verbräuche'!S92*Emissionsfaktoren!Q93/1000, 0)</f>
        <v>0</v>
      </c>
      <c r="S602" s="110">
        <f>IF(ISNUMBER('Klisz-Verbräuche'!T92), 'Klisz-Verbräuche'!T92*Emissionsfaktoren!R93/1000, 0)</f>
        <v>0</v>
      </c>
      <c r="T602" s="110">
        <f>IF(ISNUMBER('Klisz-Verbräuche'!U92), 'Klisz-Verbräuche'!U92*Emissionsfaktoren!S93/1000, 0)</f>
        <v>0</v>
      </c>
      <c r="U602" s="110">
        <f>IF(ISNUMBER('Klisz-Verbräuche'!V92), 'Klisz-Verbräuche'!V92*Emissionsfaktoren!T93/1000, 0)</f>
        <v>0</v>
      </c>
      <c r="V602" s="110">
        <f>IF(ISNUMBER('Klisz-Verbräuche'!W92), 'Klisz-Verbräuche'!W92*Emissionsfaktoren!U93/1000, 0)</f>
        <v>0</v>
      </c>
      <c r="W602" s="110">
        <f>IF(ISNUMBER('Klisz-Verbräuche'!X92), 'Klisz-Verbräuche'!X92*Emissionsfaktoren!V93/1000, 0)</f>
        <v>0</v>
      </c>
      <c r="X602" s="110">
        <f>IF(ISNUMBER('Klisz-Verbräuche'!Y92), 'Klisz-Verbräuche'!Y92*Emissionsfaktoren!W93/1000, 0)</f>
        <v>0</v>
      </c>
      <c r="Y602" s="110">
        <f>IF(ISNUMBER('Klisz-Verbräuche'!Z92), 'Klisz-Verbräuche'!Z92*Emissionsfaktoren!X93/1000, 0)</f>
        <v>0</v>
      </c>
    </row>
    <row r="603" spans="2:25" ht="16.5">
      <c r="B603" s="14">
        <v>76</v>
      </c>
      <c r="C603" s="14" t="str">
        <f>'Refsz-Verbräuche'!C93</f>
        <v>Mobilität 2</v>
      </c>
      <c r="D603" s="19" t="str">
        <f>'Refsz-Verbräuche'!D93</f>
        <v>Pendeln - zu Fuß</v>
      </c>
      <c r="E603" t="s">
        <v>195</v>
      </c>
      <c r="F603" s="110">
        <f>IF(ISNUMBER('Klisz-Verbräuche'!G93), 'Klisz-Verbräuche'!G93*Emissionsfaktoren!E93/1000, 0)</f>
        <v>0</v>
      </c>
      <c r="G603" s="110">
        <f>IF(ISNUMBER('Klisz-Verbräuche'!H93), 'Klisz-Verbräuche'!H93*Emissionsfaktoren!F93/1000, 0)</f>
        <v>0</v>
      </c>
      <c r="H603" s="110">
        <f>IF(ISNUMBER('Klisz-Verbräuche'!I93), 'Klisz-Verbräuche'!I93*Emissionsfaktoren!G93/1000, 0)</f>
        <v>0</v>
      </c>
      <c r="I603" s="110">
        <f>IF(ISNUMBER('Klisz-Verbräuche'!J93), 'Klisz-Verbräuche'!J93*Emissionsfaktoren!H93/1000, 0)</f>
        <v>0</v>
      </c>
      <c r="J603" s="110">
        <f>IF(ISNUMBER('Klisz-Verbräuche'!K93), 'Klisz-Verbräuche'!K93*Emissionsfaktoren!I93/1000, 0)</f>
        <v>0</v>
      </c>
      <c r="K603" s="110">
        <f>IF(ISNUMBER('Klisz-Verbräuche'!L93), 'Klisz-Verbräuche'!L93*Emissionsfaktoren!J93/1000, 0)</f>
        <v>0</v>
      </c>
      <c r="L603" s="110">
        <f>IF(ISNUMBER('Klisz-Verbräuche'!M93), 'Klisz-Verbräuche'!M93*Emissionsfaktoren!K93/1000, 0)</f>
        <v>0</v>
      </c>
      <c r="M603" s="110">
        <f>IF(ISNUMBER('Klisz-Verbräuche'!N93), 'Klisz-Verbräuche'!N93*Emissionsfaktoren!L93/1000, 0)</f>
        <v>0</v>
      </c>
      <c r="N603" s="110">
        <f>IF(ISNUMBER('Klisz-Verbräuche'!O93), 'Klisz-Verbräuche'!O93*Emissionsfaktoren!M93/1000, 0)</f>
        <v>0</v>
      </c>
      <c r="O603" s="110">
        <f>IF(ISNUMBER('Klisz-Verbräuche'!P93), 'Klisz-Verbräuche'!P93*Emissionsfaktoren!N93/1000, 0)</f>
        <v>0</v>
      </c>
      <c r="P603" s="110">
        <f>IF(ISNUMBER('Klisz-Verbräuche'!Q93), 'Klisz-Verbräuche'!Q93*Emissionsfaktoren!O93/1000, 0)</f>
        <v>0</v>
      </c>
      <c r="Q603" s="110">
        <f>IF(ISNUMBER('Klisz-Verbräuche'!R93), 'Klisz-Verbräuche'!R93*Emissionsfaktoren!P93/1000, 0)</f>
        <v>0</v>
      </c>
      <c r="R603" s="110">
        <f>IF(ISNUMBER('Klisz-Verbräuche'!S93), 'Klisz-Verbräuche'!S93*Emissionsfaktoren!Q93/1000, 0)</f>
        <v>0</v>
      </c>
      <c r="S603" s="110">
        <f>IF(ISNUMBER('Klisz-Verbräuche'!T93), 'Klisz-Verbräuche'!T93*Emissionsfaktoren!R93/1000, 0)</f>
        <v>0</v>
      </c>
      <c r="T603" s="110">
        <f>IF(ISNUMBER('Klisz-Verbräuche'!U93), 'Klisz-Verbräuche'!U93*Emissionsfaktoren!S93/1000, 0)</f>
        <v>0</v>
      </c>
      <c r="U603" s="110">
        <f>IF(ISNUMBER('Klisz-Verbräuche'!V93), 'Klisz-Verbräuche'!V93*Emissionsfaktoren!T93/1000, 0)</f>
        <v>0</v>
      </c>
      <c r="V603" s="110">
        <f>IF(ISNUMBER('Klisz-Verbräuche'!W93), 'Klisz-Verbräuche'!W93*Emissionsfaktoren!U93/1000, 0)</f>
        <v>0</v>
      </c>
      <c r="W603" s="110">
        <f>IF(ISNUMBER('Klisz-Verbräuche'!X93), 'Klisz-Verbräuche'!X93*Emissionsfaktoren!V93/1000, 0)</f>
        <v>0</v>
      </c>
      <c r="X603" s="110">
        <f>IF(ISNUMBER('Klisz-Verbräuche'!Y93), 'Klisz-Verbräuche'!Y93*Emissionsfaktoren!W93/1000, 0)</f>
        <v>0</v>
      </c>
      <c r="Y603" s="110">
        <f>IF(ISNUMBER('Klisz-Verbräuche'!Z93), 'Klisz-Verbräuche'!Z93*Emissionsfaktoren!X93/1000, 0)</f>
        <v>0</v>
      </c>
    </row>
    <row r="604" spans="2:25" ht="16.5">
      <c r="B604" s="14">
        <v>77</v>
      </c>
      <c r="C604" s="14">
        <f>'Refsz-Verbräuche'!C94</f>
        <v>0</v>
      </c>
      <c r="D604" s="19">
        <f>'Refsz-Verbräuche'!D94</f>
        <v>0</v>
      </c>
      <c r="E604" t="s">
        <v>195</v>
      </c>
      <c r="F604" s="110">
        <f>IF(ISNUMBER('Klisz-Verbräuche'!G94), 'Klisz-Verbräuche'!G94*Emissionsfaktoren!E94/1000, 0)</f>
        <v>0</v>
      </c>
      <c r="G604" s="110">
        <f>IF(ISNUMBER('Klisz-Verbräuche'!H94), 'Klisz-Verbräuche'!H94*Emissionsfaktoren!F94/1000, 0)</f>
        <v>0</v>
      </c>
      <c r="H604" s="110">
        <f>IF(ISNUMBER('Klisz-Verbräuche'!I94), 'Klisz-Verbräuche'!I94*Emissionsfaktoren!G94/1000, 0)</f>
        <v>0</v>
      </c>
      <c r="I604" s="110">
        <f>IF(ISNUMBER('Klisz-Verbräuche'!J94), 'Klisz-Verbräuche'!J94*Emissionsfaktoren!H94/1000, 0)</f>
        <v>0</v>
      </c>
      <c r="J604" s="110">
        <f>IF(ISNUMBER('Klisz-Verbräuche'!K94), 'Klisz-Verbräuche'!K94*Emissionsfaktoren!I94/1000, 0)</f>
        <v>0</v>
      </c>
      <c r="K604" s="110">
        <f>IF(ISNUMBER('Klisz-Verbräuche'!L94), 'Klisz-Verbräuche'!L94*Emissionsfaktoren!J94/1000, 0)</f>
        <v>0</v>
      </c>
      <c r="L604" s="110">
        <f>IF(ISNUMBER('Klisz-Verbräuche'!M94), 'Klisz-Verbräuche'!M94*Emissionsfaktoren!K94/1000, 0)</f>
        <v>0</v>
      </c>
      <c r="M604" s="110">
        <f>IF(ISNUMBER('Klisz-Verbräuche'!N94), 'Klisz-Verbräuche'!N94*Emissionsfaktoren!L94/1000, 0)</f>
        <v>0</v>
      </c>
      <c r="N604" s="110">
        <f>IF(ISNUMBER('Klisz-Verbräuche'!O94), 'Klisz-Verbräuche'!O94*Emissionsfaktoren!M94/1000, 0)</f>
        <v>0</v>
      </c>
      <c r="O604" s="110">
        <f>IF(ISNUMBER('Klisz-Verbräuche'!P94), 'Klisz-Verbräuche'!P94*Emissionsfaktoren!N94/1000, 0)</f>
        <v>0</v>
      </c>
      <c r="P604" s="110">
        <f>IF(ISNUMBER('Klisz-Verbräuche'!Q94), 'Klisz-Verbräuche'!Q94*Emissionsfaktoren!O94/1000, 0)</f>
        <v>0</v>
      </c>
      <c r="Q604" s="110">
        <f>IF(ISNUMBER('Klisz-Verbräuche'!R94), 'Klisz-Verbräuche'!R94*Emissionsfaktoren!P94/1000, 0)</f>
        <v>0</v>
      </c>
      <c r="R604" s="110">
        <f>IF(ISNUMBER('Klisz-Verbräuche'!S94), 'Klisz-Verbräuche'!S94*Emissionsfaktoren!Q94/1000, 0)</f>
        <v>0</v>
      </c>
      <c r="S604" s="110">
        <f>IF(ISNUMBER('Klisz-Verbräuche'!T94), 'Klisz-Verbräuche'!T94*Emissionsfaktoren!R94/1000, 0)</f>
        <v>0</v>
      </c>
      <c r="T604" s="110">
        <f>IF(ISNUMBER('Klisz-Verbräuche'!U94), 'Klisz-Verbräuche'!U94*Emissionsfaktoren!S94/1000, 0)</f>
        <v>0</v>
      </c>
      <c r="U604" s="110">
        <f>IF(ISNUMBER('Klisz-Verbräuche'!V94), 'Klisz-Verbräuche'!V94*Emissionsfaktoren!T94/1000, 0)</f>
        <v>0</v>
      </c>
      <c r="V604" s="110">
        <f>IF(ISNUMBER('Klisz-Verbräuche'!W94), 'Klisz-Verbräuche'!W94*Emissionsfaktoren!U94/1000, 0)</f>
        <v>0</v>
      </c>
      <c r="W604" s="110">
        <f>IF(ISNUMBER('Klisz-Verbräuche'!X94), 'Klisz-Verbräuche'!X94*Emissionsfaktoren!V94/1000, 0)</f>
        <v>0</v>
      </c>
      <c r="X604" s="110">
        <f>IF(ISNUMBER('Klisz-Verbräuche'!Y94), 'Klisz-Verbräuche'!Y94*Emissionsfaktoren!W94/1000, 0)</f>
        <v>0</v>
      </c>
      <c r="Y604" s="110">
        <f>IF(ISNUMBER('Klisz-Verbräuche'!Z94), 'Klisz-Verbräuche'!Z94*Emissionsfaktoren!X94/1000, 0)</f>
        <v>0</v>
      </c>
    </row>
    <row r="605" spans="2:25" ht="16.5">
      <c r="B605" s="14">
        <v>78</v>
      </c>
      <c r="C605" s="14" t="str">
        <f>'Refsz-Verbräuche'!C95</f>
        <v>Mobilität 2</v>
      </c>
      <c r="D605" s="19" t="str">
        <f>'Refsz-Verbräuche'!D95</f>
        <v>Studierendenreisen (Incoming) - Flugreisen</v>
      </c>
      <c r="E605" t="s">
        <v>195</v>
      </c>
      <c r="F605" s="110">
        <f>IF(ISNUMBER('Klisz-Verbräuche'!G95), 'Klisz-Verbräuche'!G95*Emissionsfaktoren!E95/1000, 0)</f>
        <v>0</v>
      </c>
      <c r="G605" s="110">
        <f>IF(ISNUMBER('Klisz-Verbräuche'!H95), 'Klisz-Verbräuche'!H95*Emissionsfaktoren!F95/1000, 0)</f>
        <v>0</v>
      </c>
      <c r="H605" s="110">
        <f>IF(ISNUMBER('Klisz-Verbräuche'!I95), 'Klisz-Verbräuche'!I95*Emissionsfaktoren!G95/1000, 0)</f>
        <v>0</v>
      </c>
      <c r="I605" s="110">
        <f>IF(ISNUMBER('Klisz-Verbräuche'!J95), 'Klisz-Verbräuche'!J95*Emissionsfaktoren!H95/1000, 0)</f>
        <v>0</v>
      </c>
      <c r="J605" s="110">
        <f>IF(ISNUMBER('Klisz-Verbräuche'!K95), 'Klisz-Verbräuche'!K95*Emissionsfaktoren!I95/1000, 0)</f>
        <v>0</v>
      </c>
      <c r="K605" s="110">
        <f>IF(ISNUMBER('Klisz-Verbräuche'!L95), 'Klisz-Verbräuche'!L95*Emissionsfaktoren!J95/1000, 0)</f>
        <v>0</v>
      </c>
      <c r="L605" s="110">
        <f>IF(ISNUMBER('Klisz-Verbräuche'!M95), 'Klisz-Verbräuche'!M95*Emissionsfaktoren!K95/1000, 0)</f>
        <v>0</v>
      </c>
      <c r="M605" s="110">
        <f>IF(ISNUMBER('Klisz-Verbräuche'!N95), 'Klisz-Verbräuche'!N95*Emissionsfaktoren!L95/1000, 0)</f>
        <v>0</v>
      </c>
      <c r="N605" s="110">
        <f>IF(ISNUMBER('Klisz-Verbräuche'!O95), 'Klisz-Verbräuche'!O95*Emissionsfaktoren!M95/1000, 0)</f>
        <v>0</v>
      </c>
      <c r="O605" s="110">
        <f>IF(ISNUMBER('Klisz-Verbräuche'!P95), 'Klisz-Verbräuche'!P95*Emissionsfaktoren!N95/1000, 0)</f>
        <v>0</v>
      </c>
      <c r="P605" s="110">
        <f>IF(ISNUMBER('Klisz-Verbräuche'!Q95), 'Klisz-Verbräuche'!Q95*Emissionsfaktoren!O95/1000, 0)</f>
        <v>0</v>
      </c>
      <c r="Q605" s="110">
        <f>IF(ISNUMBER('Klisz-Verbräuche'!R95), 'Klisz-Verbräuche'!R95*Emissionsfaktoren!P95/1000, 0)</f>
        <v>0</v>
      </c>
      <c r="R605" s="110">
        <f>IF(ISNUMBER('Klisz-Verbräuche'!S95), 'Klisz-Verbräuche'!S95*Emissionsfaktoren!Q95/1000, 0)</f>
        <v>0</v>
      </c>
      <c r="S605" s="110">
        <f>IF(ISNUMBER('Klisz-Verbräuche'!T95), 'Klisz-Verbräuche'!T95*Emissionsfaktoren!R95/1000, 0)</f>
        <v>0</v>
      </c>
      <c r="T605" s="110">
        <f>IF(ISNUMBER('Klisz-Verbräuche'!U95), 'Klisz-Verbräuche'!U95*Emissionsfaktoren!S95/1000, 0)</f>
        <v>0</v>
      </c>
      <c r="U605" s="110">
        <f>IF(ISNUMBER('Klisz-Verbräuche'!V95), 'Klisz-Verbräuche'!V95*Emissionsfaktoren!T95/1000, 0)</f>
        <v>0</v>
      </c>
      <c r="V605" s="110">
        <f>IF(ISNUMBER('Klisz-Verbräuche'!W95), 'Klisz-Verbräuche'!W95*Emissionsfaktoren!U95/1000, 0)</f>
        <v>0</v>
      </c>
      <c r="W605" s="110">
        <f>IF(ISNUMBER('Klisz-Verbräuche'!X95), 'Klisz-Verbräuche'!X95*Emissionsfaktoren!V95/1000, 0)</f>
        <v>0</v>
      </c>
      <c r="X605" s="110">
        <f>IF(ISNUMBER('Klisz-Verbräuche'!Y95), 'Klisz-Verbräuche'!Y95*Emissionsfaktoren!W95/1000, 0)</f>
        <v>0</v>
      </c>
      <c r="Y605" s="110">
        <f>IF(ISNUMBER('Klisz-Verbräuche'!Z95), 'Klisz-Verbräuche'!Z95*Emissionsfaktoren!X95/1000, 0)</f>
        <v>0</v>
      </c>
    </row>
    <row r="606" spans="2:25" ht="16.5">
      <c r="B606" s="14">
        <v>79</v>
      </c>
      <c r="C606" s="14" t="str">
        <f>'Refsz-Verbräuche'!C96</f>
        <v>Mobilität 2</v>
      </c>
      <c r="D606" s="19" t="str">
        <f>'Refsz-Verbräuche'!D96</f>
        <v>Studierendenreisen (Incoming) - Eisenbahn (Nahverkehr)</v>
      </c>
      <c r="E606" t="s">
        <v>195</v>
      </c>
      <c r="F606" s="110">
        <f>IF(ISNUMBER('Klisz-Verbräuche'!G96), 'Klisz-Verbräuche'!G96*Emissionsfaktoren!E96/1000, 0)</f>
        <v>0</v>
      </c>
      <c r="G606" s="110">
        <f>IF(ISNUMBER('Klisz-Verbräuche'!H96), 'Klisz-Verbräuche'!H96*Emissionsfaktoren!F96/1000, 0)</f>
        <v>0</v>
      </c>
      <c r="H606" s="110">
        <f>IF(ISNUMBER('Klisz-Verbräuche'!I96), 'Klisz-Verbräuche'!I96*Emissionsfaktoren!G96/1000, 0)</f>
        <v>0</v>
      </c>
      <c r="I606" s="110">
        <f>IF(ISNUMBER('Klisz-Verbräuche'!J96), 'Klisz-Verbräuche'!J96*Emissionsfaktoren!H96/1000, 0)</f>
        <v>0</v>
      </c>
      <c r="J606" s="110">
        <f>IF(ISNUMBER('Klisz-Verbräuche'!K96), 'Klisz-Verbräuche'!K96*Emissionsfaktoren!I96/1000, 0)</f>
        <v>0</v>
      </c>
      <c r="K606" s="110">
        <f>IF(ISNUMBER('Klisz-Verbräuche'!L96), 'Klisz-Verbräuche'!L96*Emissionsfaktoren!J96/1000, 0)</f>
        <v>0</v>
      </c>
      <c r="L606" s="110">
        <f>IF(ISNUMBER('Klisz-Verbräuche'!M96), 'Klisz-Verbräuche'!M96*Emissionsfaktoren!K96/1000, 0)</f>
        <v>0</v>
      </c>
      <c r="M606" s="110">
        <f>IF(ISNUMBER('Klisz-Verbräuche'!N96), 'Klisz-Verbräuche'!N96*Emissionsfaktoren!L96/1000, 0)</f>
        <v>0</v>
      </c>
      <c r="N606" s="110">
        <f>IF(ISNUMBER('Klisz-Verbräuche'!O96), 'Klisz-Verbräuche'!O96*Emissionsfaktoren!M96/1000, 0)</f>
        <v>0</v>
      </c>
      <c r="O606" s="110">
        <f>IF(ISNUMBER('Klisz-Verbräuche'!P96), 'Klisz-Verbräuche'!P96*Emissionsfaktoren!N96/1000, 0)</f>
        <v>0</v>
      </c>
      <c r="P606" s="110">
        <f>IF(ISNUMBER('Klisz-Verbräuche'!Q96), 'Klisz-Verbräuche'!Q96*Emissionsfaktoren!O96/1000, 0)</f>
        <v>0</v>
      </c>
      <c r="Q606" s="110">
        <f>IF(ISNUMBER('Klisz-Verbräuche'!R96), 'Klisz-Verbräuche'!R96*Emissionsfaktoren!P96/1000, 0)</f>
        <v>0</v>
      </c>
      <c r="R606" s="110">
        <f>IF(ISNUMBER('Klisz-Verbräuche'!S96), 'Klisz-Verbräuche'!S96*Emissionsfaktoren!Q96/1000, 0)</f>
        <v>0</v>
      </c>
      <c r="S606" s="110">
        <f>IF(ISNUMBER('Klisz-Verbräuche'!T96), 'Klisz-Verbräuche'!T96*Emissionsfaktoren!R96/1000, 0)</f>
        <v>0</v>
      </c>
      <c r="T606" s="110">
        <f>IF(ISNUMBER('Klisz-Verbräuche'!U96), 'Klisz-Verbräuche'!U96*Emissionsfaktoren!S96/1000, 0)</f>
        <v>0</v>
      </c>
      <c r="U606" s="110">
        <f>IF(ISNUMBER('Klisz-Verbräuche'!V96), 'Klisz-Verbräuche'!V96*Emissionsfaktoren!T96/1000, 0)</f>
        <v>0</v>
      </c>
      <c r="V606" s="110">
        <f>IF(ISNUMBER('Klisz-Verbräuche'!W96), 'Klisz-Verbräuche'!W96*Emissionsfaktoren!U96/1000, 0)</f>
        <v>0</v>
      </c>
      <c r="W606" s="110">
        <f>IF(ISNUMBER('Klisz-Verbräuche'!X96), 'Klisz-Verbräuche'!X96*Emissionsfaktoren!V96/1000, 0)</f>
        <v>0</v>
      </c>
      <c r="X606" s="110">
        <f>IF(ISNUMBER('Klisz-Verbräuche'!Y96), 'Klisz-Verbräuche'!Y96*Emissionsfaktoren!W96/1000, 0)</f>
        <v>0</v>
      </c>
      <c r="Y606" s="110">
        <f>IF(ISNUMBER('Klisz-Verbräuche'!Z96), 'Klisz-Verbräuche'!Z96*Emissionsfaktoren!X96/1000, 0)</f>
        <v>0</v>
      </c>
    </row>
    <row r="607" spans="2:25" ht="16.5">
      <c r="B607" s="14">
        <v>80</v>
      </c>
      <c r="C607" s="14" t="str">
        <f>'Refsz-Verbräuche'!C97</f>
        <v>Mobilität 2</v>
      </c>
      <c r="D607" s="19" t="str">
        <f>'Refsz-Verbräuche'!D97</f>
        <v>Studierendenreisen (Incoming) - Privater PKW (alle Antriebsarten)</v>
      </c>
      <c r="E607" t="s">
        <v>195</v>
      </c>
      <c r="F607" s="110">
        <f>IF(ISNUMBER('Klisz-Verbräuche'!G97), 'Klisz-Verbräuche'!G97*Emissionsfaktoren!E97/1000, 0)</f>
        <v>0</v>
      </c>
      <c r="G607" s="110">
        <f>IF(ISNUMBER('Klisz-Verbräuche'!H97), 'Klisz-Verbräuche'!H97*Emissionsfaktoren!F97/1000, 0)</f>
        <v>0</v>
      </c>
      <c r="H607" s="110">
        <f>IF(ISNUMBER('Klisz-Verbräuche'!I97), 'Klisz-Verbräuche'!I97*Emissionsfaktoren!G97/1000, 0)</f>
        <v>0</v>
      </c>
      <c r="I607" s="110">
        <f>IF(ISNUMBER('Klisz-Verbräuche'!J97), 'Klisz-Verbräuche'!J97*Emissionsfaktoren!H97/1000, 0)</f>
        <v>0</v>
      </c>
      <c r="J607" s="110">
        <f>IF(ISNUMBER('Klisz-Verbräuche'!K97), 'Klisz-Verbräuche'!K97*Emissionsfaktoren!I97/1000, 0)</f>
        <v>0</v>
      </c>
      <c r="K607" s="110">
        <f>IF(ISNUMBER('Klisz-Verbräuche'!L97), 'Klisz-Verbräuche'!L97*Emissionsfaktoren!J97/1000, 0)</f>
        <v>0</v>
      </c>
      <c r="L607" s="110">
        <f>IF(ISNUMBER('Klisz-Verbräuche'!M97), 'Klisz-Verbräuche'!M97*Emissionsfaktoren!K97/1000, 0)</f>
        <v>0</v>
      </c>
      <c r="M607" s="110">
        <f>IF(ISNUMBER('Klisz-Verbräuche'!N97), 'Klisz-Verbräuche'!N97*Emissionsfaktoren!L97/1000, 0)</f>
        <v>0</v>
      </c>
      <c r="N607" s="110">
        <f>IF(ISNUMBER('Klisz-Verbräuche'!O97), 'Klisz-Verbräuche'!O97*Emissionsfaktoren!M97/1000, 0)</f>
        <v>0</v>
      </c>
      <c r="O607" s="110">
        <f>IF(ISNUMBER('Klisz-Verbräuche'!P97), 'Klisz-Verbräuche'!P97*Emissionsfaktoren!N97/1000, 0)</f>
        <v>0</v>
      </c>
      <c r="P607" s="110">
        <f>IF(ISNUMBER('Klisz-Verbräuche'!Q97), 'Klisz-Verbräuche'!Q97*Emissionsfaktoren!O97/1000, 0)</f>
        <v>0</v>
      </c>
      <c r="Q607" s="110">
        <f>IF(ISNUMBER('Klisz-Verbräuche'!R97), 'Klisz-Verbräuche'!R97*Emissionsfaktoren!P97/1000, 0)</f>
        <v>0</v>
      </c>
      <c r="R607" s="110">
        <f>IF(ISNUMBER('Klisz-Verbräuche'!S97), 'Klisz-Verbräuche'!S97*Emissionsfaktoren!Q97/1000, 0)</f>
        <v>0</v>
      </c>
      <c r="S607" s="110">
        <f>IF(ISNUMBER('Klisz-Verbräuche'!T97), 'Klisz-Verbräuche'!T97*Emissionsfaktoren!R97/1000, 0)</f>
        <v>0</v>
      </c>
      <c r="T607" s="110">
        <f>IF(ISNUMBER('Klisz-Verbräuche'!U97), 'Klisz-Verbräuche'!U97*Emissionsfaktoren!S97/1000, 0)</f>
        <v>0</v>
      </c>
      <c r="U607" s="110">
        <f>IF(ISNUMBER('Klisz-Verbräuche'!V97), 'Klisz-Verbräuche'!V97*Emissionsfaktoren!T97/1000, 0)</f>
        <v>0</v>
      </c>
      <c r="V607" s="110">
        <f>IF(ISNUMBER('Klisz-Verbräuche'!W97), 'Klisz-Verbräuche'!W97*Emissionsfaktoren!U97/1000, 0)</f>
        <v>0</v>
      </c>
      <c r="W607" s="110">
        <f>IF(ISNUMBER('Klisz-Verbräuche'!X97), 'Klisz-Verbräuche'!X97*Emissionsfaktoren!V97/1000, 0)</f>
        <v>0</v>
      </c>
      <c r="X607" s="110">
        <f>IF(ISNUMBER('Klisz-Verbräuche'!Y97), 'Klisz-Verbräuche'!Y97*Emissionsfaktoren!W97/1000, 0)</f>
        <v>0</v>
      </c>
      <c r="Y607" s="110">
        <f>IF(ISNUMBER('Klisz-Verbräuche'!Z97), 'Klisz-Verbräuche'!Z97*Emissionsfaktoren!X97/1000, 0)</f>
        <v>0</v>
      </c>
    </row>
    <row r="608" spans="2:25" ht="16.5">
      <c r="B608" s="14">
        <v>81</v>
      </c>
      <c r="C608" s="14">
        <f>'Refsz-Verbräuche'!C98</f>
        <v>0</v>
      </c>
      <c r="D608" s="19">
        <f>'Refsz-Verbräuche'!D98</f>
        <v>0</v>
      </c>
      <c r="E608" t="s">
        <v>195</v>
      </c>
      <c r="F608" s="110">
        <f>IF(ISNUMBER('Klisz-Verbräuche'!G98), 'Klisz-Verbräuche'!G98*Emissionsfaktoren!E98/1000, 0)</f>
        <v>0</v>
      </c>
      <c r="G608" s="110">
        <f>IF(ISNUMBER('Klisz-Verbräuche'!H98), 'Klisz-Verbräuche'!H98*Emissionsfaktoren!F98/1000, 0)</f>
        <v>0</v>
      </c>
      <c r="H608" s="110">
        <f>IF(ISNUMBER('Klisz-Verbräuche'!I98), 'Klisz-Verbräuche'!I98*Emissionsfaktoren!G98/1000, 0)</f>
        <v>0</v>
      </c>
      <c r="I608" s="110">
        <f>IF(ISNUMBER('Klisz-Verbräuche'!J98), 'Klisz-Verbräuche'!J98*Emissionsfaktoren!H98/1000, 0)</f>
        <v>0</v>
      </c>
      <c r="J608" s="110">
        <f>IF(ISNUMBER('Klisz-Verbräuche'!K98), 'Klisz-Verbräuche'!K98*Emissionsfaktoren!I98/1000, 0)</f>
        <v>0</v>
      </c>
      <c r="K608" s="110">
        <f>IF(ISNUMBER('Klisz-Verbräuche'!L98), 'Klisz-Verbräuche'!L98*Emissionsfaktoren!J98/1000, 0)</f>
        <v>0</v>
      </c>
      <c r="L608" s="110">
        <f>IF(ISNUMBER('Klisz-Verbräuche'!M98), 'Klisz-Verbräuche'!M98*Emissionsfaktoren!K98/1000, 0)</f>
        <v>0</v>
      </c>
      <c r="M608" s="110">
        <f>IF(ISNUMBER('Klisz-Verbräuche'!N98), 'Klisz-Verbräuche'!N98*Emissionsfaktoren!L98/1000, 0)</f>
        <v>0</v>
      </c>
      <c r="N608" s="110">
        <f>IF(ISNUMBER('Klisz-Verbräuche'!O98), 'Klisz-Verbräuche'!O98*Emissionsfaktoren!M98/1000, 0)</f>
        <v>0</v>
      </c>
      <c r="O608" s="110">
        <f>IF(ISNUMBER('Klisz-Verbräuche'!P98), 'Klisz-Verbräuche'!P98*Emissionsfaktoren!N98/1000, 0)</f>
        <v>0</v>
      </c>
      <c r="P608" s="110">
        <f>IF(ISNUMBER('Klisz-Verbräuche'!Q98), 'Klisz-Verbräuche'!Q98*Emissionsfaktoren!O98/1000, 0)</f>
        <v>0</v>
      </c>
      <c r="Q608" s="110">
        <f>IF(ISNUMBER('Klisz-Verbräuche'!R98), 'Klisz-Verbräuche'!R98*Emissionsfaktoren!P98/1000, 0)</f>
        <v>0</v>
      </c>
      <c r="R608" s="110">
        <f>IF(ISNUMBER('Klisz-Verbräuche'!S98), 'Klisz-Verbräuche'!S98*Emissionsfaktoren!Q98/1000, 0)</f>
        <v>0</v>
      </c>
      <c r="S608" s="110">
        <f>IF(ISNUMBER('Klisz-Verbräuche'!T98), 'Klisz-Verbräuche'!T98*Emissionsfaktoren!R98/1000, 0)</f>
        <v>0</v>
      </c>
      <c r="T608" s="110">
        <f>IF(ISNUMBER('Klisz-Verbräuche'!U98), 'Klisz-Verbräuche'!U98*Emissionsfaktoren!S98/1000, 0)</f>
        <v>0</v>
      </c>
      <c r="U608" s="110">
        <f>IF(ISNUMBER('Klisz-Verbräuche'!V98), 'Klisz-Verbräuche'!V98*Emissionsfaktoren!T98/1000, 0)</f>
        <v>0</v>
      </c>
      <c r="V608" s="110">
        <f>IF(ISNUMBER('Klisz-Verbräuche'!W98), 'Klisz-Verbräuche'!W98*Emissionsfaktoren!U98/1000, 0)</f>
        <v>0</v>
      </c>
      <c r="W608" s="110">
        <f>IF(ISNUMBER('Klisz-Verbräuche'!X98), 'Klisz-Verbräuche'!X98*Emissionsfaktoren!V98/1000, 0)</f>
        <v>0</v>
      </c>
      <c r="X608" s="110">
        <f>IF(ISNUMBER('Klisz-Verbräuche'!Y98), 'Klisz-Verbräuche'!Y98*Emissionsfaktoren!W98/1000, 0)</f>
        <v>0</v>
      </c>
      <c r="Y608" s="110">
        <f>IF(ISNUMBER('Klisz-Verbräuche'!Z98), 'Klisz-Verbräuche'!Z98*Emissionsfaktoren!X98/1000, 0)</f>
        <v>0</v>
      </c>
    </row>
    <row r="609" spans="2:25" ht="16.5">
      <c r="B609" s="14">
        <v>82</v>
      </c>
      <c r="C609" s="14" t="str">
        <f>'Refsz-Verbräuche'!C99</f>
        <v>Mobilität 2</v>
      </c>
      <c r="D609" s="19" t="str">
        <f>'Refsz-Verbräuche'!D99</f>
        <v>An- und Abreise von Gästen - Flugreisen</v>
      </c>
      <c r="E609" t="s">
        <v>195</v>
      </c>
      <c r="F609" s="110">
        <f>IF(ISNUMBER('Klisz-Verbräuche'!G99), 'Klisz-Verbräuche'!G99*Emissionsfaktoren!E99/1000, 0)</f>
        <v>0</v>
      </c>
      <c r="G609" s="110">
        <f>IF(ISNUMBER('Klisz-Verbräuche'!H99), 'Klisz-Verbräuche'!H99*Emissionsfaktoren!F99/1000, 0)</f>
        <v>0</v>
      </c>
      <c r="H609" s="110">
        <f>IF(ISNUMBER('Klisz-Verbräuche'!I99), 'Klisz-Verbräuche'!I99*Emissionsfaktoren!G99/1000, 0)</f>
        <v>0</v>
      </c>
      <c r="I609" s="110">
        <f>IF(ISNUMBER('Klisz-Verbräuche'!J99), 'Klisz-Verbräuche'!J99*Emissionsfaktoren!H99/1000, 0)</f>
        <v>0</v>
      </c>
      <c r="J609" s="110">
        <f>IF(ISNUMBER('Klisz-Verbräuche'!K99), 'Klisz-Verbräuche'!K99*Emissionsfaktoren!I99/1000, 0)</f>
        <v>0</v>
      </c>
      <c r="K609" s="110">
        <f>IF(ISNUMBER('Klisz-Verbräuche'!L99), 'Klisz-Verbräuche'!L99*Emissionsfaktoren!J99/1000, 0)</f>
        <v>0</v>
      </c>
      <c r="L609" s="110">
        <f>IF(ISNUMBER('Klisz-Verbräuche'!M99), 'Klisz-Verbräuche'!M99*Emissionsfaktoren!K99/1000, 0)</f>
        <v>0</v>
      </c>
      <c r="M609" s="110">
        <f>IF(ISNUMBER('Klisz-Verbräuche'!N99), 'Klisz-Verbräuche'!N99*Emissionsfaktoren!L99/1000, 0)</f>
        <v>0</v>
      </c>
      <c r="N609" s="110">
        <f>IF(ISNUMBER('Klisz-Verbräuche'!O99), 'Klisz-Verbräuche'!O99*Emissionsfaktoren!M99/1000, 0)</f>
        <v>0</v>
      </c>
      <c r="O609" s="110">
        <f>IF(ISNUMBER('Klisz-Verbräuche'!P99), 'Klisz-Verbräuche'!P99*Emissionsfaktoren!N99/1000, 0)</f>
        <v>0</v>
      </c>
      <c r="P609" s="110">
        <f>IF(ISNUMBER('Klisz-Verbräuche'!Q99), 'Klisz-Verbräuche'!Q99*Emissionsfaktoren!O99/1000, 0)</f>
        <v>0</v>
      </c>
      <c r="Q609" s="110">
        <f>IF(ISNUMBER('Klisz-Verbräuche'!R99), 'Klisz-Verbräuche'!R99*Emissionsfaktoren!P99/1000, 0)</f>
        <v>0</v>
      </c>
      <c r="R609" s="110">
        <f>IF(ISNUMBER('Klisz-Verbräuche'!S99), 'Klisz-Verbräuche'!S99*Emissionsfaktoren!Q99/1000, 0)</f>
        <v>0</v>
      </c>
      <c r="S609" s="110">
        <f>IF(ISNUMBER('Klisz-Verbräuche'!T99), 'Klisz-Verbräuche'!T99*Emissionsfaktoren!R99/1000, 0)</f>
        <v>0</v>
      </c>
      <c r="T609" s="110">
        <f>IF(ISNUMBER('Klisz-Verbräuche'!U99), 'Klisz-Verbräuche'!U99*Emissionsfaktoren!S99/1000, 0)</f>
        <v>0</v>
      </c>
      <c r="U609" s="110">
        <f>IF(ISNUMBER('Klisz-Verbräuche'!V99), 'Klisz-Verbräuche'!V99*Emissionsfaktoren!T99/1000, 0)</f>
        <v>0</v>
      </c>
      <c r="V609" s="110">
        <f>IF(ISNUMBER('Klisz-Verbräuche'!W99), 'Klisz-Verbräuche'!W99*Emissionsfaktoren!U99/1000, 0)</f>
        <v>0</v>
      </c>
      <c r="W609" s="110">
        <f>IF(ISNUMBER('Klisz-Verbräuche'!X99), 'Klisz-Verbräuche'!X99*Emissionsfaktoren!V99/1000, 0)</f>
        <v>0</v>
      </c>
      <c r="X609" s="110">
        <f>IF(ISNUMBER('Klisz-Verbräuche'!Y99), 'Klisz-Verbräuche'!Y99*Emissionsfaktoren!W99/1000, 0)</f>
        <v>0</v>
      </c>
      <c r="Y609" s="110">
        <f>IF(ISNUMBER('Klisz-Verbräuche'!Z99), 'Klisz-Verbräuche'!Z99*Emissionsfaktoren!X99/1000, 0)</f>
        <v>0</v>
      </c>
    </row>
    <row r="610" spans="2:25" ht="16.5">
      <c r="B610" s="14">
        <v>83</v>
      </c>
      <c r="C610" s="14" t="str">
        <f>'Refsz-Verbräuche'!C100</f>
        <v>Mobilität 2</v>
      </c>
      <c r="D610" s="19" t="str">
        <f>'Refsz-Verbräuche'!D100</f>
        <v>An- und Abreise von Gästen - Eisenbahn (Nahverkehr)</v>
      </c>
      <c r="E610" t="s">
        <v>195</v>
      </c>
      <c r="F610" s="110">
        <f>IF(ISNUMBER('Klisz-Verbräuche'!G100), 'Klisz-Verbräuche'!G100*Emissionsfaktoren!E100/1000, 0)</f>
        <v>0</v>
      </c>
      <c r="G610" s="110">
        <f>IF(ISNUMBER('Klisz-Verbräuche'!H100), 'Klisz-Verbräuche'!H100*Emissionsfaktoren!F100/1000, 0)</f>
        <v>0</v>
      </c>
      <c r="H610" s="110">
        <f>IF(ISNUMBER('Klisz-Verbräuche'!I100), 'Klisz-Verbräuche'!I100*Emissionsfaktoren!G100/1000, 0)</f>
        <v>0</v>
      </c>
      <c r="I610" s="110">
        <f>IF(ISNUMBER('Klisz-Verbräuche'!J100), 'Klisz-Verbräuche'!J100*Emissionsfaktoren!H100/1000, 0)</f>
        <v>0</v>
      </c>
      <c r="J610" s="110">
        <f>IF(ISNUMBER('Klisz-Verbräuche'!K100), 'Klisz-Verbräuche'!K100*Emissionsfaktoren!I100/1000, 0)</f>
        <v>0</v>
      </c>
      <c r="K610" s="110">
        <f>IF(ISNUMBER('Klisz-Verbräuche'!L100), 'Klisz-Verbräuche'!L100*Emissionsfaktoren!J100/1000, 0)</f>
        <v>0</v>
      </c>
      <c r="L610" s="110">
        <f>IF(ISNUMBER('Klisz-Verbräuche'!M100), 'Klisz-Verbräuche'!M100*Emissionsfaktoren!K100/1000, 0)</f>
        <v>0</v>
      </c>
      <c r="M610" s="110">
        <f>IF(ISNUMBER('Klisz-Verbräuche'!N100), 'Klisz-Verbräuche'!N100*Emissionsfaktoren!L100/1000, 0)</f>
        <v>0</v>
      </c>
      <c r="N610" s="110">
        <f>IF(ISNUMBER('Klisz-Verbräuche'!O100), 'Klisz-Verbräuche'!O100*Emissionsfaktoren!M100/1000, 0)</f>
        <v>0</v>
      </c>
      <c r="O610" s="110">
        <f>IF(ISNUMBER('Klisz-Verbräuche'!P100), 'Klisz-Verbräuche'!P100*Emissionsfaktoren!N100/1000, 0)</f>
        <v>0</v>
      </c>
      <c r="P610" s="110">
        <f>IF(ISNUMBER('Klisz-Verbräuche'!Q100), 'Klisz-Verbräuche'!Q100*Emissionsfaktoren!O100/1000, 0)</f>
        <v>0</v>
      </c>
      <c r="Q610" s="110">
        <f>IF(ISNUMBER('Klisz-Verbräuche'!R100), 'Klisz-Verbräuche'!R100*Emissionsfaktoren!P100/1000, 0)</f>
        <v>0</v>
      </c>
      <c r="R610" s="110">
        <f>IF(ISNUMBER('Klisz-Verbräuche'!S100), 'Klisz-Verbräuche'!S100*Emissionsfaktoren!Q100/1000, 0)</f>
        <v>0</v>
      </c>
      <c r="S610" s="110">
        <f>IF(ISNUMBER('Klisz-Verbräuche'!T100), 'Klisz-Verbräuche'!T100*Emissionsfaktoren!R100/1000, 0)</f>
        <v>0</v>
      </c>
      <c r="T610" s="110">
        <f>IF(ISNUMBER('Klisz-Verbräuche'!U100), 'Klisz-Verbräuche'!U100*Emissionsfaktoren!S100/1000, 0)</f>
        <v>0</v>
      </c>
      <c r="U610" s="110">
        <f>IF(ISNUMBER('Klisz-Verbräuche'!V100), 'Klisz-Verbräuche'!V100*Emissionsfaktoren!T100/1000, 0)</f>
        <v>0</v>
      </c>
      <c r="V610" s="110">
        <f>IF(ISNUMBER('Klisz-Verbräuche'!W100), 'Klisz-Verbräuche'!W100*Emissionsfaktoren!U100/1000, 0)</f>
        <v>0</v>
      </c>
      <c r="W610" s="110">
        <f>IF(ISNUMBER('Klisz-Verbräuche'!X100), 'Klisz-Verbräuche'!X100*Emissionsfaktoren!V100/1000, 0)</f>
        <v>0</v>
      </c>
      <c r="X610" s="110">
        <f>IF(ISNUMBER('Klisz-Verbräuche'!Y100), 'Klisz-Verbräuche'!Y100*Emissionsfaktoren!W100/1000, 0)</f>
        <v>0</v>
      </c>
      <c r="Y610" s="110">
        <f>IF(ISNUMBER('Klisz-Verbräuche'!Z100), 'Klisz-Verbräuche'!Z100*Emissionsfaktoren!X100/1000, 0)</f>
        <v>0</v>
      </c>
    </row>
    <row r="611" spans="2:25" ht="16.5">
      <c r="B611" s="14">
        <v>84</v>
      </c>
      <c r="C611" s="14" t="str">
        <f>'Refsz-Verbräuche'!C101</f>
        <v>Mobilität 2</v>
      </c>
      <c r="D611" s="19" t="str">
        <f>'Refsz-Verbräuche'!D101</f>
        <v>An- und Abreise von Gästen - Privater PKW (alle Antriebsarten)</v>
      </c>
      <c r="E611" t="s">
        <v>195</v>
      </c>
      <c r="F611" s="110">
        <f>IF(ISNUMBER('Klisz-Verbräuche'!G101), 'Klisz-Verbräuche'!G101*Emissionsfaktoren!E101/1000, 0)</f>
        <v>0</v>
      </c>
      <c r="G611" s="110">
        <f>IF(ISNUMBER('Klisz-Verbräuche'!H101), 'Klisz-Verbräuche'!H101*Emissionsfaktoren!F101/1000, 0)</f>
        <v>0</v>
      </c>
      <c r="H611" s="110">
        <f>IF(ISNUMBER('Klisz-Verbräuche'!I101), 'Klisz-Verbräuche'!I101*Emissionsfaktoren!G101/1000, 0)</f>
        <v>0</v>
      </c>
      <c r="I611" s="110">
        <f>IF(ISNUMBER('Klisz-Verbräuche'!J101), 'Klisz-Verbräuche'!J101*Emissionsfaktoren!H101/1000, 0)</f>
        <v>0</v>
      </c>
      <c r="J611" s="110">
        <f>IF(ISNUMBER('Klisz-Verbräuche'!K101), 'Klisz-Verbräuche'!K101*Emissionsfaktoren!I101/1000, 0)</f>
        <v>0</v>
      </c>
      <c r="K611" s="110">
        <f>IF(ISNUMBER('Klisz-Verbräuche'!L101), 'Klisz-Verbräuche'!L101*Emissionsfaktoren!J101/1000, 0)</f>
        <v>0</v>
      </c>
      <c r="L611" s="110">
        <f>IF(ISNUMBER('Klisz-Verbräuche'!M101), 'Klisz-Verbräuche'!M101*Emissionsfaktoren!K101/1000, 0)</f>
        <v>0</v>
      </c>
      <c r="M611" s="110">
        <f>IF(ISNUMBER('Klisz-Verbräuche'!N101), 'Klisz-Verbräuche'!N101*Emissionsfaktoren!L101/1000, 0)</f>
        <v>0</v>
      </c>
      <c r="N611" s="110">
        <f>IF(ISNUMBER('Klisz-Verbräuche'!O101), 'Klisz-Verbräuche'!O101*Emissionsfaktoren!M101/1000, 0)</f>
        <v>0</v>
      </c>
      <c r="O611" s="110">
        <f>IF(ISNUMBER('Klisz-Verbräuche'!P101), 'Klisz-Verbräuche'!P101*Emissionsfaktoren!N101/1000, 0)</f>
        <v>0</v>
      </c>
      <c r="P611" s="110">
        <f>IF(ISNUMBER('Klisz-Verbräuche'!Q101), 'Klisz-Verbräuche'!Q101*Emissionsfaktoren!O101/1000, 0)</f>
        <v>0</v>
      </c>
      <c r="Q611" s="110">
        <f>IF(ISNUMBER('Klisz-Verbräuche'!R101), 'Klisz-Verbräuche'!R101*Emissionsfaktoren!P101/1000, 0)</f>
        <v>0</v>
      </c>
      <c r="R611" s="110">
        <f>IF(ISNUMBER('Klisz-Verbräuche'!S101), 'Klisz-Verbräuche'!S101*Emissionsfaktoren!Q101/1000, 0)</f>
        <v>0</v>
      </c>
      <c r="S611" s="110">
        <f>IF(ISNUMBER('Klisz-Verbräuche'!T101), 'Klisz-Verbräuche'!T101*Emissionsfaktoren!R101/1000, 0)</f>
        <v>0</v>
      </c>
      <c r="T611" s="110">
        <f>IF(ISNUMBER('Klisz-Verbräuche'!U101), 'Klisz-Verbräuche'!U101*Emissionsfaktoren!S101/1000, 0)</f>
        <v>0</v>
      </c>
      <c r="U611" s="110">
        <f>IF(ISNUMBER('Klisz-Verbräuche'!V101), 'Klisz-Verbräuche'!V101*Emissionsfaktoren!T101/1000, 0)</f>
        <v>0</v>
      </c>
      <c r="V611" s="110">
        <f>IF(ISNUMBER('Klisz-Verbräuche'!W101), 'Klisz-Verbräuche'!W101*Emissionsfaktoren!U101/1000, 0)</f>
        <v>0</v>
      </c>
      <c r="W611" s="110">
        <f>IF(ISNUMBER('Klisz-Verbräuche'!X101), 'Klisz-Verbräuche'!X101*Emissionsfaktoren!V101/1000, 0)</f>
        <v>0</v>
      </c>
      <c r="X611" s="110">
        <f>IF(ISNUMBER('Klisz-Verbräuche'!Y101), 'Klisz-Verbräuche'!Y101*Emissionsfaktoren!W101/1000, 0)</f>
        <v>0</v>
      </c>
      <c r="Y611" s="110">
        <f>IF(ISNUMBER('Klisz-Verbräuche'!Z101), 'Klisz-Verbräuche'!Z101*Emissionsfaktoren!X101/1000, 0)</f>
        <v>0</v>
      </c>
    </row>
    <row r="612" spans="2:25" ht="16.5">
      <c r="B612" s="14">
        <v>85</v>
      </c>
      <c r="C612" s="14">
        <f>'Refsz-Verbräuche'!C102</f>
        <v>0</v>
      </c>
      <c r="D612" s="19">
        <f>'Refsz-Verbräuche'!D102</f>
        <v>0</v>
      </c>
      <c r="E612" t="s">
        <v>195</v>
      </c>
      <c r="F612" s="110">
        <f>IF(ISNUMBER('Klisz-Verbräuche'!G102), 'Klisz-Verbräuche'!G102*Emissionsfaktoren!E102/1000, 0)</f>
        <v>0</v>
      </c>
      <c r="G612" s="110">
        <f>IF(ISNUMBER('Klisz-Verbräuche'!H102), 'Klisz-Verbräuche'!H102*Emissionsfaktoren!F102/1000, 0)</f>
        <v>0</v>
      </c>
      <c r="H612" s="110">
        <f>IF(ISNUMBER('Klisz-Verbräuche'!I102), 'Klisz-Verbräuche'!I102*Emissionsfaktoren!G102/1000, 0)</f>
        <v>0</v>
      </c>
      <c r="I612" s="110">
        <f>IF(ISNUMBER('Klisz-Verbräuche'!J102), 'Klisz-Verbräuche'!J102*Emissionsfaktoren!H102/1000, 0)</f>
        <v>0</v>
      </c>
      <c r="J612" s="110">
        <f>IF(ISNUMBER('Klisz-Verbräuche'!K102), 'Klisz-Verbräuche'!K102*Emissionsfaktoren!I102/1000, 0)</f>
        <v>0</v>
      </c>
      <c r="K612" s="110">
        <f>IF(ISNUMBER('Klisz-Verbräuche'!L102), 'Klisz-Verbräuche'!L102*Emissionsfaktoren!J102/1000, 0)</f>
        <v>0</v>
      </c>
      <c r="L612" s="110">
        <f>IF(ISNUMBER('Klisz-Verbräuche'!M102), 'Klisz-Verbräuche'!M102*Emissionsfaktoren!K102/1000, 0)</f>
        <v>0</v>
      </c>
      <c r="M612" s="110">
        <f>IF(ISNUMBER('Klisz-Verbräuche'!N102), 'Klisz-Verbräuche'!N102*Emissionsfaktoren!L102/1000, 0)</f>
        <v>0</v>
      </c>
      <c r="N612" s="110">
        <f>IF(ISNUMBER('Klisz-Verbräuche'!O102), 'Klisz-Verbräuche'!O102*Emissionsfaktoren!M102/1000, 0)</f>
        <v>0</v>
      </c>
      <c r="O612" s="110">
        <f>IF(ISNUMBER('Klisz-Verbräuche'!P102), 'Klisz-Verbräuche'!P102*Emissionsfaktoren!N102/1000, 0)</f>
        <v>0</v>
      </c>
      <c r="P612" s="110">
        <f>IF(ISNUMBER('Klisz-Verbräuche'!Q102), 'Klisz-Verbräuche'!Q102*Emissionsfaktoren!O102/1000, 0)</f>
        <v>0</v>
      </c>
      <c r="Q612" s="110">
        <f>IF(ISNUMBER('Klisz-Verbräuche'!R102), 'Klisz-Verbräuche'!R102*Emissionsfaktoren!P102/1000, 0)</f>
        <v>0</v>
      </c>
      <c r="R612" s="110">
        <f>IF(ISNUMBER('Klisz-Verbräuche'!S102), 'Klisz-Verbräuche'!S102*Emissionsfaktoren!Q102/1000, 0)</f>
        <v>0</v>
      </c>
      <c r="S612" s="110">
        <f>IF(ISNUMBER('Klisz-Verbräuche'!T102), 'Klisz-Verbräuche'!T102*Emissionsfaktoren!R102/1000, 0)</f>
        <v>0</v>
      </c>
      <c r="T612" s="110">
        <f>IF(ISNUMBER('Klisz-Verbräuche'!U102), 'Klisz-Verbräuche'!U102*Emissionsfaktoren!S102/1000, 0)</f>
        <v>0</v>
      </c>
      <c r="U612" s="110">
        <f>IF(ISNUMBER('Klisz-Verbräuche'!V102), 'Klisz-Verbräuche'!V102*Emissionsfaktoren!T102/1000, 0)</f>
        <v>0</v>
      </c>
      <c r="V612" s="110">
        <f>IF(ISNUMBER('Klisz-Verbräuche'!W102), 'Klisz-Verbräuche'!W102*Emissionsfaktoren!U102/1000, 0)</f>
        <v>0</v>
      </c>
      <c r="W612" s="110">
        <f>IF(ISNUMBER('Klisz-Verbräuche'!X102), 'Klisz-Verbräuche'!X102*Emissionsfaktoren!V102/1000, 0)</f>
        <v>0</v>
      </c>
      <c r="X612" s="110">
        <f>IF(ISNUMBER('Klisz-Verbräuche'!Y102), 'Klisz-Verbräuche'!Y102*Emissionsfaktoren!W102/1000, 0)</f>
        <v>0</v>
      </c>
      <c r="Y612" s="110">
        <f>IF(ISNUMBER('Klisz-Verbräuche'!Z102), 'Klisz-Verbräuche'!Z102*Emissionsfaktoren!X102/1000, 0)</f>
        <v>0</v>
      </c>
    </row>
    <row r="613" spans="2:25" ht="16.5">
      <c r="B613" s="14">
        <v>86</v>
      </c>
      <c r="C613" s="14" t="str">
        <f>'Refsz-Verbräuche'!C103</f>
        <v>Wasser</v>
      </c>
      <c r="D613" s="19" t="str">
        <f>'Refsz-Verbräuche'!D103</f>
        <v>Abwasser</v>
      </c>
      <c r="E613" t="s">
        <v>195</v>
      </c>
      <c r="F613" s="110">
        <f>IF(ISNUMBER('Klisz-Verbräuche'!G103), 'Klisz-Verbräuche'!G103*Emissionsfaktoren!E103/1000, 0)</f>
        <v>0</v>
      </c>
      <c r="G613" s="110">
        <f>IF(ISNUMBER('Klisz-Verbräuche'!H103), 'Klisz-Verbräuche'!H103*Emissionsfaktoren!F103/1000, 0)</f>
        <v>0</v>
      </c>
      <c r="H613" s="110">
        <f>IF(ISNUMBER('Klisz-Verbräuche'!I103), 'Klisz-Verbräuche'!I103*Emissionsfaktoren!G103/1000, 0)</f>
        <v>0</v>
      </c>
      <c r="I613" s="110">
        <f>IF(ISNUMBER('Klisz-Verbräuche'!J103), 'Klisz-Verbräuche'!J103*Emissionsfaktoren!H103/1000, 0)</f>
        <v>0</v>
      </c>
      <c r="J613" s="110">
        <f>IF(ISNUMBER('Klisz-Verbräuche'!K103), 'Klisz-Verbräuche'!K103*Emissionsfaktoren!I103/1000, 0)</f>
        <v>0</v>
      </c>
      <c r="K613" s="110">
        <f>IF(ISNUMBER('Klisz-Verbräuche'!L103), 'Klisz-Verbräuche'!L103*Emissionsfaktoren!J103/1000, 0)</f>
        <v>0</v>
      </c>
      <c r="L613" s="110">
        <f>IF(ISNUMBER('Klisz-Verbräuche'!M103), 'Klisz-Verbräuche'!M103*Emissionsfaktoren!K103/1000, 0)</f>
        <v>0</v>
      </c>
      <c r="M613" s="110">
        <f>IF(ISNUMBER('Klisz-Verbräuche'!N103), 'Klisz-Verbräuche'!N103*Emissionsfaktoren!L103/1000, 0)</f>
        <v>0</v>
      </c>
      <c r="N613" s="110">
        <f>IF(ISNUMBER('Klisz-Verbräuche'!O103), 'Klisz-Verbräuche'!O103*Emissionsfaktoren!M103/1000, 0)</f>
        <v>0</v>
      </c>
      <c r="O613" s="110">
        <f>IF(ISNUMBER('Klisz-Verbräuche'!P103), 'Klisz-Verbräuche'!P103*Emissionsfaktoren!N103/1000, 0)</f>
        <v>0</v>
      </c>
      <c r="P613" s="110">
        <f>IF(ISNUMBER('Klisz-Verbräuche'!Q103), 'Klisz-Verbräuche'!Q103*Emissionsfaktoren!O103/1000, 0)</f>
        <v>0</v>
      </c>
      <c r="Q613" s="110">
        <f>IF(ISNUMBER('Klisz-Verbräuche'!R103), 'Klisz-Verbräuche'!R103*Emissionsfaktoren!P103/1000, 0)</f>
        <v>0</v>
      </c>
      <c r="R613" s="110">
        <f>IF(ISNUMBER('Klisz-Verbräuche'!S103), 'Klisz-Verbräuche'!S103*Emissionsfaktoren!Q103/1000, 0)</f>
        <v>0</v>
      </c>
      <c r="S613" s="110">
        <f>IF(ISNUMBER('Klisz-Verbräuche'!T103), 'Klisz-Verbräuche'!T103*Emissionsfaktoren!R103/1000, 0)</f>
        <v>0</v>
      </c>
      <c r="T613" s="110">
        <f>IF(ISNUMBER('Klisz-Verbräuche'!U103), 'Klisz-Verbräuche'!U103*Emissionsfaktoren!S103/1000, 0)</f>
        <v>0</v>
      </c>
      <c r="U613" s="110">
        <f>IF(ISNUMBER('Klisz-Verbräuche'!V103), 'Klisz-Verbräuche'!V103*Emissionsfaktoren!T103/1000, 0)</f>
        <v>0</v>
      </c>
      <c r="V613" s="110">
        <f>IF(ISNUMBER('Klisz-Verbräuche'!W103), 'Klisz-Verbräuche'!W103*Emissionsfaktoren!U103/1000, 0)</f>
        <v>0</v>
      </c>
      <c r="W613" s="110">
        <f>IF(ISNUMBER('Klisz-Verbräuche'!X103), 'Klisz-Verbräuche'!X103*Emissionsfaktoren!V103/1000, 0)</f>
        <v>0</v>
      </c>
      <c r="X613" s="110">
        <f>IF(ISNUMBER('Klisz-Verbräuche'!Y103), 'Klisz-Verbräuche'!Y103*Emissionsfaktoren!W103/1000, 0)</f>
        <v>0</v>
      </c>
      <c r="Y613" s="110">
        <f>IF(ISNUMBER('Klisz-Verbräuche'!Z103), 'Klisz-Verbräuche'!Z103*Emissionsfaktoren!X103/1000, 0)</f>
        <v>0</v>
      </c>
    </row>
    <row r="614" spans="2:25" ht="16.5">
      <c r="B614" s="14">
        <v>87</v>
      </c>
      <c r="C614" s="14" t="str">
        <f>'Refsz-Verbräuche'!C104</f>
        <v>Wasser</v>
      </c>
      <c r="D614" s="19" t="str">
        <f>'Refsz-Verbräuche'!D104</f>
        <v>Trinkwasser</v>
      </c>
      <c r="E614" t="s">
        <v>195</v>
      </c>
      <c r="F614" s="110">
        <f>IF(ISNUMBER('Klisz-Verbräuche'!G104), 'Klisz-Verbräuche'!G104*Emissionsfaktoren!E104/1000, 0)</f>
        <v>0</v>
      </c>
      <c r="G614" s="110">
        <f>IF(ISNUMBER('Klisz-Verbräuche'!H104), 'Klisz-Verbräuche'!H104*Emissionsfaktoren!F104/1000, 0)</f>
        <v>0</v>
      </c>
      <c r="H614" s="110">
        <f>IF(ISNUMBER('Klisz-Verbräuche'!I104), 'Klisz-Verbräuche'!I104*Emissionsfaktoren!G104/1000, 0)</f>
        <v>0</v>
      </c>
      <c r="I614" s="110">
        <f>IF(ISNUMBER('Klisz-Verbräuche'!J104), 'Klisz-Verbräuche'!J104*Emissionsfaktoren!H104/1000, 0)</f>
        <v>0</v>
      </c>
      <c r="J614" s="110">
        <f>IF(ISNUMBER('Klisz-Verbräuche'!K104), 'Klisz-Verbräuche'!K104*Emissionsfaktoren!I104/1000, 0)</f>
        <v>0</v>
      </c>
      <c r="K614" s="110">
        <f>IF(ISNUMBER('Klisz-Verbräuche'!L104), 'Klisz-Verbräuche'!L104*Emissionsfaktoren!J104/1000, 0)</f>
        <v>0</v>
      </c>
      <c r="L614" s="110">
        <f>IF(ISNUMBER('Klisz-Verbräuche'!M104), 'Klisz-Verbräuche'!M104*Emissionsfaktoren!K104/1000, 0)</f>
        <v>0</v>
      </c>
      <c r="M614" s="110">
        <f>IF(ISNUMBER('Klisz-Verbräuche'!N104), 'Klisz-Verbräuche'!N104*Emissionsfaktoren!L104/1000, 0)</f>
        <v>0</v>
      </c>
      <c r="N614" s="110">
        <f>IF(ISNUMBER('Klisz-Verbräuche'!O104), 'Klisz-Verbräuche'!O104*Emissionsfaktoren!M104/1000, 0)</f>
        <v>0</v>
      </c>
      <c r="O614" s="110">
        <f>IF(ISNUMBER('Klisz-Verbräuche'!P104), 'Klisz-Verbräuche'!P104*Emissionsfaktoren!N104/1000, 0)</f>
        <v>0</v>
      </c>
      <c r="P614" s="110">
        <f>IF(ISNUMBER('Klisz-Verbräuche'!Q104), 'Klisz-Verbräuche'!Q104*Emissionsfaktoren!O104/1000, 0)</f>
        <v>0</v>
      </c>
      <c r="Q614" s="110">
        <f>IF(ISNUMBER('Klisz-Verbräuche'!R104), 'Klisz-Verbräuche'!R104*Emissionsfaktoren!P104/1000, 0)</f>
        <v>0</v>
      </c>
      <c r="R614" s="110">
        <f>IF(ISNUMBER('Klisz-Verbräuche'!S104), 'Klisz-Verbräuche'!S104*Emissionsfaktoren!Q104/1000, 0)</f>
        <v>0</v>
      </c>
      <c r="S614" s="110">
        <f>IF(ISNUMBER('Klisz-Verbräuche'!T104), 'Klisz-Verbräuche'!T104*Emissionsfaktoren!R104/1000, 0)</f>
        <v>0</v>
      </c>
      <c r="T614" s="110">
        <f>IF(ISNUMBER('Klisz-Verbräuche'!U104), 'Klisz-Verbräuche'!U104*Emissionsfaktoren!S104/1000, 0)</f>
        <v>0</v>
      </c>
      <c r="U614" s="110">
        <f>IF(ISNUMBER('Klisz-Verbräuche'!V104), 'Klisz-Verbräuche'!V104*Emissionsfaktoren!T104/1000, 0)</f>
        <v>0</v>
      </c>
      <c r="V614" s="110">
        <f>IF(ISNUMBER('Klisz-Verbräuche'!W104), 'Klisz-Verbräuche'!W104*Emissionsfaktoren!U104/1000, 0)</f>
        <v>0</v>
      </c>
      <c r="W614" s="110">
        <f>IF(ISNUMBER('Klisz-Verbräuche'!X104), 'Klisz-Verbräuche'!X104*Emissionsfaktoren!V104/1000, 0)</f>
        <v>0</v>
      </c>
      <c r="X614" s="110">
        <f>IF(ISNUMBER('Klisz-Verbräuche'!Y104), 'Klisz-Verbräuche'!Y104*Emissionsfaktoren!W104/1000, 0)</f>
        <v>0</v>
      </c>
      <c r="Y614" s="110">
        <f>IF(ISNUMBER('Klisz-Verbräuche'!Z104), 'Klisz-Verbräuche'!Z104*Emissionsfaktoren!X104/1000, 0)</f>
        <v>0</v>
      </c>
    </row>
    <row r="615" spans="2:25" ht="16.5">
      <c r="B615" s="14">
        <v>88</v>
      </c>
      <c r="C615" s="14">
        <f>'Refsz-Verbräuche'!C105</f>
        <v>0</v>
      </c>
      <c r="D615" s="19">
        <f>'Refsz-Verbräuche'!D105</f>
        <v>0</v>
      </c>
      <c r="E615" t="s">
        <v>195</v>
      </c>
      <c r="F615" s="110">
        <f>IF(ISNUMBER('Klisz-Verbräuche'!G105), 'Klisz-Verbräuche'!G105*Emissionsfaktoren!E105/1000, 0)</f>
        <v>0</v>
      </c>
      <c r="G615" s="110">
        <f>IF(ISNUMBER('Klisz-Verbräuche'!H105), 'Klisz-Verbräuche'!H105*Emissionsfaktoren!F105/1000, 0)</f>
        <v>0</v>
      </c>
      <c r="H615" s="110">
        <f>IF(ISNUMBER('Klisz-Verbräuche'!I105), 'Klisz-Verbräuche'!I105*Emissionsfaktoren!G105/1000, 0)</f>
        <v>0</v>
      </c>
      <c r="I615" s="110">
        <f>IF(ISNUMBER('Klisz-Verbräuche'!J105), 'Klisz-Verbräuche'!J105*Emissionsfaktoren!H105/1000, 0)</f>
        <v>0</v>
      </c>
      <c r="J615" s="110">
        <f>IF(ISNUMBER('Klisz-Verbräuche'!K105), 'Klisz-Verbräuche'!K105*Emissionsfaktoren!I105/1000, 0)</f>
        <v>0</v>
      </c>
      <c r="K615" s="110">
        <f>IF(ISNUMBER('Klisz-Verbräuche'!L105), 'Klisz-Verbräuche'!L105*Emissionsfaktoren!J105/1000, 0)</f>
        <v>0</v>
      </c>
      <c r="L615" s="110">
        <f>IF(ISNUMBER('Klisz-Verbräuche'!M105), 'Klisz-Verbräuche'!M105*Emissionsfaktoren!K105/1000, 0)</f>
        <v>0</v>
      </c>
      <c r="M615" s="110">
        <f>IF(ISNUMBER('Klisz-Verbräuche'!N105), 'Klisz-Verbräuche'!N105*Emissionsfaktoren!L105/1000, 0)</f>
        <v>0</v>
      </c>
      <c r="N615" s="110">
        <f>IF(ISNUMBER('Klisz-Verbräuche'!O105), 'Klisz-Verbräuche'!O105*Emissionsfaktoren!M105/1000, 0)</f>
        <v>0</v>
      </c>
      <c r="O615" s="110">
        <f>IF(ISNUMBER('Klisz-Verbräuche'!P105), 'Klisz-Verbräuche'!P105*Emissionsfaktoren!N105/1000, 0)</f>
        <v>0</v>
      </c>
      <c r="P615" s="110">
        <f>IF(ISNUMBER('Klisz-Verbräuche'!Q105), 'Klisz-Verbräuche'!Q105*Emissionsfaktoren!O105/1000, 0)</f>
        <v>0</v>
      </c>
      <c r="Q615" s="110">
        <f>IF(ISNUMBER('Klisz-Verbräuche'!R105), 'Klisz-Verbräuche'!R105*Emissionsfaktoren!P105/1000, 0)</f>
        <v>0</v>
      </c>
      <c r="R615" s="110">
        <f>IF(ISNUMBER('Klisz-Verbräuche'!S105), 'Klisz-Verbräuche'!S105*Emissionsfaktoren!Q105/1000, 0)</f>
        <v>0</v>
      </c>
      <c r="S615" s="110">
        <f>IF(ISNUMBER('Klisz-Verbräuche'!T105), 'Klisz-Verbräuche'!T105*Emissionsfaktoren!R105/1000, 0)</f>
        <v>0</v>
      </c>
      <c r="T615" s="110">
        <f>IF(ISNUMBER('Klisz-Verbräuche'!U105), 'Klisz-Verbräuche'!U105*Emissionsfaktoren!S105/1000, 0)</f>
        <v>0</v>
      </c>
      <c r="U615" s="110">
        <f>IF(ISNUMBER('Klisz-Verbräuche'!V105), 'Klisz-Verbräuche'!V105*Emissionsfaktoren!T105/1000, 0)</f>
        <v>0</v>
      </c>
      <c r="V615" s="110">
        <f>IF(ISNUMBER('Klisz-Verbräuche'!W105), 'Klisz-Verbräuche'!W105*Emissionsfaktoren!U105/1000, 0)</f>
        <v>0</v>
      </c>
      <c r="W615" s="110">
        <f>IF(ISNUMBER('Klisz-Verbräuche'!X105), 'Klisz-Verbräuche'!X105*Emissionsfaktoren!V105/1000, 0)</f>
        <v>0</v>
      </c>
      <c r="X615" s="110">
        <f>IF(ISNUMBER('Klisz-Verbräuche'!Y105), 'Klisz-Verbräuche'!Y105*Emissionsfaktoren!W105/1000, 0)</f>
        <v>0</v>
      </c>
      <c r="Y615" s="110">
        <f>IF(ISNUMBER('Klisz-Verbräuche'!Z105), 'Klisz-Verbräuche'!Z105*Emissionsfaktoren!X105/1000, 0)</f>
        <v>0</v>
      </c>
    </row>
    <row r="616" spans="2:25" ht="16.5">
      <c r="B616" s="14">
        <v>89</v>
      </c>
      <c r="C616" s="14" t="str">
        <f>'Refsz-Verbräuche'!C106</f>
        <v>Waren und Dienstleistungen</v>
      </c>
      <c r="D616" s="19" t="str">
        <f>'Refsz-Verbräuche'!D106</f>
        <v>Recyclingpapier</v>
      </c>
      <c r="E616" t="s">
        <v>195</v>
      </c>
      <c r="F616" s="110">
        <f>IF(ISNUMBER('Klisz-Verbräuche'!G106), 'Klisz-Verbräuche'!G106*Emissionsfaktoren!E106/1000, 0)</f>
        <v>0</v>
      </c>
      <c r="G616" s="110">
        <f>IF(ISNUMBER('Klisz-Verbräuche'!H106), 'Klisz-Verbräuche'!H106*Emissionsfaktoren!F106/1000, 0)</f>
        <v>0</v>
      </c>
      <c r="H616" s="110">
        <f>IF(ISNUMBER('Klisz-Verbräuche'!I106), 'Klisz-Verbräuche'!I106*Emissionsfaktoren!G106/1000, 0)</f>
        <v>0</v>
      </c>
      <c r="I616" s="110">
        <f>IF(ISNUMBER('Klisz-Verbräuche'!J106), 'Klisz-Verbräuche'!J106*Emissionsfaktoren!H106/1000, 0)</f>
        <v>0</v>
      </c>
      <c r="J616" s="110">
        <f>IF(ISNUMBER('Klisz-Verbräuche'!K106), 'Klisz-Verbräuche'!K106*Emissionsfaktoren!I106/1000, 0)</f>
        <v>0</v>
      </c>
      <c r="K616" s="110">
        <f>IF(ISNUMBER('Klisz-Verbräuche'!L106), 'Klisz-Verbräuche'!L106*Emissionsfaktoren!J106/1000, 0)</f>
        <v>0</v>
      </c>
      <c r="L616" s="110">
        <f>IF(ISNUMBER('Klisz-Verbräuche'!M106), 'Klisz-Verbräuche'!M106*Emissionsfaktoren!K106/1000, 0)</f>
        <v>0</v>
      </c>
      <c r="M616" s="110">
        <f>IF(ISNUMBER('Klisz-Verbräuche'!N106), 'Klisz-Verbräuche'!N106*Emissionsfaktoren!L106/1000, 0)</f>
        <v>0</v>
      </c>
      <c r="N616" s="110">
        <f>IF(ISNUMBER('Klisz-Verbräuche'!O106), 'Klisz-Verbräuche'!O106*Emissionsfaktoren!M106/1000, 0)</f>
        <v>0</v>
      </c>
      <c r="O616" s="110">
        <f>IF(ISNUMBER('Klisz-Verbräuche'!P106), 'Klisz-Verbräuche'!P106*Emissionsfaktoren!N106/1000, 0)</f>
        <v>0</v>
      </c>
      <c r="P616" s="110">
        <f>IF(ISNUMBER('Klisz-Verbräuche'!Q106), 'Klisz-Verbräuche'!Q106*Emissionsfaktoren!O106/1000, 0)</f>
        <v>0</v>
      </c>
      <c r="Q616" s="110">
        <f>IF(ISNUMBER('Klisz-Verbräuche'!R106), 'Klisz-Verbräuche'!R106*Emissionsfaktoren!P106/1000, 0)</f>
        <v>0</v>
      </c>
      <c r="R616" s="110">
        <f>IF(ISNUMBER('Klisz-Verbräuche'!S106), 'Klisz-Verbräuche'!S106*Emissionsfaktoren!Q106/1000, 0)</f>
        <v>0</v>
      </c>
      <c r="S616" s="110">
        <f>IF(ISNUMBER('Klisz-Verbräuche'!T106), 'Klisz-Verbräuche'!T106*Emissionsfaktoren!R106/1000, 0)</f>
        <v>0</v>
      </c>
      <c r="T616" s="110">
        <f>IF(ISNUMBER('Klisz-Verbräuche'!U106), 'Klisz-Verbräuche'!U106*Emissionsfaktoren!S106/1000, 0)</f>
        <v>0</v>
      </c>
      <c r="U616" s="110">
        <f>IF(ISNUMBER('Klisz-Verbräuche'!V106), 'Klisz-Verbräuche'!V106*Emissionsfaktoren!T106/1000, 0)</f>
        <v>0</v>
      </c>
      <c r="V616" s="110">
        <f>IF(ISNUMBER('Klisz-Verbräuche'!W106), 'Klisz-Verbräuche'!W106*Emissionsfaktoren!U106/1000, 0)</f>
        <v>0</v>
      </c>
      <c r="W616" s="110">
        <f>IF(ISNUMBER('Klisz-Verbräuche'!X106), 'Klisz-Verbräuche'!X106*Emissionsfaktoren!V106/1000, 0)</f>
        <v>0</v>
      </c>
      <c r="X616" s="110">
        <f>IF(ISNUMBER('Klisz-Verbräuche'!Y106), 'Klisz-Verbräuche'!Y106*Emissionsfaktoren!W106/1000, 0)</f>
        <v>0</v>
      </c>
      <c r="Y616" s="110">
        <f>IF(ISNUMBER('Klisz-Verbräuche'!Z106), 'Klisz-Verbräuche'!Z106*Emissionsfaktoren!X106/1000, 0)</f>
        <v>0</v>
      </c>
    </row>
    <row r="617" spans="2:25" ht="16.5">
      <c r="B617" s="14">
        <v>90</v>
      </c>
      <c r="C617" s="14" t="str">
        <f>'Refsz-Verbräuche'!C107</f>
        <v>Waren und Dienstleistungen</v>
      </c>
      <c r="D617" s="19" t="str">
        <f>'Refsz-Verbräuche'!D107</f>
        <v>Frischfaserpapier</v>
      </c>
      <c r="E617" t="s">
        <v>195</v>
      </c>
      <c r="F617" s="110">
        <f>IF(ISNUMBER('Klisz-Verbräuche'!G107), 'Klisz-Verbräuche'!G107*Emissionsfaktoren!E107/1000, 0)</f>
        <v>0</v>
      </c>
      <c r="G617" s="110">
        <f>IF(ISNUMBER('Klisz-Verbräuche'!H107), 'Klisz-Verbräuche'!H107*Emissionsfaktoren!F107/1000, 0)</f>
        <v>0</v>
      </c>
      <c r="H617" s="110">
        <f>IF(ISNUMBER('Klisz-Verbräuche'!I107), 'Klisz-Verbräuche'!I107*Emissionsfaktoren!G107/1000, 0)</f>
        <v>0</v>
      </c>
      <c r="I617" s="110">
        <f>IF(ISNUMBER('Klisz-Verbräuche'!J107), 'Klisz-Verbräuche'!J107*Emissionsfaktoren!H107/1000, 0)</f>
        <v>0</v>
      </c>
      <c r="J617" s="110">
        <f>IF(ISNUMBER('Klisz-Verbräuche'!K107), 'Klisz-Verbräuche'!K107*Emissionsfaktoren!I107/1000, 0)</f>
        <v>0</v>
      </c>
      <c r="K617" s="110">
        <f>IF(ISNUMBER('Klisz-Verbräuche'!L107), 'Klisz-Verbräuche'!L107*Emissionsfaktoren!J107/1000, 0)</f>
        <v>0</v>
      </c>
      <c r="L617" s="110">
        <f>IF(ISNUMBER('Klisz-Verbräuche'!M107), 'Klisz-Verbräuche'!M107*Emissionsfaktoren!K107/1000, 0)</f>
        <v>0</v>
      </c>
      <c r="M617" s="110">
        <f>IF(ISNUMBER('Klisz-Verbräuche'!N107), 'Klisz-Verbräuche'!N107*Emissionsfaktoren!L107/1000, 0)</f>
        <v>0</v>
      </c>
      <c r="N617" s="110">
        <f>IF(ISNUMBER('Klisz-Verbräuche'!O107), 'Klisz-Verbräuche'!O107*Emissionsfaktoren!M107/1000, 0)</f>
        <v>0</v>
      </c>
      <c r="O617" s="110">
        <f>IF(ISNUMBER('Klisz-Verbräuche'!P107), 'Klisz-Verbräuche'!P107*Emissionsfaktoren!N107/1000, 0)</f>
        <v>0</v>
      </c>
      <c r="P617" s="110">
        <f>IF(ISNUMBER('Klisz-Verbräuche'!Q107), 'Klisz-Verbräuche'!Q107*Emissionsfaktoren!O107/1000, 0)</f>
        <v>0</v>
      </c>
      <c r="Q617" s="110">
        <f>IF(ISNUMBER('Klisz-Verbräuche'!R107), 'Klisz-Verbräuche'!R107*Emissionsfaktoren!P107/1000, 0)</f>
        <v>0</v>
      </c>
      <c r="R617" s="110">
        <f>IF(ISNUMBER('Klisz-Verbräuche'!S107), 'Klisz-Verbräuche'!S107*Emissionsfaktoren!Q107/1000, 0)</f>
        <v>0</v>
      </c>
      <c r="S617" s="110">
        <f>IF(ISNUMBER('Klisz-Verbräuche'!T107), 'Klisz-Verbräuche'!T107*Emissionsfaktoren!R107/1000, 0)</f>
        <v>0</v>
      </c>
      <c r="T617" s="110">
        <f>IF(ISNUMBER('Klisz-Verbräuche'!U107), 'Klisz-Verbräuche'!U107*Emissionsfaktoren!S107/1000, 0)</f>
        <v>0</v>
      </c>
      <c r="U617" s="110">
        <f>IF(ISNUMBER('Klisz-Verbräuche'!V107), 'Klisz-Verbräuche'!V107*Emissionsfaktoren!T107/1000, 0)</f>
        <v>0</v>
      </c>
      <c r="V617" s="110">
        <f>IF(ISNUMBER('Klisz-Verbräuche'!W107), 'Klisz-Verbräuche'!W107*Emissionsfaktoren!U107/1000, 0)</f>
        <v>0</v>
      </c>
      <c r="W617" s="110">
        <f>IF(ISNUMBER('Klisz-Verbräuche'!X107), 'Klisz-Verbräuche'!X107*Emissionsfaktoren!V107/1000, 0)</f>
        <v>0</v>
      </c>
      <c r="X617" s="110">
        <f>IF(ISNUMBER('Klisz-Verbräuche'!Y107), 'Klisz-Verbräuche'!Y107*Emissionsfaktoren!W107/1000, 0)</f>
        <v>0</v>
      </c>
      <c r="Y617" s="110">
        <f>IF(ISNUMBER('Klisz-Verbräuche'!Z107), 'Klisz-Verbräuche'!Z107*Emissionsfaktoren!X107/1000, 0)</f>
        <v>0</v>
      </c>
    </row>
    <row r="618" spans="2:25" ht="16.5">
      <c r="B618" s="14">
        <v>91</v>
      </c>
      <c r="C618" s="14" t="str">
        <f>'Refsz-Verbräuche'!C108</f>
        <v>Waren und Dienstleistungen</v>
      </c>
      <c r="D618" s="19" t="str">
        <f>'Refsz-Verbräuche'!D108</f>
        <v>Toilettenpapier (Recycling)</v>
      </c>
      <c r="E618" t="s">
        <v>195</v>
      </c>
      <c r="F618" s="110">
        <f>IF(ISNUMBER('Klisz-Verbräuche'!G108), 'Klisz-Verbräuche'!G108*Emissionsfaktoren!E108/1000, 0)</f>
        <v>0</v>
      </c>
      <c r="G618" s="110">
        <f>IF(ISNUMBER('Klisz-Verbräuche'!H108), 'Klisz-Verbräuche'!H108*Emissionsfaktoren!F108/1000, 0)</f>
        <v>0</v>
      </c>
      <c r="H618" s="110">
        <f>IF(ISNUMBER('Klisz-Verbräuche'!I108), 'Klisz-Verbräuche'!I108*Emissionsfaktoren!G108/1000, 0)</f>
        <v>0</v>
      </c>
      <c r="I618" s="110">
        <f>IF(ISNUMBER('Klisz-Verbräuche'!J108), 'Klisz-Verbräuche'!J108*Emissionsfaktoren!H108/1000, 0)</f>
        <v>0</v>
      </c>
      <c r="J618" s="110">
        <f>IF(ISNUMBER('Klisz-Verbräuche'!K108), 'Klisz-Verbräuche'!K108*Emissionsfaktoren!I108/1000, 0)</f>
        <v>0</v>
      </c>
      <c r="K618" s="110">
        <f>IF(ISNUMBER('Klisz-Verbräuche'!L108), 'Klisz-Verbräuche'!L108*Emissionsfaktoren!J108/1000, 0)</f>
        <v>0</v>
      </c>
      <c r="L618" s="110">
        <f>IF(ISNUMBER('Klisz-Verbräuche'!M108), 'Klisz-Verbräuche'!M108*Emissionsfaktoren!K108/1000, 0)</f>
        <v>0</v>
      </c>
      <c r="M618" s="110">
        <f>IF(ISNUMBER('Klisz-Verbräuche'!N108), 'Klisz-Verbräuche'!N108*Emissionsfaktoren!L108/1000, 0)</f>
        <v>0</v>
      </c>
      <c r="N618" s="110">
        <f>IF(ISNUMBER('Klisz-Verbräuche'!O108), 'Klisz-Verbräuche'!O108*Emissionsfaktoren!M108/1000, 0)</f>
        <v>0</v>
      </c>
      <c r="O618" s="110">
        <f>IF(ISNUMBER('Klisz-Verbräuche'!P108), 'Klisz-Verbräuche'!P108*Emissionsfaktoren!N108/1000, 0)</f>
        <v>0</v>
      </c>
      <c r="P618" s="110">
        <f>IF(ISNUMBER('Klisz-Verbräuche'!Q108), 'Klisz-Verbräuche'!Q108*Emissionsfaktoren!O108/1000, 0)</f>
        <v>0</v>
      </c>
      <c r="Q618" s="110">
        <f>IF(ISNUMBER('Klisz-Verbräuche'!R108), 'Klisz-Verbräuche'!R108*Emissionsfaktoren!P108/1000, 0)</f>
        <v>0</v>
      </c>
      <c r="R618" s="110">
        <f>IF(ISNUMBER('Klisz-Verbräuche'!S108), 'Klisz-Verbräuche'!S108*Emissionsfaktoren!Q108/1000, 0)</f>
        <v>0</v>
      </c>
      <c r="S618" s="110">
        <f>IF(ISNUMBER('Klisz-Verbräuche'!T108), 'Klisz-Verbräuche'!T108*Emissionsfaktoren!R108/1000, 0)</f>
        <v>0</v>
      </c>
      <c r="T618" s="110">
        <f>IF(ISNUMBER('Klisz-Verbräuche'!U108), 'Klisz-Verbräuche'!U108*Emissionsfaktoren!S108/1000, 0)</f>
        <v>0</v>
      </c>
      <c r="U618" s="110">
        <f>IF(ISNUMBER('Klisz-Verbräuche'!V108), 'Klisz-Verbräuche'!V108*Emissionsfaktoren!T108/1000, 0)</f>
        <v>0</v>
      </c>
      <c r="V618" s="110">
        <f>IF(ISNUMBER('Klisz-Verbräuche'!W108), 'Klisz-Verbräuche'!W108*Emissionsfaktoren!U108/1000, 0)</f>
        <v>0</v>
      </c>
      <c r="W618" s="110">
        <f>IF(ISNUMBER('Klisz-Verbräuche'!X108), 'Klisz-Verbräuche'!X108*Emissionsfaktoren!V108/1000, 0)</f>
        <v>0</v>
      </c>
      <c r="X618" s="110">
        <f>IF(ISNUMBER('Klisz-Verbräuche'!Y108), 'Klisz-Verbräuche'!Y108*Emissionsfaktoren!W108/1000, 0)</f>
        <v>0</v>
      </c>
      <c r="Y618" s="110">
        <f>IF(ISNUMBER('Klisz-Verbräuche'!Z108), 'Klisz-Verbräuche'!Z108*Emissionsfaktoren!X108/1000, 0)</f>
        <v>0</v>
      </c>
    </row>
    <row r="619" spans="2:25" ht="16.5">
      <c r="B619" s="14">
        <v>92</v>
      </c>
      <c r="C619" s="14" t="str">
        <f>'Refsz-Verbräuche'!C109</f>
        <v>Waren und Dienstleistungen</v>
      </c>
      <c r="D619" s="19" t="str">
        <f>'Refsz-Verbräuche'!D109</f>
        <v>Papierhandtücher (Recycling)</v>
      </c>
      <c r="E619" t="s">
        <v>195</v>
      </c>
      <c r="F619" s="110">
        <f>IF(ISNUMBER('Klisz-Verbräuche'!G109), 'Klisz-Verbräuche'!G109*Emissionsfaktoren!E109/1000, 0)</f>
        <v>0</v>
      </c>
      <c r="G619" s="110">
        <f>IF(ISNUMBER('Klisz-Verbräuche'!H109), 'Klisz-Verbräuche'!H109*Emissionsfaktoren!F109/1000, 0)</f>
        <v>0</v>
      </c>
      <c r="H619" s="110">
        <f>IF(ISNUMBER('Klisz-Verbräuche'!I109), 'Klisz-Verbräuche'!I109*Emissionsfaktoren!G109/1000, 0)</f>
        <v>0</v>
      </c>
      <c r="I619" s="110">
        <f>IF(ISNUMBER('Klisz-Verbräuche'!J109), 'Klisz-Verbräuche'!J109*Emissionsfaktoren!H109/1000, 0)</f>
        <v>0</v>
      </c>
      <c r="J619" s="110">
        <f>IF(ISNUMBER('Klisz-Verbräuche'!K109), 'Klisz-Verbräuche'!K109*Emissionsfaktoren!I109/1000, 0)</f>
        <v>0</v>
      </c>
      <c r="K619" s="110">
        <f>IF(ISNUMBER('Klisz-Verbräuche'!L109), 'Klisz-Verbräuche'!L109*Emissionsfaktoren!J109/1000, 0)</f>
        <v>0</v>
      </c>
      <c r="L619" s="110">
        <f>IF(ISNUMBER('Klisz-Verbräuche'!M109), 'Klisz-Verbräuche'!M109*Emissionsfaktoren!K109/1000, 0)</f>
        <v>0</v>
      </c>
      <c r="M619" s="110">
        <f>IF(ISNUMBER('Klisz-Verbräuche'!N109), 'Klisz-Verbräuche'!N109*Emissionsfaktoren!L109/1000, 0)</f>
        <v>0</v>
      </c>
      <c r="N619" s="110">
        <f>IF(ISNUMBER('Klisz-Verbräuche'!O109), 'Klisz-Verbräuche'!O109*Emissionsfaktoren!M109/1000, 0)</f>
        <v>0</v>
      </c>
      <c r="O619" s="110">
        <f>IF(ISNUMBER('Klisz-Verbräuche'!P109), 'Klisz-Verbräuche'!P109*Emissionsfaktoren!N109/1000, 0)</f>
        <v>0</v>
      </c>
      <c r="P619" s="110">
        <f>IF(ISNUMBER('Klisz-Verbräuche'!Q109), 'Klisz-Verbräuche'!Q109*Emissionsfaktoren!O109/1000, 0)</f>
        <v>0</v>
      </c>
      <c r="Q619" s="110">
        <f>IF(ISNUMBER('Klisz-Verbräuche'!R109), 'Klisz-Verbräuche'!R109*Emissionsfaktoren!P109/1000, 0)</f>
        <v>0</v>
      </c>
      <c r="R619" s="110">
        <f>IF(ISNUMBER('Klisz-Verbräuche'!S109), 'Klisz-Verbräuche'!S109*Emissionsfaktoren!Q109/1000, 0)</f>
        <v>0</v>
      </c>
      <c r="S619" s="110">
        <f>IF(ISNUMBER('Klisz-Verbräuche'!T109), 'Klisz-Verbräuche'!T109*Emissionsfaktoren!R109/1000, 0)</f>
        <v>0</v>
      </c>
      <c r="T619" s="110">
        <f>IF(ISNUMBER('Klisz-Verbräuche'!U109), 'Klisz-Verbräuche'!U109*Emissionsfaktoren!S109/1000, 0)</f>
        <v>0</v>
      </c>
      <c r="U619" s="110">
        <f>IF(ISNUMBER('Klisz-Verbräuche'!V109), 'Klisz-Verbräuche'!V109*Emissionsfaktoren!T109/1000, 0)</f>
        <v>0</v>
      </c>
      <c r="V619" s="110">
        <f>IF(ISNUMBER('Klisz-Verbräuche'!W109), 'Klisz-Verbräuche'!W109*Emissionsfaktoren!U109/1000, 0)</f>
        <v>0</v>
      </c>
      <c r="W619" s="110">
        <f>IF(ISNUMBER('Klisz-Verbräuche'!X109), 'Klisz-Verbräuche'!X109*Emissionsfaktoren!V109/1000, 0)</f>
        <v>0</v>
      </c>
      <c r="X619" s="110">
        <f>IF(ISNUMBER('Klisz-Verbräuche'!Y109), 'Klisz-Verbräuche'!Y109*Emissionsfaktoren!W109/1000, 0)</f>
        <v>0</v>
      </c>
      <c r="Y619" s="110">
        <f>IF(ISNUMBER('Klisz-Verbräuche'!Z109), 'Klisz-Verbräuche'!Z109*Emissionsfaktoren!X109/1000, 0)</f>
        <v>0</v>
      </c>
    </row>
    <row r="620" spans="2:25" ht="16.5">
      <c r="B620" s="14">
        <v>93</v>
      </c>
      <c r="C620" s="14">
        <f>'Refsz-Verbräuche'!C110</f>
        <v>0</v>
      </c>
      <c r="D620" s="19">
        <f>'Refsz-Verbräuche'!D110</f>
        <v>0</v>
      </c>
      <c r="E620" t="s">
        <v>195</v>
      </c>
      <c r="F620" s="110">
        <f>IF(ISNUMBER('Klisz-Verbräuche'!G110), 'Klisz-Verbräuche'!G110*Emissionsfaktoren!E110/1000, 0)</f>
        <v>0</v>
      </c>
      <c r="G620" s="110">
        <f>IF(ISNUMBER('Klisz-Verbräuche'!H110), 'Klisz-Verbräuche'!H110*Emissionsfaktoren!F110/1000, 0)</f>
        <v>0</v>
      </c>
      <c r="H620" s="110">
        <f>IF(ISNUMBER('Klisz-Verbräuche'!I110), 'Klisz-Verbräuche'!I110*Emissionsfaktoren!G110/1000, 0)</f>
        <v>0</v>
      </c>
      <c r="I620" s="110">
        <f>IF(ISNUMBER('Klisz-Verbräuche'!J110), 'Klisz-Verbräuche'!J110*Emissionsfaktoren!H110/1000, 0)</f>
        <v>0</v>
      </c>
      <c r="J620" s="110">
        <f>IF(ISNUMBER('Klisz-Verbräuche'!K110), 'Klisz-Verbräuche'!K110*Emissionsfaktoren!I110/1000, 0)</f>
        <v>0</v>
      </c>
      <c r="K620" s="110">
        <f>IF(ISNUMBER('Klisz-Verbräuche'!L110), 'Klisz-Verbräuche'!L110*Emissionsfaktoren!J110/1000, 0)</f>
        <v>0</v>
      </c>
      <c r="L620" s="110">
        <f>IF(ISNUMBER('Klisz-Verbräuche'!M110), 'Klisz-Verbräuche'!M110*Emissionsfaktoren!K110/1000, 0)</f>
        <v>0</v>
      </c>
      <c r="M620" s="110">
        <f>IF(ISNUMBER('Klisz-Verbräuche'!N110), 'Klisz-Verbräuche'!N110*Emissionsfaktoren!L110/1000, 0)</f>
        <v>0</v>
      </c>
      <c r="N620" s="110">
        <f>IF(ISNUMBER('Klisz-Verbräuche'!O110), 'Klisz-Verbräuche'!O110*Emissionsfaktoren!M110/1000, 0)</f>
        <v>0</v>
      </c>
      <c r="O620" s="110">
        <f>IF(ISNUMBER('Klisz-Verbräuche'!P110), 'Klisz-Verbräuche'!P110*Emissionsfaktoren!N110/1000, 0)</f>
        <v>0</v>
      </c>
      <c r="P620" s="110">
        <f>IF(ISNUMBER('Klisz-Verbräuche'!Q110), 'Klisz-Verbräuche'!Q110*Emissionsfaktoren!O110/1000, 0)</f>
        <v>0</v>
      </c>
      <c r="Q620" s="110">
        <f>IF(ISNUMBER('Klisz-Verbräuche'!R110), 'Klisz-Verbräuche'!R110*Emissionsfaktoren!P110/1000, 0)</f>
        <v>0</v>
      </c>
      <c r="R620" s="110">
        <f>IF(ISNUMBER('Klisz-Verbräuche'!S110), 'Klisz-Verbräuche'!S110*Emissionsfaktoren!Q110/1000, 0)</f>
        <v>0</v>
      </c>
      <c r="S620" s="110">
        <f>IF(ISNUMBER('Klisz-Verbräuche'!T110), 'Klisz-Verbräuche'!T110*Emissionsfaktoren!R110/1000, 0)</f>
        <v>0</v>
      </c>
      <c r="T620" s="110">
        <f>IF(ISNUMBER('Klisz-Verbräuche'!U110), 'Klisz-Verbräuche'!U110*Emissionsfaktoren!S110/1000, 0)</f>
        <v>0</v>
      </c>
      <c r="U620" s="110">
        <f>IF(ISNUMBER('Klisz-Verbräuche'!V110), 'Klisz-Verbräuche'!V110*Emissionsfaktoren!T110/1000, 0)</f>
        <v>0</v>
      </c>
      <c r="V620" s="110">
        <f>IF(ISNUMBER('Klisz-Verbräuche'!W110), 'Klisz-Verbräuche'!W110*Emissionsfaktoren!U110/1000, 0)</f>
        <v>0</v>
      </c>
      <c r="W620" s="110">
        <f>IF(ISNUMBER('Klisz-Verbräuche'!X110), 'Klisz-Verbräuche'!X110*Emissionsfaktoren!V110/1000, 0)</f>
        <v>0</v>
      </c>
      <c r="X620" s="110">
        <f>IF(ISNUMBER('Klisz-Verbräuche'!Y110), 'Klisz-Verbräuche'!Y110*Emissionsfaktoren!W110/1000, 0)</f>
        <v>0</v>
      </c>
      <c r="Y620" s="110">
        <f>IF(ISNUMBER('Klisz-Verbräuche'!Z110), 'Klisz-Verbräuche'!Z110*Emissionsfaktoren!X110/1000, 0)</f>
        <v>0</v>
      </c>
    </row>
    <row r="621" spans="2:25" ht="16.5">
      <c r="B621" s="14">
        <v>94</v>
      </c>
      <c r="C621" s="14" t="str">
        <f>'Refsz-Verbräuche'!C111</f>
        <v>Waren und Dienstleistungen</v>
      </c>
      <c r="D621" s="19" t="str">
        <f>'Refsz-Verbräuche'!D111</f>
        <v>Outgesourcte Leistungen des Rechenzentrums</v>
      </c>
      <c r="E621" t="s">
        <v>195</v>
      </c>
      <c r="F621" s="110">
        <f>IF(ISNUMBER('Klisz-Verbräuche'!G111), 'Klisz-Verbräuche'!G111*Emissionsfaktoren!E111/1000, 0)</f>
        <v>0</v>
      </c>
      <c r="G621" s="110">
        <f>IF(ISNUMBER('Klisz-Verbräuche'!H111), 'Klisz-Verbräuche'!H111*Emissionsfaktoren!F111/1000, 0)</f>
        <v>0</v>
      </c>
      <c r="H621" s="110">
        <f>IF(ISNUMBER('Klisz-Verbräuche'!I111), 'Klisz-Verbräuche'!I111*Emissionsfaktoren!G111/1000, 0)</f>
        <v>0</v>
      </c>
      <c r="I621" s="110">
        <f>IF(ISNUMBER('Klisz-Verbräuche'!J111), 'Klisz-Verbräuche'!J111*Emissionsfaktoren!H111/1000, 0)</f>
        <v>0</v>
      </c>
      <c r="J621" s="110">
        <f>IF(ISNUMBER('Klisz-Verbräuche'!K111), 'Klisz-Verbräuche'!K111*Emissionsfaktoren!I111/1000, 0)</f>
        <v>0</v>
      </c>
      <c r="K621" s="110">
        <f>IF(ISNUMBER('Klisz-Verbräuche'!L111), 'Klisz-Verbräuche'!L111*Emissionsfaktoren!J111/1000, 0)</f>
        <v>0</v>
      </c>
      <c r="L621" s="110">
        <f>IF(ISNUMBER('Klisz-Verbräuche'!M111), 'Klisz-Verbräuche'!M111*Emissionsfaktoren!K111/1000, 0)</f>
        <v>0</v>
      </c>
      <c r="M621" s="110">
        <f>IF(ISNUMBER('Klisz-Verbräuche'!N111), 'Klisz-Verbräuche'!N111*Emissionsfaktoren!L111/1000, 0)</f>
        <v>0</v>
      </c>
      <c r="N621" s="110">
        <f>IF(ISNUMBER('Klisz-Verbräuche'!O111), 'Klisz-Verbräuche'!O111*Emissionsfaktoren!M111/1000, 0)</f>
        <v>0</v>
      </c>
      <c r="O621" s="110">
        <f>IF(ISNUMBER('Klisz-Verbräuche'!P111), 'Klisz-Verbräuche'!P111*Emissionsfaktoren!N111/1000, 0)</f>
        <v>0</v>
      </c>
      <c r="P621" s="110">
        <f>IF(ISNUMBER('Klisz-Verbräuche'!Q111), 'Klisz-Verbräuche'!Q111*Emissionsfaktoren!O111/1000, 0)</f>
        <v>0</v>
      </c>
      <c r="Q621" s="110">
        <f>IF(ISNUMBER('Klisz-Verbräuche'!R111), 'Klisz-Verbräuche'!R111*Emissionsfaktoren!P111/1000, 0)</f>
        <v>0</v>
      </c>
      <c r="R621" s="110">
        <f>IF(ISNUMBER('Klisz-Verbräuche'!S111), 'Klisz-Verbräuche'!S111*Emissionsfaktoren!Q111/1000, 0)</f>
        <v>0</v>
      </c>
      <c r="S621" s="110">
        <f>IF(ISNUMBER('Klisz-Verbräuche'!T111), 'Klisz-Verbräuche'!T111*Emissionsfaktoren!R111/1000, 0)</f>
        <v>0</v>
      </c>
      <c r="T621" s="110">
        <f>IF(ISNUMBER('Klisz-Verbräuche'!U111), 'Klisz-Verbräuche'!U111*Emissionsfaktoren!S111/1000, 0)</f>
        <v>0</v>
      </c>
      <c r="U621" s="110">
        <f>IF(ISNUMBER('Klisz-Verbräuche'!V111), 'Klisz-Verbräuche'!V111*Emissionsfaktoren!T111/1000, 0)</f>
        <v>0</v>
      </c>
      <c r="V621" s="110">
        <f>IF(ISNUMBER('Klisz-Verbräuche'!W111), 'Klisz-Verbräuche'!W111*Emissionsfaktoren!U111/1000, 0)</f>
        <v>0</v>
      </c>
      <c r="W621" s="110">
        <f>IF(ISNUMBER('Klisz-Verbräuche'!X111), 'Klisz-Verbräuche'!X111*Emissionsfaktoren!V111/1000, 0)</f>
        <v>0</v>
      </c>
      <c r="X621" s="110">
        <f>IF(ISNUMBER('Klisz-Verbräuche'!Y111), 'Klisz-Verbräuche'!Y111*Emissionsfaktoren!W111/1000, 0)</f>
        <v>0</v>
      </c>
      <c r="Y621" s="110">
        <f>IF(ISNUMBER('Klisz-Verbräuche'!Z111), 'Klisz-Verbräuche'!Z111*Emissionsfaktoren!X111/1000, 0)</f>
        <v>0</v>
      </c>
    </row>
    <row r="622" spans="2:25" ht="16.5">
      <c r="B622" s="14">
        <v>95</v>
      </c>
      <c r="C622" s="14" t="str">
        <f>'Refsz-Verbräuche'!C112</f>
        <v>Waren und Dienstleistungen</v>
      </c>
      <c r="D622" s="19" t="str">
        <f>'Refsz-Verbräuche'!D112</f>
        <v>Beamer</v>
      </c>
      <c r="E622" t="s">
        <v>195</v>
      </c>
      <c r="F622" s="110">
        <f>IF(ISNUMBER('Klisz-Verbräuche'!G112), 'Klisz-Verbräuche'!G112*Emissionsfaktoren!E112/1000, 0)</f>
        <v>0</v>
      </c>
      <c r="G622" s="110">
        <f>IF(ISNUMBER('Klisz-Verbräuche'!H112), 'Klisz-Verbräuche'!H112*Emissionsfaktoren!F112/1000, 0)</f>
        <v>0</v>
      </c>
      <c r="H622" s="110">
        <f>IF(ISNUMBER('Klisz-Verbräuche'!I112), 'Klisz-Verbräuche'!I112*Emissionsfaktoren!G112/1000, 0)</f>
        <v>0</v>
      </c>
      <c r="I622" s="110">
        <f>IF(ISNUMBER('Klisz-Verbräuche'!J112), 'Klisz-Verbräuche'!J112*Emissionsfaktoren!H112/1000, 0)</f>
        <v>0</v>
      </c>
      <c r="J622" s="110">
        <f>IF(ISNUMBER('Klisz-Verbräuche'!K112), 'Klisz-Verbräuche'!K112*Emissionsfaktoren!I112/1000, 0)</f>
        <v>0</v>
      </c>
      <c r="K622" s="110">
        <f>IF(ISNUMBER('Klisz-Verbräuche'!L112), 'Klisz-Verbräuche'!L112*Emissionsfaktoren!J112/1000, 0)</f>
        <v>0</v>
      </c>
      <c r="L622" s="110">
        <f>IF(ISNUMBER('Klisz-Verbräuche'!M112), 'Klisz-Verbräuche'!M112*Emissionsfaktoren!K112/1000, 0)</f>
        <v>0</v>
      </c>
      <c r="M622" s="110">
        <f>IF(ISNUMBER('Klisz-Verbräuche'!N112), 'Klisz-Verbräuche'!N112*Emissionsfaktoren!L112/1000, 0)</f>
        <v>0</v>
      </c>
      <c r="N622" s="110">
        <f>IF(ISNUMBER('Klisz-Verbräuche'!O112), 'Klisz-Verbräuche'!O112*Emissionsfaktoren!M112/1000, 0)</f>
        <v>0</v>
      </c>
      <c r="O622" s="110">
        <f>IF(ISNUMBER('Klisz-Verbräuche'!P112), 'Klisz-Verbräuche'!P112*Emissionsfaktoren!N112/1000, 0)</f>
        <v>0</v>
      </c>
      <c r="P622" s="110">
        <f>IF(ISNUMBER('Klisz-Verbräuche'!Q112), 'Klisz-Verbräuche'!Q112*Emissionsfaktoren!O112/1000, 0)</f>
        <v>0</v>
      </c>
      <c r="Q622" s="110">
        <f>IF(ISNUMBER('Klisz-Verbräuche'!R112), 'Klisz-Verbräuche'!R112*Emissionsfaktoren!P112/1000, 0)</f>
        <v>0</v>
      </c>
      <c r="R622" s="110">
        <f>IF(ISNUMBER('Klisz-Verbräuche'!S112), 'Klisz-Verbräuche'!S112*Emissionsfaktoren!Q112/1000, 0)</f>
        <v>0</v>
      </c>
      <c r="S622" s="110">
        <f>IF(ISNUMBER('Klisz-Verbräuche'!T112), 'Klisz-Verbräuche'!T112*Emissionsfaktoren!R112/1000, 0)</f>
        <v>0</v>
      </c>
      <c r="T622" s="110">
        <f>IF(ISNUMBER('Klisz-Verbräuche'!U112), 'Klisz-Verbräuche'!U112*Emissionsfaktoren!S112/1000, 0)</f>
        <v>0</v>
      </c>
      <c r="U622" s="110">
        <f>IF(ISNUMBER('Klisz-Verbräuche'!V112), 'Klisz-Verbräuche'!V112*Emissionsfaktoren!T112/1000, 0)</f>
        <v>0</v>
      </c>
      <c r="V622" s="110">
        <f>IF(ISNUMBER('Klisz-Verbräuche'!W112), 'Klisz-Verbräuche'!W112*Emissionsfaktoren!U112/1000, 0)</f>
        <v>0</v>
      </c>
      <c r="W622" s="110">
        <f>IF(ISNUMBER('Klisz-Verbräuche'!X112), 'Klisz-Verbräuche'!X112*Emissionsfaktoren!V112/1000, 0)</f>
        <v>0</v>
      </c>
      <c r="X622" s="110">
        <f>IF(ISNUMBER('Klisz-Verbräuche'!Y112), 'Klisz-Verbräuche'!Y112*Emissionsfaktoren!W112/1000, 0)</f>
        <v>0</v>
      </c>
      <c r="Y622" s="110">
        <f>IF(ISNUMBER('Klisz-Verbräuche'!Z112), 'Klisz-Verbräuche'!Z112*Emissionsfaktoren!X112/1000, 0)</f>
        <v>0</v>
      </c>
    </row>
    <row r="623" spans="2:25" ht="16.5">
      <c r="B623" s="14">
        <v>96</v>
      </c>
      <c r="C623" s="14" t="str">
        <f>'Refsz-Verbräuche'!C113</f>
        <v>Waren und Dienstleistungen</v>
      </c>
      <c r="D623" s="19" t="str">
        <f>'Refsz-Verbräuche'!D113</f>
        <v>Notebook/Laptop</v>
      </c>
      <c r="E623" t="s">
        <v>195</v>
      </c>
      <c r="F623" s="110">
        <f>IF(ISNUMBER('Klisz-Verbräuche'!G113), 'Klisz-Verbräuche'!G113*Emissionsfaktoren!E113/1000, 0)</f>
        <v>0</v>
      </c>
      <c r="G623" s="110">
        <f>IF(ISNUMBER('Klisz-Verbräuche'!H113), 'Klisz-Verbräuche'!H113*Emissionsfaktoren!F113/1000, 0)</f>
        <v>0</v>
      </c>
      <c r="H623" s="110">
        <f>IF(ISNUMBER('Klisz-Verbräuche'!I113), 'Klisz-Verbräuche'!I113*Emissionsfaktoren!G113/1000, 0)</f>
        <v>0</v>
      </c>
      <c r="I623" s="110">
        <f>IF(ISNUMBER('Klisz-Verbräuche'!J113), 'Klisz-Verbräuche'!J113*Emissionsfaktoren!H113/1000, 0)</f>
        <v>0</v>
      </c>
      <c r="J623" s="110">
        <f>IF(ISNUMBER('Klisz-Verbräuche'!K113), 'Klisz-Verbräuche'!K113*Emissionsfaktoren!I113/1000, 0)</f>
        <v>0</v>
      </c>
      <c r="K623" s="110">
        <f>IF(ISNUMBER('Klisz-Verbräuche'!L113), 'Klisz-Verbräuche'!L113*Emissionsfaktoren!J113/1000, 0)</f>
        <v>0</v>
      </c>
      <c r="L623" s="110">
        <f>IF(ISNUMBER('Klisz-Verbräuche'!M113), 'Klisz-Verbräuche'!M113*Emissionsfaktoren!K113/1000, 0)</f>
        <v>0</v>
      </c>
      <c r="M623" s="110">
        <f>IF(ISNUMBER('Klisz-Verbräuche'!N113), 'Klisz-Verbräuche'!N113*Emissionsfaktoren!L113/1000, 0)</f>
        <v>0</v>
      </c>
      <c r="N623" s="110">
        <f>IF(ISNUMBER('Klisz-Verbräuche'!O113), 'Klisz-Verbräuche'!O113*Emissionsfaktoren!M113/1000, 0)</f>
        <v>0</v>
      </c>
      <c r="O623" s="110">
        <f>IF(ISNUMBER('Klisz-Verbräuche'!P113), 'Klisz-Verbräuche'!P113*Emissionsfaktoren!N113/1000, 0)</f>
        <v>0</v>
      </c>
      <c r="P623" s="110">
        <f>IF(ISNUMBER('Klisz-Verbräuche'!Q113), 'Klisz-Verbräuche'!Q113*Emissionsfaktoren!O113/1000, 0)</f>
        <v>0</v>
      </c>
      <c r="Q623" s="110">
        <f>IF(ISNUMBER('Klisz-Verbräuche'!R113), 'Klisz-Verbräuche'!R113*Emissionsfaktoren!P113/1000, 0)</f>
        <v>0</v>
      </c>
      <c r="R623" s="110">
        <f>IF(ISNUMBER('Klisz-Verbräuche'!S113), 'Klisz-Verbräuche'!S113*Emissionsfaktoren!Q113/1000, 0)</f>
        <v>0</v>
      </c>
      <c r="S623" s="110">
        <f>IF(ISNUMBER('Klisz-Verbräuche'!T113), 'Klisz-Verbräuche'!T113*Emissionsfaktoren!R113/1000, 0)</f>
        <v>0</v>
      </c>
      <c r="T623" s="110">
        <f>IF(ISNUMBER('Klisz-Verbräuche'!U113), 'Klisz-Verbräuche'!U113*Emissionsfaktoren!S113/1000, 0)</f>
        <v>0</v>
      </c>
      <c r="U623" s="110">
        <f>IF(ISNUMBER('Klisz-Verbräuche'!V113), 'Klisz-Verbräuche'!V113*Emissionsfaktoren!T113/1000, 0)</f>
        <v>0</v>
      </c>
      <c r="V623" s="110">
        <f>IF(ISNUMBER('Klisz-Verbräuche'!W113), 'Klisz-Verbräuche'!W113*Emissionsfaktoren!U113/1000, 0)</f>
        <v>0</v>
      </c>
      <c r="W623" s="110">
        <f>IF(ISNUMBER('Klisz-Verbräuche'!X113), 'Klisz-Verbräuche'!X113*Emissionsfaktoren!V113/1000, 0)</f>
        <v>0</v>
      </c>
      <c r="X623" s="110">
        <f>IF(ISNUMBER('Klisz-Verbräuche'!Y113), 'Klisz-Verbräuche'!Y113*Emissionsfaktoren!W113/1000, 0)</f>
        <v>0</v>
      </c>
      <c r="Y623" s="110">
        <f>IF(ISNUMBER('Klisz-Verbräuche'!Z113), 'Klisz-Verbräuche'!Z113*Emissionsfaktoren!X113/1000, 0)</f>
        <v>0</v>
      </c>
    </row>
    <row r="624" spans="2:25" ht="16.5">
      <c r="B624" s="14">
        <v>97</v>
      </c>
      <c r="C624" s="14" t="str">
        <f>'Refsz-Verbräuche'!C114</f>
        <v>Waren und Dienstleistungen</v>
      </c>
      <c r="D624" s="19" t="str">
        <f>'Refsz-Verbräuche'!D114</f>
        <v>Desktop-PC mit Monitor</v>
      </c>
      <c r="E624" t="s">
        <v>195</v>
      </c>
      <c r="F624" s="110">
        <f>IF(ISNUMBER('Klisz-Verbräuche'!G114), 'Klisz-Verbräuche'!G114*Emissionsfaktoren!E114/1000, 0)</f>
        <v>0</v>
      </c>
      <c r="G624" s="110">
        <f>IF(ISNUMBER('Klisz-Verbräuche'!H114), 'Klisz-Verbräuche'!H114*Emissionsfaktoren!F114/1000, 0)</f>
        <v>0</v>
      </c>
      <c r="H624" s="110">
        <f>IF(ISNUMBER('Klisz-Verbräuche'!I114), 'Klisz-Verbräuche'!I114*Emissionsfaktoren!G114/1000, 0)</f>
        <v>0</v>
      </c>
      <c r="I624" s="110">
        <f>IF(ISNUMBER('Klisz-Verbräuche'!J114), 'Klisz-Verbräuche'!J114*Emissionsfaktoren!H114/1000, 0)</f>
        <v>0</v>
      </c>
      <c r="J624" s="110">
        <f>IF(ISNUMBER('Klisz-Verbräuche'!K114), 'Klisz-Verbräuche'!K114*Emissionsfaktoren!I114/1000, 0)</f>
        <v>0</v>
      </c>
      <c r="K624" s="110">
        <f>IF(ISNUMBER('Klisz-Verbräuche'!L114), 'Klisz-Verbräuche'!L114*Emissionsfaktoren!J114/1000, 0)</f>
        <v>0</v>
      </c>
      <c r="L624" s="110">
        <f>IF(ISNUMBER('Klisz-Verbräuche'!M114), 'Klisz-Verbräuche'!M114*Emissionsfaktoren!K114/1000, 0)</f>
        <v>0</v>
      </c>
      <c r="M624" s="110">
        <f>IF(ISNUMBER('Klisz-Verbräuche'!N114), 'Klisz-Verbräuche'!N114*Emissionsfaktoren!L114/1000, 0)</f>
        <v>0</v>
      </c>
      <c r="N624" s="110">
        <f>IF(ISNUMBER('Klisz-Verbräuche'!O114), 'Klisz-Verbräuche'!O114*Emissionsfaktoren!M114/1000, 0)</f>
        <v>0</v>
      </c>
      <c r="O624" s="110">
        <f>IF(ISNUMBER('Klisz-Verbräuche'!P114), 'Klisz-Verbräuche'!P114*Emissionsfaktoren!N114/1000, 0)</f>
        <v>0</v>
      </c>
      <c r="P624" s="110">
        <f>IF(ISNUMBER('Klisz-Verbräuche'!Q114), 'Klisz-Verbräuche'!Q114*Emissionsfaktoren!O114/1000, 0)</f>
        <v>0</v>
      </c>
      <c r="Q624" s="110">
        <f>IF(ISNUMBER('Klisz-Verbräuche'!R114), 'Klisz-Verbräuche'!R114*Emissionsfaktoren!P114/1000, 0)</f>
        <v>0</v>
      </c>
      <c r="R624" s="110">
        <f>IF(ISNUMBER('Klisz-Verbräuche'!S114), 'Klisz-Verbräuche'!S114*Emissionsfaktoren!Q114/1000, 0)</f>
        <v>0</v>
      </c>
      <c r="S624" s="110">
        <f>IF(ISNUMBER('Klisz-Verbräuche'!T114), 'Klisz-Verbräuche'!T114*Emissionsfaktoren!R114/1000, 0)</f>
        <v>0</v>
      </c>
      <c r="T624" s="110">
        <f>IF(ISNUMBER('Klisz-Verbräuche'!U114), 'Klisz-Verbräuche'!U114*Emissionsfaktoren!S114/1000, 0)</f>
        <v>0</v>
      </c>
      <c r="U624" s="110">
        <f>IF(ISNUMBER('Klisz-Verbräuche'!V114), 'Klisz-Verbräuche'!V114*Emissionsfaktoren!T114/1000, 0)</f>
        <v>0</v>
      </c>
      <c r="V624" s="110">
        <f>IF(ISNUMBER('Klisz-Verbräuche'!W114), 'Klisz-Verbräuche'!W114*Emissionsfaktoren!U114/1000, 0)</f>
        <v>0</v>
      </c>
      <c r="W624" s="110">
        <f>IF(ISNUMBER('Klisz-Verbräuche'!X114), 'Klisz-Verbräuche'!X114*Emissionsfaktoren!V114/1000, 0)</f>
        <v>0</v>
      </c>
      <c r="X624" s="110">
        <f>IF(ISNUMBER('Klisz-Verbräuche'!Y114), 'Klisz-Verbräuche'!Y114*Emissionsfaktoren!W114/1000, 0)</f>
        <v>0</v>
      </c>
      <c r="Y624" s="110">
        <f>IF(ISNUMBER('Klisz-Verbräuche'!Z114), 'Klisz-Verbräuche'!Z114*Emissionsfaktoren!X114/1000, 0)</f>
        <v>0</v>
      </c>
    </row>
    <row r="625" spans="2:25" ht="16.5">
      <c r="B625" s="14">
        <v>98</v>
      </c>
      <c r="C625" s="14" t="str">
        <f>'Refsz-Verbräuche'!C115</f>
        <v>Waren und Dienstleistungen</v>
      </c>
      <c r="D625" s="19" t="str">
        <f>'Refsz-Verbräuche'!D115</f>
        <v>Docking-Station</v>
      </c>
      <c r="E625" t="s">
        <v>195</v>
      </c>
      <c r="F625" s="110">
        <f>IF(ISNUMBER('Klisz-Verbräuche'!G115), 'Klisz-Verbräuche'!G115*Emissionsfaktoren!E115/1000, 0)</f>
        <v>0</v>
      </c>
      <c r="G625" s="110">
        <f>IF(ISNUMBER('Klisz-Verbräuche'!H115), 'Klisz-Verbräuche'!H115*Emissionsfaktoren!F115/1000, 0)</f>
        <v>0</v>
      </c>
      <c r="H625" s="110">
        <f>IF(ISNUMBER('Klisz-Verbräuche'!I115), 'Klisz-Verbräuche'!I115*Emissionsfaktoren!G115/1000, 0)</f>
        <v>0</v>
      </c>
      <c r="I625" s="110">
        <f>IF(ISNUMBER('Klisz-Verbräuche'!J115), 'Klisz-Verbräuche'!J115*Emissionsfaktoren!H115/1000, 0)</f>
        <v>0</v>
      </c>
      <c r="J625" s="110">
        <f>IF(ISNUMBER('Klisz-Verbräuche'!K115), 'Klisz-Verbräuche'!K115*Emissionsfaktoren!I115/1000, 0)</f>
        <v>0</v>
      </c>
      <c r="K625" s="110">
        <f>IF(ISNUMBER('Klisz-Verbräuche'!L115), 'Klisz-Verbräuche'!L115*Emissionsfaktoren!J115/1000, 0)</f>
        <v>0</v>
      </c>
      <c r="L625" s="110">
        <f>IF(ISNUMBER('Klisz-Verbräuche'!M115), 'Klisz-Verbräuche'!M115*Emissionsfaktoren!K115/1000, 0)</f>
        <v>0</v>
      </c>
      <c r="M625" s="110">
        <f>IF(ISNUMBER('Klisz-Verbräuche'!N115), 'Klisz-Verbräuche'!N115*Emissionsfaktoren!L115/1000, 0)</f>
        <v>0</v>
      </c>
      <c r="N625" s="110">
        <f>IF(ISNUMBER('Klisz-Verbräuche'!O115), 'Klisz-Verbräuche'!O115*Emissionsfaktoren!M115/1000, 0)</f>
        <v>0</v>
      </c>
      <c r="O625" s="110">
        <f>IF(ISNUMBER('Klisz-Verbräuche'!P115), 'Klisz-Verbräuche'!P115*Emissionsfaktoren!N115/1000, 0)</f>
        <v>0</v>
      </c>
      <c r="P625" s="110">
        <f>IF(ISNUMBER('Klisz-Verbräuche'!Q115), 'Klisz-Verbräuche'!Q115*Emissionsfaktoren!O115/1000, 0)</f>
        <v>0</v>
      </c>
      <c r="Q625" s="110">
        <f>IF(ISNUMBER('Klisz-Verbräuche'!R115), 'Klisz-Verbräuche'!R115*Emissionsfaktoren!P115/1000, 0)</f>
        <v>0</v>
      </c>
      <c r="R625" s="110">
        <f>IF(ISNUMBER('Klisz-Verbräuche'!S115), 'Klisz-Verbräuche'!S115*Emissionsfaktoren!Q115/1000, 0)</f>
        <v>0</v>
      </c>
      <c r="S625" s="110">
        <f>IF(ISNUMBER('Klisz-Verbräuche'!T115), 'Klisz-Verbräuche'!T115*Emissionsfaktoren!R115/1000, 0)</f>
        <v>0</v>
      </c>
      <c r="T625" s="110">
        <f>IF(ISNUMBER('Klisz-Verbräuche'!U115), 'Klisz-Verbräuche'!U115*Emissionsfaktoren!S115/1000, 0)</f>
        <v>0</v>
      </c>
      <c r="U625" s="110">
        <f>IF(ISNUMBER('Klisz-Verbräuche'!V115), 'Klisz-Verbräuche'!V115*Emissionsfaktoren!T115/1000, 0)</f>
        <v>0</v>
      </c>
      <c r="V625" s="110">
        <f>IF(ISNUMBER('Klisz-Verbräuche'!W115), 'Klisz-Verbräuche'!W115*Emissionsfaktoren!U115/1000, 0)</f>
        <v>0</v>
      </c>
      <c r="W625" s="110">
        <f>IF(ISNUMBER('Klisz-Verbräuche'!X115), 'Klisz-Verbräuche'!X115*Emissionsfaktoren!V115/1000, 0)</f>
        <v>0</v>
      </c>
      <c r="X625" s="110">
        <f>IF(ISNUMBER('Klisz-Verbräuche'!Y115), 'Klisz-Verbräuche'!Y115*Emissionsfaktoren!W115/1000, 0)</f>
        <v>0</v>
      </c>
      <c r="Y625" s="110">
        <f>IF(ISNUMBER('Klisz-Verbräuche'!Z115), 'Klisz-Verbräuche'!Z115*Emissionsfaktoren!X115/1000, 0)</f>
        <v>0</v>
      </c>
    </row>
    <row r="626" spans="2:25" ht="16.5">
      <c r="B626" s="14">
        <v>99</v>
      </c>
      <c r="C626" s="14" t="str">
        <f>'Refsz-Verbräuche'!C116</f>
        <v>Waren und Dienstleistungen</v>
      </c>
      <c r="D626" s="19" t="str">
        <f>'Refsz-Verbräuche'!D116</f>
        <v>Laserdrucker</v>
      </c>
      <c r="E626" t="s">
        <v>195</v>
      </c>
      <c r="F626" s="110">
        <f>IF(ISNUMBER('Klisz-Verbräuche'!G116), 'Klisz-Verbräuche'!G116*Emissionsfaktoren!E116/1000, 0)</f>
        <v>0</v>
      </c>
      <c r="G626" s="110">
        <f>IF(ISNUMBER('Klisz-Verbräuche'!H116), 'Klisz-Verbräuche'!H116*Emissionsfaktoren!F116/1000, 0)</f>
        <v>0</v>
      </c>
      <c r="H626" s="110">
        <f>IF(ISNUMBER('Klisz-Verbräuche'!I116), 'Klisz-Verbräuche'!I116*Emissionsfaktoren!G116/1000, 0)</f>
        <v>0</v>
      </c>
      <c r="I626" s="110">
        <f>IF(ISNUMBER('Klisz-Verbräuche'!J116), 'Klisz-Verbräuche'!J116*Emissionsfaktoren!H116/1000, 0)</f>
        <v>0</v>
      </c>
      <c r="J626" s="110">
        <f>IF(ISNUMBER('Klisz-Verbräuche'!K116), 'Klisz-Verbräuche'!K116*Emissionsfaktoren!I116/1000, 0)</f>
        <v>0</v>
      </c>
      <c r="K626" s="110">
        <f>IF(ISNUMBER('Klisz-Verbräuche'!L116), 'Klisz-Verbräuche'!L116*Emissionsfaktoren!J116/1000, 0)</f>
        <v>0</v>
      </c>
      <c r="L626" s="110">
        <f>IF(ISNUMBER('Klisz-Verbräuche'!M116), 'Klisz-Verbräuche'!M116*Emissionsfaktoren!K116/1000, 0)</f>
        <v>0</v>
      </c>
      <c r="M626" s="110">
        <f>IF(ISNUMBER('Klisz-Verbräuche'!N116), 'Klisz-Verbräuche'!N116*Emissionsfaktoren!L116/1000, 0)</f>
        <v>0</v>
      </c>
      <c r="N626" s="110">
        <f>IF(ISNUMBER('Klisz-Verbräuche'!O116), 'Klisz-Verbräuche'!O116*Emissionsfaktoren!M116/1000, 0)</f>
        <v>0</v>
      </c>
      <c r="O626" s="110">
        <f>IF(ISNUMBER('Klisz-Verbräuche'!P116), 'Klisz-Verbräuche'!P116*Emissionsfaktoren!N116/1000, 0)</f>
        <v>0</v>
      </c>
      <c r="P626" s="110">
        <f>IF(ISNUMBER('Klisz-Verbräuche'!Q116), 'Klisz-Verbräuche'!Q116*Emissionsfaktoren!O116/1000, 0)</f>
        <v>0</v>
      </c>
      <c r="Q626" s="110">
        <f>IF(ISNUMBER('Klisz-Verbräuche'!R116), 'Klisz-Verbräuche'!R116*Emissionsfaktoren!P116/1000, 0)</f>
        <v>0</v>
      </c>
      <c r="R626" s="110">
        <f>IF(ISNUMBER('Klisz-Verbräuche'!S116), 'Klisz-Verbräuche'!S116*Emissionsfaktoren!Q116/1000, 0)</f>
        <v>0</v>
      </c>
      <c r="S626" s="110">
        <f>IF(ISNUMBER('Klisz-Verbräuche'!T116), 'Klisz-Verbräuche'!T116*Emissionsfaktoren!R116/1000, 0)</f>
        <v>0</v>
      </c>
      <c r="T626" s="110">
        <f>IF(ISNUMBER('Klisz-Verbräuche'!U116), 'Klisz-Verbräuche'!U116*Emissionsfaktoren!S116/1000, 0)</f>
        <v>0</v>
      </c>
      <c r="U626" s="110">
        <f>IF(ISNUMBER('Klisz-Verbräuche'!V116), 'Klisz-Verbräuche'!V116*Emissionsfaktoren!T116/1000, 0)</f>
        <v>0</v>
      </c>
      <c r="V626" s="110">
        <f>IF(ISNUMBER('Klisz-Verbräuche'!W116), 'Klisz-Verbräuche'!W116*Emissionsfaktoren!U116/1000, 0)</f>
        <v>0</v>
      </c>
      <c r="W626" s="110">
        <f>IF(ISNUMBER('Klisz-Verbräuche'!X116), 'Klisz-Verbräuche'!X116*Emissionsfaktoren!V116/1000, 0)</f>
        <v>0</v>
      </c>
      <c r="X626" s="110">
        <f>IF(ISNUMBER('Klisz-Verbräuche'!Y116), 'Klisz-Verbräuche'!Y116*Emissionsfaktoren!W116/1000, 0)</f>
        <v>0</v>
      </c>
      <c r="Y626" s="110">
        <f>IF(ISNUMBER('Klisz-Verbräuche'!Z116), 'Klisz-Verbräuche'!Z116*Emissionsfaktoren!X116/1000, 0)</f>
        <v>0</v>
      </c>
    </row>
    <row r="627" spans="2:25" ht="16.5">
      <c r="B627" s="14">
        <v>100</v>
      </c>
      <c r="C627" s="14" t="str">
        <f>'Refsz-Verbräuche'!C117</f>
        <v>Waren und Dienstleistungen</v>
      </c>
      <c r="D627" s="19" t="str">
        <f>'Refsz-Verbräuche'!D117</f>
        <v>Multifunktionsdrucker klein (31 x 44 x 42 cm)</v>
      </c>
      <c r="E627" t="s">
        <v>195</v>
      </c>
      <c r="F627" s="110">
        <f>IF(ISNUMBER('Klisz-Verbräuche'!G117), 'Klisz-Verbräuche'!G117*Emissionsfaktoren!E117/1000, 0)</f>
        <v>0</v>
      </c>
      <c r="G627" s="110">
        <f>IF(ISNUMBER('Klisz-Verbräuche'!H117), 'Klisz-Verbräuche'!H117*Emissionsfaktoren!F117/1000, 0)</f>
        <v>0</v>
      </c>
      <c r="H627" s="110">
        <f>IF(ISNUMBER('Klisz-Verbräuche'!I117), 'Klisz-Verbräuche'!I117*Emissionsfaktoren!G117/1000, 0)</f>
        <v>0</v>
      </c>
      <c r="I627" s="110">
        <f>IF(ISNUMBER('Klisz-Verbräuche'!J117), 'Klisz-Verbräuche'!J117*Emissionsfaktoren!H117/1000, 0)</f>
        <v>0</v>
      </c>
      <c r="J627" s="110">
        <f>IF(ISNUMBER('Klisz-Verbräuche'!K117), 'Klisz-Verbräuche'!K117*Emissionsfaktoren!I117/1000, 0)</f>
        <v>0</v>
      </c>
      <c r="K627" s="110">
        <f>IF(ISNUMBER('Klisz-Verbräuche'!L117), 'Klisz-Verbräuche'!L117*Emissionsfaktoren!J117/1000, 0)</f>
        <v>0</v>
      </c>
      <c r="L627" s="110">
        <f>IF(ISNUMBER('Klisz-Verbräuche'!M117), 'Klisz-Verbräuche'!M117*Emissionsfaktoren!K117/1000, 0)</f>
        <v>0</v>
      </c>
      <c r="M627" s="110">
        <f>IF(ISNUMBER('Klisz-Verbräuche'!N117), 'Klisz-Verbräuche'!N117*Emissionsfaktoren!L117/1000, 0)</f>
        <v>0</v>
      </c>
      <c r="N627" s="110">
        <f>IF(ISNUMBER('Klisz-Verbräuche'!O117), 'Klisz-Verbräuche'!O117*Emissionsfaktoren!M117/1000, 0)</f>
        <v>0</v>
      </c>
      <c r="O627" s="110">
        <f>IF(ISNUMBER('Klisz-Verbräuche'!P117), 'Klisz-Verbräuche'!P117*Emissionsfaktoren!N117/1000, 0)</f>
        <v>0</v>
      </c>
      <c r="P627" s="110">
        <f>IF(ISNUMBER('Klisz-Verbräuche'!Q117), 'Klisz-Verbräuche'!Q117*Emissionsfaktoren!O117/1000, 0)</f>
        <v>0</v>
      </c>
      <c r="Q627" s="110">
        <f>IF(ISNUMBER('Klisz-Verbräuche'!R117), 'Klisz-Verbräuche'!R117*Emissionsfaktoren!P117/1000, 0)</f>
        <v>0</v>
      </c>
      <c r="R627" s="110">
        <f>IF(ISNUMBER('Klisz-Verbräuche'!S117), 'Klisz-Verbräuche'!S117*Emissionsfaktoren!Q117/1000, 0)</f>
        <v>0</v>
      </c>
      <c r="S627" s="110">
        <f>IF(ISNUMBER('Klisz-Verbräuche'!T117), 'Klisz-Verbräuche'!T117*Emissionsfaktoren!R117/1000, 0)</f>
        <v>0</v>
      </c>
      <c r="T627" s="110">
        <f>IF(ISNUMBER('Klisz-Verbräuche'!U117), 'Klisz-Verbräuche'!U117*Emissionsfaktoren!S117/1000, 0)</f>
        <v>0</v>
      </c>
      <c r="U627" s="110">
        <f>IF(ISNUMBER('Klisz-Verbräuche'!V117), 'Klisz-Verbräuche'!V117*Emissionsfaktoren!T117/1000, 0)</f>
        <v>0</v>
      </c>
      <c r="V627" s="110">
        <f>IF(ISNUMBER('Klisz-Verbräuche'!W117), 'Klisz-Verbräuche'!W117*Emissionsfaktoren!U117/1000, 0)</f>
        <v>0</v>
      </c>
      <c r="W627" s="110">
        <f>IF(ISNUMBER('Klisz-Verbräuche'!X117), 'Klisz-Verbräuche'!X117*Emissionsfaktoren!V117/1000, 0)</f>
        <v>0</v>
      </c>
      <c r="X627" s="110">
        <f>IF(ISNUMBER('Klisz-Verbräuche'!Y117), 'Klisz-Verbräuche'!Y117*Emissionsfaktoren!W117/1000, 0)</f>
        <v>0</v>
      </c>
      <c r="Y627" s="110">
        <f>IF(ISNUMBER('Klisz-Verbräuche'!Z117), 'Klisz-Verbräuche'!Z117*Emissionsfaktoren!X117/1000, 0)</f>
        <v>0</v>
      </c>
    </row>
    <row r="628" spans="2:25" ht="16.5">
      <c r="B628" s="14">
        <v>101</v>
      </c>
      <c r="C628" s="14" t="str">
        <f>'Refsz-Verbräuche'!C118</f>
        <v>Waren und Dienstleistungen</v>
      </c>
      <c r="D628" s="19" t="str">
        <f>'Refsz-Verbräuche'!D118</f>
        <v>Multifunktionsdrucker mittel (54 x 56 x 52 cm)</v>
      </c>
      <c r="E628" t="s">
        <v>195</v>
      </c>
      <c r="F628" s="110">
        <f>IF(ISNUMBER('Klisz-Verbräuche'!G118), 'Klisz-Verbräuche'!G118*Emissionsfaktoren!E118/1000, 0)</f>
        <v>0</v>
      </c>
      <c r="G628" s="110">
        <f>IF(ISNUMBER('Klisz-Verbräuche'!H118), 'Klisz-Verbräuche'!H118*Emissionsfaktoren!F118/1000, 0)</f>
        <v>0</v>
      </c>
      <c r="H628" s="110">
        <f>IF(ISNUMBER('Klisz-Verbräuche'!I118), 'Klisz-Verbräuche'!I118*Emissionsfaktoren!G118/1000, 0)</f>
        <v>0</v>
      </c>
      <c r="I628" s="110">
        <f>IF(ISNUMBER('Klisz-Verbräuche'!J118), 'Klisz-Verbräuche'!J118*Emissionsfaktoren!H118/1000, 0)</f>
        <v>0</v>
      </c>
      <c r="J628" s="110">
        <f>IF(ISNUMBER('Klisz-Verbräuche'!K118), 'Klisz-Verbräuche'!K118*Emissionsfaktoren!I118/1000, 0)</f>
        <v>0</v>
      </c>
      <c r="K628" s="110">
        <f>IF(ISNUMBER('Klisz-Verbräuche'!L118), 'Klisz-Verbräuche'!L118*Emissionsfaktoren!J118/1000, 0)</f>
        <v>0</v>
      </c>
      <c r="L628" s="110">
        <f>IF(ISNUMBER('Klisz-Verbräuche'!M118), 'Klisz-Verbräuche'!M118*Emissionsfaktoren!K118/1000, 0)</f>
        <v>0</v>
      </c>
      <c r="M628" s="110">
        <f>IF(ISNUMBER('Klisz-Verbräuche'!N118), 'Klisz-Verbräuche'!N118*Emissionsfaktoren!L118/1000, 0)</f>
        <v>0</v>
      </c>
      <c r="N628" s="110">
        <f>IF(ISNUMBER('Klisz-Verbräuche'!O118), 'Klisz-Verbräuche'!O118*Emissionsfaktoren!M118/1000, 0)</f>
        <v>0</v>
      </c>
      <c r="O628" s="110">
        <f>IF(ISNUMBER('Klisz-Verbräuche'!P118), 'Klisz-Verbräuche'!P118*Emissionsfaktoren!N118/1000, 0)</f>
        <v>0</v>
      </c>
      <c r="P628" s="110">
        <f>IF(ISNUMBER('Klisz-Verbräuche'!Q118), 'Klisz-Verbräuche'!Q118*Emissionsfaktoren!O118/1000, 0)</f>
        <v>0</v>
      </c>
      <c r="Q628" s="110">
        <f>IF(ISNUMBER('Klisz-Verbräuche'!R118), 'Klisz-Verbräuche'!R118*Emissionsfaktoren!P118/1000, 0)</f>
        <v>0</v>
      </c>
      <c r="R628" s="110">
        <f>IF(ISNUMBER('Klisz-Verbräuche'!S118), 'Klisz-Verbräuche'!S118*Emissionsfaktoren!Q118/1000, 0)</f>
        <v>0</v>
      </c>
      <c r="S628" s="110">
        <f>IF(ISNUMBER('Klisz-Verbräuche'!T118), 'Klisz-Verbräuche'!T118*Emissionsfaktoren!R118/1000, 0)</f>
        <v>0</v>
      </c>
      <c r="T628" s="110">
        <f>IF(ISNUMBER('Klisz-Verbräuche'!U118), 'Klisz-Verbräuche'!U118*Emissionsfaktoren!S118/1000, 0)</f>
        <v>0</v>
      </c>
      <c r="U628" s="110">
        <f>IF(ISNUMBER('Klisz-Verbräuche'!V118), 'Klisz-Verbräuche'!V118*Emissionsfaktoren!T118/1000, 0)</f>
        <v>0</v>
      </c>
      <c r="V628" s="110">
        <f>IF(ISNUMBER('Klisz-Verbräuche'!W118), 'Klisz-Verbräuche'!W118*Emissionsfaktoren!U118/1000, 0)</f>
        <v>0</v>
      </c>
      <c r="W628" s="110">
        <f>IF(ISNUMBER('Klisz-Verbräuche'!X118), 'Klisz-Verbräuche'!X118*Emissionsfaktoren!V118/1000, 0)</f>
        <v>0</v>
      </c>
      <c r="X628" s="110">
        <f>IF(ISNUMBER('Klisz-Verbräuche'!Y118), 'Klisz-Verbräuche'!Y118*Emissionsfaktoren!W118/1000, 0)</f>
        <v>0</v>
      </c>
      <c r="Y628" s="110">
        <f>IF(ISNUMBER('Klisz-Verbräuche'!Z118), 'Klisz-Verbräuche'!Z118*Emissionsfaktoren!X118/1000, 0)</f>
        <v>0</v>
      </c>
    </row>
    <row r="629" spans="2:25" ht="16.5">
      <c r="B629" s="14">
        <v>102</v>
      </c>
      <c r="C629" s="14" t="str">
        <f>'Refsz-Verbräuche'!C119</f>
        <v>Waren und Dienstleistungen</v>
      </c>
      <c r="D629" s="19" t="str">
        <f>'Refsz-Verbräuche'!D119</f>
        <v>Multifunktionsdrucker groß (114 x 65 x 59 cm)</v>
      </c>
      <c r="E629" t="s">
        <v>195</v>
      </c>
      <c r="F629" s="110">
        <f>IF(ISNUMBER('Klisz-Verbräuche'!G119), 'Klisz-Verbräuche'!G119*Emissionsfaktoren!E119/1000, 0)</f>
        <v>0</v>
      </c>
      <c r="G629" s="110">
        <f>IF(ISNUMBER('Klisz-Verbräuche'!H119), 'Klisz-Verbräuche'!H119*Emissionsfaktoren!F119/1000, 0)</f>
        <v>0</v>
      </c>
      <c r="H629" s="110">
        <f>IF(ISNUMBER('Klisz-Verbräuche'!I119), 'Klisz-Verbräuche'!I119*Emissionsfaktoren!G119/1000, 0)</f>
        <v>0</v>
      </c>
      <c r="I629" s="110">
        <f>IF(ISNUMBER('Klisz-Verbräuche'!J119), 'Klisz-Verbräuche'!J119*Emissionsfaktoren!H119/1000, 0)</f>
        <v>0</v>
      </c>
      <c r="J629" s="110">
        <f>IF(ISNUMBER('Klisz-Verbräuche'!K119), 'Klisz-Verbräuche'!K119*Emissionsfaktoren!I119/1000, 0)</f>
        <v>0</v>
      </c>
      <c r="K629" s="110">
        <f>IF(ISNUMBER('Klisz-Verbräuche'!L119), 'Klisz-Verbräuche'!L119*Emissionsfaktoren!J119/1000, 0)</f>
        <v>0</v>
      </c>
      <c r="L629" s="110">
        <f>IF(ISNUMBER('Klisz-Verbräuche'!M119), 'Klisz-Verbräuche'!M119*Emissionsfaktoren!K119/1000, 0)</f>
        <v>0</v>
      </c>
      <c r="M629" s="110">
        <f>IF(ISNUMBER('Klisz-Verbräuche'!N119), 'Klisz-Verbräuche'!N119*Emissionsfaktoren!L119/1000, 0)</f>
        <v>0</v>
      </c>
      <c r="N629" s="110">
        <f>IF(ISNUMBER('Klisz-Verbräuche'!O119), 'Klisz-Verbräuche'!O119*Emissionsfaktoren!M119/1000, 0)</f>
        <v>0</v>
      </c>
      <c r="O629" s="110">
        <f>IF(ISNUMBER('Klisz-Verbräuche'!P119), 'Klisz-Verbräuche'!P119*Emissionsfaktoren!N119/1000, 0)</f>
        <v>0</v>
      </c>
      <c r="P629" s="110">
        <f>IF(ISNUMBER('Klisz-Verbräuche'!Q119), 'Klisz-Verbräuche'!Q119*Emissionsfaktoren!O119/1000, 0)</f>
        <v>0</v>
      </c>
      <c r="Q629" s="110">
        <f>IF(ISNUMBER('Klisz-Verbräuche'!R119), 'Klisz-Verbräuche'!R119*Emissionsfaktoren!P119/1000, 0)</f>
        <v>0</v>
      </c>
      <c r="R629" s="110">
        <f>IF(ISNUMBER('Klisz-Verbräuche'!S119), 'Klisz-Verbräuche'!S119*Emissionsfaktoren!Q119/1000, 0)</f>
        <v>0</v>
      </c>
      <c r="S629" s="110">
        <f>IF(ISNUMBER('Klisz-Verbräuche'!T119), 'Klisz-Verbräuche'!T119*Emissionsfaktoren!R119/1000, 0)</f>
        <v>0</v>
      </c>
      <c r="T629" s="110">
        <f>IF(ISNUMBER('Klisz-Verbräuche'!U119), 'Klisz-Verbräuche'!U119*Emissionsfaktoren!S119/1000, 0)</f>
        <v>0</v>
      </c>
      <c r="U629" s="110">
        <f>IF(ISNUMBER('Klisz-Verbräuche'!V119), 'Klisz-Verbräuche'!V119*Emissionsfaktoren!T119/1000, 0)</f>
        <v>0</v>
      </c>
      <c r="V629" s="110">
        <f>IF(ISNUMBER('Klisz-Verbräuche'!W119), 'Klisz-Verbräuche'!W119*Emissionsfaktoren!U119/1000, 0)</f>
        <v>0</v>
      </c>
      <c r="W629" s="110">
        <f>IF(ISNUMBER('Klisz-Verbräuche'!X119), 'Klisz-Verbräuche'!X119*Emissionsfaktoren!V119/1000, 0)</f>
        <v>0</v>
      </c>
      <c r="X629" s="110">
        <f>IF(ISNUMBER('Klisz-Verbräuche'!Y119), 'Klisz-Verbräuche'!Y119*Emissionsfaktoren!W119/1000, 0)</f>
        <v>0</v>
      </c>
      <c r="Y629" s="110">
        <f>IF(ISNUMBER('Klisz-Verbräuche'!Z119), 'Klisz-Verbräuche'!Z119*Emissionsfaktoren!X119/1000, 0)</f>
        <v>0</v>
      </c>
    </row>
    <row r="630" spans="2:25" ht="16.5">
      <c r="B630" s="14">
        <v>103</v>
      </c>
      <c r="C630" s="14" t="str">
        <f>'Refsz-Verbräuche'!C120</f>
        <v>Waren und Dienstleistungen</v>
      </c>
      <c r="D630" s="19" t="str">
        <f>'Refsz-Verbräuche'!D120</f>
        <v>Toner</v>
      </c>
      <c r="E630" t="s">
        <v>195</v>
      </c>
      <c r="F630" s="110">
        <f>IF(ISNUMBER('Klisz-Verbräuche'!G120), 'Klisz-Verbräuche'!G120*Emissionsfaktoren!E120/1000, 0)</f>
        <v>0</v>
      </c>
      <c r="G630" s="110">
        <f>IF(ISNUMBER('Klisz-Verbräuche'!H120), 'Klisz-Verbräuche'!H120*Emissionsfaktoren!F120/1000, 0)</f>
        <v>0</v>
      </c>
      <c r="H630" s="110">
        <f>IF(ISNUMBER('Klisz-Verbräuche'!I120), 'Klisz-Verbräuche'!I120*Emissionsfaktoren!G120/1000, 0)</f>
        <v>0</v>
      </c>
      <c r="I630" s="110">
        <f>IF(ISNUMBER('Klisz-Verbräuche'!J120), 'Klisz-Verbräuche'!J120*Emissionsfaktoren!H120/1000, 0)</f>
        <v>0</v>
      </c>
      <c r="J630" s="110">
        <f>IF(ISNUMBER('Klisz-Verbräuche'!K120), 'Klisz-Verbräuche'!K120*Emissionsfaktoren!I120/1000, 0)</f>
        <v>0</v>
      </c>
      <c r="K630" s="110">
        <f>IF(ISNUMBER('Klisz-Verbräuche'!L120), 'Klisz-Verbräuche'!L120*Emissionsfaktoren!J120/1000, 0)</f>
        <v>0</v>
      </c>
      <c r="L630" s="110">
        <f>IF(ISNUMBER('Klisz-Verbräuche'!M120), 'Klisz-Verbräuche'!M120*Emissionsfaktoren!K120/1000, 0)</f>
        <v>0</v>
      </c>
      <c r="M630" s="110">
        <f>IF(ISNUMBER('Klisz-Verbräuche'!N120), 'Klisz-Verbräuche'!N120*Emissionsfaktoren!L120/1000, 0)</f>
        <v>0</v>
      </c>
      <c r="N630" s="110">
        <f>IF(ISNUMBER('Klisz-Verbräuche'!O120), 'Klisz-Verbräuche'!O120*Emissionsfaktoren!M120/1000, 0)</f>
        <v>0</v>
      </c>
      <c r="O630" s="110">
        <f>IF(ISNUMBER('Klisz-Verbräuche'!P120), 'Klisz-Verbräuche'!P120*Emissionsfaktoren!N120/1000, 0)</f>
        <v>0</v>
      </c>
      <c r="P630" s="110">
        <f>IF(ISNUMBER('Klisz-Verbräuche'!Q120), 'Klisz-Verbräuche'!Q120*Emissionsfaktoren!O120/1000, 0)</f>
        <v>0</v>
      </c>
      <c r="Q630" s="110">
        <f>IF(ISNUMBER('Klisz-Verbräuche'!R120), 'Klisz-Verbräuche'!R120*Emissionsfaktoren!P120/1000, 0)</f>
        <v>0</v>
      </c>
      <c r="R630" s="110">
        <f>IF(ISNUMBER('Klisz-Verbräuche'!S120), 'Klisz-Verbräuche'!S120*Emissionsfaktoren!Q120/1000, 0)</f>
        <v>0</v>
      </c>
      <c r="S630" s="110">
        <f>IF(ISNUMBER('Klisz-Verbräuche'!T120), 'Klisz-Verbräuche'!T120*Emissionsfaktoren!R120/1000, 0)</f>
        <v>0</v>
      </c>
      <c r="T630" s="110">
        <f>IF(ISNUMBER('Klisz-Verbräuche'!U120), 'Klisz-Verbräuche'!U120*Emissionsfaktoren!S120/1000, 0)</f>
        <v>0</v>
      </c>
      <c r="U630" s="110">
        <f>IF(ISNUMBER('Klisz-Verbräuche'!V120), 'Klisz-Verbräuche'!V120*Emissionsfaktoren!T120/1000, 0)</f>
        <v>0</v>
      </c>
      <c r="V630" s="110">
        <f>IF(ISNUMBER('Klisz-Verbräuche'!W120), 'Klisz-Verbräuche'!W120*Emissionsfaktoren!U120/1000, 0)</f>
        <v>0</v>
      </c>
      <c r="W630" s="110">
        <f>IF(ISNUMBER('Klisz-Verbräuche'!X120), 'Klisz-Verbräuche'!X120*Emissionsfaktoren!V120/1000, 0)</f>
        <v>0</v>
      </c>
      <c r="X630" s="110">
        <f>IF(ISNUMBER('Klisz-Verbräuche'!Y120), 'Klisz-Verbräuche'!Y120*Emissionsfaktoren!W120/1000, 0)</f>
        <v>0</v>
      </c>
      <c r="Y630" s="110">
        <f>IF(ISNUMBER('Klisz-Verbräuche'!Z120), 'Klisz-Verbräuche'!Z120*Emissionsfaktoren!X120/1000, 0)</f>
        <v>0</v>
      </c>
    </row>
    <row r="631" spans="2:25" ht="16.5">
      <c r="B631" s="14">
        <v>104</v>
      </c>
      <c r="C631" s="14">
        <f>'Refsz-Verbräuche'!C121</f>
        <v>0</v>
      </c>
      <c r="D631" s="19">
        <f>'Refsz-Verbräuche'!D121</f>
        <v>0</v>
      </c>
      <c r="E631" t="s">
        <v>195</v>
      </c>
      <c r="F631" s="110">
        <f>IF(ISNUMBER('Klisz-Verbräuche'!G121), 'Klisz-Verbräuche'!G121*Emissionsfaktoren!E121/1000, 0)</f>
        <v>0</v>
      </c>
      <c r="G631" s="110">
        <f>IF(ISNUMBER('Klisz-Verbräuche'!H121), 'Klisz-Verbräuche'!H121*Emissionsfaktoren!F121/1000, 0)</f>
        <v>0</v>
      </c>
      <c r="H631" s="110">
        <f>IF(ISNUMBER('Klisz-Verbräuche'!I121), 'Klisz-Verbräuche'!I121*Emissionsfaktoren!G121/1000, 0)</f>
        <v>0</v>
      </c>
      <c r="I631" s="110">
        <f>IF(ISNUMBER('Klisz-Verbräuche'!J121), 'Klisz-Verbräuche'!J121*Emissionsfaktoren!H121/1000, 0)</f>
        <v>0</v>
      </c>
      <c r="J631" s="110">
        <f>IF(ISNUMBER('Klisz-Verbräuche'!K121), 'Klisz-Verbräuche'!K121*Emissionsfaktoren!I121/1000, 0)</f>
        <v>0</v>
      </c>
      <c r="K631" s="110">
        <f>IF(ISNUMBER('Klisz-Verbräuche'!L121), 'Klisz-Verbräuche'!L121*Emissionsfaktoren!J121/1000, 0)</f>
        <v>0</v>
      </c>
      <c r="L631" s="110">
        <f>IF(ISNUMBER('Klisz-Verbräuche'!M121), 'Klisz-Verbräuche'!M121*Emissionsfaktoren!K121/1000, 0)</f>
        <v>0</v>
      </c>
      <c r="M631" s="110">
        <f>IF(ISNUMBER('Klisz-Verbräuche'!N121), 'Klisz-Verbräuche'!N121*Emissionsfaktoren!L121/1000, 0)</f>
        <v>0</v>
      </c>
      <c r="N631" s="110">
        <f>IF(ISNUMBER('Klisz-Verbräuche'!O121), 'Klisz-Verbräuche'!O121*Emissionsfaktoren!M121/1000, 0)</f>
        <v>0</v>
      </c>
      <c r="O631" s="110">
        <f>IF(ISNUMBER('Klisz-Verbräuche'!P121), 'Klisz-Verbräuche'!P121*Emissionsfaktoren!N121/1000, 0)</f>
        <v>0</v>
      </c>
      <c r="P631" s="110">
        <f>IF(ISNUMBER('Klisz-Verbräuche'!Q121), 'Klisz-Verbräuche'!Q121*Emissionsfaktoren!O121/1000, 0)</f>
        <v>0</v>
      </c>
      <c r="Q631" s="110">
        <f>IF(ISNUMBER('Klisz-Verbräuche'!R121), 'Klisz-Verbräuche'!R121*Emissionsfaktoren!P121/1000, 0)</f>
        <v>0</v>
      </c>
      <c r="R631" s="110">
        <f>IF(ISNUMBER('Klisz-Verbräuche'!S121), 'Klisz-Verbräuche'!S121*Emissionsfaktoren!Q121/1000, 0)</f>
        <v>0</v>
      </c>
      <c r="S631" s="110">
        <f>IF(ISNUMBER('Klisz-Verbräuche'!T121), 'Klisz-Verbräuche'!T121*Emissionsfaktoren!R121/1000, 0)</f>
        <v>0</v>
      </c>
      <c r="T631" s="110">
        <f>IF(ISNUMBER('Klisz-Verbräuche'!U121), 'Klisz-Verbräuche'!U121*Emissionsfaktoren!S121/1000, 0)</f>
        <v>0</v>
      </c>
      <c r="U631" s="110">
        <f>IF(ISNUMBER('Klisz-Verbräuche'!V121), 'Klisz-Verbräuche'!V121*Emissionsfaktoren!T121/1000, 0)</f>
        <v>0</v>
      </c>
      <c r="V631" s="110">
        <f>IF(ISNUMBER('Klisz-Verbräuche'!W121), 'Klisz-Verbräuche'!W121*Emissionsfaktoren!U121/1000, 0)</f>
        <v>0</v>
      </c>
      <c r="W631" s="110">
        <f>IF(ISNUMBER('Klisz-Verbräuche'!X121), 'Klisz-Verbräuche'!X121*Emissionsfaktoren!V121/1000, 0)</f>
        <v>0</v>
      </c>
      <c r="X631" s="110">
        <f>IF(ISNUMBER('Klisz-Verbräuche'!Y121), 'Klisz-Verbräuche'!Y121*Emissionsfaktoren!W121/1000, 0)</f>
        <v>0</v>
      </c>
      <c r="Y631" s="110">
        <f>IF(ISNUMBER('Klisz-Verbräuche'!Z121), 'Klisz-Verbräuche'!Z121*Emissionsfaktoren!X121/1000, 0)</f>
        <v>0</v>
      </c>
    </row>
    <row r="632" spans="2:25" ht="16.5">
      <c r="B632" s="14">
        <v>105</v>
      </c>
      <c r="C632" s="14" t="str">
        <f>'Refsz-Verbräuche'!C122</f>
        <v>Abfall</v>
      </c>
      <c r="D632" s="19" t="str">
        <f>'Refsz-Verbräuche'!D122</f>
        <v>Bioabfall, Grünschnitt (Kompostierung)</v>
      </c>
      <c r="E632" t="s">
        <v>195</v>
      </c>
      <c r="F632" s="110">
        <f>IF(ISNUMBER('Klisz-Verbräuche'!G122), 'Klisz-Verbräuche'!G122*Emissionsfaktoren!E122/1000, 0)</f>
        <v>0</v>
      </c>
      <c r="G632" s="110">
        <f>IF(ISNUMBER('Klisz-Verbräuche'!H122), 'Klisz-Verbräuche'!H122*Emissionsfaktoren!F122/1000, 0)</f>
        <v>0</v>
      </c>
      <c r="H632" s="110">
        <f>IF(ISNUMBER('Klisz-Verbräuche'!I122), 'Klisz-Verbräuche'!I122*Emissionsfaktoren!G122/1000, 0)</f>
        <v>0</v>
      </c>
      <c r="I632" s="110">
        <f>IF(ISNUMBER('Klisz-Verbräuche'!J122), 'Klisz-Verbräuche'!J122*Emissionsfaktoren!H122/1000, 0)</f>
        <v>0</v>
      </c>
      <c r="J632" s="110">
        <f>IF(ISNUMBER('Klisz-Verbräuche'!K122), 'Klisz-Verbräuche'!K122*Emissionsfaktoren!I122/1000, 0)</f>
        <v>0</v>
      </c>
      <c r="K632" s="110">
        <f>IF(ISNUMBER('Klisz-Verbräuche'!L122), 'Klisz-Verbräuche'!L122*Emissionsfaktoren!J122/1000, 0)</f>
        <v>0</v>
      </c>
      <c r="L632" s="110">
        <f>IF(ISNUMBER('Klisz-Verbräuche'!M122), 'Klisz-Verbräuche'!M122*Emissionsfaktoren!K122/1000, 0)</f>
        <v>0</v>
      </c>
      <c r="M632" s="110">
        <f>IF(ISNUMBER('Klisz-Verbräuche'!N122), 'Klisz-Verbräuche'!N122*Emissionsfaktoren!L122/1000, 0)</f>
        <v>0</v>
      </c>
      <c r="N632" s="110">
        <f>IF(ISNUMBER('Klisz-Verbräuche'!O122), 'Klisz-Verbräuche'!O122*Emissionsfaktoren!M122/1000, 0)</f>
        <v>0</v>
      </c>
      <c r="O632" s="110">
        <f>IF(ISNUMBER('Klisz-Verbräuche'!P122), 'Klisz-Verbräuche'!P122*Emissionsfaktoren!N122/1000, 0)</f>
        <v>0</v>
      </c>
      <c r="P632" s="110">
        <f>IF(ISNUMBER('Klisz-Verbräuche'!Q122), 'Klisz-Verbräuche'!Q122*Emissionsfaktoren!O122/1000, 0)</f>
        <v>0</v>
      </c>
      <c r="Q632" s="110">
        <f>IF(ISNUMBER('Klisz-Verbräuche'!R122), 'Klisz-Verbräuche'!R122*Emissionsfaktoren!P122/1000, 0)</f>
        <v>0</v>
      </c>
      <c r="R632" s="110">
        <f>IF(ISNUMBER('Klisz-Verbräuche'!S122), 'Klisz-Verbräuche'!S122*Emissionsfaktoren!Q122/1000, 0)</f>
        <v>0</v>
      </c>
      <c r="S632" s="110">
        <f>IF(ISNUMBER('Klisz-Verbräuche'!T122), 'Klisz-Verbräuche'!T122*Emissionsfaktoren!R122/1000, 0)</f>
        <v>0</v>
      </c>
      <c r="T632" s="110">
        <f>IF(ISNUMBER('Klisz-Verbräuche'!U122), 'Klisz-Verbräuche'!U122*Emissionsfaktoren!S122/1000, 0)</f>
        <v>0</v>
      </c>
      <c r="U632" s="110">
        <f>IF(ISNUMBER('Klisz-Verbräuche'!V122), 'Klisz-Verbräuche'!V122*Emissionsfaktoren!T122/1000, 0)</f>
        <v>0</v>
      </c>
      <c r="V632" s="110">
        <f>IF(ISNUMBER('Klisz-Verbräuche'!W122), 'Klisz-Verbräuche'!W122*Emissionsfaktoren!U122/1000, 0)</f>
        <v>0</v>
      </c>
      <c r="W632" s="110">
        <f>IF(ISNUMBER('Klisz-Verbräuche'!X122), 'Klisz-Verbräuche'!X122*Emissionsfaktoren!V122/1000, 0)</f>
        <v>0</v>
      </c>
      <c r="X632" s="110">
        <f>IF(ISNUMBER('Klisz-Verbräuche'!Y122), 'Klisz-Verbräuche'!Y122*Emissionsfaktoren!W122/1000, 0)</f>
        <v>0</v>
      </c>
      <c r="Y632" s="110">
        <f>IF(ISNUMBER('Klisz-Verbräuche'!Z122), 'Klisz-Verbräuche'!Z122*Emissionsfaktoren!X122/1000, 0)</f>
        <v>0</v>
      </c>
    </row>
    <row r="633" spans="2:25" ht="16.5">
      <c r="B633" s="14">
        <v>106</v>
      </c>
      <c r="C633" s="14" t="str">
        <f>'Refsz-Verbräuche'!C123</f>
        <v>Abfall</v>
      </c>
      <c r="D633" s="19" t="str">
        <f>'Refsz-Verbräuche'!D123</f>
        <v>Bioabfall (Verbrennung)</v>
      </c>
      <c r="E633" t="s">
        <v>195</v>
      </c>
      <c r="F633" s="110">
        <f>IF(ISNUMBER('Klisz-Verbräuche'!G123), 'Klisz-Verbräuche'!G123*Emissionsfaktoren!E123/1000, 0)</f>
        <v>0</v>
      </c>
      <c r="G633" s="110">
        <f>IF(ISNUMBER('Klisz-Verbräuche'!H123), 'Klisz-Verbräuche'!H123*Emissionsfaktoren!F123/1000, 0)</f>
        <v>0</v>
      </c>
      <c r="H633" s="110">
        <f>IF(ISNUMBER('Klisz-Verbräuche'!I123), 'Klisz-Verbräuche'!I123*Emissionsfaktoren!G123/1000, 0)</f>
        <v>0</v>
      </c>
      <c r="I633" s="110">
        <f>IF(ISNUMBER('Klisz-Verbräuche'!J123), 'Klisz-Verbräuche'!J123*Emissionsfaktoren!H123/1000, 0)</f>
        <v>0</v>
      </c>
      <c r="J633" s="110">
        <f>IF(ISNUMBER('Klisz-Verbräuche'!K123), 'Klisz-Verbräuche'!K123*Emissionsfaktoren!I123/1000, 0)</f>
        <v>0</v>
      </c>
      <c r="K633" s="110">
        <f>IF(ISNUMBER('Klisz-Verbräuche'!L123), 'Klisz-Verbräuche'!L123*Emissionsfaktoren!J123/1000, 0)</f>
        <v>0</v>
      </c>
      <c r="L633" s="110">
        <f>IF(ISNUMBER('Klisz-Verbräuche'!M123), 'Klisz-Verbräuche'!M123*Emissionsfaktoren!K123/1000, 0)</f>
        <v>0</v>
      </c>
      <c r="M633" s="110">
        <f>IF(ISNUMBER('Klisz-Verbräuche'!N123), 'Klisz-Verbräuche'!N123*Emissionsfaktoren!L123/1000, 0)</f>
        <v>0</v>
      </c>
      <c r="N633" s="110">
        <f>IF(ISNUMBER('Klisz-Verbräuche'!O123), 'Klisz-Verbräuche'!O123*Emissionsfaktoren!M123/1000, 0)</f>
        <v>0</v>
      </c>
      <c r="O633" s="110">
        <f>IF(ISNUMBER('Klisz-Verbräuche'!P123), 'Klisz-Verbräuche'!P123*Emissionsfaktoren!N123/1000, 0)</f>
        <v>0</v>
      </c>
      <c r="P633" s="110">
        <f>IF(ISNUMBER('Klisz-Verbräuche'!Q123), 'Klisz-Verbräuche'!Q123*Emissionsfaktoren!O123/1000, 0)</f>
        <v>0</v>
      </c>
      <c r="Q633" s="110">
        <f>IF(ISNUMBER('Klisz-Verbräuche'!R123), 'Klisz-Verbräuche'!R123*Emissionsfaktoren!P123/1000, 0)</f>
        <v>0</v>
      </c>
      <c r="R633" s="110">
        <f>IF(ISNUMBER('Klisz-Verbräuche'!S123), 'Klisz-Verbräuche'!S123*Emissionsfaktoren!Q123/1000, 0)</f>
        <v>0</v>
      </c>
      <c r="S633" s="110">
        <f>IF(ISNUMBER('Klisz-Verbräuche'!T123), 'Klisz-Verbräuche'!T123*Emissionsfaktoren!R123/1000, 0)</f>
        <v>0</v>
      </c>
      <c r="T633" s="110">
        <f>IF(ISNUMBER('Klisz-Verbräuche'!U123), 'Klisz-Verbräuche'!U123*Emissionsfaktoren!S123/1000, 0)</f>
        <v>0</v>
      </c>
      <c r="U633" s="110">
        <f>IF(ISNUMBER('Klisz-Verbräuche'!V123), 'Klisz-Verbräuche'!V123*Emissionsfaktoren!T123/1000, 0)</f>
        <v>0</v>
      </c>
      <c r="V633" s="110">
        <f>IF(ISNUMBER('Klisz-Verbräuche'!W123), 'Klisz-Verbräuche'!W123*Emissionsfaktoren!U123/1000, 0)</f>
        <v>0</v>
      </c>
      <c r="W633" s="110">
        <f>IF(ISNUMBER('Klisz-Verbräuche'!X123), 'Klisz-Verbräuche'!X123*Emissionsfaktoren!V123/1000, 0)</f>
        <v>0</v>
      </c>
      <c r="X633" s="110">
        <f>IF(ISNUMBER('Klisz-Verbräuche'!Y123), 'Klisz-Verbräuche'!Y123*Emissionsfaktoren!W123/1000, 0)</f>
        <v>0</v>
      </c>
      <c r="Y633" s="110">
        <f>IF(ISNUMBER('Klisz-Verbräuche'!Z123), 'Klisz-Verbräuche'!Z123*Emissionsfaktoren!X123/1000, 0)</f>
        <v>0</v>
      </c>
    </row>
    <row r="634" spans="2:25" ht="16.5">
      <c r="B634" s="14">
        <v>107</v>
      </c>
      <c r="C634" s="14" t="str">
        <f>'Refsz-Verbräuche'!C124</f>
        <v>Abfall</v>
      </c>
      <c r="D634" s="19" t="str">
        <f>'Refsz-Verbräuche'!D124</f>
        <v>Papierabfall</v>
      </c>
      <c r="E634" t="s">
        <v>195</v>
      </c>
      <c r="F634" s="110">
        <f>IF(ISNUMBER('Klisz-Verbräuche'!G124), 'Klisz-Verbräuche'!G124*Emissionsfaktoren!E124/1000, 0)</f>
        <v>0</v>
      </c>
      <c r="G634" s="110">
        <f>IF(ISNUMBER('Klisz-Verbräuche'!H124), 'Klisz-Verbräuche'!H124*Emissionsfaktoren!F124/1000, 0)</f>
        <v>0</v>
      </c>
      <c r="H634" s="110">
        <f>IF(ISNUMBER('Klisz-Verbräuche'!I124), 'Klisz-Verbräuche'!I124*Emissionsfaktoren!G124/1000, 0)</f>
        <v>0</v>
      </c>
      <c r="I634" s="110">
        <f>IF(ISNUMBER('Klisz-Verbräuche'!J124), 'Klisz-Verbräuche'!J124*Emissionsfaktoren!H124/1000, 0)</f>
        <v>0</v>
      </c>
      <c r="J634" s="110">
        <f>IF(ISNUMBER('Klisz-Verbräuche'!K124), 'Klisz-Verbräuche'!K124*Emissionsfaktoren!I124/1000, 0)</f>
        <v>0</v>
      </c>
      <c r="K634" s="110">
        <f>IF(ISNUMBER('Klisz-Verbräuche'!L124), 'Klisz-Verbräuche'!L124*Emissionsfaktoren!J124/1000, 0)</f>
        <v>0</v>
      </c>
      <c r="L634" s="110">
        <f>IF(ISNUMBER('Klisz-Verbräuche'!M124), 'Klisz-Verbräuche'!M124*Emissionsfaktoren!K124/1000, 0)</f>
        <v>0</v>
      </c>
      <c r="M634" s="110">
        <f>IF(ISNUMBER('Klisz-Verbräuche'!N124), 'Klisz-Verbräuche'!N124*Emissionsfaktoren!L124/1000, 0)</f>
        <v>0</v>
      </c>
      <c r="N634" s="110">
        <f>IF(ISNUMBER('Klisz-Verbräuche'!O124), 'Klisz-Verbräuche'!O124*Emissionsfaktoren!M124/1000, 0)</f>
        <v>0</v>
      </c>
      <c r="O634" s="110">
        <f>IF(ISNUMBER('Klisz-Verbräuche'!P124), 'Klisz-Verbräuche'!P124*Emissionsfaktoren!N124/1000, 0)</f>
        <v>0</v>
      </c>
      <c r="P634" s="110">
        <f>IF(ISNUMBER('Klisz-Verbräuche'!Q124), 'Klisz-Verbräuche'!Q124*Emissionsfaktoren!O124/1000, 0)</f>
        <v>0</v>
      </c>
      <c r="Q634" s="110">
        <f>IF(ISNUMBER('Klisz-Verbräuche'!R124), 'Klisz-Verbräuche'!R124*Emissionsfaktoren!P124/1000, 0)</f>
        <v>0</v>
      </c>
      <c r="R634" s="110">
        <f>IF(ISNUMBER('Klisz-Verbräuche'!S124), 'Klisz-Verbräuche'!S124*Emissionsfaktoren!Q124/1000, 0)</f>
        <v>0</v>
      </c>
      <c r="S634" s="110">
        <f>IF(ISNUMBER('Klisz-Verbräuche'!T124), 'Klisz-Verbräuche'!T124*Emissionsfaktoren!R124/1000, 0)</f>
        <v>0</v>
      </c>
      <c r="T634" s="110">
        <f>IF(ISNUMBER('Klisz-Verbräuche'!U124), 'Klisz-Verbräuche'!U124*Emissionsfaktoren!S124/1000, 0)</f>
        <v>0</v>
      </c>
      <c r="U634" s="110">
        <f>IF(ISNUMBER('Klisz-Verbräuche'!V124), 'Klisz-Verbräuche'!V124*Emissionsfaktoren!T124/1000, 0)</f>
        <v>0</v>
      </c>
      <c r="V634" s="110">
        <f>IF(ISNUMBER('Klisz-Verbräuche'!W124), 'Klisz-Verbräuche'!W124*Emissionsfaktoren!U124/1000, 0)</f>
        <v>0</v>
      </c>
      <c r="W634" s="110">
        <f>IF(ISNUMBER('Klisz-Verbräuche'!X124), 'Klisz-Verbräuche'!X124*Emissionsfaktoren!V124/1000, 0)</f>
        <v>0</v>
      </c>
      <c r="X634" s="110">
        <f>IF(ISNUMBER('Klisz-Verbräuche'!Y124), 'Klisz-Verbräuche'!Y124*Emissionsfaktoren!W124/1000, 0)</f>
        <v>0</v>
      </c>
      <c r="Y634" s="110">
        <f>IF(ISNUMBER('Klisz-Verbräuche'!Z124), 'Klisz-Verbräuche'!Z124*Emissionsfaktoren!X124/1000, 0)</f>
        <v>0</v>
      </c>
    </row>
    <row r="635" spans="2:25" ht="16.5">
      <c r="B635" s="14">
        <v>108</v>
      </c>
      <c r="C635" s="14" t="str">
        <f>'Refsz-Verbräuche'!C125</f>
        <v>Abfall</v>
      </c>
      <c r="D635" s="19" t="str">
        <f>'Refsz-Verbräuche'!D125</f>
        <v>Plastik- und Verpackungsabfall</v>
      </c>
      <c r="E635" t="s">
        <v>195</v>
      </c>
      <c r="F635" s="110">
        <f>IF(ISNUMBER('Klisz-Verbräuche'!G125), 'Klisz-Verbräuche'!G125*Emissionsfaktoren!E125/1000, 0)</f>
        <v>0</v>
      </c>
      <c r="G635" s="110">
        <f>IF(ISNUMBER('Klisz-Verbräuche'!H125), 'Klisz-Verbräuche'!H125*Emissionsfaktoren!F125/1000, 0)</f>
        <v>0</v>
      </c>
      <c r="H635" s="110">
        <f>IF(ISNUMBER('Klisz-Verbräuche'!I125), 'Klisz-Verbräuche'!I125*Emissionsfaktoren!G125/1000, 0)</f>
        <v>0</v>
      </c>
      <c r="I635" s="110">
        <f>IF(ISNUMBER('Klisz-Verbräuche'!J125), 'Klisz-Verbräuche'!J125*Emissionsfaktoren!H125/1000, 0)</f>
        <v>0</v>
      </c>
      <c r="J635" s="110">
        <f>IF(ISNUMBER('Klisz-Verbräuche'!K125), 'Klisz-Verbräuche'!K125*Emissionsfaktoren!I125/1000, 0)</f>
        <v>0</v>
      </c>
      <c r="K635" s="110">
        <f>IF(ISNUMBER('Klisz-Verbräuche'!L125), 'Klisz-Verbräuche'!L125*Emissionsfaktoren!J125/1000, 0)</f>
        <v>0</v>
      </c>
      <c r="L635" s="110">
        <f>IF(ISNUMBER('Klisz-Verbräuche'!M125), 'Klisz-Verbräuche'!M125*Emissionsfaktoren!K125/1000, 0)</f>
        <v>0</v>
      </c>
      <c r="M635" s="110">
        <f>IF(ISNUMBER('Klisz-Verbräuche'!N125), 'Klisz-Verbräuche'!N125*Emissionsfaktoren!L125/1000, 0)</f>
        <v>0</v>
      </c>
      <c r="N635" s="110">
        <f>IF(ISNUMBER('Klisz-Verbräuche'!O125), 'Klisz-Verbräuche'!O125*Emissionsfaktoren!M125/1000, 0)</f>
        <v>0</v>
      </c>
      <c r="O635" s="110">
        <f>IF(ISNUMBER('Klisz-Verbräuche'!P125), 'Klisz-Verbräuche'!P125*Emissionsfaktoren!N125/1000, 0)</f>
        <v>0</v>
      </c>
      <c r="P635" s="110">
        <f>IF(ISNUMBER('Klisz-Verbräuche'!Q125), 'Klisz-Verbräuche'!Q125*Emissionsfaktoren!O125/1000, 0)</f>
        <v>0</v>
      </c>
      <c r="Q635" s="110">
        <f>IF(ISNUMBER('Klisz-Verbräuche'!R125), 'Klisz-Verbräuche'!R125*Emissionsfaktoren!P125/1000, 0)</f>
        <v>0</v>
      </c>
      <c r="R635" s="110">
        <f>IF(ISNUMBER('Klisz-Verbräuche'!S125), 'Klisz-Verbräuche'!S125*Emissionsfaktoren!Q125/1000, 0)</f>
        <v>0</v>
      </c>
      <c r="S635" s="110">
        <f>IF(ISNUMBER('Klisz-Verbräuche'!T125), 'Klisz-Verbräuche'!T125*Emissionsfaktoren!R125/1000, 0)</f>
        <v>0</v>
      </c>
      <c r="T635" s="110">
        <f>IF(ISNUMBER('Klisz-Verbräuche'!U125), 'Klisz-Verbräuche'!U125*Emissionsfaktoren!S125/1000, 0)</f>
        <v>0</v>
      </c>
      <c r="U635" s="110">
        <f>IF(ISNUMBER('Klisz-Verbräuche'!V125), 'Klisz-Verbräuche'!V125*Emissionsfaktoren!T125/1000, 0)</f>
        <v>0</v>
      </c>
      <c r="V635" s="110">
        <f>IF(ISNUMBER('Klisz-Verbräuche'!W125), 'Klisz-Verbräuche'!W125*Emissionsfaktoren!U125/1000, 0)</f>
        <v>0</v>
      </c>
      <c r="W635" s="110">
        <f>IF(ISNUMBER('Klisz-Verbräuche'!X125), 'Klisz-Verbräuche'!X125*Emissionsfaktoren!V125/1000, 0)</f>
        <v>0</v>
      </c>
      <c r="X635" s="110">
        <f>IF(ISNUMBER('Klisz-Verbräuche'!Y125), 'Klisz-Verbräuche'!Y125*Emissionsfaktoren!W125/1000, 0)</f>
        <v>0</v>
      </c>
      <c r="Y635" s="110">
        <f>IF(ISNUMBER('Klisz-Verbräuche'!Z125), 'Klisz-Verbräuche'!Z125*Emissionsfaktoren!X125/1000, 0)</f>
        <v>0</v>
      </c>
    </row>
    <row r="636" spans="2:25" ht="16.5">
      <c r="B636" s="14">
        <v>109</v>
      </c>
      <c r="C636" s="14" t="str">
        <f>'Refsz-Verbräuche'!C126</f>
        <v>Abfall</v>
      </c>
      <c r="D636" s="19" t="str">
        <f>'Refsz-Verbräuche'!D126</f>
        <v>Restmüll</v>
      </c>
      <c r="E636" t="s">
        <v>195</v>
      </c>
      <c r="F636" s="110">
        <f>IF(ISNUMBER('Klisz-Verbräuche'!G126), 'Klisz-Verbräuche'!G126*Emissionsfaktoren!E126/1000, 0)</f>
        <v>0</v>
      </c>
      <c r="G636" s="110">
        <f>IF(ISNUMBER('Klisz-Verbräuche'!H126), 'Klisz-Verbräuche'!H126*Emissionsfaktoren!F126/1000, 0)</f>
        <v>0</v>
      </c>
      <c r="H636" s="110">
        <f>IF(ISNUMBER('Klisz-Verbräuche'!I126), 'Klisz-Verbräuche'!I126*Emissionsfaktoren!G126/1000, 0)</f>
        <v>0</v>
      </c>
      <c r="I636" s="110">
        <f>IF(ISNUMBER('Klisz-Verbräuche'!J126), 'Klisz-Verbräuche'!J126*Emissionsfaktoren!H126/1000, 0)</f>
        <v>0</v>
      </c>
      <c r="J636" s="110">
        <f>IF(ISNUMBER('Klisz-Verbräuche'!K126), 'Klisz-Verbräuche'!K126*Emissionsfaktoren!I126/1000, 0)</f>
        <v>0</v>
      </c>
      <c r="K636" s="110">
        <f>IF(ISNUMBER('Klisz-Verbräuche'!L126), 'Klisz-Verbräuche'!L126*Emissionsfaktoren!J126/1000, 0)</f>
        <v>0</v>
      </c>
      <c r="L636" s="110">
        <f>IF(ISNUMBER('Klisz-Verbräuche'!M126), 'Klisz-Verbräuche'!M126*Emissionsfaktoren!K126/1000, 0)</f>
        <v>0</v>
      </c>
      <c r="M636" s="110">
        <f>IF(ISNUMBER('Klisz-Verbräuche'!N126), 'Klisz-Verbräuche'!N126*Emissionsfaktoren!L126/1000, 0)</f>
        <v>0</v>
      </c>
      <c r="N636" s="110">
        <f>IF(ISNUMBER('Klisz-Verbräuche'!O126), 'Klisz-Verbräuche'!O126*Emissionsfaktoren!M126/1000, 0)</f>
        <v>0</v>
      </c>
      <c r="O636" s="110">
        <f>IF(ISNUMBER('Klisz-Verbräuche'!P126), 'Klisz-Verbräuche'!P126*Emissionsfaktoren!N126/1000, 0)</f>
        <v>0</v>
      </c>
      <c r="P636" s="110">
        <f>IF(ISNUMBER('Klisz-Verbräuche'!Q126), 'Klisz-Verbräuche'!Q126*Emissionsfaktoren!O126/1000, 0)</f>
        <v>0</v>
      </c>
      <c r="Q636" s="110">
        <f>IF(ISNUMBER('Klisz-Verbräuche'!R126), 'Klisz-Verbräuche'!R126*Emissionsfaktoren!P126/1000, 0)</f>
        <v>0</v>
      </c>
      <c r="R636" s="110">
        <f>IF(ISNUMBER('Klisz-Verbräuche'!S126), 'Klisz-Verbräuche'!S126*Emissionsfaktoren!Q126/1000, 0)</f>
        <v>0</v>
      </c>
      <c r="S636" s="110">
        <f>IF(ISNUMBER('Klisz-Verbräuche'!T126), 'Klisz-Verbräuche'!T126*Emissionsfaktoren!R126/1000, 0)</f>
        <v>0</v>
      </c>
      <c r="T636" s="110">
        <f>IF(ISNUMBER('Klisz-Verbräuche'!U126), 'Klisz-Verbräuche'!U126*Emissionsfaktoren!S126/1000, 0)</f>
        <v>0</v>
      </c>
      <c r="U636" s="110">
        <f>IF(ISNUMBER('Klisz-Verbräuche'!V126), 'Klisz-Verbräuche'!V126*Emissionsfaktoren!T126/1000, 0)</f>
        <v>0</v>
      </c>
      <c r="V636" s="110">
        <f>IF(ISNUMBER('Klisz-Verbräuche'!W126), 'Klisz-Verbräuche'!W126*Emissionsfaktoren!U126/1000, 0)</f>
        <v>0</v>
      </c>
      <c r="W636" s="110">
        <f>IF(ISNUMBER('Klisz-Verbräuche'!X126), 'Klisz-Verbräuche'!X126*Emissionsfaktoren!V126/1000, 0)</f>
        <v>0</v>
      </c>
      <c r="X636" s="110">
        <f>IF(ISNUMBER('Klisz-Verbräuche'!Y126), 'Klisz-Verbräuche'!Y126*Emissionsfaktoren!W126/1000, 0)</f>
        <v>0</v>
      </c>
      <c r="Y636" s="110">
        <f>IF(ISNUMBER('Klisz-Verbräuche'!Z126), 'Klisz-Verbräuche'!Z126*Emissionsfaktoren!X126/1000, 0)</f>
        <v>0</v>
      </c>
    </row>
    <row r="637" spans="2:25" ht="16.5">
      <c r="B637" s="14">
        <v>110</v>
      </c>
      <c r="C637" s="14" t="str">
        <f>'Refsz-Verbräuche'!C127</f>
        <v>Abfall</v>
      </c>
      <c r="D637" s="19" t="str">
        <f>'Refsz-Verbräuche'!D127</f>
        <v>Sperrmüll</v>
      </c>
      <c r="E637" t="s">
        <v>195</v>
      </c>
      <c r="F637" s="110">
        <f>IF(ISNUMBER('Klisz-Verbräuche'!G127), 'Klisz-Verbräuche'!G127*Emissionsfaktoren!E127/1000, 0)</f>
        <v>0</v>
      </c>
      <c r="G637" s="110">
        <f>IF(ISNUMBER('Klisz-Verbräuche'!H127), 'Klisz-Verbräuche'!H127*Emissionsfaktoren!F127/1000, 0)</f>
        <v>0</v>
      </c>
      <c r="H637" s="110">
        <f>IF(ISNUMBER('Klisz-Verbräuche'!I127), 'Klisz-Verbräuche'!I127*Emissionsfaktoren!G127/1000, 0)</f>
        <v>0</v>
      </c>
      <c r="I637" s="110">
        <f>IF(ISNUMBER('Klisz-Verbräuche'!J127), 'Klisz-Verbräuche'!J127*Emissionsfaktoren!H127/1000, 0)</f>
        <v>0</v>
      </c>
      <c r="J637" s="110">
        <f>IF(ISNUMBER('Klisz-Verbräuche'!K127), 'Klisz-Verbräuche'!K127*Emissionsfaktoren!I127/1000, 0)</f>
        <v>0</v>
      </c>
      <c r="K637" s="110">
        <f>IF(ISNUMBER('Klisz-Verbräuche'!L127), 'Klisz-Verbräuche'!L127*Emissionsfaktoren!J127/1000, 0)</f>
        <v>0</v>
      </c>
      <c r="L637" s="110">
        <f>IF(ISNUMBER('Klisz-Verbräuche'!M127), 'Klisz-Verbräuche'!M127*Emissionsfaktoren!K127/1000, 0)</f>
        <v>0</v>
      </c>
      <c r="M637" s="110">
        <f>IF(ISNUMBER('Klisz-Verbräuche'!N127), 'Klisz-Verbräuche'!N127*Emissionsfaktoren!L127/1000, 0)</f>
        <v>0</v>
      </c>
      <c r="N637" s="110">
        <f>IF(ISNUMBER('Klisz-Verbräuche'!O127), 'Klisz-Verbräuche'!O127*Emissionsfaktoren!M127/1000, 0)</f>
        <v>0</v>
      </c>
      <c r="O637" s="110">
        <f>IF(ISNUMBER('Klisz-Verbräuche'!P127), 'Klisz-Verbräuche'!P127*Emissionsfaktoren!N127/1000, 0)</f>
        <v>0</v>
      </c>
      <c r="P637" s="110">
        <f>IF(ISNUMBER('Klisz-Verbräuche'!Q127), 'Klisz-Verbräuche'!Q127*Emissionsfaktoren!O127/1000, 0)</f>
        <v>0</v>
      </c>
      <c r="Q637" s="110">
        <f>IF(ISNUMBER('Klisz-Verbräuche'!R127), 'Klisz-Verbräuche'!R127*Emissionsfaktoren!P127/1000, 0)</f>
        <v>0</v>
      </c>
      <c r="R637" s="110">
        <f>IF(ISNUMBER('Klisz-Verbräuche'!S127), 'Klisz-Verbräuche'!S127*Emissionsfaktoren!Q127/1000, 0)</f>
        <v>0</v>
      </c>
      <c r="S637" s="110">
        <f>IF(ISNUMBER('Klisz-Verbräuche'!T127), 'Klisz-Verbräuche'!T127*Emissionsfaktoren!R127/1000, 0)</f>
        <v>0</v>
      </c>
      <c r="T637" s="110">
        <f>IF(ISNUMBER('Klisz-Verbräuche'!U127), 'Klisz-Verbräuche'!U127*Emissionsfaktoren!S127/1000, 0)</f>
        <v>0</v>
      </c>
      <c r="U637" s="110">
        <f>IF(ISNUMBER('Klisz-Verbräuche'!V127), 'Klisz-Verbräuche'!V127*Emissionsfaktoren!T127/1000, 0)</f>
        <v>0</v>
      </c>
      <c r="V637" s="110">
        <f>IF(ISNUMBER('Klisz-Verbräuche'!W127), 'Klisz-Verbräuche'!W127*Emissionsfaktoren!U127/1000, 0)</f>
        <v>0</v>
      </c>
      <c r="W637" s="110">
        <f>IF(ISNUMBER('Klisz-Verbräuche'!X127), 'Klisz-Verbräuche'!X127*Emissionsfaktoren!V127/1000, 0)</f>
        <v>0</v>
      </c>
      <c r="X637" s="110">
        <f>IF(ISNUMBER('Klisz-Verbräuche'!Y127), 'Klisz-Verbräuche'!Y127*Emissionsfaktoren!W127/1000, 0)</f>
        <v>0</v>
      </c>
      <c r="Y637" s="110">
        <f>IF(ISNUMBER('Klisz-Verbräuche'!Z127), 'Klisz-Verbräuche'!Z127*Emissionsfaktoren!X127/1000, 0)</f>
        <v>0</v>
      </c>
    </row>
    <row r="638" spans="2:25" ht="16.5">
      <c r="B638" s="14">
        <v>111</v>
      </c>
      <c r="C638" s="14" t="str">
        <f>'Refsz-Verbräuche'!C128</f>
        <v>Abfall</v>
      </c>
      <c r="D638" s="19" t="str">
        <f>'Refsz-Verbräuche'!D128</f>
        <v>Altholz</v>
      </c>
      <c r="E638" t="s">
        <v>195</v>
      </c>
      <c r="F638" s="110">
        <f>IF(ISNUMBER('Klisz-Verbräuche'!G128), 'Klisz-Verbräuche'!G128*Emissionsfaktoren!E128/1000, 0)</f>
        <v>0</v>
      </c>
      <c r="G638" s="110">
        <f>IF(ISNUMBER('Klisz-Verbräuche'!H128), 'Klisz-Verbräuche'!H128*Emissionsfaktoren!F128/1000, 0)</f>
        <v>0</v>
      </c>
      <c r="H638" s="110">
        <f>IF(ISNUMBER('Klisz-Verbräuche'!I128), 'Klisz-Verbräuche'!I128*Emissionsfaktoren!G128/1000, 0)</f>
        <v>0</v>
      </c>
      <c r="I638" s="110">
        <f>IF(ISNUMBER('Klisz-Verbräuche'!J128), 'Klisz-Verbräuche'!J128*Emissionsfaktoren!H128/1000, 0)</f>
        <v>0</v>
      </c>
      <c r="J638" s="110">
        <f>IF(ISNUMBER('Klisz-Verbräuche'!K128), 'Klisz-Verbräuche'!K128*Emissionsfaktoren!I128/1000, 0)</f>
        <v>0</v>
      </c>
      <c r="K638" s="110">
        <f>IF(ISNUMBER('Klisz-Verbräuche'!L128), 'Klisz-Verbräuche'!L128*Emissionsfaktoren!J128/1000, 0)</f>
        <v>0</v>
      </c>
      <c r="L638" s="110">
        <f>IF(ISNUMBER('Klisz-Verbräuche'!M128), 'Klisz-Verbräuche'!M128*Emissionsfaktoren!K128/1000, 0)</f>
        <v>0</v>
      </c>
      <c r="M638" s="110">
        <f>IF(ISNUMBER('Klisz-Verbräuche'!N128), 'Klisz-Verbräuche'!N128*Emissionsfaktoren!L128/1000, 0)</f>
        <v>0</v>
      </c>
      <c r="N638" s="110">
        <f>IF(ISNUMBER('Klisz-Verbräuche'!O128), 'Klisz-Verbräuche'!O128*Emissionsfaktoren!M128/1000, 0)</f>
        <v>0</v>
      </c>
      <c r="O638" s="110">
        <f>IF(ISNUMBER('Klisz-Verbräuche'!P128), 'Klisz-Verbräuche'!P128*Emissionsfaktoren!N128/1000, 0)</f>
        <v>0</v>
      </c>
      <c r="P638" s="110">
        <f>IF(ISNUMBER('Klisz-Verbräuche'!Q128), 'Klisz-Verbräuche'!Q128*Emissionsfaktoren!O128/1000, 0)</f>
        <v>0</v>
      </c>
      <c r="Q638" s="110">
        <f>IF(ISNUMBER('Klisz-Verbräuche'!R128), 'Klisz-Verbräuche'!R128*Emissionsfaktoren!P128/1000, 0)</f>
        <v>0</v>
      </c>
      <c r="R638" s="110">
        <f>IF(ISNUMBER('Klisz-Verbräuche'!S128), 'Klisz-Verbräuche'!S128*Emissionsfaktoren!Q128/1000, 0)</f>
        <v>0</v>
      </c>
      <c r="S638" s="110">
        <f>IF(ISNUMBER('Klisz-Verbräuche'!T128), 'Klisz-Verbräuche'!T128*Emissionsfaktoren!R128/1000, 0)</f>
        <v>0</v>
      </c>
      <c r="T638" s="110">
        <f>IF(ISNUMBER('Klisz-Verbräuche'!U128), 'Klisz-Verbräuche'!U128*Emissionsfaktoren!S128/1000, 0)</f>
        <v>0</v>
      </c>
      <c r="U638" s="110">
        <f>IF(ISNUMBER('Klisz-Verbräuche'!V128), 'Klisz-Verbräuche'!V128*Emissionsfaktoren!T128/1000, 0)</f>
        <v>0</v>
      </c>
      <c r="V638" s="110">
        <f>IF(ISNUMBER('Klisz-Verbräuche'!W128), 'Klisz-Verbräuche'!W128*Emissionsfaktoren!U128/1000, 0)</f>
        <v>0</v>
      </c>
      <c r="W638" s="110">
        <f>IF(ISNUMBER('Klisz-Verbräuche'!X128), 'Klisz-Verbräuche'!X128*Emissionsfaktoren!V128/1000, 0)</f>
        <v>0</v>
      </c>
      <c r="X638" s="110">
        <f>IF(ISNUMBER('Klisz-Verbräuche'!Y128), 'Klisz-Verbräuche'!Y128*Emissionsfaktoren!W128/1000, 0)</f>
        <v>0</v>
      </c>
      <c r="Y638" s="110">
        <f>IF(ISNUMBER('Klisz-Verbräuche'!Z128), 'Klisz-Verbräuche'!Z128*Emissionsfaktoren!X128/1000, 0)</f>
        <v>0</v>
      </c>
    </row>
    <row r="639" spans="2:25" ht="16.5">
      <c r="B639" s="14">
        <v>112</v>
      </c>
      <c r="C639" s="14" t="str">
        <f>'Refsz-Verbräuche'!C129</f>
        <v>Abfall</v>
      </c>
      <c r="D639" s="19" t="str">
        <f>'Refsz-Verbräuche'!D129</f>
        <v>Altglas</v>
      </c>
      <c r="E639" t="s">
        <v>195</v>
      </c>
      <c r="F639" s="110">
        <f>IF(ISNUMBER('Klisz-Verbräuche'!G129), 'Klisz-Verbräuche'!G129*Emissionsfaktoren!E129/1000, 0)</f>
        <v>0</v>
      </c>
      <c r="G639" s="110">
        <f>IF(ISNUMBER('Klisz-Verbräuche'!H129), 'Klisz-Verbräuche'!H129*Emissionsfaktoren!F129/1000, 0)</f>
        <v>0</v>
      </c>
      <c r="H639" s="110">
        <f>IF(ISNUMBER('Klisz-Verbräuche'!I129), 'Klisz-Verbräuche'!I129*Emissionsfaktoren!G129/1000, 0)</f>
        <v>0</v>
      </c>
      <c r="I639" s="110">
        <f>IF(ISNUMBER('Klisz-Verbräuche'!J129), 'Klisz-Verbräuche'!J129*Emissionsfaktoren!H129/1000, 0)</f>
        <v>0</v>
      </c>
      <c r="J639" s="110">
        <f>IF(ISNUMBER('Klisz-Verbräuche'!K129), 'Klisz-Verbräuche'!K129*Emissionsfaktoren!I129/1000, 0)</f>
        <v>0</v>
      </c>
      <c r="K639" s="110">
        <f>IF(ISNUMBER('Klisz-Verbräuche'!L129), 'Klisz-Verbräuche'!L129*Emissionsfaktoren!J129/1000, 0)</f>
        <v>0</v>
      </c>
      <c r="L639" s="110">
        <f>IF(ISNUMBER('Klisz-Verbräuche'!M129), 'Klisz-Verbräuche'!M129*Emissionsfaktoren!K129/1000, 0)</f>
        <v>0</v>
      </c>
      <c r="M639" s="110">
        <f>IF(ISNUMBER('Klisz-Verbräuche'!N129), 'Klisz-Verbräuche'!N129*Emissionsfaktoren!L129/1000, 0)</f>
        <v>0</v>
      </c>
      <c r="N639" s="110">
        <f>IF(ISNUMBER('Klisz-Verbräuche'!O129), 'Klisz-Verbräuche'!O129*Emissionsfaktoren!M129/1000, 0)</f>
        <v>0</v>
      </c>
      <c r="O639" s="110">
        <f>IF(ISNUMBER('Klisz-Verbräuche'!P129), 'Klisz-Verbräuche'!P129*Emissionsfaktoren!N129/1000, 0)</f>
        <v>0</v>
      </c>
      <c r="P639" s="110">
        <f>IF(ISNUMBER('Klisz-Verbräuche'!Q129), 'Klisz-Verbräuche'!Q129*Emissionsfaktoren!O129/1000, 0)</f>
        <v>0</v>
      </c>
      <c r="Q639" s="110">
        <f>IF(ISNUMBER('Klisz-Verbräuche'!R129), 'Klisz-Verbräuche'!R129*Emissionsfaktoren!P129/1000, 0)</f>
        <v>0</v>
      </c>
      <c r="R639" s="110">
        <f>IF(ISNUMBER('Klisz-Verbräuche'!S129), 'Klisz-Verbräuche'!S129*Emissionsfaktoren!Q129/1000, 0)</f>
        <v>0</v>
      </c>
      <c r="S639" s="110">
        <f>IF(ISNUMBER('Klisz-Verbräuche'!T129), 'Klisz-Verbräuche'!T129*Emissionsfaktoren!R129/1000, 0)</f>
        <v>0</v>
      </c>
      <c r="T639" s="110">
        <f>IF(ISNUMBER('Klisz-Verbräuche'!U129), 'Klisz-Verbräuche'!U129*Emissionsfaktoren!S129/1000, 0)</f>
        <v>0</v>
      </c>
      <c r="U639" s="110">
        <f>IF(ISNUMBER('Klisz-Verbräuche'!V129), 'Klisz-Verbräuche'!V129*Emissionsfaktoren!T129/1000, 0)</f>
        <v>0</v>
      </c>
      <c r="V639" s="110">
        <f>IF(ISNUMBER('Klisz-Verbräuche'!W129), 'Klisz-Verbräuche'!W129*Emissionsfaktoren!U129/1000, 0)</f>
        <v>0</v>
      </c>
      <c r="W639" s="110">
        <f>IF(ISNUMBER('Klisz-Verbräuche'!X129), 'Klisz-Verbräuche'!X129*Emissionsfaktoren!V129/1000, 0)</f>
        <v>0</v>
      </c>
      <c r="X639" s="110">
        <f>IF(ISNUMBER('Klisz-Verbräuche'!Y129), 'Klisz-Verbräuche'!Y129*Emissionsfaktoren!W129/1000, 0)</f>
        <v>0</v>
      </c>
      <c r="Y639" s="110">
        <f>IF(ISNUMBER('Klisz-Verbräuche'!Z129), 'Klisz-Verbräuche'!Z129*Emissionsfaktoren!X129/1000, 0)</f>
        <v>0</v>
      </c>
    </row>
    <row r="640" spans="2:25" ht="16.5">
      <c r="B640" s="14">
        <v>113</v>
      </c>
      <c r="C640" s="14" t="str">
        <f>'Refsz-Verbräuche'!C130</f>
        <v>Abfall</v>
      </c>
      <c r="D640" s="19" t="str">
        <f>'Refsz-Verbräuche'!D130</f>
        <v>E-Großgeräte (Abfall)</v>
      </c>
      <c r="E640" t="s">
        <v>195</v>
      </c>
      <c r="F640" s="110">
        <f>IF(ISNUMBER('Klisz-Verbräuche'!G130), 'Klisz-Verbräuche'!G130*Emissionsfaktoren!E130/1000, 0)</f>
        <v>0</v>
      </c>
      <c r="G640" s="110">
        <f>IF(ISNUMBER('Klisz-Verbräuche'!H130), 'Klisz-Verbräuche'!H130*Emissionsfaktoren!F130/1000, 0)</f>
        <v>0</v>
      </c>
      <c r="H640" s="110">
        <f>IF(ISNUMBER('Klisz-Verbräuche'!I130), 'Klisz-Verbräuche'!I130*Emissionsfaktoren!G130/1000, 0)</f>
        <v>0</v>
      </c>
      <c r="I640" s="110">
        <f>IF(ISNUMBER('Klisz-Verbräuche'!J130), 'Klisz-Verbräuche'!J130*Emissionsfaktoren!H130/1000, 0)</f>
        <v>0</v>
      </c>
      <c r="J640" s="110">
        <f>IF(ISNUMBER('Klisz-Verbräuche'!K130), 'Klisz-Verbräuche'!K130*Emissionsfaktoren!I130/1000, 0)</f>
        <v>0</v>
      </c>
      <c r="K640" s="110">
        <f>IF(ISNUMBER('Klisz-Verbräuche'!L130), 'Klisz-Verbräuche'!L130*Emissionsfaktoren!J130/1000, 0)</f>
        <v>0</v>
      </c>
      <c r="L640" s="110">
        <f>IF(ISNUMBER('Klisz-Verbräuche'!M130), 'Klisz-Verbräuche'!M130*Emissionsfaktoren!K130/1000, 0)</f>
        <v>0</v>
      </c>
      <c r="M640" s="110">
        <f>IF(ISNUMBER('Klisz-Verbräuche'!N130), 'Klisz-Verbräuche'!N130*Emissionsfaktoren!L130/1000, 0)</f>
        <v>0</v>
      </c>
      <c r="N640" s="110">
        <f>IF(ISNUMBER('Klisz-Verbräuche'!O130), 'Klisz-Verbräuche'!O130*Emissionsfaktoren!M130/1000, 0)</f>
        <v>0</v>
      </c>
      <c r="O640" s="110">
        <f>IF(ISNUMBER('Klisz-Verbräuche'!P130), 'Klisz-Verbräuche'!P130*Emissionsfaktoren!N130/1000, 0)</f>
        <v>0</v>
      </c>
      <c r="P640" s="110">
        <f>IF(ISNUMBER('Klisz-Verbräuche'!Q130), 'Klisz-Verbräuche'!Q130*Emissionsfaktoren!O130/1000, 0)</f>
        <v>0</v>
      </c>
      <c r="Q640" s="110">
        <f>IF(ISNUMBER('Klisz-Verbräuche'!R130), 'Klisz-Verbräuche'!R130*Emissionsfaktoren!P130/1000, 0)</f>
        <v>0</v>
      </c>
      <c r="R640" s="110">
        <f>IF(ISNUMBER('Klisz-Verbräuche'!S130), 'Klisz-Verbräuche'!S130*Emissionsfaktoren!Q130/1000, 0)</f>
        <v>0</v>
      </c>
      <c r="S640" s="110">
        <f>IF(ISNUMBER('Klisz-Verbräuche'!T130), 'Klisz-Verbräuche'!T130*Emissionsfaktoren!R130/1000, 0)</f>
        <v>0</v>
      </c>
      <c r="T640" s="110">
        <f>IF(ISNUMBER('Klisz-Verbräuche'!U130), 'Klisz-Verbräuche'!U130*Emissionsfaktoren!S130/1000, 0)</f>
        <v>0</v>
      </c>
      <c r="U640" s="110">
        <f>IF(ISNUMBER('Klisz-Verbräuche'!V130), 'Klisz-Verbräuche'!V130*Emissionsfaktoren!T130/1000, 0)</f>
        <v>0</v>
      </c>
      <c r="V640" s="110">
        <f>IF(ISNUMBER('Klisz-Verbräuche'!W130), 'Klisz-Verbräuche'!W130*Emissionsfaktoren!U130/1000, 0)</f>
        <v>0</v>
      </c>
      <c r="W640" s="110">
        <f>IF(ISNUMBER('Klisz-Verbräuche'!X130), 'Klisz-Verbräuche'!X130*Emissionsfaktoren!V130/1000, 0)</f>
        <v>0</v>
      </c>
      <c r="X640" s="110">
        <f>IF(ISNUMBER('Klisz-Verbräuche'!Y130), 'Klisz-Verbräuche'!Y130*Emissionsfaktoren!W130/1000, 0)</f>
        <v>0</v>
      </c>
      <c r="Y640" s="110">
        <f>IF(ISNUMBER('Klisz-Verbräuche'!Z130), 'Klisz-Verbräuche'!Z130*Emissionsfaktoren!X130/1000, 0)</f>
        <v>0</v>
      </c>
    </row>
    <row r="641" spans="2:25" ht="16.5">
      <c r="B641" s="14">
        <v>114</v>
      </c>
      <c r="C641" s="14" t="str">
        <f>'Refsz-Verbräuche'!C131</f>
        <v>Abfall</v>
      </c>
      <c r="D641" s="19" t="str">
        <f>'Refsz-Verbräuche'!D131</f>
        <v>Metalle (Abfall)</v>
      </c>
      <c r="E641" t="s">
        <v>195</v>
      </c>
      <c r="F641" s="110">
        <f>IF(ISNUMBER('Klisz-Verbräuche'!G131), 'Klisz-Verbräuche'!G131*Emissionsfaktoren!E131/1000, 0)</f>
        <v>0</v>
      </c>
      <c r="G641" s="110">
        <f>IF(ISNUMBER('Klisz-Verbräuche'!H131), 'Klisz-Verbräuche'!H131*Emissionsfaktoren!F131/1000, 0)</f>
        <v>0</v>
      </c>
      <c r="H641" s="110">
        <f>IF(ISNUMBER('Klisz-Verbräuche'!I131), 'Klisz-Verbräuche'!I131*Emissionsfaktoren!G131/1000, 0)</f>
        <v>0</v>
      </c>
      <c r="I641" s="110">
        <f>IF(ISNUMBER('Klisz-Verbräuche'!J131), 'Klisz-Verbräuche'!J131*Emissionsfaktoren!H131/1000, 0)</f>
        <v>0</v>
      </c>
      <c r="J641" s="110">
        <f>IF(ISNUMBER('Klisz-Verbräuche'!K131), 'Klisz-Verbräuche'!K131*Emissionsfaktoren!I131/1000, 0)</f>
        <v>0</v>
      </c>
      <c r="K641" s="110">
        <f>IF(ISNUMBER('Klisz-Verbräuche'!L131), 'Klisz-Verbräuche'!L131*Emissionsfaktoren!J131/1000, 0)</f>
        <v>0</v>
      </c>
      <c r="L641" s="110">
        <f>IF(ISNUMBER('Klisz-Verbräuche'!M131), 'Klisz-Verbräuche'!M131*Emissionsfaktoren!K131/1000, 0)</f>
        <v>0</v>
      </c>
      <c r="M641" s="110">
        <f>IF(ISNUMBER('Klisz-Verbräuche'!N131), 'Klisz-Verbräuche'!N131*Emissionsfaktoren!L131/1000, 0)</f>
        <v>0</v>
      </c>
      <c r="N641" s="110">
        <f>IF(ISNUMBER('Klisz-Verbräuche'!O131), 'Klisz-Verbräuche'!O131*Emissionsfaktoren!M131/1000, 0)</f>
        <v>0</v>
      </c>
      <c r="O641" s="110">
        <f>IF(ISNUMBER('Klisz-Verbräuche'!P131), 'Klisz-Verbräuche'!P131*Emissionsfaktoren!N131/1000, 0)</f>
        <v>0</v>
      </c>
      <c r="P641" s="110">
        <f>IF(ISNUMBER('Klisz-Verbräuche'!Q131), 'Klisz-Verbräuche'!Q131*Emissionsfaktoren!O131/1000, 0)</f>
        <v>0</v>
      </c>
      <c r="Q641" s="110">
        <f>IF(ISNUMBER('Klisz-Verbräuche'!R131), 'Klisz-Verbräuche'!R131*Emissionsfaktoren!P131/1000, 0)</f>
        <v>0</v>
      </c>
      <c r="R641" s="110">
        <f>IF(ISNUMBER('Klisz-Verbräuche'!S131), 'Klisz-Verbräuche'!S131*Emissionsfaktoren!Q131/1000, 0)</f>
        <v>0</v>
      </c>
      <c r="S641" s="110">
        <f>IF(ISNUMBER('Klisz-Verbräuche'!T131), 'Klisz-Verbräuche'!T131*Emissionsfaktoren!R131/1000, 0)</f>
        <v>0</v>
      </c>
      <c r="T641" s="110">
        <f>IF(ISNUMBER('Klisz-Verbräuche'!U131), 'Klisz-Verbräuche'!U131*Emissionsfaktoren!S131/1000, 0)</f>
        <v>0</v>
      </c>
      <c r="U641" s="110">
        <f>IF(ISNUMBER('Klisz-Verbräuche'!V131), 'Klisz-Verbräuche'!V131*Emissionsfaktoren!T131/1000, 0)</f>
        <v>0</v>
      </c>
      <c r="V641" s="110">
        <f>IF(ISNUMBER('Klisz-Verbräuche'!W131), 'Klisz-Verbräuche'!W131*Emissionsfaktoren!U131/1000, 0)</f>
        <v>0</v>
      </c>
      <c r="W641" s="110">
        <f>IF(ISNUMBER('Klisz-Verbräuche'!X131), 'Klisz-Verbräuche'!X131*Emissionsfaktoren!V131/1000, 0)</f>
        <v>0</v>
      </c>
      <c r="X641" s="110">
        <f>IF(ISNUMBER('Klisz-Verbräuche'!Y131), 'Klisz-Verbräuche'!Y131*Emissionsfaktoren!W131/1000, 0)</f>
        <v>0</v>
      </c>
      <c r="Y641" s="110">
        <f>IF(ISNUMBER('Klisz-Verbräuche'!Z131), 'Klisz-Verbräuche'!Z131*Emissionsfaktoren!X131/1000, 0)</f>
        <v>0</v>
      </c>
    </row>
    <row r="642" spans="2:25" ht="16.5">
      <c r="B642" s="14">
        <v>115</v>
      </c>
      <c r="C642" s="14" t="str">
        <f>'Refsz-Verbräuche'!C132</f>
        <v>Abfall</v>
      </c>
      <c r="D642" s="19" t="str">
        <f>'Refsz-Verbräuche'!D132</f>
        <v>Bauschutt</v>
      </c>
      <c r="E642" t="s">
        <v>195</v>
      </c>
      <c r="F642" s="110">
        <f>IF(ISNUMBER('Klisz-Verbräuche'!G132), 'Klisz-Verbräuche'!G132*Emissionsfaktoren!E132/1000, 0)</f>
        <v>0</v>
      </c>
      <c r="G642" s="110">
        <f>IF(ISNUMBER('Klisz-Verbräuche'!H132), 'Klisz-Verbräuche'!H132*Emissionsfaktoren!F132/1000, 0)</f>
        <v>0</v>
      </c>
      <c r="H642" s="110">
        <f>IF(ISNUMBER('Klisz-Verbräuche'!I132), 'Klisz-Verbräuche'!I132*Emissionsfaktoren!G132/1000, 0)</f>
        <v>0</v>
      </c>
      <c r="I642" s="110">
        <f>IF(ISNUMBER('Klisz-Verbräuche'!J132), 'Klisz-Verbräuche'!J132*Emissionsfaktoren!H132/1000, 0)</f>
        <v>0</v>
      </c>
      <c r="J642" s="110">
        <f>IF(ISNUMBER('Klisz-Verbräuche'!K132), 'Klisz-Verbräuche'!K132*Emissionsfaktoren!I132/1000, 0)</f>
        <v>0</v>
      </c>
      <c r="K642" s="110">
        <f>IF(ISNUMBER('Klisz-Verbräuche'!L132), 'Klisz-Verbräuche'!L132*Emissionsfaktoren!J132/1000, 0)</f>
        <v>0</v>
      </c>
      <c r="L642" s="110">
        <f>IF(ISNUMBER('Klisz-Verbräuche'!M132), 'Klisz-Verbräuche'!M132*Emissionsfaktoren!K132/1000, 0)</f>
        <v>0</v>
      </c>
      <c r="M642" s="110">
        <f>IF(ISNUMBER('Klisz-Verbräuche'!N132), 'Klisz-Verbräuche'!N132*Emissionsfaktoren!L132/1000, 0)</f>
        <v>0</v>
      </c>
      <c r="N642" s="110">
        <f>IF(ISNUMBER('Klisz-Verbräuche'!O132), 'Klisz-Verbräuche'!O132*Emissionsfaktoren!M132/1000, 0)</f>
        <v>0</v>
      </c>
      <c r="O642" s="110">
        <f>IF(ISNUMBER('Klisz-Verbräuche'!P132), 'Klisz-Verbräuche'!P132*Emissionsfaktoren!N132/1000, 0)</f>
        <v>0</v>
      </c>
      <c r="P642" s="110">
        <f>IF(ISNUMBER('Klisz-Verbräuche'!Q132), 'Klisz-Verbräuche'!Q132*Emissionsfaktoren!O132/1000, 0)</f>
        <v>0</v>
      </c>
      <c r="Q642" s="110">
        <f>IF(ISNUMBER('Klisz-Verbräuche'!R132), 'Klisz-Verbräuche'!R132*Emissionsfaktoren!P132/1000, 0)</f>
        <v>0</v>
      </c>
      <c r="R642" s="110">
        <f>IF(ISNUMBER('Klisz-Verbräuche'!S132), 'Klisz-Verbräuche'!S132*Emissionsfaktoren!Q132/1000, 0)</f>
        <v>0</v>
      </c>
      <c r="S642" s="110">
        <f>IF(ISNUMBER('Klisz-Verbräuche'!T132), 'Klisz-Verbräuche'!T132*Emissionsfaktoren!R132/1000, 0)</f>
        <v>0</v>
      </c>
      <c r="T642" s="110">
        <f>IF(ISNUMBER('Klisz-Verbräuche'!U132), 'Klisz-Verbräuche'!U132*Emissionsfaktoren!S132/1000, 0)</f>
        <v>0</v>
      </c>
      <c r="U642" s="110">
        <f>IF(ISNUMBER('Klisz-Verbräuche'!V132), 'Klisz-Verbräuche'!V132*Emissionsfaktoren!T132/1000, 0)</f>
        <v>0</v>
      </c>
      <c r="V642" s="110">
        <f>IF(ISNUMBER('Klisz-Verbräuche'!W132), 'Klisz-Verbräuche'!W132*Emissionsfaktoren!U132/1000, 0)</f>
        <v>0</v>
      </c>
      <c r="W642" s="110">
        <f>IF(ISNUMBER('Klisz-Verbräuche'!X132), 'Klisz-Verbräuche'!X132*Emissionsfaktoren!V132/1000, 0)</f>
        <v>0</v>
      </c>
      <c r="X642" s="110">
        <f>IF(ISNUMBER('Klisz-Verbräuche'!Y132), 'Klisz-Verbräuche'!Y132*Emissionsfaktoren!W132/1000, 0)</f>
        <v>0</v>
      </c>
      <c r="Y642" s="110">
        <f>IF(ISNUMBER('Klisz-Verbräuche'!Z132), 'Klisz-Verbräuche'!Z132*Emissionsfaktoren!X132/1000, 0)</f>
        <v>0</v>
      </c>
    </row>
    <row r="643" spans="2:25" ht="16.5">
      <c r="B643" s="14">
        <v>116</v>
      </c>
      <c r="C643" s="14">
        <f>'Refsz-Verbräuche'!C133</f>
        <v>0</v>
      </c>
      <c r="D643" s="19">
        <f>'Refsz-Verbräuche'!D133</f>
        <v>0</v>
      </c>
      <c r="E643" t="s">
        <v>195</v>
      </c>
      <c r="F643" s="110">
        <f>IF(ISNUMBER('Klisz-Verbräuche'!G133), 'Klisz-Verbräuche'!G133*Emissionsfaktoren!E133/1000, 0)</f>
        <v>0</v>
      </c>
      <c r="G643" s="110">
        <f>IF(ISNUMBER('Klisz-Verbräuche'!H133), 'Klisz-Verbräuche'!H133*Emissionsfaktoren!F133/1000, 0)</f>
        <v>0</v>
      </c>
      <c r="H643" s="110">
        <f>IF(ISNUMBER('Klisz-Verbräuche'!I133), 'Klisz-Verbräuche'!I133*Emissionsfaktoren!G133/1000, 0)</f>
        <v>0</v>
      </c>
      <c r="I643" s="110">
        <f>IF(ISNUMBER('Klisz-Verbräuche'!J133), 'Klisz-Verbräuche'!J133*Emissionsfaktoren!H133/1000, 0)</f>
        <v>0</v>
      </c>
      <c r="J643" s="110">
        <f>IF(ISNUMBER('Klisz-Verbräuche'!K133), 'Klisz-Verbräuche'!K133*Emissionsfaktoren!I133/1000, 0)</f>
        <v>0</v>
      </c>
      <c r="K643" s="110">
        <f>IF(ISNUMBER('Klisz-Verbräuche'!L133), 'Klisz-Verbräuche'!L133*Emissionsfaktoren!J133/1000, 0)</f>
        <v>0</v>
      </c>
      <c r="L643" s="110">
        <f>IF(ISNUMBER('Klisz-Verbräuche'!M133), 'Klisz-Verbräuche'!M133*Emissionsfaktoren!K133/1000, 0)</f>
        <v>0</v>
      </c>
      <c r="M643" s="110">
        <f>IF(ISNUMBER('Klisz-Verbräuche'!N133), 'Klisz-Verbräuche'!N133*Emissionsfaktoren!L133/1000, 0)</f>
        <v>0</v>
      </c>
      <c r="N643" s="110">
        <f>IF(ISNUMBER('Klisz-Verbräuche'!O133), 'Klisz-Verbräuche'!O133*Emissionsfaktoren!M133/1000, 0)</f>
        <v>0</v>
      </c>
      <c r="O643" s="110">
        <f>IF(ISNUMBER('Klisz-Verbräuche'!P133), 'Klisz-Verbräuche'!P133*Emissionsfaktoren!N133/1000, 0)</f>
        <v>0</v>
      </c>
      <c r="P643" s="110">
        <f>IF(ISNUMBER('Klisz-Verbräuche'!Q133), 'Klisz-Verbräuche'!Q133*Emissionsfaktoren!O133/1000, 0)</f>
        <v>0</v>
      </c>
      <c r="Q643" s="110">
        <f>IF(ISNUMBER('Klisz-Verbräuche'!R133), 'Klisz-Verbräuche'!R133*Emissionsfaktoren!P133/1000, 0)</f>
        <v>0</v>
      </c>
      <c r="R643" s="110">
        <f>IF(ISNUMBER('Klisz-Verbräuche'!S133), 'Klisz-Verbräuche'!S133*Emissionsfaktoren!Q133/1000, 0)</f>
        <v>0</v>
      </c>
      <c r="S643" s="110">
        <f>IF(ISNUMBER('Klisz-Verbräuche'!T133), 'Klisz-Verbräuche'!T133*Emissionsfaktoren!R133/1000, 0)</f>
        <v>0</v>
      </c>
      <c r="T643" s="110">
        <f>IF(ISNUMBER('Klisz-Verbräuche'!U133), 'Klisz-Verbräuche'!U133*Emissionsfaktoren!S133/1000, 0)</f>
        <v>0</v>
      </c>
      <c r="U643" s="110">
        <f>IF(ISNUMBER('Klisz-Verbräuche'!V133), 'Klisz-Verbräuche'!V133*Emissionsfaktoren!T133/1000, 0)</f>
        <v>0</v>
      </c>
      <c r="V643" s="110">
        <f>IF(ISNUMBER('Klisz-Verbräuche'!W133), 'Klisz-Verbräuche'!W133*Emissionsfaktoren!U133/1000, 0)</f>
        <v>0</v>
      </c>
      <c r="W643" s="110">
        <f>IF(ISNUMBER('Klisz-Verbräuche'!X133), 'Klisz-Verbräuche'!X133*Emissionsfaktoren!V133/1000, 0)</f>
        <v>0</v>
      </c>
      <c r="X643" s="110">
        <f>IF(ISNUMBER('Klisz-Verbräuche'!Y133), 'Klisz-Verbräuche'!Y133*Emissionsfaktoren!W133/1000, 0)</f>
        <v>0</v>
      </c>
      <c r="Y643" s="110">
        <f>IF(ISNUMBER('Klisz-Verbräuche'!Z133), 'Klisz-Verbräuche'!Z133*Emissionsfaktoren!X133/1000, 0)</f>
        <v>0</v>
      </c>
    </row>
    <row r="644" spans="2:25" ht="16.5">
      <c r="B644" s="14">
        <v>117</v>
      </c>
      <c r="C644" s="14" t="str">
        <f>'Refsz-Verbräuche'!C134</f>
        <v>Baugüter</v>
      </c>
      <c r="D644" s="19" t="str">
        <f>'Refsz-Verbräuche'!D134</f>
        <v>Branntkalk</v>
      </c>
      <c r="E644" t="s">
        <v>195</v>
      </c>
      <c r="F644" s="110">
        <f>IF(ISNUMBER('Klisz-Verbräuche'!G134), 'Klisz-Verbräuche'!G134*Emissionsfaktoren!E134/1000, 0)</f>
        <v>0</v>
      </c>
      <c r="G644" s="110">
        <f>IF(ISNUMBER('Klisz-Verbräuche'!H134), 'Klisz-Verbräuche'!H134*Emissionsfaktoren!F134/1000, 0)</f>
        <v>0</v>
      </c>
      <c r="H644" s="110">
        <f>IF(ISNUMBER('Klisz-Verbräuche'!I134), 'Klisz-Verbräuche'!I134*Emissionsfaktoren!G134/1000, 0)</f>
        <v>0</v>
      </c>
      <c r="I644" s="110">
        <f>IF(ISNUMBER('Klisz-Verbräuche'!J134), 'Klisz-Verbräuche'!J134*Emissionsfaktoren!H134/1000, 0)</f>
        <v>0</v>
      </c>
      <c r="J644" s="110">
        <f>IF(ISNUMBER('Klisz-Verbräuche'!K134), 'Klisz-Verbräuche'!K134*Emissionsfaktoren!I134/1000, 0)</f>
        <v>0</v>
      </c>
      <c r="K644" s="110">
        <f>IF(ISNUMBER('Klisz-Verbräuche'!L134), 'Klisz-Verbräuche'!L134*Emissionsfaktoren!J134/1000, 0)</f>
        <v>0</v>
      </c>
      <c r="L644" s="110">
        <f>IF(ISNUMBER('Klisz-Verbräuche'!M134), 'Klisz-Verbräuche'!M134*Emissionsfaktoren!K134/1000, 0)</f>
        <v>0</v>
      </c>
      <c r="M644" s="110">
        <f>IF(ISNUMBER('Klisz-Verbräuche'!N134), 'Klisz-Verbräuche'!N134*Emissionsfaktoren!L134/1000, 0)</f>
        <v>0</v>
      </c>
      <c r="N644" s="110">
        <f>IF(ISNUMBER('Klisz-Verbräuche'!O134), 'Klisz-Verbräuche'!O134*Emissionsfaktoren!M134/1000, 0)</f>
        <v>0</v>
      </c>
      <c r="O644" s="110">
        <f>IF(ISNUMBER('Klisz-Verbräuche'!P134), 'Klisz-Verbräuche'!P134*Emissionsfaktoren!N134/1000, 0)</f>
        <v>0</v>
      </c>
      <c r="P644" s="110">
        <f>IF(ISNUMBER('Klisz-Verbräuche'!Q134), 'Klisz-Verbräuche'!Q134*Emissionsfaktoren!O134/1000, 0)</f>
        <v>0</v>
      </c>
      <c r="Q644" s="110">
        <f>IF(ISNUMBER('Klisz-Verbräuche'!R134), 'Klisz-Verbräuche'!R134*Emissionsfaktoren!P134/1000, 0)</f>
        <v>0</v>
      </c>
      <c r="R644" s="110">
        <f>IF(ISNUMBER('Klisz-Verbräuche'!S134), 'Klisz-Verbräuche'!S134*Emissionsfaktoren!Q134/1000, 0)</f>
        <v>0</v>
      </c>
      <c r="S644" s="110">
        <f>IF(ISNUMBER('Klisz-Verbräuche'!T134), 'Klisz-Verbräuche'!T134*Emissionsfaktoren!R134/1000, 0)</f>
        <v>0</v>
      </c>
      <c r="T644" s="110">
        <f>IF(ISNUMBER('Klisz-Verbräuche'!U134), 'Klisz-Verbräuche'!U134*Emissionsfaktoren!S134/1000, 0)</f>
        <v>0</v>
      </c>
      <c r="U644" s="110">
        <f>IF(ISNUMBER('Klisz-Verbräuche'!V134), 'Klisz-Verbräuche'!V134*Emissionsfaktoren!T134/1000, 0)</f>
        <v>0</v>
      </c>
      <c r="V644" s="110">
        <f>IF(ISNUMBER('Klisz-Verbräuche'!W134), 'Klisz-Verbräuche'!W134*Emissionsfaktoren!U134/1000, 0)</f>
        <v>0</v>
      </c>
      <c r="W644" s="110">
        <f>IF(ISNUMBER('Klisz-Verbräuche'!X134), 'Klisz-Verbräuche'!X134*Emissionsfaktoren!V134/1000, 0)</f>
        <v>0</v>
      </c>
      <c r="X644" s="110">
        <f>IF(ISNUMBER('Klisz-Verbräuche'!Y134), 'Klisz-Verbräuche'!Y134*Emissionsfaktoren!W134/1000, 0)</f>
        <v>0</v>
      </c>
      <c r="Y644" s="110">
        <f>IF(ISNUMBER('Klisz-Verbräuche'!Z134), 'Klisz-Verbräuche'!Z134*Emissionsfaktoren!X134/1000, 0)</f>
        <v>0</v>
      </c>
    </row>
    <row r="645" spans="2:25" ht="16.5">
      <c r="B645" s="14">
        <v>118</v>
      </c>
      <c r="C645" s="14" t="str">
        <f>'Refsz-Verbräuche'!C135</f>
        <v>Baugüter</v>
      </c>
      <c r="D645" s="19" t="str">
        <f>'Refsz-Verbräuche'!D135</f>
        <v>Gips</v>
      </c>
      <c r="E645" t="s">
        <v>195</v>
      </c>
      <c r="F645" s="110">
        <f>IF(ISNUMBER('Klisz-Verbräuche'!G135), 'Klisz-Verbräuche'!G135*Emissionsfaktoren!E135/1000, 0)</f>
        <v>0</v>
      </c>
      <c r="G645" s="110">
        <f>IF(ISNUMBER('Klisz-Verbräuche'!H135), 'Klisz-Verbräuche'!H135*Emissionsfaktoren!F135/1000, 0)</f>
        <v>0</v>
      </c>
      <c r="H645" s="110">
        <f>IF(ISNUMBER('Klisz-Verbräuche'!I135), 'Klisz-Verbräuche'!I135*Emissionsfaktoren!G135/1000, 0)</f>
        <v>0</v>
      </c>
      <c r="I645" s="110">
        <f>IF(ISNUMBER('Klisz-Verbräuche'!J135), 'Klisz-Verbräuche'!J135*Emissionsfaktoren!H135/1000, 0)</f>
        <v>0</v>
      </c>
      <c r="J645" s="110">
        <f>IF(ISNUMBER('Klisz-Verbräuche'!K135), 'Klisz-Verbräuche'!K135*Emissionsfaktoren!I135/1000, 0)</f>
        <v>0</v>
      </c>
      <c r="K645" s="110">
        <f>IF(ISNUMBER('Klisz-Verbräuche'!L135), 'Klisz-Verbräuche'!L135*Emissionsfaktoren!J135/1000, 0)</f>
        <v>0</v>
      </c>
      <c r="L645" s="110">
        <f>IF(ISNUMBER('Klisz-Verbräuche'!M135), 'Klisz-Verbräuche'!M135*Emissionsfaktoren!K135/1000, 0)</f>
        <v>0</v>
      </c>
      <c r="M645" s="110">
        <f>IF(ISNUMBER('Klisz-Verbräuche'!N135), 'Klisz-Verbräuche'!N135*Emissionsfaktoren!L135/1000, 0)</f>
        <v>0</v>
      </c>
      <c r="N645" s="110">
        <f>IF(ISNUMBER('Klisz-Verbräuche'!O135), 'Klisz-Verbräuche'!O135*Emissionsfaktoren!M135/1000, 0)</f>
        <v>0</v>
      </c>
      <c r="O645" s="110">
        <f>IF(ISNUMBER('Klisz-Verbräuche'!P135), 'Klisz-Verbräuche'!P135*Emissionsfaktoren!N135/1000, 0)</f>
        <v>0</v>
      </c>
      <c r="P645" s="110">
        <f>IF(ISNUMBER('Klisz-Verbräuche'!Q135), 'Klisz-Verbräuche'!Q135*Emissionsfaktoren!O135/1000, 0)</f>
        <v>0</v>
      </c>
      <c r="Q645" s="110">
        <f>IF(ISNUMBER('Klisz-Verbräuche'!R135), 'Klisz-Verbräuche'!R135*Emissionsfaktoren!P135/1000, 0)</f>
        <v>0</v>
      </c>
      <c r="R645" s="110">
        <f>IF(ISNUMBER('Klisz-Verbräuche'!S135), 'Klisz-Verbräuche'!S135*Emissionsfaktoren!Q135/1000, 0)</f>
        <v>0</v>
      </c>
      <c r="S645" s="110">
        <f>IF(ISNUMBER('Klisz-Verbräuche'!T135), 'Klisz-Verbräuche'!T135*Emissionsfaktoren!R135/1000, 0)</f>
        <v>0</v>
      </c>
      <c r="T645" s="110">
        <f>IF(ISNUMBER('Klisz-Verbräuche'!U135), 'Klisz-Verbräuche'!U135*Emissionsfaktoren!S135/1000, 0)</f>
        <v>0</v>
      </c>
      <c r="U645" s="110">
        <f>IF(ISNUMBER('Klisz-Verbräuche'!V135), 'Klisz-Verbräuche'!V135*Emissionsfaktoren!T135/1000, 0)</f>
        <v>0</v>
      </c>
      <c r="V645" s="110">
        <f>IF(ISNUMBER('Klisz-Verbräuche'!W135), 'Klisz-Verbräuche'!W135*Emissionsfaktoren!U135/1000, 0)</f>
        <v>0</v>
      </c>
      <c r="W645" s="110">
        <f>IF(ISNUMBER('Klisz-Verbräuche'!X135), 'Klisz-Verbräuche'!X135*Emissionsfaktoren!V135/1000, 0)</f>
        <v>0</v>
      </c>
      <c r="X645" s="110">
        <f>IF(ISNUMBER('Klisz-Verbräuche'!Y135), 'Klisz-Verbräuche'!Y135*Emissionsfaktoren!W135/1000, 0)</f>
        <v>0</v>
      </c>
      <c r="Y645" s="110">
        <f>IF(ISNUMBER('Klisz-Verbräuche'!Z135), 'Klisz-Verbräuche'!Z135*Emissionsfaktoren!X135/1000, 0)</f>
        <v>0</v>
      </c>
    </row>
    <row r="646" spans="2:25" ht="16.5">
      <c r="B646" s="14">
        <v>119</v>
      </c>
      <c r="C646" s="14" t="str">
        <f>'Refsz-Verbräuche'!C136</f>
        <v>Baugüter</v>
      </c>
      <c r="D646" s="19" t="str">
        <f>'Refsz-Verbräuche'!D136</f>
        <v>Gipsplatte</v>
      </c>
      <c r="E646" t="s">
        <v>195</v>
      </c>
      <c r="F646" s="110">
        <f>IF(ISNUMBER('Klisz-Verbräuche'!G136), 'Klisz-Verbräuche'!G136*Emissionsfaktoren!E136/1000, 0)</f>
        <v>0</v>
      </c>
      <c r="G646" s="110">
        <f>IF(ISNUMBER('Klisz-Verbräuche'!H136), 'Klisz-Verbräuche'!H136*Emissionsfaktoren!F136/1000, 0)</f>
        <v>0</v>
      </c>
      <c r="H646" s="110">
        <f>IF(ISNUMBER('Klisz-Verbräuche'!I136), 'Klisz-Verbräuche'!I136*Emissionsfaktoren!G136/1000, 0)</f>
        <v>0</v>
      </c>
      <c r="I646" s="110">
        <f>IF(ISNUMBER('Klisz-Verbräuche'!J136), 'Klisz-Verbräuche'!J136*Emissionsfaktoren!H136/1000, 0)</f>
        <v>0</v>
      </c>
      <c r="J646" s="110">
        <f>IF(ISNUMBER('Klisz-Verbräuche'!K136), 'Klisz-Verbräuche'!K136*Emissionsfaktoren!I136/1000, 0)</f>
        <v>0</v>
      </c>
      <c r="K646" s="110">
        <f>IF(ISNUMBER('Klisz-Verbräuche'!L136), 'Klisz-Verbräuche'!L136*Emissionsfaktoren!J136/1000, 0)</f>
        <v>0</v>
      </c>
      <c r="L646" s="110">
        <f>IF(ISNUMBER('Klisz-Verbräuche'!M136), 'Klisz-Verbräuche'!M136*Emissionsfaktoren!K136/1000, 0)</f>
        <v>0</v>
      </c>
      <c r="M646" s="110">
        <f>IF(ISNUMBER('Klisz-Verbräuche'!N136), 'Klisz-Verbräuche'!N136*Emissionsfaktoren!L136/1000, 0)</f>
        <v>0</v>
      </c>
      <c r="N646" s="110">
        <f>IF(ISNUMBER('Klisz-Verbräuche'!O136), 'Klisz-Verbräuche'!O136*Emissionsfaktoren!M136/1000, 0)</f>
        <v>0</v>
      </c>
      <c r="O646" s="110">
        <f>IF(ISNUMBER('Klisz-Verbräuche'!P136), 'Klisz-Verbräuche'!P136*Emissionsfaktoren!N136/1000, 0)</f>
        <v>0</v>
      </c>
      <c r="P646" s="110">
        <f>IF(ISNUMBER('Klisz-Verbräuche'!Q136), 'Klisz-Verbräuche'!Q136*Emissionsfaktoren!O136/1000, 0)</f>
        <v>0</v>
      </c>
      <c r="Q646" s="110">
        <f>IF(ISNUMBER('Klisz-Verbräuche'!R136), 'Klisz-Verbräuche'!R136*Emissionsfaktoren!P136/1000, 0)</f>
        <v>0</v>
      </c>
      <c r="R646" s="110">
        <f>IF(ISNUMBER('Klisz-Verbräuche'!S136), 'Klisz-Verbräuche'!S136*Emissionsfaktoren!Q136/1000, 0)</f>
        <v>0</v>
      </c>
      <c r="S646" s="110">
        <f>IF(ISNUMBER('Klisz-Verbräuche'!T136), 'Klisz-Verbräuche'!T136*Emissionsfaktoren!R136/1000, 0)</f>
        <v>0</v>
      </c>
      <c r="T646" s="110">
        <f>IF(ISNUMBER('Klisz-Verbräuche'!U136), 'Klisz-Verbräuche'!U136*Emissionsfaktoren!S136/1000, 0)</f>
        <v>0</v>
      </c>
      <c r="U646" s="110">
        <f>IF(ISNUMBER('Klisz-Verbräuche'!V136), 'Klisz-Verbräuche'!V136*Emissionsfaktoren!T136/1000, 0)</f>
        <v>0</v>
      </c>
      <c r="V646" s="110">
        <f>IF(ISNUMBER('Klisz-Verbräuche'!W136), 'Klisz-Verbräuche'!W136*Emissionsfaktoren!U136/1000, 0)</f>
        <v>0</v>
      </c>
      <c r="W646" s="110">
        <f>IF(ISNUMBER('Klisz-Verbräuche'!X136), 'Klisz-Verbräuche'!X136*Emissionsfaktoren!V136/1000, 0)</f>
        <v>0</v>
      </c>
      <c r="X646" s="110">
        <f>IF(ISNUMBER('Klisz-Verbräuche'!Y136), 'Klisz-Verbräuche'!Y136*Emissionsfaktoren!W136/1000, 0)</f>
        <v>0</v>
      </c>
      <c r="Y646" s="110">
        <f>IF(ISNUMBER('Klisz-Verbräuche'!Z136), 'Klisz-Verbräuche'!Z136*Emissionsfaktoren!X136/1000, 0)</f>
        <v>0</v>
      </c>
    </row>
    <row r="647" spans="2:25" ht="16.5">
      <c r="B647" s="14">
        <v>120</v>
      </c>
      <c r="C647" s="14" t="str">
        <f>'Refsz-Verbräuche'!C137</f>
        <v>Baugüter</v>
      </c>
      <c r="D647" s="19" t="str">
        <f>'Refsz-Verbräuche'!D137</f>
        <v>Glas (flach)</v>
      </c>
      <c r="E647" t="s">
        <v>195</v>
      </c>
      <c r="F647" s="110">
        <f>IF(ISNUMBER('Klisz-Verbräuche'!G137), 'Klisz-Verbräuche'!G137*Emissionsfaktoren!E137/1000, 0)</f>
        <v>0</v>
      </c>
      <c r="G647" s="110">
        <f>IF(ISNUMBER('Klisz-Verbräuche'!H137), 'Klisz-Verbräuche'!H137*Emissionsfaktoren!F137/1000, 0)</f>
        <v>0</v>
      </c>
      <c r="H647" s="110">
        <f>IF(ISNUMBER('Klisz-Verbräuche'!I137), 'Klisz-Verbräuche'!I137*Emissionsfaktoren!G137/1000, 0)</f>
        <v>0</v>
      </c>
      <c r="I647" s="110">
        <f>IF(ISNUMBER('Klisz-Verbräuche'!J137), 'Klisz-Verbräuche'!J137*Emissionsfaktoren!H137/1000, 0)</f>
        <v>0</v>
      </c>
      <c r="J647" s="110">
        <f>IF(ISNUMBER('Klisz-Verbräuche'!K137), 'Klisz-Verbräuche'!K137*Emissionsfaktoren!I137/1000, 0)</f>
        <v>0</v>
      </c>
      <c r="K647" s="110">
        <f>IF(ISNUMBER('Klisz-Verbräuche'!L137), 'Klisz-Verbräuche'!L137*Emissionsfaktoren!J137/1000, 0)</f>
        <v>0</v>
      </c>
      <c r="L647" s="110">
        <f>IF(ISNUMBER('Klisz-Verbräuche'!M137), 'Klisz-Verbräuche'!M137*Emissionsfaktoren!K137/1000, 0)</f>
        <v>0</v>
      </c>
      <c r="M647" s="110">
        <f>IF(ISNUMBER('Klisz-Verbräuche'!N137), 'Klisz-Verbräuche'!N137*Emissionsfaktoren!L137/1000, 0)</f>
        <v>0</v>
      </c>
      <c r="N647" s="110">
        <f>IF(ISNUMBER('Klisz-Verbräuche'!O137), 'Klisz-Verbräuche'!O137*Emissionsfaktoren!M137/1000, 0)</f>
        <v>0</v>
      </c>
      <c r="O647" s="110">
        <f>IF(ISNUMBER('Klisz-Verbräuche'!P137), 'Klisz-Verbräuche'!P137*Emissionsfaktoren!N137/1000, 0)</f>
        <v>0</v>
      </c>
      <c r="P647" s="110">
        <f>IF(ISNUMBER('Klisz-Verbräuche'!Q137), 'Klisz-Verbräuche'!Q137*Emissionsfaktoren!O137/1000, 0)</f>
        <v>0</v>
      </c>
      <c r="Q647" s="110">
        <f>IF(ISNUMBER('Klisz-Verbräuche'!R137), 'Klisz-Verbräuche'!R137*Emissionsfaktoren!P137/1000, 0)</f>
        <v>0</v>
      </c>
      <c r="R647" s="110">
        <f>IF(ISNUMBER('Klisz-Verbräuche'!S137), 'Klisz-Verbräuche'!S137*Emissionsfaktoren!Q137/1000, 0)</f>
        <v>0</v>
      </c>
      <c r="S647" s="110">
        <f>IF(ISNUMBER('Klisz-Verbräuche'!T137), 'Klisz-Verbräuche'!T137*Emissionsfaktoren!R137/1000, 0)</f>
        <v>0</v>
      </c>
      <c r="T647" s="110">
        <f>IF(ISNUMBER('Klisz-Verbräuche'!U137), 'Klisz-Verbräuche'!U137*Emissionsfaktoren!S137/1000, 0)</f>
        <v>0</v>
      </c>
      <c r="U647" s="110">
        <f>IF(ISNUMBER('Klisz-Verbräuche'!V137), 'Klisz-Verbräuche'!V137*Emissionsfaktoren!T137/1000, 0)</f>
        <v>0</v>
      </c>
      <c r="V647" s="110">
        <f>IF(ISNUMBER('Klisz-Verbräuche'!W137), 'Klisz-Verbräuche'!W137*Emissionsfaktoren!U137/1000, 0)</f>
        <v>0</v>
      </c>
      <c r="W647" s="110">
        <f>IF(ISNUMBER('Klisz-Verbräuche'!X137), 'Klisz-Verbräuche'!X137*Emissionsfaktoren!V137/1000, 0)</f>
        <v>0</v>
      </c>
      <c r="X647" s="110">
        <f>IF(ISNUMBER('Klisz-Verbräuche'!Y137), 'Klisz-Verbräuche'!Y137*Emissionsfaktoren!W137/1000, 0)</f>
        <v>0</v>
      </c>
      <c r="Y647" s="110">
        <f>IF(ISNUMBER('Klisz-Verbräuche'!Z137), 'Klisz-Verbräuche'!Z137*Emissionsfaktoren!X137/1000, 0)</f>
        <v>0</v>
      </c>
    </row>
    <row r="648" spans="2:25" ht="16.5">
      <c r="B648" s="14">
        <v>121</v>
      </c>
      <c r="C648" s="14" t="str">
        <f>'Refsz-Verbräuche'!C138</f>
        <v>Baugüter</v>
      </c>
      <c r="D648" s="19" t="str">
        <f>'Refsz-Verbräuche'!D138</f>
        <v>Gussasphalt</v>
      </c>
      <c r="E648" t="s">
        <v>195</v>
      </c>
      <c r="F648" s="110">
        <f>IF(ISNUMBER('Klisz-Verbräuche'!G138), 'Klisz-Verbräuche'!G138*Emissionsfaktoren!E138/1000, 0)</f>
        <v>0</v>
      </c>
      <c r="G648" s="110">
        <f>IF(ISNUMBER('Klisz-Verbräuche'!H138), 'Klisz-Verbräuche'!H138*Emissionsfaktoren!F138/1000, 0)</f>
        <v>0</v>
      </c>
      <c r="H648" s="110">
        <f>IF(ISNUMBER('Klisz-Verbräuche'!I138), 'Klisz-Verbräuche'!I138*Emissionsfaktoren!G138/1000, 0)</f>
        <v>0</v>
      </c>
      <c r="I648" s="110">
        <f>IF(ISNUMBER('Klisz-Verbräuche'!J138), 'Klisz-Verbräuche'!J138*Emissionsfaktoren!H138/1000, 0)</f>
        <v>0</v>
      </c>
      <c r="J648" s="110">
        <f>IF(ISNUMBER('Klisz-Verbräuche'!K138), 'Klisz-Verbräuche'!K138*Emissionsfaktoren!I138/1000, 0)</f>
        <v>0</v>
      </c>
      <c r="K648" s="110">
        <f>IF(ISNUMBER('Klisz-Verbräuche'!L138), 'Klisz-Verbräuche'!L138*Emissionsfaktoren!J138/1000, 0)</f>
        <v>0</v>
      </c>
      <c r="L648" s="110">
        <f>IF(ISNUMBER('Klisz-Verbräuche'!M138), 'Klisz-Verbräuche'!M138*Emissionsfaktoren!K138/1000, 0)</f>
        <v>0</v>
      </c>
      <c r="M648" s="110">
        <f>IF(ISNUMBER('Klisz-Verbräuche'!N138), 'Klisz-Verbräuche'!N138*Emissionsfaktoren!L138/1000, 0)</f>
        <v>0</v>
      </c>
      <c r="N648" s="110">
        <f>IF(ISNUMBER('Klisz-Verbräuche'!O138), 'Klisz-Verbräuche'!O138*Emissionsfaktoren!M138/1000, 0)</f>
        <v>0</v>
      </c>
      <c r="O648" s="110">
        <f>IF(ISNUMBER('Klisz-Verbräuche'!P138), 'Klisz-Verbräuche'!P138*Emissionsfaktoren!N138/1000, 0)</f>
        <v>0</v>
      </c>
      <c r="P648" s="110">
        <f>IF(ISNUMBER('Klisz-Verbräuche'!Q138), 'Klisz-Verbräuche'!Q138*Emissionsfaktoren!O138/1000, 0)</f>
        <v>0</v>
      </c>
      <c r="Q648" s="110">
        <f>IF(ISNUMBER('Klisz-Verbräuche'!R138), 'Klisz-Verbräuche'!R138*Emissionsfaktoren!P138/1000, 0)</f>
        <v>0</v>
      </c>
      <c r="R648" s="110">
        <f>IF(ISNUMBER('Klisz-Verbräuche'!S138), 'Klisz-Verbräuche'!S138*Emissionsfaktoren!Q138/1000, 0)</f>
        <v>0</v>
      </c>
      <c r="S648" s="110">
        <f>IF(ISNUMBER('Klisz-Verbräuche'!T138), 'Klisz-Verbräuche'!T138*Emissionsfaktoren!R138/1000, 0)</f>
        <v>0</v>
      </c>
      <c r="T648" s="110">
        <f>IF(ISNUMBER('Klisz-Verbräuche'!U138), 'Klisz-Verbräuche'!U138*Emissionsfaktoren!S138/1000, 0)</f>
        <v>0</v>
      </c>
      <c r="U648" s="110">
        <f>IF(ISNUMBER('Klisz-Verbräuche'!V138), 'Klisz-Verbräuche'!V138*Emissionsfaktoren!T138/1000, 0)</f>
        <v>0</v>
      </c>
      <c r="V648" s="110">
        <f>IF(ISNUMBER('Klisz-Verbräuche'!W138), 'Klisz-Verbräuche'!W138*Emissionsfaktoren!U138/1000, 0)</f>
        <v>0</v>
      </c>
      <c r="W648" s="110">
        <f>IF(ISNUMBER('Klisz-Verbräuche'!X138), 'Klisz-Verbräuche'!X138*Emissionsfaktoren!V138/1000, 0)</f>
        <v>0</v>
      </c>
      <c r="X648" s="110">
        <f>IF(ISNUMBER('Klisz-Verbräuche'!Y138), 'Klisz-Verbräuche'!Y138*Emissionsfaktoren!W138/1000, 0)</f>
        <v>0</v>
      </c>
      <c r="Y648" s="110">
        <f>IF(ISNUMBER('Klisz-Verbräuche'!Z138), 'Klisz-Verbräuche'!Z138*Emissionsfaktoren!X138/1000, 0)</f>
        <v>0</v>
      </c>
    </row>
    <row r="649" spans="2:25" ht="16.5">
      <c r="B649" s="14">
        <v>122</v>
      </c>
      <c r="C649" s="14" t="str">
        <f>'Refsz-Verbräuche'!C139</f>
        <v>Baugüter</v>
      </c>
      <c r="D649" s="19" t="str">
        <f>'Refsz-Verbräuche'!D139</f>
        <v>Kalksandstein</v>
      </c>
      <c r="E649" t="s">
        <v>195</v>
      </c>
      <c r="F649" s="110">
        <f>IF(ISNUMBER('Klisz-Verbräuche'!G139), 'Klisz-Verbräuche'!G139*Emissionsfaktoren!E139/1000, 0)</f>
        <v>0</v>
      </c>
      <c r="G649" s="110">
        <f>IF(ISNUMBER('Klisz-Verbräuche'!H139), 'Klisz-Verbräuche'!H139*Emissionsfaktoren!F139/1000, 0)</f>
        <v>0</v>
      </c>
      <c r="H649" s="110">
        <f>IF(ISNUMBER('Klisz-Verbräuche'!I139), 'Klisz-Verbräuche'!I139*Emissionsfaktoren!G139/1000, 0)</f>
        <v>0</v>
      </c>
      <c r="I649" s="110">
        <f>IF(ISNUMBER('Klisz-Verbräuche'!J139), 'Klisz-Verbräuche'!J139*Emissionsfaktoren!H139/1000, 0)</f>
        <v>0</v>
      </c>
      <c r="J649" s="110">
        <f>IF(ISNUMBER('Klisz-Verbräuche'!K139), 'Klisz-Verbräuche'!K139*Emissionsfaktoren!I139/1000, 0)</f>
        <v>0</v>
      </c>
      <c r="K649" s="110">
        <f>IF(ISNUMBER('Klisz-Verbräuche'!L139), 'Klisz-Verbräuche'!L139*Emissionsfaktoren!J139/1000, 0)</f>
        <v>0</v>
      </c>
      <c r="L649" s="110">
        <f>IF(ISNUMBER('Klisz-Verbräuche'!M139), 'Klisz-Verbräuche'!M139*Emissionsfaktoren!K139/1000, 0)</f>
        <v>0</v>
      </c>
      <c r="M649" s="110">
        <f>IF(ISNUMBER('Klisz-Verbräuche'!N139), 'Klisz-Verbräuche'!N139*Emissionsfaktoren!L139/1000, 0)</f>
        <v>0</v>
      </c>
      <c r="N649" s="110">
        <f>IF(ISNUMBER('Klisz-Verbräuche'!O139), 'Klisz-Verbräuche'!O139*Emissionsfaktoren!M139/1000, 0)</f>
        <v>0</v>
      </c>
      <c r="O649" s="110">
        <f>IF(ISNUMBER('Klisz-Verbräuche'!P139), 'Klisz-Verbräuche'!P139*Emissionsfaktoren!N139/1000, 0)</f>
        <v>0</v>
      </c>
      <c r="P649" s="110">
        <f>IF(ISNUMBER('Klisz-Verbräuche'!Q139), 'Klisz-Verbräuche'!Q139*Emissionsfaktoren!O139/1000, 0)</f>
        <v>0</v>
      </c>
      <c r="Q649" s="110">
        <f>IF(ISNUMBER('Klisz-Verbräuche'!R139), 'Klisz-Verbräuche'!R139*Emissionsfaktoren!P139/1000, 0)</f>
        <v>0</v>
      </c>
      <c r="R649" s="110">
        <f>IF(ISNUMBER('Klisz-Verbräuche'!S139), 'Klisz-Verbräuche'!S139*Emissionsfaktoren!Q139/1000, 0)</f>
        <v>0</v>
      </c>
      <c r="S649" s="110">
        <f>IF(ISNUMBER('Klisz-Verbräuche'!T139), 'Klisz-Verbräuche'!T139*Emissionsfaktoren!R139/1000, 0)</f>
        <v>0</v>
      </c>
      <c r="T649" s="110">
        <f>IF(ISNUMBER('Klisz-Verbräuche'!U139), 'Klisz-Verbräuche'!U139*Emissionsfaktoren!S139/1000, 0)</f>
        <v>0</v>
      </c>
      <c r="U649" s="110">
        <f>IF(ISNUMBER('Klisz-Verbräuche'!V139), 'Klisz-Verbräuche'!V139*Emissionsfaktoren!T139/1000, 0)</f>
        <v>0</v>
      </c>
      <c r="V649" s="110">
        <f>IF(ISNUMBER('Klisz-Verbräuche'!W139), 'Klisz-Verbräuche'!W139*Emissionsfaktoren!U139/1000, 0)</f>
        <v>0</v>
      </c>
      <c r="W649" s="110">
        <f>IF(ISNUMBER('Klisz-Verbräuche'!X139), 'Klisz-Verbräuche'!X139*Emissionsfaktoren!V139/1000, 0)</f>
        <v>0</v>
      </c>
      <c r="X649" s="110">
        <f>IF(ISNUMBER('Klisz-Verbräuche'!Y139), 'Klisz-Verbräuche'!Y139*Emissionsfaktoren!W139/1000, 0)</f>
        <v>0</v>
      </c>
      <c r="Y649" s="110">
        <f>IF(ISNUMBER('Klisz-Verbräuche'!Z139), 'Klisz-Verbräuche'!Z139*Emissionsfaktoren!X139/1000, 0)</f>
        <v>0</v>
      </c>
    </row>
    <row r="650" spans="2:25" ht="16.5">
      <c r="B650" s="14">
        <v>123</v>
      </c>
      <c r="C650" s="14" t="str">
        <f>'Refsz-Verbräuche'!C140</f>
        <v>Baugüter</v>
      </c>
      <c r="D650" s="19" t="str">
        <f>'Refsz-Verbräuche'!D140</f>
        <v>Porenbetonstein</v>
      </c>
      <c r="E650" t="s">
        <v>195</v>
      </c>
      <c r="F650" s="110">
        <f>IF(ISNUMBER('Klisz-Verbräuche'!G140), 'Klisz-Verbräuche'!G140*Emissionsfaktoren!E140/1000, 0)</f>
        <v>0</v>
      </c>
      <c r="G650" s="110">
        <f>IF(ISNUMBER('Klisz-Verbräuche'!H140), 'Klisz-Verbräuche'!H140*Emissionsfaktoren!F140/1000, 0)</f>
        <v>0</v>
      </c>
      <c r="H650" s="110">
        <f>IF(ISNUMBER('Klisz-Verbräuche'!I140), 'Klisz-Verbräuche'!I140*Emissionsfaktoren!G140/1000, 0)</f>
        <v>0</v>
      </c>
      <c r="I650" s="110">
        <f>IF(ISNUMBER('Klisz-Verbräuche'!J140), 'Klisz-Verbräuche'!J140*Emissionsfaktoren!H140/1000, 0)</f>
        <v>0</v>
      </c>
      <c r="J650" s="110">
        <f>IF(ISNUMBER('Klisz-Verbräuche'!K140), 'Klisz-Verbräuche'!K140*Emissionsfaktoren!I140/1000, 0)</f>
        <v>0</v>
      </c>
      <c r="K650" s="110">
        <f>IF(ISNUMBER('Klisz-Verbräuche'!L140), 'Klisz-Verbräuche'!L140*Emissionsfaktoren!J140/1000, 0)</f>
        <v>0</v>
      </c>
      <c r="L650" s="110">
        <f>IF(ISNUMBER('Klisz-Verbräuche'!M140), 'Klisz-Verbräuche'!M140*Emissionsfaktoren!K140/1000, 0)</f>
        <v>0</v>
      </c>
      <c r="M650" s="110">
        <f>IF(ISNUMBER('Klisz-Verbräuche'!N140), 'Klisz-Verbräuche'!N140*Emissionsfaktoren!L140/1000, 0)</f>
        <v>0</v>
      </c>
      <c r="N650" s="110">
        <f>IF(ISNUMBER('Klisz-Verbräuche'!O140), 'Klisz-Verbräuche'!O140*Emissionsfaktoren!M140/1000, 0)</f>
        <v>0</v>
      </c>
      <c r="O650" s="110">
        <f>IF(ISNUMBER('Klisz-Verbräuche'!P140), 'Klisz-Verbräuche'!P140*Emissionsfaktoren!N140/1000, 0)</f>
        <v>0</v>
      </c>
      <c r="P650" s="110">
        <f>IF(ISNUMBER('Klisz-Verbräuche'!Q140), 'Klisz-Verbräuche'!Q140*Emissionsfaktoren!O140/1000, 0)</f>
        <v>0</v>
      </c>
      <c r="Q650" s="110">
        <f>IF(ISNUMBER('Klisz-Verbräuche'!R140), 'Klisz-Verbräuche'!R140*Emissionsfaktoren!P140/1000, 0)</f>
        <v>0</v>
      </c>
      <c r="R650" s="110">
        <f>IF(ISNUMBER('Klisz-Verbräuche'!S140), 'Klisz-Verbräuche'!S140*Emissionsfaktoren!Q140/1000, 0)</f>
        <v>0</v>
      </c>
      <c r="S650" s="110">
        <f>IF(ISNUMBER('Klisz-Verbräuche'!T140), 'Klisz-Verbräuche'!T140*Emissionsfaktoren!R140/1000, 0)</f>
        <v>0</v>
      </c>
      <c r="T650" s="110">
        <f>IF(ISNUMBER('Klisz-Verbräuche'!U140), 'Klisz-Verbräuche'!U140*Emissionsfaktoren!S140/1000, 0)</f>
        <v>0</v>
      </c>
      <c r="U650" s="110">
        <f>IF(ISNUMBER('Klisz-Verbräuche'!V140), 'Klisz-Verbräuche'!V140*Emissionsfaktoren!T140/1000, 0)</f>
        <v>0</v>
      </c>
      <c r="V650" s="110">
        <f>IF(ISNUMBER('Klisz-Verbräuche'!W140), 'Klisz-Verbräuche'!W140*Emissionsfaktoren!U140/1000, 0)</f>
        <v>0</v>
      </c>
      <c r="W650" s="110">
        <f>IF(ISNUMBER('Klisz-Verbräuche'!X140), 'Klisz-Verbräuche'!X140*Emissionsfaktoren!V140/1000, 0)</f>
        <v>0</v>
      </c>
      <c r="X650" s="110">
        <f>IF(ISNUMBER('Klisz-Verbräuche'!Y140), 'Klisz-Verbräuche'!Y140*Emissionsfaktoren!W140/1000, 0)</f>
        <v>0</v>
      </c>
      <c r="Y650" s="110">
        <f>IF(ISNUMBER('Klisz-Verbräuche'!Z140), 'Klisz-Verbräuche'!Z140*Emissionsfaktoren!X140/1000, 0)</f>
        <v>0</v>
      </c>
    </row>
    <row r="651" spans="2:25" ht="16.5">
      <c r="B651" s="14">
        <v>124</v>
      </c>
      <c r="C651" s="14" t="str">
        <f>'Refsz-Verbräuche'!C141</f>
        <v>Baugüter</v>
      </c>
      <c r="D651" s="19" t="str">
        <f>'Refsz-Verbräuche'!D141</f>
        <v>Steinwolle</v>
      </c>
      <c r="E651" t="s">
        <v>195</v>
      </c>
      <c r="F651" s="110">
        <f>IF(ISNUMBER('Klisz-Verbräuche'!G141), 'Klisz-Verbräuche'!G141*Emissionsfaktoren!E141/1000, 0)</f>
        <v>0</v>
      </c>
      <c r="G651" s="110">
        <f>IF(ISNUMBER('Klisz-Verbräuche'!H141), 'Klisz-Verbräuche'!H141*Emissionsfaktoren!F141/1000, 0)</f>
        <v>0</v>
      </c>
      <c r="H651" s="110">
        <f>IF(ISNUMBER('Klisz-Verbräuche'!I141), 'Klisz-Verbräuche'!I141*Emissionsfaktoren!G141/1000, 0)</f>
        <v>0</v>
      </c>
      <c r="I651" s="110">
        <f>IF(ISNUMBER('Klisz-Verbräuche'!J141), 'Klisz-Verbräuche'!J141*Emissionsfaktoren!H141/1000, 0)</f>
        <v>0</v>
      </c>
      <c r="J651" s="110">
        <f>IF(ISNUMBER('Klisz-Verbräuche'!K141), 'Klisz-Verbräuche'!K141*Emissionsfaktoren!I141/1000, 0)</f>
        <v>0</v>
      </c>
      <c r="K651" s="110">
        <f>IF(ISNUMBER('Klisz-Verbräuche'!L141), 'Klisz-Verbräuche'!L141*Emissionsfaktoren!J141/1000, 0)</f>
        <v>0</v>
      </c>
      <c r="L651" s="110">
        <f>IF(ISNUMBER('Klisz-Verbräuche'!M141), 'Klisz-Verbräuche'!M141*Emissionsfaktoren!K141/1000, 0)</f>
        <v>0</v>
      </c>
      <c r="M651" s="110">
        <f>IF(ISNUMBER('Klisz-Verbräuche'!N141), 'Klisz-Verbräuche'!N141*Emissionsfaktoren!L141/1000, 0)</f>
        <v>0</v>
      </c>
      <c r="N651" s="110">
        <f>IF(ISNUMBER('Klisz-Verbräuche'!O141), 'Klisz-Verbräuche'!O141*Emissionsfaktoren!M141/1000, 0)</f>
        <v>0</v>
      </c>
      <c r="O651" s="110">
        <f>IF(ISNUMBER('Klisz-Verbräuche'!P141), 'Klisz-Verbräuche'!P141*Emissionsfaktoren!N141/1000, 0)</f>
        <v>0</v>
      </c>
      <c r="P651" s="110">
        <f>IF(ISNUMBER('Klisz-Verbräuche'!Q141), 'Klisz-Verbräuche'!Q141*Emissionsfaktoren!O141/1000, 0)</f>
        <v>0</v>
      </c>
      <c r="Q651" s="110">
        <f>IF(ISNUMBER('Klisz-Verbräuche'!R141), 'Klisz-Verbräuche'!R141*Emissionsfaktoren!P141/1000, 0)</f>
        <v>0</v>
      </c>
      <c r="R651" s="110">
        <f>IF(ISNUMBER('Klisz-Verbräuche'!S141), 'Klisz-Verbräuche'!S141*Emissionsfaktoren!Q141/1000, 0)</f>
        <v>0</v>
      </c>
      <c r="S651" s="110">
        <f>IF(ISNUMBER('Klisz-Verbräuche'!T141), 'Klisz-Verbräuche'!T141*Emissionsfaktoren!R141/1000, 0)</f>
        <v>0</v>
      </c>
      <c r="T651" s="110">
        <f>IF(ISNUMBER('Klisz-Verbräuche'!U141), 'Klisz-Verbräuche'!U141*Emissionsfaktoren!S141/1000, 0)</f>
        <v>0</v>
      </c>
      <c r="U651" s="110">
        <f>IF(ISNUMBER('Klisz-Verbräuche'!V141), 'Klisz-Verbräuche'!V141*Emissionsfaktoren!T141/1000, 0)</f>
        <v>0</v>
      </c>
      <c r="V651" s="110">
        <f>IF(ISNUMBER('Klisz-Verbräuche'!W141), 'Klisz-Verbräuche'!W141*Emissionsfaktoren!U141/1000, 0)</f>
        <v>0</v>
      </c>
      <c r="W651" s="110">
        <f>IF(ISNUMBER('Klisz-Verbräuche'!X141), 'Klisz-Verbräuche'!X141*Emissionsfaktoren!V141/1000, 0)</f>
        <v>0</v>
      </c>
      <c r="X651" s="110">
        <f>IF(ISNUMBER('Klisz-Verbräuche'!Y141), 'Klisz-Verbräuche'!Y141*Emissionsfaktoren!W141/1000, 0)</f>
        <v>0</v>
      </c>
      <c r="Y651" s="110">
        <f>IF(ISNUMBER('Klisz-Verbräuche'!Z141), 'Klisz-Verbräuche'!Z141*Emissionsfaktoren!X141/1000, 0)</f>
        <v>0</v>
      </c>
    </row>
    <row r="652" spans="2:25" ht="16.5">
      <c r="B652" s="14">
        <v>125</v>
      </c>
      <c r="C652" s="14" t="str">
        <f>'Refsz-Verbräuche'!C142</f>
        <v>Baugüter</v>
      </c>
      <c r="D652" s="19" t="str">
        <f>'Refsz-Verbräuche'!D142</f>
        <v>Tonziegel (fürs Dach)</v>
      </c>
      <c r="E652" t="s">
        <v>195</v>
      </c>
      <c r="F652" s="110">
        <f>IF(ISNUMBER('Klisz-Verbräuche'!G142), 'Klisz-Verbräuche'!G142*Emissionsfaktoren!E142/1000, 0)</f>
        <v>0</v>
      </c>
      <c r="G652" s="110">
        <f>IF(ISNUMBER('Klisz-Verbräuche'!H142), 'Klisz-Verbräuche'!H142*Emissionsfaktoren!F142/1000, 0)</f>
        <v>0</v>
      </c>
      <c r="H652" s="110">
        <f>IF(ISNUMBER('Klisz-Verbräuche'!I142), 'Klisz-Verbräuche'!I142*Emissionsfaktoren!G142/1000, 0)</f>
        <v>0</v>
      </c>
      <c r="I652" s="110">
        <f>IF(ISNUMBER('Klisz-Verbräuche'!J142), 'Klisz-Verbräuche'!J142*Emissionsfaktoren!H142/1000, 0)</f>
        <v>0</v>
      </c>
      <c r="J652" s="110">
        <f>IF(ISNUMBER('Klisz-Verbräuche'!K142), 'Klisz-Verbräuche'!K142*Emissionsfaktoren!I142/1000, 0)</f>
        <v>0</v>
      </c>
      <c r="K652" s="110">
        <f>IF(ISNUMBER('Klisz-Verbräuche'!L142), 'Klisz-Verbräuche'!L142*Emissionsfaktoren!J142/1000, 0)</f>
        <v>0</v>
      </c>
      <c r="L652" s="110">
        <f>IF(ISNUMBER('Klisz-Verbräuche'!M142), 'Klisz-Verbräuche'!M142*Emissionsfaktoren!K142/1000, 0)</f>
        <v>0</v>
      </c>
      <c r="M652" s="110">
        <f>IF(ISNUMBER('Klisz-Verbräuche'!N142), 'Klisz-Verbräuche'!N142*Emissionsfaktoren!L142/1000, 0)</f>
        <v>0</v>
      </c>
      <c r="N652" s="110">
        <f>IF(ISNUMBER('Klisz-Verbräuche'!O142), 'Klisz-Verbräuche'!O142*Emissionsfaktoren!M142/1000, 0)</f>
        <v>0</v>
      </c>
      <c r="O652" s="110">
        <f>IF(ISNUMBER('Klisz-Verbräuche'!P142), 'Klisz-Verbräuche'!P142*Emissionsfaktoren!N142/1000, 0)</f>
        <v>0</v>
      </c>
      <c r="P652" s="110">
        <f>IF(ISNUMBER('Klisz-Verbräuche'!Q142), 'Klisz-Verbräuche'!Q142*Emissionsfaktoren!O142/1000, 0)</f>
        <v>0</v>
      </c>
      <c r="Q652" s="110">
        <f>IF(ISNUMBER('Klisz-Verbräuche'!R142), 'Klisz-Verbräuche'!R142*Emissionsfaktoren!P142/1000, 0)</f>
        <v>0</v>
      </c>
      <c r="R652" s="110">
        <f>IF(ISNUMBER('Klisz-Verbräuche'!S142), 'Klisz-Verbräuche'!S142*Emissionsfaktoren!Q142/1000, 0)</f>
        <v>0</v>
      </c>
      <c r="S652" s="110">
        <f>IF(ISNUMBER('Klisz-Verbräuche'!T142), 'Klisz-Verbräuche'!T142*Emissionsfaktoren!R142/1000, 0)</f>
        <v>0</v>
      </c>
      <c r="T652" s="110">
        <f>IF(ISNUMBER('Klisz-Verbräuche'!U142), 'Klisz-Verbräuche'!U142*Emissionsfaktoren!S142/1000, 0)</f>
        <v>0</v>
      </c>
      <c r="U652" s="110">
        <f>IF(ISNUMBER('Klisz-Verbräuche'!V142), 'Klisz-Verbräuche'!V142*Emissionsfaktoren!T142/1000, 0)</f>
        <v>0</v>
      </c>
      <c r="V652" s="110">
        <f>IF(ISNUMBER('Klisz-Verbräuche'!W142), 'Klisz-Verbräuche'!W142*Emissionsfaktoren!U142/1000, 0)</f>
        <v>0</v>
      </c>
      <c r="W652" s="110">
        <f>IF(ISNUMBER('Klisz-Verbräuche'!X142), 'Klisz-Verbräuche'!X142*Emissionsfaktoren!V142/1000, 0)</f>
        <v>0</v>
      </c>
      <c r="X652" s="110">
        <f>IF(ISNUMBER('Klisz-Verbräuche'!Y142), 'Klisz-Verbräuche'!Y142*Emissionsfaktoren!W142/1000, 0)</f>
        <v>0</v>
      </c>
      <c r="Y652" s="110">
        <f>IF(ISNUMBER('Klisz-Verbräuche'!Z142), 'Klisz-Verbräuche'!Z142*Emissionsfaktoren!X142/1000, 0)</f>
        <v>0</v>
      </c>
    </row>
    <row r="653" spans="2:25" ht="16.5">
      <c r="B653" s="14">
        <v>126</v>
      </c>
      <c r="C653" s="14" t="str">
        <f>'Refsz-Verbräuche'!C143</f>
        <v>Baugüter</v>
      </c>
      <c r="D653" s="19" t="str">
        <f>'Refsz-Verbräuche'!D143</f>
        <v>Zement (Portland)</v>
      </c>
      <c r="E653" t="s">
        <v>195</v>
      </c>
      <c r="F653" s="110">
        <f>IF(ISNUMBER('Klisz-Verbräuche'!G143), 'Klisz-Verbräuche'!G143*Emissionsfaktoren!E143/1000, 0)</f>
        <v>0</v>
      </c>
      <c r="G653" s="110">
        <f>IF(ISNUMBER('Klisz-Verbräuche'!H143), 'Klisz-Verbräuche'!H143*Emissionsfaktoren!F143/1000, 0)</f>
        <v>0</v>
      </c>
      <c r="H653" s="110">
        <f>IF(ISNUMBER('Klisz-Verbräuche'!I143), 'Klisz-Verbräuche'!I143*Emissionsfaktoren!G143/1000, 0)</f>
        <v>0</v>
      </c>
      <c r="I653" s="110">
        <f>IF(ISNUMBER('Klisz-Verbräuche'!J143), 'Klisz-Verbräuche'!J143*Emissionsfaktoren!H143/1000, 0)</f>
        <v>0</v>
      </c>
      <c r="J653" s="110">
        <f>IF(ISNUMBER('Klisz-Verbräuche'!K143), 'Klisz-Verbräuche'!K143*Emissionsfaktoren!I143/1000, 0)</f>
        <v>0</v>
      </c>
      <c r="K653" s="110">
        <f>IF(ISNUMBER('Klisz-Verbräuche'!L143), 'Klisz-Verbräuche'!L143*Emissionsfaktoren!J143/1000, 0)</f>
        <v>0</v>
      </c>
      <c r="L653" s="110">
        <f>IF(ISNUMBER('Klisz-Verbräuche'!M143), 'Klisz-Verbräuche'!M143*Emissionsfaktoren!K143/1000, 0)</f>
        <v>0</v>
      </c>
      <c r="M653" s="110">
        <f>IF(ISNUMBER('Klisz-Verbräuche'!N143), 'Klisz-Verbräuche'!N143*Emissionsfaktoren!L143/1000, 0)</f>
        <v>0</v>
      </c>
      <c r="N653" s="110">
        <f>IF(ISNUMBER('Klisz-Verbräuche'!O143), 'Klisz-Verbräuche'!O143*Emissionsfaktoren!M143/1000, 0)</f>
        <v>0</v>
      </c>
      <c r="O653" s="110">
        <f>IF(ISNUMBER('Klisz-Verbräuche'!P143), 'Klisz-Verbräuche'!P143*Emissionsfaktoren!N143/1000, 0)</f>
        <v>0</v>
      </c>
      <c r="P653" s="110">
        <f>IF(ISNUMBER('Klisz-Verbräuche'!Q143), 'Klisz-Verbräuche'!Q143*Emissionsfaktoren!O143/1000, 0)</f>
        <v>0</v>
      </c>
      <c r="Q653" s="110">
        <f>IF(ISNUMBER('Klisz-Verbräuche'!R143), 'Klisz-Verbräuche'!R143*Emissionsfaktoren!P143/1000, 0)</f>
        <v>0</v>
      </c>
      <c r="R653" s="110">
        <f>IF(ISNUMBER('Klisz-Verbräuche'!S143), 'Klisz-Verbräuche'!S143*Emissionsfaktoren!Q143/1000, 0)</f>
        <v>0</v>
      </c>
      <c r="S653" s="110">
        <f>IF(ISNUMBER('Klisz-Verbräuche'!T143), 'Klisz-Verbräuche'!T143*Emissionsfaktoren!R143/1000, 0)</f>
        <v>0</v>
      </c>
      <c r="T653" s="110">
        <f>IF(ISNUMBER('Klisz-Verbräuche'!U143), 'Klisz-Verbräuche'!U143*Emissionsfaktoren!S143/1000, 0)</f>
        <v>0</v>
      </c>
      <c r="U653" s="110">
        <f>IF(ISNUMBER('Klisz-Verbräuche'!V143), 'Klisz-Verbräuche'!V143*Emissionsfaktoren!T143/1000, 0)</f>
        <v>0</v>
      </c>
      <c r="V653" s="110">
        <f>IF(ISNUMBER('Klisz-Verbräuche'!W143), 'Klisz-Verbräuche'!W143*Emissionsfaktoren!U143/1000, 0)</f>
        <v>0</v>
      </c>
      <c r="W653" s="110">
        <f>IF(ISNUMBER('Klisz-Verbräuche'!X143), 'Klisz-Verbräuche'!X143*Emissionsfaktoren!V143/1000, 0)</f>
        <v>0</v>
      </c>
      <c r="X653" s="110">
        <f>IF(ISNUMBER('Klisz-Verbräuche'!Y143), 'Klisz-Verbräuche'!Y143*Emissionsfaktoren!W143/1000, 0)</f>
        <v>0</v>
      </c>
      <c r="Y653" s="110">
        <f>IF(ISNUMBER('Klisz-Verbräuche'!Z143), 'Klisz-Verbräuche'!Z143*Emissionsfaktoren!X143/1000, 0)</f>
        <v>0</v>
      </c>
    </row>
    <row r="654" spans="2:25" ht="16.5">
      <c r="B654" s="14">
        <v>127</v>
      </c>
      <c r="C654" s="14" t="str">
        <f>'Refsz-Verbräuche'!C144</f>
        <v>Baugüter</v>
      </c>
      <c r="D654" s="19" t="str">
        <f>'Refsz-Verbräuche'!D144</f>
        <v>Kies</v>
      </c>
      <c r="E654" t="s">
        <v>195</v>
      </c>
      <c r="F654" s="110">
        <f>IF(ISNUMBER('Klisz-Verbräuche'!G144), 'Klisz-Verbräuche'!G144*Emissionsfaktoren!E144/1000, 0)</f>
        <v>0</v>
      </c>
      <c r="G654" s="110">
        <f>IF(ISNUMBER('Klisz-Verbräuche'!H144), 'Klisz-Verbräuche'!H144*Emissionsfaktoren!F144/1000, 0)</f>
        <v>0</v>
      </c>
      <c r="H654" s="110">
        <f>IF(ISNUMBER('Klisz-Verbräuche'!I144), 'Klisz-Verbräuche'!I144*Emissionsfaktoren!G144/1000, 0)</f>
        <v>0</v>
      </c>
      <c r="I654" s="110">
        <f>IF(ISNUMBER('Klisz-Verbräuche'!J144), 'Klisz-Verbräuche'!J144*Emissionsfaktoren!H144/1000, 0)</f>
        <v>0</v>
      </c>
      <c r="J654" s="110">
        <f>IF(ISNUMBER('Klisz-Verbräuche'!K144), 'Klisz-Verbräuche'!K144*Emissionsfaktoren!I144/1000, 0)</f>
        <v>0</v>
      </c>
      <c r="K654" s="110">
        <f>IF(ISNUMBER('Klisz-Verbräuche'!L144), 'Klisz-Verbräuche'!L144*Emissionsfaktoren!J144/1000, 0)</f>
        <v>0</v>
      </c>
      <c r="L654" s="110">
        <f>IF(ISNUMBER('Klisz-Verbräuche'!M144), 'Klisz-Verbräuche'!M144*Emissionsfaktoren!K144/1000, 0)</f>
        <v>0</v>
      </c>
      <c r="M654" s="110">
        <f>IF(ISNUMBER('Klisz-Verbräuche'!N144), 'Klisz-Verbräuche'!N144*Emissionsfaktoren!L144/1000, 0)</f>
        <v>0</v>
      </c>
      <c r="N654" s="110">
        <f>IF(ISNUMBER('Klisz-Verbräuche'!O144), 'Klisz-Verbräuche'!O144*Emissionsfaktoren!M144/1000, 0)</f>
        <v>0</v>
      </c>
      <c r="O654" s="110">
        <f>IF(ISNUMBER('Klisz-Verbräuche'!P144), 'Klisz-Verbräuche'!P144*Emissionsfaktoren!N144/1000, 0)</f>
        <v>0</v>
      </c>
      <c r="P654" s="110">
        <f>IF(ISNUMBER('Klisz-Verbräuche'!Q144), 'Klisz-Verbräuche'!Q144*Emissionsfaktoren!O144/1000, 0)</f>
        <v>0</v>
      </c>
      <c r="Q654" s="110">
        <f>IF(ISNUMBER('Klisz-Verbräuche'!R144), 'Klisz-Verbräuche'!R144*Emissionsfaktoren!P144/1000, 0)</f>
        <v>0</v>
      </c>
      <c r="R654" s="110">
        <f>IF(ISNUMBER('Klisz-Verbräuche'!S144), 'Klisz-Verbräuche'!S144*Emissionsfaktoren!Q144/1000, 0)</f>
        <v>0</v>
      </c>
      <c r="S654" s="110">
        <f>IF(ISNUMBER('Klisz-Verbräuche'!T144), 'Klisz-Verbräuche'!T144*Emissionsfaktoren!R144/1000, 0)</f>
        <v>0</v>
      </c>
      <c r="T654" s="110">
        <f>IF(ISNUMBER('Klisz-Verbräuche'!U144), 'Klisz-Verbräuche'!U144*Emissionsfaktoren!S144/1000, 0)</f>
        <v>0</v>
      </c>
      <c r="U654" s="110">
        <f>IF(ISNUMBER('Klisz-Verbräuche'!V144), 'Klisz-Verbräuche'!V144*Emissionsfaktoren!T144/1000, 0)</f>
        <v>0</v>
      </c>
      <c r="V654" s="110">
        <f>IF(ISNUMBER('Klisz-Verbräuche'!W144), 'Klisz-Verbräuche'!W144*Emissionsfaktoren!U144/1000, 0)</f>
        <v>0</v>
      </c>
      <c r="W654" s="110">
        <f>IF(ISNUMBER('Klisz-Verbräuche'!X144), 'Klisz-Verbräuche'!X144*Emissionsfaktoren!V144/1000, 0)</f>
        <v>0</v>
      </c>
      <c r="X654" s="110">
        <f>IF(ISNUMBER('Klisz-Verbräuche'!Y144), 'Klisz-Verbräuche'!Y144*Emissionsfaktoren!W144/1000, 0)</f>
        <v>0</v>
      </c>
      <c r="Y654" s="110">
        <f>IF(ISNUMBER('Klisz-Verbräuche'!Z144), 'Klisz-Verbräuche'!Z144*Emissionsfaktoren!X144/1000, 0)</f>
        <v>0</v>
      </c>
    </row>
    <row r="655" spans="2:25" ht="16.5">
      <c r="B655" s="14">
        <v>128</v>
      </c>
      <c r="C655" s="14" t="str">
        <f>'Refsz-Verbräuche'!C145</f>
        <v>Baugüter</v>
      </c>
      <c r="D655" s="19" t="str">
        <f>'Refsz-Verbräuche'!D145</f>
        <v>Sand</v>
      </c>
      <c r="E655" t="s">
        <v>195</v>
      </c>
      <c r="F655" s="110">
        <f>IF(ISNUMBER('Klisz-Verbräuche'!G145), 'Klisz-Verbräuche'!G145*Emissionsfaktoren!E145/1000, 0)</f>
        <v>0</v>
      </c>
      <c r="G655" s="110">
        <f>IF(ISNUMBER('Klisz-Verbräuche'!H145), 'Klisz-Verbräuche'!H145*Emissionsfaktoren!F145/1000, 0)</f>
        <v>0</v>
      </c>
      <c r="H655" s="110">
        <f>IF(ISNUMBER('Klisz-Verbräuche'!I145), 'Klisz-Verbräuche'!I145*Emissionsfaktoren!G145/1000, 0)</f>
        <v>0</v>
      </c>
      <c r="I655" s="110">
        <f>IF(ISNUMBER('Klisz-Verbräuche'!J145), 'Klisz-Verbräuche'!J145*Emissionsfaktoren!H145/1000, 0)</f>
        <v>0</v>
      </c>
      <c r="J655" s="110">
        <f>IF(ISNUMBER('Klisz-Verbräuche'!K145), 'Klisz-Verbräuche'!K145*Emissionsfaktoren!I145/1000, 0)</f>
        <v>0</v>
      </c>
      <c r="K655" s="110">
        <f>IF(ISNUMBER('Klisz-Verbräuche'!L145), 'Klisz-Verbräuche'!L145*Emissionsfaktoren!J145/1000, 0)</f>
        <v>0</v>
      </c>
      <c r="L655" s="110">
        <f>IF(ISNUMBER('Klisz-Verbräuche'!M145), 'Klisz-Verbräuche'!M145*Emissionsfaktoren!K145/1000, 0)</f>
        <v>0</v>
      </c>
      <c r="M655" s="110">
        <f>IF(ISNUMBER('Klisz-Verbräuche'!N145), 'Klisz-Verbräuche'!N145*Emissionsfaktoren!L145/1000, 0)</f>
        <v>0</v>
      </c>
      <c r="N655" s="110">
        <f>IF(ISNUMBER('Klisz-Verbräuche'!O145), 'Klisz-Verbräuche'!O145*Emissionsfaktoren!M145/1000, 0)</f>
        <v>0</v>
      </c>
      <c r="O655" s="110">
        <f>IF(ISNUMBER('Klisz-Verbräuche'!P145), 'Klisz-Verbräuche'!P145*Emissionsfaktoren!N145/1000, 0)</f>
        <v>0</v>
      </c>
      <c r="P655" s="110">
        <f>IF(ISNUMBER('Klisz-Verbräuche'!Q145), 'Klisz-Verbräuche'!Q145*Emissionsfaktoren!O145/1000, 0)</f>
        <v>0</v>
      </c>
      <c r="Q655" s="110">
        <f>IF(ISNUMBER('Klisz-Verbräuche'!R145), 'Klisz-Verbräuche'!R145*Emissionsfaktoren!P145/1000, 0)</f>
        <v>0</v>
      </c>
      <c r="R655" s="110">
        <f>IF(ISNUMBER('Klisz-Verbräuche'!S145), 'Klisz-Verbräuche'!S145*Emissionsfaktoren!Q145/1000, 0)</f>
        <v>0</v>
      </c>
      <c r="S655" s="110">
        <f>IF(ISNUMBER('Klisz-Verbräuche'!T145), 'Klisz-Verbräuche'!T145*Emissionsfaktoren!R145/1000, 0)</f>
        <v>0</v>
      </c>
      <c r="T655" s="110">
        <f>IF(ISNUMBER('Klisz-Verbräuche'!U145), 'Klisz-Verbräuche'!U145*Emissionsfaktoren!S145/1000, 0)</f>
        <v>0</v>
      </c>
      <c r="U655" s="110">
        <f>IF(ISNUMBER('Klisz-Verbräuche'!V145), 'Klisz-Verbräuche'!V145*Emissionsfaktoren!T145/1000, 0)</f>
        <v>0</v>
      </c>
      <c r="V655" s="110">
        <f>IF(ISNUMBER('Klisz-Verbräuche'!W145), 'Klisz-Verbräuche'!W145*Emissionsfaktoren!U145/1000, 0)</f>
        <v>0</v>
      </c>
      <c r="W655" s="110">
        <f>IF(ISNUMBER('Klisz-Verbräuche'!X145), 'Klisz-Verbräuche'!X145*Emissionsfaktoren!V145/1000, 0)</f>
        <v>0</v>
      </c>
      <c r="X655" s="110">
        <f>IF(ISNUMBER('Klisz-Verbräuche'!Y145), 'Klisz-Verbräuche'!Y145*Emissionsfaktoren!W145/1000, 0)</f>
        <v>0</v>
      </c>
      <c r="Y655" s="110">
        <f>IF(ISNUMBER('Klisz-Verbräuche'!Z145), 'Klisz-Verbräuche'!Z145*Emissionsfaktoren!X145/1000, 0)</f>
        <v>0</v>
      </c>
    </row>
    <row r="656" spans="2:25" ht="16.5">
      <c r="B656" s="14">
        <v>129</v>
      </c>
      <c r="C656" s="14" t="str">
        <f>'Refsz-Verbräuche'!C146</f>
        <v>Baugüter</v>
      </c>
      <c r="D656" s="19" t="str">
        <f>'Refsz-Verbräuche'!D146</f>
        <v>Kupferdraht</v>
      </c>
      <c r="E656" t="s">
        <v>195</v>
      </c>
      <c r="F656" s="110">
        <f>IF(ISNUMBER('Klisz-Verbräuche'!G146), 'Klisz-Verbräuche'!G146*Emissionsfaktoren!E146/1000, 0)</f>
        <v>0</v>
      </c>
      <c r="G656" s="110">
        <f>IF(ISNUMBER('Klisz-Verbräuche'!H146), 'Klisz-Verbräuche'!H146*Emissionsfaktoren!F146/1000, 0)</f>
        <v>0</v>
      </c>
      <c r="H656" s="110">
        <f>IF(ISNUMBER('Klisz-Verbräuche'!I146), 'Klisz-Verbräuche'!I146*Emissionsfaktoren!G146/1000, 0)</f>
        <v>0</v>
      </c>
      <c r="I656" s="110">
        <f>IF(ISNUMBER('Klisz-Verbräuche'!J146), 'Klisz-Verbräuche'!J146*Emissionsfaktoren!H146/1000, 0)</f>
        <v>0</v>
      </c>
      <c r="J656" s="110">
        <f>IF(ISNUMBER('Klisz-Verbräuche'!K146), 'Klisz-Verbräuche'!K146*Emissionsfaktoren!I146/1000, 0)</f>
        <v>0</v>
      </c>
      <c r="K656" s="110">
        <f>IF(ISNUMBER('Klisz-Verbräuche'!L146), 'Klisz-Verbräuche'!L146*Emissionsfaktoren!J146/1000, 0)</f>
        <v>0</v>
      </c>
      <c r="L656" s="110">
        <f>IF(ISNUMBER('Klisz-Verbräuche'!M146), 'Klisz-Verbräuche'!M146*Emissionsfaktoren!K146/1000, 0)</f>
        <v>0</v>
      </c>
      <c r="M656" s="110">
        <f>IF(ISNUMBER('Klisz-Verbräuche'!N146), 'Klisz-Verbräuche'!N146*Emissionsfaktoren!L146/1000, 0)</f>
        <v>0</v>
      </c>
      <c r="N656" s="110">
        <f>IF(ISNUMBER('Klisz-Verbräuche'!O146), 'Klisz-Verbräuche'!O146*Emissionsfaktoren!M146/1000, 0)</f>
        <v>0</v>
      </c>
      <c r="O656" s="110">
        <f>IF(ISNUMBER('Klisz-Verbräuche'!P146), 'Klisz-Verbräuche'!P146*Emissionsfaktoren!N146/1000, 0)</f>
        <v>0</v>
      </c>
      <c r="P656" s="110">
        <f>IF(ISNUMBER('Klisz-Verbräuche'!Q146), 'Klisz-Verbräuche'!Q146*Emissionsfaktoren!O146/1000, 0)</f>
        <v>0</v>
      </c>
      <c r="Q656" s="110">
        <f>IF(ISNUMBER('Klisz-Verbräuche'!R146), 'Klisz-Verbräuche'!R146*Emissionsfaktoren!P146/1000, 0)</f>
        <v>0</v>
      </c>
      <c r="R656" s="110">
        <f>IF(ISNUMBER('Klisz-Verbräuche'!S146), 'Klisz-Verbräuche'!S146*Emissionsfaktoren!Q146/1000, 0)</f>
        <v>0</v>
      </c>
      <c r="S656" s="110">
        <f>IF(ISNUMBER('Klisz-Verbräuche'!T146), 'Klisz-Verbräuche'!T146*Emissionsfaktoren!R146/1000, 0)</f>
        <v>0</v>
      </c>
      <c r="T656" s="110">
        <f>IF(ISNUMBER('Klisz-Verbräuche'!U146), 'Klisz-Verbräuche'!U146*Emissionsfaktoren!S146/1000, 0)</f>
        <v>0</v>
      </c>
      <c r="U656" s="110">
        <f>IF(ISNUMBER('Klisz-Verbräuche'!V146), 'Klisz-Verbräuche'!V146*Emissionsfaktoren!T146/1000, 0)</f>
        <v>0</v>
      </c>
      <c r="V656" s="110">
        <f>IF(ISNUMBER('Klisz-Verbräuche'!W146), 'Klisz-Verbräuche'!W146*Emissionsfaktoren!U146/1000, 0)</f>
        <v>0</v>
      </c>
      <c r="W656" s="110">
        <f>IF(ISNUMBER('Klisz-Verbräuche'!X146), 'Klisz-Verbräuche'!X146*Emissionsfaktoren!V146/1000, 0)</f>
        <v>0</v>
      </c>
      <c r="X656" s="110">
        <f>IF(ISNUMBER('Klisz-Verbräuche'!Y146), 'Klisz-Verbräuche'!Y146*Emissionsfaktoren!W146/1000, 0)</f>
        <v>0</v>
      </c>
      <c r="Y656" s="110">
        <f>IF(ISNUMBER('Klisz-Verbräuche'!Z146), 'Klisz-Verbräuche'!Z146*Emissionsfaktoren!X146/1000, 0)</f>
        <v>0</v>
      </c>
    </row>
    <row r="657" spans="2:25" ht="16.5">
      <c r="B657" s="14">
        <v>130</v>
      </c>
      <c r="C657" s="14" t="str">
        <f>'Refsz-Verbräuche'!C147</f>
        <v>Baugüter</v>
      </c>
      <c r="D657" s="19" t="str">
        <f>'Refsz-Verbräuche'!D147</f>
        <v>Kupferrohr</v>
      </c>
      <c r="E657" t="s">
        <v>195</v>
      </c>
      <c r="F657" s="110">
        <f>IF(ISNUMBER('Klisz-Verbräuche'!G147), 'Klisz-Verbräuche'!G147*Emissionsfaktoren!E147/1000, 0)</f>
        <v>0</v>
      </c>
      <c r="G657" s="110">
        <f>IF(ISNUMBER('Klisz-Verbräuche'!H147), 'Klisz-Verbräuche'!H147*Emissionsfaktoren!F147/1000, 0)</f>
        <v>0</v>
      </c>
      <c r="H657" s="110">
        <f>IF(ISNUMBER('Klisz-Verbräuche'!I147), 'Klisz-Verbräuche'!I147*Emissionsfaktoren!G147/1000, 0)</f>
        <v>0</v>
      </c>
      <c r="I657" s="110">
        <f>IF(ISNUMBER('Klisz-Verbräuche'!J147), 'Klisz-Verbräuche'!J147*Emissionsfaktoren!H147/1000, 0)</f>
        <v>0</v>
      </c>
      <c r="J657" s="110">
        <f>IF(ISNUMBER('Klisz-Verbräuche'!K147), 'Klisz-Verbräuche'!K147*Emissionsfaktoren!I147/1000, 0)</f>
        <v>0</v>
      </c>
      <c r="K657" s="110">
        <f>IF(ISNUMBER('Klisz-Verbräuche'!L147), 'Klisz-Verbräuche'!L147*Emissionsfaktoren!J147/1000, 0)</f>
        <v>0</v>
      </c>
      <c r="L657" s="110">
        <f>IF(ISNUMBER('Klisz-Verbräuche'!M147), 'Klisz-Verbräuche'!M147*Emissionsfaktoren!K147/1000, 0)</f>
        <v>0</v>
      </c>
      <c r="M657" s="110">
        <f>IF(ISNUMBER('Klisz-Verbräuche'!N147), 'Klisz-Verbräuche'!N147*Emissionsfaktoren!L147/1000, 0)</f>
        <v>0</v>
      </c>
      <c r="N657" s="110">
        <f>IF(ISNUMBER('Klisz-Verbräuche'!O147), 'Klisz-Verbräuche'!O147*Emissionsfaktoren!M147/1000, 0)</f>
        <v>0</v>
      </c>
      <c r="O657" s="110">
        <f>IF(ISNUMBER('Klisz-Verbräuche'!P147), 'Klisz-Verbräuche'!P147*Emissionsfaktoren!N147/1000, 0)</f>
        <v>0</v>
      </c>
      <c r="P657" s="110">
        <f>IF(ISNUMBER('Klisz-Verbräuche'!Q147), 'Klisz-Verbräuche'!Q147*Emissionsfaktoren!O147/1000, 0)</f>
        <v>0</v>
      </c>
      <c r="Q657" s="110">
        <f>IF(ISNUMBER('Klisz-Verbräuche'!R147), 'Klisz-Verbräuche'!R147*Emissionsfaktoren!P147/1000, 0)</f>
        <v>0</v>
      </c>
      <c r="R657" s="110">
        <f>IF(ISNUMBER('Klisz-Verbräuche'!S147), 'Klisz-Verbräuche'!S147*Emissionsfaktoren!Q147/1000, 0)</f>
        <v>0</v>
      </c>
      <c r="S657" s="110">
        <f>IF(ISNUMBER('Klisz-Verbräuche'!T147), 'Klisz-Verbräuche'!T147*Emissionsfaktoren!R147/1000, 0)</f>
        <v>0</v>
      </c>
      <c r="T657" s="110">
        <f>IF(ISNUMBER('Klisz-Verbräuche'!U147), 'Klisz-Verbräuche'!U147*Emissionsfaktoren!S147/1000, 0)</f>
        <v>0</v>
      </c>
      <c r="U657" s="110">
        <f>IF(ISNUMBER('Klisz-Verbräuche'!V147), 'Klisz-Verbräuche'!V147*Emissionsfaktoren!T147/1000, 0)</f>
        <v>0</v>
      </c>
      <c r="V657" s="110">
        <f>IF(ISNUMBER('Klisz-Verbräuche'!W147), 'Klisz-Verbräuche'!W147*Emissionsfaktoren!U147/1000, 0)</f>
        <v>0</v>
      </c>
      <c r="W657" s="110">
        <f>IF(ISNUMBER('Klisz-Verbräuche'!X147), 'Klisz-Verbräuche'!X147*Emissionsfaktoren!V147/1000, 0)</f>
        <v>0</v>
      </c>
      <c r="X657" s="110">
        <f>IF(ISNUMBER('Klisz-Verbräuche'!Y147), 'Klisz-Verbräuche'!Y147*Emissionsfaktoren!W147/1000, 0)</f>
        <v>0</v>
      </c>
      <c r="Y657" s="110">
        <f>IF(ISNUMBER('Klisz-Verbräuche'!Z147), 'Klisz-Verbräuche'!Z147*Emissionsfaktoren!X147/1000, 0)</f>
        <v>0</v>
      </c>
    </row>
    <row r="658" spans="2:25" ht="16.5">
      <c r="B658" s="14">
        <v>131</v>
      </c>
      <c r="C658" s="14" t="str">
        <f>'Refsz-Verbräuche'!C148</f>
        <v>Baugüter</v>
      </c>
      <c r="D658" s="19" t="str">
        <f>'Refsz-Verbräuche'!D148</f>
        <v>Stahl-Blech</v>
      </c>
      <c r="E658" t="s">
        <v>195</v>
      </c>
      <c r="F658" s="110">
        <f>IF(ISNUMBER('Klisz-Verbräuche'!G148), 'Klisz-Verbräuche'!G148*Emissionsfaktoren!E148/1000, 0)</f>
        <v>0</v>
      </c>
      <c r="G658" s="110">
        <f>IF(ISNUMBER('Klisz-Verbräuche'!H148), 'Klisz-Verbräuche'!H148*Emissionsfaktoren!F148/1000, 0)</f>
        <v>0</v>
      </c>
      <c r="H658" s="110">
        <f>IF(ISNUMBER('Klisz-Verbräuche'!I148), 'Klisz-Verbräuche'!I148*Emissionsfaktoren!G148/1000, 0)</f>
        <v>0</v>
      </c>
      <c r="I658" s="110">
        <f>IF(ISNUMBER('Klisz-Verbräuche'!J148), 'Klisz-Verbräuche'!J148*Emissionsfaktoren!H148/1000, 0)</f>
        <v>0</v>
      </c>
      <c r="J658" s="110">
        <f>IF(ISNUMBER('Klisz-Verbräuche'!K148), 'Klisz-Verbräuche'!K148*Emissionsfaktoren!I148/1000, 0)</f>
        <v>0</v>
      </c>
      <c r="K658" s="110">
        <f>IF(ISNUMBER('Klisz-Verbräuche'!L148), 'Klisz-Verbräuche'!L148*Emissionsfaktoren!J148/1000, 0)</f>
        <v>0</v>
      </c>
      <c r="L658" s="110">
        <f>IF(ISNUMBER('Klisz-Verbräuche'!M148), 'Klisz-Verbräuche'!M148*Emissionsfaktoren!K148/1000, 0)</f>
        <v>0</v>
      </c>
      <c r="M658" s="110">
        <f>IF(ISNUMBER('Klisz-Verbräuche'!N148), 'Klisz-Verbräuche'!N148*Emissionsfaktoren!L148/1000, 0)</f>
        <v>0</v>
      </c>
      <c r="N658" s="110">
        <f>IF(ISNUMBER('Klisz-Verbräuche'!O148), 'Klisz-Verbräuche'!O148*Emissionsfaktoren!M148/1000, 0)</f>
        <v>0</v>
      </c>
      <c r="O658" s="110">
        <f>IF(ISNUMBER('Klisz-Verbräuche'!P148), 'Klisz-Verbräuche'!P148*Emissionsfaktoren!N148/1000, 0)</f>
        <v>0</v>
      </c>
      <c r="P658" s="110">
        <f>IF(ISNUMBER('Klisz-Verbräuche'!Q148), 'Klisz-Verbräuche'!Q148*Emissionsfaktoren!O148/1000, 0)</f>
        <v>0</v>
      </c>
      <c r="Q658" s="110">
        <f>IF(ISNUMBER('Klisz-Verbräuche'!R148), 'Klisz-Verbräuche'!R148*Emissionsfaktoren!P148/1000, 0)</f>
        <v>0</v>
      </c>
      <c r="R658" s="110">
        <f>IF(ISNUMBER('Klisz-Verbräuche'!S148), 'Klisz-Verbräuche'!S148*Emissionsfaktoren!Q148/1000, 0)</f>
        <v>0</v>
      </c>
      <c r="S658" s="110">
        <f>IF(ISNUMBER('Klisz-Verbräuche'!T148), 'Klisz-Verbräuche'!T148*Emissionsfaktoren!R148/1000, 0)</f>
        <v>0</v>
      </c>
      <c r="T658" s="110">
        <f>IF(ISNUMBER('Klisz-Verbräuche'!U148), 'Klisz-Verbräuche'!U148*Emissionsfaktoren!S148/1000, 0)</f>
        <v>0</v>
      </c>
      <c r="U658" s="110">
        <f>IF(ISNUMBER('Klisz-Verbräuche'!V148), 'Klisz-Verbräuche'!V148*Emissionsfaktoren!T148/1000, 0)</f>
        <v>0</v>
      </c>
      <c r="V658" s="110">
        <f>IF(ISNUMBER('Klisz-Verbräuche'!W148), 'Klisz-Verbräuche'!W148*Emissionsfaktoren!U148/1000, 0)</f>
        <v>0</v>
      </c>
      <c r="W658" s="110">
        <f>IF(ISNUMBER('Klisz-Verbräuche'!X148), 'Klisz-Verbräuche'!X148*Emissionsfaktoren!V148/1000, 0)</f>
        <v>0</v>
      </c>
      <c r="X658" s="110">
        <f>IF(ISNUMBER('Klisz-Verbräuche'!Y148), 'Klisz-Verbräuche'!Y148*Emissionsfaktoren!W148/1000, 0)</f>
        <v>0</v>
      </c>
      <c r="Y658" s="110">
        <f>IF(ISNUMBER('Klisz-Verbräuche'!Z148), 'Klisz-Verbräuche'!Z148*Emissionsfaktoren!X148/1000, 0)</f>
        <v>0</v>
      </c>
    </row>
    <row r="659" spans="2:25" ht="16.5">
      <c r="B659" s="14">
        <v>132</v>
      </c>
      <c r="C659" s="14" t="str">
        <f>'Refsz-Verbräuche'!C149</f>
        <v>Baugüter</v>
      </c>
      <c r="D659" s="19" t="str">
        <f>'Refsz-Verbräuche'!D149</f>
        <v>Stahl-Blech verzinkt</v>
      </c>
      <c r="E659" t="s">
        <v>195</v>
      </c>
      <c r="F659" s="110">
        <f>IF(ISNUMBER('Klisz-Verbräuche'!G149), 'Klisz-Verbräuche'!G149*Emissionsfaktoren!E149/1000, 0)</f>
        <v>0</v>
      </c>
      <c r="G659" s="110">
        <f>IF(ISNUMBER('Klisz-Verbräuche'!H149), 'Klisz-Verbräuche'!H149*Emissionsfaktoren!F149/1000, 0)</f>
        <v>0</v>
      </c>
      <c r="H659" s="110">
        <f>IF(ISNUMBER('Klisz-Verbräuche'!I149), 'Klisz-Verbräuche'!I149*Emissionsfaktoren!G149/1000, 0)</f>
        <v>0</v>
      </c>
      <c r="I659" s="110">
        <f>IF(ISNUMBER('Klisz-Verbräuche'!J149), 'Klisz-Verbräuche'!J149*Emissionsfaktoren!H149/1000, 0)</f>
        <v>0</v>
      </c>
      <c r="J659" s="110">
        <f>IF(ISNUMBER('Klisz-Verbräuche'!K149), 'Klisz-Verbräuche'!K149*Emissionsfaktoren!I149/1000, 0)</f>
        <v>0</v>
      </c>
      <c r="K659" s="110">
        <f>IF(ISNUMBER('Klisz-Verbräuche'!L149), 'Klisz-Verbräuche'!L149*Emissionsfaktoren!J149/1000, 0)</f>
        <v>0</v>
      </c>
      <c r="L659" s="110">
        <f>IF(ISNUMBER('Klisz-Verbräuche'!M149), 'Klisz-Verbräuche'!M149*Emissionsfaktoren!K149/1000, 0)</f>
        <v>0</v>
      </c>
      <c r="M659" s="110">
        <f>IF(ISNUMBER('Klisz-Verbräuche'!N149), 'Klisz-Verbräuche'!N149*Emissionsfaktoren!L149/1000, 0)</f>
        <v>0</v>
      </c>
      <c r="N659" s="110">
        <f>IF(ISNUMBER('Klisz-Verbräuche'!O149), 'Klisz-Verbräuche'!O149*Emissionsfaktoren!M149/1000, 0)</f>
        <v>0</v>
      </c>
      <c r="O659" s="110">
        <f>IF(ISNUMBER('Klisz-Verbräuche'!P149), 'Klisz-Verbräuche'!P149*Emissionsfaktoren!N149/1000, 0)</f>
        <v>0</v>
      </c>
      <c r="P659" s="110">
        <f>IF(ISNUMBER('Klisz-Verbräuche'!Q149), 'Klisz-Verbräuche'!Q149*Emissionsfaktoren!O149/1000, 0)</f>
        <v>0</v>
      </c>
      <c r="Q659" s="110">
        <f>IF(ISNUMBER('Klisz-Verbräuche'!R149), 'Klisz-Verbräuche'!R149*Emissionsfaktoren!P149/1000, 0)</f>
        <v>0</v>
      </c>
      <c r="R659" s="110">
        <f>IF(ISNUMBER('Klisz-Verbräuche'!S149), 'Klisz-Verbräuche'!S149*Emissionsfaktoren!Q149/1000, 0)</f>
        <v>0</v>
      </c>
      <c r="S659" s="110">
        <f>IF(ISNUMBER('Klisz-Verbräuche'!T149), 'Klisz-Verbräuche'!T149*Emissionsfaktoren!R149/1000, 0)</f>
        <v>0</v>
      </c>
      <c r="T659" s="110">
        <f>IF(ISNUMBER('Klisz-Verbräuche'!U149), 'Klisz-Verbräuche'!U149*Emissionsfaktoren!S149/1000, 0)</f>
        <v>0</v>
      </c>
      <c r="U659" s="110">
        <f>IF(ISNUMBER('Klisz-Verbräuche'!V149), 'Klisz-Verbräuche'!V149*Emissionsfaktoren!T149/1000, 0)</f>
        <v>0</v>
      </c>
      <c r="V659" s="110">
        <f>IF(ISNUMBER('Klisz-Verbräuche'!W149), 'Klisz-Verbräuche'!W149*Emissionsfaktoren!U149/1000, 0)</f>
        <v>0</v>
      </c>
      <c r="W659" s="110">
        <f>IF(ISNUMBER('Klisz-Verbräuche'!X149), 'Klisz-Verbräuche'!X149*Emissionsfaktoren!V149/1000, 0)</f>
        <v>0</v>
      </c>
      <c r="X659" s="110">
        <f>IF(ISNUMBER('Klisz-Verbräuche'!Y149), 'Klisz-Verbräuche'!Y149*Emissionsfaktoren!W149/1000, 0)</f>
        <v>0</v>
      </c>
      <c r="Y659" s="110">
        <f>IF(ISNUMBER('Klisz-Verbräuche'!Z149), 'Klisz-Verbräuche'!Z149*Emissionsfaktoren!X149/1000, 0)</f>
        <v>0</v>
      </c>
    </row>
    <row r="660" spans="2:25" ht="16.5">
      <c r="B660" s="14">
        <v>133</v>
      </c>
      <c r="C660" s="14" t="str">
        <f>'Refsz-Verbräuche'!C150</f>
        <v>Baugüter</v>
      </c>
      <c r="D660" s="19" t="str">
        <f>'Refsz-Verbräuche'!D150</f>
        <v>Stahl-Elektro</v>
      </c>
      <c r="E660" t="s">
        <v>195</v>
      </c>
      <c r="F660" s="110">
        <f>IF(ISNUMBER('Klisz-Verbräuche'!G150), 'Klisz-Verbräuche'!G150*Emissionsfaktoren!E150/1000, 0)</f>
        <v>0</v>
      </c>
      <c r="G660" s="110">
        <f>IF(ISNUMBER('Klisz-Verbräuche'!H150), 'Klisz-Verbräuche'!H150*Emissionsfaktoren!F150/1000, 0)</f>
        <v>0</v>
      </c>
      <c r="H660" s="110">
        <f>IF(ISNUMBER('Klisz-Verbräuche'!I150), 'Klisz-Verbräuche'!I150*Emissionsfaktoren!G150/1000, 0)</f>
        <v>0</v>
      </c>
      <c r="I660" s="110">
        <f>IF(ISNUMBER('Klisz-Verbräuche'!J150), 'Klisz-Verbräuche'!J150*Emissionsfaktoren!H150/1000, 0)</f>
        <v>0</v>
      </c>
      <c r="J660" s="110">
        <f>IF(ISNUMBER('Klisz-Verbräuche'!K150), 'Klisz-Verbräuche'!K150*Emissionsfaktoren!I150/1000, 0)</f>
        <v>0</v>
      </c>
      <c r="K660" s="110">
        <f>IF(ISNUMBER('Klisz-Verbräuche'!L150), 'Klisz-Verbräuche'!L150*Emissionsfaktoren!J150/1000, 0)</f>
        <v>0</v>
      </c>
      <c r="L660" s="110">
        <f>IF(ISNUMBER('Klisz-Verbräuche'!M150), 'Klisz-Verbräuche'!M150*Emissionsfaktoren!K150/1000, 0)</f>
        <v>0</v>
      </c>
      <c r="M660" s="110">
        <f>IF(ISNUMBER('Klisz-Verbräuche'!N150), 'Klisz-Verbräuche'!N150*Emissionsfaktoren!L150/1000, 0)</f>
        <v>0</v>
      </c>
      <c r="N660" s="110">
        <f>IF(ISNUMBER('Klisz-Verbräuche'!O150), 'Klisz-Verbräuche'!O150*Emissionsfaktoren!M150/1000, 0)</f>
        <v>0</v>
      </c>
      <c r="O660" s="110">
        <f>IF(ISNUMBER('Klisz-Verbräuche'!P150), 'Klisz-Verbräuche'!P150*Emissionsfaktoren!N150/1000, 0)</f>
        <v>0</v>
      </c>
      <c r="P660" s="110">
        <f>IF(ISNUMBER('Klisz-Verbräuche'!Q150), 'Klisz-Verbräuche'!Q150*Emissionsfaktoren!O150/1000, 0)</f>
        <v>0</v>
      </c>
      <c r="Q660" s="110">
        <f>IF(ISNUMBER('Klisz-Verbräuche'!R150), 'Klisz-Verbräuche'!R150*Emissionsfaktoren!P150/1000, 0)</f>
        <v>0</v>
      </c>
      <c r="R660" s="110">
        <f>IF(ISNUMBER('Klisz-Verbräuche'!S150), 'Klisz-Verbräuche'!S150*Emissionsfaktoren!Q150/1000, 0)</f>
        <v>0</v>
      </c>
      <c r="S660" s="110">
        <f>IF(ISNUMBER('Klisz-Verbräuche'!T150), 'Klisz-Verbräuche'!T150*Emissionsfaktoren!R150/1000, 0)</f>
        <v>0</v>
      </c>
      <c r="T660" s="110">
        <f>IF(ISNUMBER('Klisz-Verbräuche'!U150), 'Klisz-Verbräuche'!U150*Emissionsfaktoren!S150/1000, 0)</f>
        <v>0</v>
      </c>
      <c r="U660" s="110">
        <f>IF(ISNUMBER('Klisz-Verbräuche'!V150), 'Klisz-Verbräuche'!V150*Emissionsfaktoren!T150/1000, 0)</f>
        <v>0</v>
      </c>
      <c r="V660" s="110">
        <f>IF(ISNUMBER('Klisz-Verbräuche'!W150), 'Klisz-Verbräuche'!W150*Emissionsfaktoren!U150/1000, 0)</f>
        <v>0</v>
      </c>
      <c r="W660" s="110">
        <f>IF(ISNUMBER('Klisz-Verbräuche'!X150), 'Klisz-Verbräuche'!X150*Emissionsfaktoren!V150/1000, 0)</f>
        <v>0</v>
      </c>
      <c r="X660" s="110">
        <f>IF(ISNUMBER('Klisz-Verbräuche'!Y150), 'Klisz-Verbräuche'!Y150*Emissionsfaktoren!W150/1000, 0)</f>
        <v>0</v>
      </c>
      <c r="Y660" s="110">
        <f>IF(ISNUMBER('Klisz-Verbräuche'!Z150), 'Klisz-Verbräuche'!Z150*Emissionsfaktoren!X150/1000, 0)</f>
        <v>0</v>
      </c>
    </row>
    <row r="661" spans="2:25" ht="16.5">
      <c r="B661" s="14">
        <v>134</v>
      </c>
      <c r="C661" s="14" t="str">
        <f>'Refsz-Verbräuche'!C151</f>
        <v>Baugüter</v>
      </c>
      <c r="D661" s="19" t="str">
        <f>'Refsz-Verbräuche'!D151</f>
        <v>Stahl-mix</v>
      </c>
      <c r="E661" t="s">
        <v>195</v>
      </c>
      <c r="F661" s="110">
        <f>IF(ISNUMBER('Klisz-Verbräuche'!G151), 'Klisz-Verbräuche'!G151*Emissionsfaktoren!E151/1000, 0)</f>
        <v>0</v>
      </c>
      <c r="G661" s="110">
        <f>IF(ISNUMBER('Klisz-Verbräuche'!H151), 'Klisz-Verbräuche'!H151*Emissionsfaktoren!F151/1000, 0)</f>
        <v>0</v>
      </c>
      <c r="H661" s="110">
        <f>IF(ISNUMBER('Klisz-Verbräuche'!I151), 'Klisz-Verbräuche'!I151*Emissionsfaktoren!G151/1000, 0)</f>
        <v>0</v>
      </c>
      <c r="I661" s="110">
        <f>IF(ISNUMBER('Klisz-Verbräuche'!J151), 'Klisz-Verbräuche'!J151*Emissionsfaktoren!H151/1000, 0)</f>
        <v>0</v>
      </c>
      <c r="J661" s="110">
        <f>IF(ISNUMBER('Klisz-Verbräuche'!K151), 'Klisz-Verbräuche'!K151*Emissionsfaktoren!I151/1000, 0)</f>
        <v>0</v>
      </c>
      <c r="K661" s="110">
        <f>IF(ISNUMBER('Klisz-Verbräuche'!L151), 'Klisz-Verbräuche'!L151*Emissionsfaktoren!J151/1000, 0)</f>
        <v>0</v>
      </c>
      <c r="L661" s="110">
        <f>IF(ISNUMBER('Klisz-Verbräuche'!M151), 'Klisz-Verbräuche'!M151*Emissionsfaktoren!K151/1000, 0)</f>
        <v>0</v>
      </c>
      <c r="M661" s="110">
        <f>IF(ISNUMBER('Klisz-Verbräuche'!N151), 'Klisz-Verbräuche'!N151*Emissionsfaktoren!L151/1000, 0)</f>
        <v>0</v>
      </c>
      <c r="N661" s="110">
        <f>IF(ISNUMBER('Klisz-Verbräuche'!O151), 'Klisz-Verbräuche'!O151*Emissionsfaktoren!M151/1000, 0)</f>
        <v>0</v>
      </c>
      <c r="O661" s="110">
        <f>IF(ISNUMBER('Klisz-Verbräuche'!P151), 'Klisz-Verbräuche'!P151*Emissionsfaktoren!N151/1000, 0)</f>
        <v>0</v>
      </c>
      <c r="P661" s="110">
        <f>IF(ISNUMBER('Klisz-Verbräuche'!Q151), 'Klisz-Verbräuche'!Q151*Emissionsfaktoren!O151/1000, 0)</f>
        <v>0</v>
      </c>
      <c r="Q661" s="110">
        <f>IF(ISNUMBER('Klisz-Verbräuche'!R151), 'Klisz-Verbräuche'!R151*Emissionsfaktoren!P151/1000, 0)</f>
        <v>0</v>
      </c>
      <c r="R661" s="110">
        <f>IF(ISNUMBER('Klisz-Verbräuche'!S151), 'Klisz-Verbräuche'!S151*Emissionsfaktoren!Q151/1000, 0)</f>
        <v>0</v>
      </c>
      <c r="S661" s="110">
        <f>IF(ISNUMBER('Klisz-Verbräuche'!T151), 'Klisz-Verbräuche'!T151*Emissionsfaktoren!R151/1000, 0)</f>
        <v>0</v>
      </c>
      <c r="T661" s="110">
        <f>IF(ISNUMBER('Klisz-Verbräuche'!U151), 'Klisz-Verbräuche'!U151*Emissionsfaktoren!S151/1000, 0)</f>
        <v>0</v>
      </c>
      <c r="U661" s="110">
        <f>IF(ISNUMBER('Klisz-Verbräuche'!V151), 'Klisz-Verbräuche'!V151*Emissionsfaktoren!T151/1000, 0)</f>
        <v>0</v>
      </c>
      <c r="V661" s="110">
        <f>IF(ISNUMBER('Klisz-Verbräuche'!W151), 'Klisz-Verbräuche'!W151*Emissionsfaktoren!U151/1000, 0)</f>
        <v>0</v>
      </c>
      <c r="W661" s="110">
        <f>IF(ISNUMBER('Klisz-Verbräuche'!X151), 'Klisz-Verbräuche'!X151*Emissionsfaktoren!V151/1000, 0)</f>
        <v>0</v>
      </c>
      <c r="X661" s="110">
        <f>IF(ISNUMBER('Klisz-Verbräuche'!Y151), 'Klisz-Verbräuche'!Y151*Emissionsfaktoren!W151/1000, 0)</f>
        <v>0</v>
      </c>
      <c r="Y661" s="110">
        <f>IF(ISNUMBER('Klisz-Verbräuche'!Z151), 'Klisz-Verbräuche'!Z151*Emissionsfaktoren!X151/1000, 0)</f>
        <v>0</v>
      </c>
    </row>
    <row r="662" spans="2:25" ht="16.5">
      <c r="B662" s="14">
        <v>135</v>
      </c>
      <c r="C662" s="14" t="str">
        <f>'Refsz-Verbräuche'!C152</f>
        <v>Baugüter</v>
      </c>
      <c r="D662" s="19" t="str">
        <f>'Refsz-Verbräuche'!D152</f>
        <v>Beton</v>
      </c>
      <c r="E662" t="s">
        <v>195</v>
      </c>
      <c r="F662" s="110">
        <f>IF(ISNUMBER('Klisz-Verbräuche'!G152), 'Klisz-Verbräuche'!G152*Emissionsfaktoren!E152/1000, 0)</f>
        <v>0</v>
      </c>
      <c r="G662" s="110">
        <f>IF(ISNUMBER('Klisz-Verbräuche'!H152), 'Klisz-Verbräuche'!H152*Emissionsfaktoren!F152/1000, 0)</f>
        <v>0</v>
      </c>
      <c r="H662" s="110">
        <f>IF(ISNUMBER('Klisz-Verbräuche'!I152), 'Klisz-Verbräuche'!I152*Emissionsfaktoren!G152/1000, 0)</f>
        <v>0</v>
      </c>
      <c r="I662" s="110">
        <f>IF(ISNUMBER('Klisz-Verbräuche'!J152), 'Klisz-Verbräuche'!J152*Emissionsfaktoren!H152/1000, 0)</f>
        <v>0</v>
      </c>
      <c r="J662" s="110">
        <f>IF(ISNUMBER('Klisz-Verbräuche'!K152), 'Klisz-Verbräuche'!K152*Emissionsfaktoren!I152/1000, 0)</f>
        <v>0</v>
      </c>
      <c r="K662" s="110">
        <f>IF(ISNUMBER('Klisz-Verbräuche'!L152), 'Klisz-Verbräuche'!L152*Emissionsfaktoren!J152/1000, 0)</f>
        <v>0</v>
      </c>
      <c r="L662" s="110">
        <f>IF(ISNUMBER('Klisz-Verbräuche'!M152), 'Klisz-Verbräuche'!M152*Emissionsfaktoren!K152/1000, 0)</f>
        <v>0</v>
      </c>
      <c r="M662" s="110">
        <f>IF(ISNUMBER('Klisz-Verbräuche'!N152), 'Klisz-Verbräuche'!N152*Emissionsfaktoren!L152/1000, 0)</f>
        <v>0</v>
      </c>
      <c r="N662" s="110">
        <f>IF(ISNUMBER('Klisz-Verbräuche'!O152), 'Klisz-Verbräuche'!O152*Emissionsfaktoren!M152/1000, 0)</f>
        <v>0</v>
      </c>
      <c r="O662" s="110">
        <f>IF(ISNUMBER('Klisz-Verbräuche'!P152), 'Klisz-Verbräuche'!P152*Emissionsfaktoren!N152/1000, 0)</f>
        <v>0</v>
      </c>
      <c r="P662" s="110">
        <f>IF(ISNUMBER('Klisz-Verbräuche'!Q152), 'Klisz-Verbräuche'!Q152*Emissionsfaktoren!O152/1000, 0)</f>
        <v>0</v>
      </c>
      <c r="Q662" s="110">
        <f>IF(ISNUMBER('Klisz-Verbräuche'!R152), 'Klisz-Verbräuche'!R152*Emissionsfaktoren!P152/1000, 0)</f>
        <v>0</v>
      </c>
      <c r="R662" s="110">
        <f>IF(ISNUMBER('Klisz-Verbräuche'!S152), 'Klisz-Verbräuche'!S152*Emissionsfaktoren!Q152/1000, 0)</f>
        <v>0</v>
      </c>
      <c r="S662" s="110">
        <f>IF(ISNUMBER('Klisz-Verbräuche'!T152), 'Klisz-Verbräuche'!T152*Emissionsfaktoren!R152/1000, 0)</f>
        <v>0</v>
      </c>
      <c r="T662" s="110">
        <f>IF(ISNUMBER('Klisz-Verbräuche'!U152), 'Klisz-Verbräuche'!U152*Emissionsfaktoren!S152/1000, 0)</f>
        <v>0</v>
      </c>
      <c r="U662" s="110">
        <f>IF(ISNUMBER('Klisz-Verbräuche'!V152), 'Klisz-Verbräuche'!V152*Emissionsfaktoren!T152/1000, 0)</f>
        <v>0</v>
      </c>
      <c r="V662" s="110">
        <f>IF(ISNUMBER('Klisz-Verbräuche'!W152), 'Klisz-Verbräuche'!W152*Emissionsfaktoren!U152/1000, 0)</f>
        <v>0</v>
      </c>
      <c r="W662" s="110">
        <f>IF(ISNUMBER('Klisz-Verbräuche'!X152), 'Klisz-Verbräuche'!X152*Emissionsfaktoren!V152/1000, 0)</f>
        <v>0</v>
      </c>
      <c r="X662" s="110">
        <f>IF(ISNUMBER('Klisz-Verbräuche'!Y152), 'Klisz-Verbräuche'!Y152*Emissionsfaktoren!W152/1000, 0)</f>
        <v>0</v>
      </c>
      <c r="Y662" s="110">
        <f>IF(ISNUMBER('Klisz-Verbräuche'!Z152), 'Klisz-Verbräuche'!Z152*Emissionsfaktoren!X152/1000, 0)</f>
        <v>0</v>
      </c>
    </row>
    <row r="663" spans="2:25" ht="16.5">
      <c r="B663" s="14">
        <v>136</v>
      </c>
      <c r="C663" s="14" t="str">
        <f>'Refsz-Verbräuche'!C153</f>
        <v>Baugüter</v>
      </c>
      <c r="D663" s="19" t="str">
        <f>'Refsz-Verbräuche'!D153</f>
        <v>Glaswolle</v>
      </c>
      <c r="E663" t="s">
        <v>195</v>
      </c>
      <c r="F663" s="110">
        <f>IF(ISNUMBER('Klisz-Verbräuche'!G153), 'Klisz-Verbräuche'!G153*Emissionsfaktoren!E153/1000, 0)</f>
        <v>0</v>
      </c>
      <c r="G663" s="110">
        <f>IF(ISNUMBER('Klisz-Verbräuche'!H153), 'Klisz-Verbräuche'!H153*Emissionsfaktoren!F153/1000, 0)</f>
        <v>0</v>
      </c>
      <c r="H663" s="110">
        <f>IF(ISNUMBER('Klisz-Verbräuche'!I153), 'Klisz-Verbräuche'!I153*Emissionsfaktoren!G153/1000, 0)</f>
        <v>0</v>
      </c>
      <c r="I663" s="110">
        <f>IF(ISNUMBER('Klisz-Verbräuche'!J153), 'Klisz-Verbräuche'!J153*Emissionsfaktoren!H153/1000, 0)</f>
        <v>0</v>
      </c>
      <c r="J663" s="110">
        <f>IF(ISNUMBER('Klisz-Verbräuche'!K153), 'Klisz-Verbräuche'!K153*Emissionsfaktoren!I153/1000, 0)</f>
        <v>0</v>
      </c>
      <c r="K663" s="110">
        <f>IF(ISNUMBER('Klisz-Verbräuche'!L153), 'Klisz-Verbräuche'!L153*Emissionsfaktoren!J153/1000, 0)</f>
        <v>0</v>
      </c>
      <c r="L663" s="110">
        <f>IF(ISNUMBER('Klisz-Verbräuche'!M153), 'Klisz-Verbräuche'!M153*Emissionsfaktoren!K153/1000, 0)</f>
        <v>0</v>
      </c>
      <c r="M663" s="110">
        <f>IF(ISNUMBER('Klisz-Verbräuche'!N153), 'Klisz-Verbräuche'!N153*Emissionsfaktoren!L153/1000, 0)</f>
        <v>0</v>
      </c>
      <c r="N663" s="110">
        <f>IF(ISNUMBER('Klisz-Verbräuche'!O153), 'Klisz-Verbräuche'!O153*Emissionsfaktoren!M153/1000, 0)</f>
        <v>0</v>
      </c>
      <c r="O663" s="110">
        <f>IF(ISNUMBER('Klisz-Verbräuche'!P153), 'Klisz-Verbräuche'!P153*Emissionsfaktoren!N153/1000, 0)</f>
        <v>0</v>
      </c>
      <c r="P663" s="110">
        <f>IF(ISNUMBER('Klisz-Verbräuche'!Q153), 'Klisz-Verbräuche'!Q153*Emissionsfaktoren!O153/1000, 0)</f>
        <v>0</v>
      </c>
      <c r="Q663" s="110">
        <f>IF(ISNUMBER('Klisz-Verbräuche'!R153), 'Klisz-Verbräuche'!R153*Emissionsfaktoren!P153/1000, 0)</f>
        <v>0</v>
      </c>
      <c r="R663" s="110">
        <f>IF(ISNUMBER('Klisz-Verbräuche'!S153), 'Klisz-Verbräuche'!S153*Emissionsfaktoren!Q153/1000, 0)</f>
        <v>0</v>
      </c>
      <c r="S663" s="110">
        <f>IF(ISNUMBER('Klisz-Verbräuche'!T153), 'Klisz-Verbräuche'!T153*Emissionsfaktoren!R153/1000, 0)</f>
        <v>0</v>
      </c>
      <c r="T663" s="110">
        <f>IF(ISNUMBER('Klisz-Verbräuche'!U153), 'Klisz-Verbräuche'!U153*Emissionsfaktoren!S153/1000, 0)</f>
        <v>0</v>
      </c>
      <c r="U663" s="110">
        <f>IF(ISNUMBER('Klisz-Verbräuche'!V153), 'Klisz-Verbräuche'!V153*Emissionsfaktoren!T153/1000, 0)</f>
        <v>0</v>
      </c>
      <c r="V663" s="110">
        <f>IF(ISNUMBER('Klisz-Verbräuche'!W153), 'Klisz-Verbräuche'!W153*Emissionsfaktoren!U153/1000, 0)</f>
        <v>0</v>
      </c>
      <c r="W663" s="110">
        <f>IF(ISNUMBER('Klisz-Verbräuche'!X153), 'Klisz-Verbräuche'!X153*Emissionsfaktoren!V153/1000, 0)</f>
        <v>0</v>
      </c>
      <c r="X663" s="110">
        <f>IF(ISNUMBER('Klisz-Verbräuche'!Y153), 'Klisz-Verbräuche'!Y153*Emissionsfaktoren!W153/1000, 0)</f>
        <v>0</v>
      </c>
      <c r="Y663" s="110">
        <f>IF(ISNUMBER('Klisz-Verbräuche'!Z153), 'Klisz-Verbräuche'!Z153*Emissionsfaktoren!X153/1000, 0)</f>
        <v>0</v>
      </c>
    </row>
    <row r="664" spans="2:25" ht="16.5">
      <c r="B664" s="14">
        <v>137</v>
      </c>
      <c r="C664" s="14" t="str">
        <f>'Refsz-Verbräuche'!C154</f>
        <v>Baugüter</v>
      </c>
      <c r="D664" s="19" t="str">
        <f>'Refsz-Verbräuche'!D154</f>
        <v>Konstruktionsvollholz</v>
      </c>
      <c r="E664" t="s">
        <v>195</v>
      </c>
      <c r="F664" s="110">
        <f>IF(ISNUMBER('Klisz-Verbräuche'!G154), 'Klisz-Verbräuche'!G154*Emissionsfaktoren!E154/1000, 0)</f>
        <v>0</v>
      </c>
      <c r="G664" s="110">
        <f>IF(ISNUMBER('Klisz-Verbräuche'!H154), 'Klisz-Verbräuche'!H154*Emissionsfaktoren!F154/1000, 0)</f>
        <v>0</v>
      </c>
      <c r="H664" s="110">
        <f>IF(ISNUMBER('Klisz-Verbräuche'!I154), 'Klisz-Verbräuche'!I154*Emissionsfaktoren!G154/1000, 0)</f>
        <v>0</v>
      </c>
      <c r="I664" s="110">
        <f>IF(ISNUMBER('Klisz-Verbräuche'!J154), 'Klisz-Verbräuche'!J154*Emissionsfaktoren!H154/1000, 0)</f>
        <v>0</v>
      </c>
      <c r="J664" s="110">
        <f>IF(ISNUMBER('Klisz-Verbräuche'!K154), 'Klisz-Verbräuche'!K154*Emissionsfaktoren!I154/1000, 0)</f>
        <v>0</v>
      </c>
      <c r="K664" s="110">
        <f>IF(ISNUMBER('Klisz-Verbräuche'!L154), 'Klisz-Verbräuche'!L154*Emissionsfaktoren!J154/1000, 0)</f>
        <v>0</v>
      </c>
      <c r="L664" s="110">
        <f>IF(ISNUMBER('Klisz-Verbräuche'!M154), 'Klisz-Verbräuche'!M154*Emissionsfaktoren!K154/1000, 0)</f>
        <v>0</v>
      </c>
      <c r="M664" s="110">
        <f>IF(ISNUMBER('Klisz-Verbräuche'!N154), 'Klisz-Verbräuche'!N154*Emissionsfaktoren!L154/1000, 0)</f>
        <v>0</v>
      </c>
      <c r="N664" s="110">
        <f>IF(ISNUMBER('Klisz-Verbräuche'!O154), 'Klisz-Verbräuche'!O154*Emissionsfaktoren!M154/1000, 0)</f>
        <v>0</v>
      </c>
      <c r="O664" s="110">
        <f>IF(ISNUMBER('Klisz-Verbräuche'!P154), 'Klisz-Verbräuche'!P154*Emissionsfaktoren!N154/1000, 0)</f>
        <v>0</v>
      </c>
      <c r="P664" s="110">
        <f>IF(ISNUMBER('Klisz-Verbräuche'!Q154), 'Klisz-Verbräuche'!Q154*Emissionsfaktoren!O154/1000, 0)</f>
        <v>0</v>
      </c>
      <c r="Q664" s="110">
        <f>IF(ISNUMBER('Klisz-Verbräuche'!R154), 'Klisz-Verbräuche'!R154*Emissionsfaktoren!P154/1000, 0)</f>
        <v>0</v>
      </c>
      <c r="R664" s="110">
        <f>IF(ISNUMBER('Klisz-Verbräuche'!S154), 'Klisz-Verbräuche'!S154*Emissionsfaktoren!Q154/1000, 0)</f>
        <v>0</v>
      </c>
      <c r="S664" s="110">
        <f>IF(ISNUMBER('Klisz-Verbräuche'!T154), 'Klisz-Verbräuche'!T154*Emissionsfaktoren!R154/1000, 0)</f>
        <v>0</v>
      </c>
      <c r="T664" s="110">
        <f>IF(ISNUMBER('Klisz-Verbräuche'!U154), 'Klisz-Verbräuche'!U154*Emissionsfaktoren!S154/1000, 0)</f>
        <v>0</v>
      </c>
      <c r="U664" s="110">
        <f>IF(ISNUMBER('Klisz-Verbräuche'!V154), 'Klisz-Verbräuche'!V154*Emissionsfaktoren!T154/1000, 0)</f>
        <v>0</v>
      </c>
      <c r="V664" s="110">
        <f>IF(ISNUMBER('Klisz-Verbräuche'!W154), 'Klisz-Verbräuche'!W154*Emissionsfaktoren!U154/1000, 0)</f>
        <v>0</v>
      </c>
      <c r="W664" s="110">
        <f>IF(ISNUMBER('Klisz-Verbräuche'!X154), 'Klisz-Verbräuche'!X154*Emissionsfaktoren!V154/1000, 0)</f>
        <v>0</v>
      </c>
      <c r="X664" s="110">
        <f>IF(ISNUMBER('Klisz-Verbräuche'!Y154), 'Klisz-Verbräuche'!Y154*Emissionsfaktoren!W154/1000, 0)</f>
        <v>0</v>
      </c>
      <c r="Y664" s="110">
        <f>IF(ISNUMBER('Klisz-Verbräuche'!Z154), 'Klisz-Verbräuche'!Z154*Emissionsfaktoren!X154/1000, 0)</f>
        <v>0</v>
      </c>
    </row>
    <row r="665" spans="2:25" ht="16.5">
      <c r="B665" s="14">
        <v>138</v>
      </c>
      <c r="C665" s="14" t="str">
        <f>'Refsz-Verbräuche'!C155</f>
        <v>Baugüter</v>
      </c>
      <c r="D665" s="19" t="str">
        <f>'Refsz-Verbräuche'!D155</f>
        <v>Spanplatte</v>
      </c>
      <c r="E665" t="s">
        <v>195</v>
      </c>
      <c r="F665" s="110">
        <f>IF(ISNUMBER('Klisz-Verbräuche'!G155), 'Klisz-Verbräuche'!G155*Emissionsfaktoren!E155/1000, 0)</f>
        <v>0</v>
      </c>
      <c r="G665" s="110">
        <f>IF(ISNUMBER('Klisz-Verbräuche'!H155), 'Klisz-Verbräuche'!H155*Emissionsfaktoren!F155/1000, 0)</f>
        <v>0</v>
      </c>
      <c r="H665" s="110">
        <f>IF(ISNUMBER('Klisz-Verbräuche'!I155), 'Klisz-Verbräuche'!I155*Emissionsfaktoren!G155/1000, 0)</f>
        <v>0</v>
      </c>
      <c r="I665" s="110">
        <f>IF(ISNUMBER('Klisz-Verbräuche'!J155), 'Klisz-Verbräuche'!J155*Emissionsfaktoren!H155/1000, 0)</f>
        <v>0</v>
      </c>
      <c r="J665" s="110">
        <f>IF(ISNUMBER('Klisz-Verbräuche'!K155), 'Klisz-Verbräuche'!K155*Emissionsfaktoren!I155/1000, 0)</f>
        <v>0</v>
      </c>
      <c r="K665" s="110">
        <f>IF(ISNUMBER('Klisz-Verbräuche'!L155), 'Klisz-Verbräuche'!L155*Emissionsfaktoren!J155/1000, 0)</f>
        <v>0</v>
      </c>
      <c r="L665" s="110">
        <f>IF(ISNUMBER('Klisz-Verbräuche'!M155), 'Klisz-Verbräuche'!M155*Emissionsfaktoren!K155/1000, 0)</f>
        <v>0</v>
      </c>
      <c r="M665" s="110">
        <f>IF(ISNUMBER('Klisz-Verbräuche'!N155), 'Klisz-Verbräuche'!N155*Emissionsfaktoren!L155/1000, 0)</f>
        <v>0</v>
      </c>
      <c r="N665" s="110">
        <f>IF(ISNUMBER('Klisz-Verbräuche'!O155), 'Klisz-Verbräuche'!O155*Emissionsfaktoren!M155/1000, 0)</f>
        <v>0</v>
      </c>
      <c r="O665" s="110">
        <f>IF(ISNUMBER('Klisz-Verbräuche'!P155), 'Klisz-Verbräuche'!P155*Emissionsfaktoren!N155/1000, 0)</f>
        <v>0</v>
      </c>
      <c r="P665" s="110">
        <f>IF(ISNUMBER('Klisz-Verbräuche'!Q155), 'Klisz-Verbräuche'!Q155*Emissionsfaktoren!O155/1000, 0)</f>
        <v>0</v>
      </c>
      <c r="Q665" s="110">
        <f>IF(ISNUMBER('Klisz-Verbräuche'!R155), 'Klisz-Verbräuche'!R155*Emissionsfaktoren!P155/1000, 0)</f>
        <v>0</v>
      </c>
      <c r="R665" s="110">
        <f>IF(ISNUMBER('Klisz-Verbräuche'!S155), 'Klisz-Verbräuche'!S155*Emissionsfaktoren!Q155/1000, 0)</f>
        <v>0</v>
      </c>
      <c r="S665" s="110">
        <f>IF(ISNUMBER('Klisz-Verbräuche'!T155), 'Klisz-Verbräuche'!T155*Emissionsfaktoren!R155/1000, 0)</f>
        <v>0</v>
      </c>
      <c r="T665" s="110">
        <f>IF(ISNUMBER('Klisz-Verbräuche'!U155), 'Klisz-Verbräuche'!U155*Emissionsfaktoren!S155/1000, 0)</f>
        <v>0</v>
      </c>
      <c r="U665" s="110">
        <f>IF(ISNUMBER('Klisz-Verbräuche'!V155), 'Klisz-Verbräuche'!V155*Emissionsfaktoren!T155/1000, 0)</f>
        <v>0</v>
      </c>
      <c r="V665" s="110">
        <f>IF(ISNUMBER('Klisz-Verbräuche'!W155), 'Klisz-Verbräuche'!W155*Emissionsfaktoren!U155/1000, 0)</f>
        <v>0</v>
      </c>
      <c r="W665" s="110">
        <f>IF(ISNUMBER('Klisz-Verbräuche'!X155), 'Klisz-Verbräuche'!X155*Emissionsfaktoren!V155/1000, 0)</f>
        <v>0</v>
      </c>
      <c r="X665" s="110">
        <f>IF(ISNUMBER('Klisz-Verbräuche'!Y155), 'Klisz-Verbräuche'!Y155*Emissionsfaktoren!W155/1000, 0)</f>
        <v>0</v>
      </c>
      <c r="Y665" s="110">
        <f>IF(ISNUMBER('Klisz-Verbräuche'!Z155), 'Klisz-Verbräuche'!Z155*Emissionsfaktoren!X155/1000, 0)</f>
        <v>0</v>
      </c>
    </row>
    <row r="666" spans="2:25" ht="16.5">
      <c r="B666" s="14">
        <v>139</v>
      </c>
      <c r="C666" s="14" t="str">
        <f>'Refsz-Verbräuche'!C156</f>
        <v>Baugüter</v>
      </c>
      <c r="D666" s="19" t="str">
        <f>'Refsz-Verbräuche'!D156</f>
        <v>Perlit</v>
      </c>
      <c r="E666" t="s">
        <v>195</v>
      </c>
      <c r="F666" s="110">
        <f>IF(ISNUMBER('Klisz-Verbräuche'!G156), 'Klisz-Verbräuche'!G156*Emissionsfaktoren!E156/1000, 0)</f>
        <v>0</v>
      </c>
      <c r="G666" s="110">
        <f>IF(ISNUMBER('Klisz-Verbräuche'!H156), 'Klisz-Verbräuche'!H156*Emissionsfaktoren!F156/1000, 0)</f>
        <v>0</v>
      </c>
      <c r="H666" s="110">
        <f>IF(ISNUMBER('Klisz-Verbräuche'!I156), 'Klisz-Verbräuche'!I156*Emissionsfaktoren!G156/1000, 0)</f>
        <v>0</v>
      </c>
      <c r="I666" s="110">
        <f>IF(ISNUMBER('Klisz-Verbräuche'!J156), 'Klisz-Verbräuche'!J156*Emissionsfaktoren!H156/1000, 0)</f>
        <v>0</v>
      </c>
      <c r="J666" s="110">
        <f>IF(ISNUMBER('Klisz-Verbräuche'!K156), 'Klisz-Verbräuche'!K156*Emissionsfaktoren!I156/1000, 0)</f>
        <v>0</v>
      </c>
      <c r="K666" s="110">
        <f>IF(ISNUMBER('Klisz-Verbräuche'!L156), 'Klisz-Verbräuche'!L156*Emissionsfaktoren!J156/1000, 0)</f>
        <v>0</v>
      </c>
      <c r="L666" s="110">
        <f>IF(ISNUMBER('Klisz-Verbräuche'!M156), 'Klisz-Verbräuche'!M156*Emissionsfaktoren!K156/1000, 0)</f>
        <v>0</v>
      </c>
      <c r="M666" s="110">
        <f>IF(ISNUMBER('Klisz-Verbräuche'!N156), 'Klisz-Verbräuche'!N156*Emissionsfaktoren!L156/1000, 0)</f>
        <v>0</v>
      </c>
      <c r="N666" s="110">
        <f>IF(ISNUMBER('Klisz-Verbräuche'!O156), 'Klisz-Verbräuche'!O156*Emissionsfaktoren!M156/1000, 0)</f>
        <v>0</v>
      </c>
      <c r="O666" s="110">
        <f>IF(ISNUMBER('Klisz-Verbräuche'!P156), 'Klisz-Verbräuche'!P156*Emissionsfaktoren!N156/1000, 0)</f>
        <v>0</v>
      </c>
      <c r="P666" s="110">
        <f>IF(ISNUMBER('Klisz-Verbräuche'!Q156), 'Klisz-Verbräuche'!Q156*Emissionsfaktoren!O156/1000, 0)</f>
        <v>0</v>
      </c>
      <c r="Q666" s="110">
        <f>IF(ISNUMBER('Klisz-Verbräuche'!R156), 'Klisz-Verbräuche'!R156*Emissionsfaktoren!P156/1000, 0)</f>
        <v>0</v>
      </c>
      <c r="R666" s="110">
        <f>IF(ISNUMBER('Klisz-Verbräuche'!S156), 'Klisz-Verbräuche'!S156*Emissionsfaktoren!Q156/1000, 0)</f>
        <v>0</v>
      </c>
      <c r="S666" s="110">
        <f>IF(ISNUMBER('Klisz-Verbräuche'!T156), 'Klisz-Verbräuche'!T156*Emissionsfaktoren!R156/1000, 0)</f>
        <v>0</v>
      </c>
      <c r="T666" s="110">
        <f>IF(ISNUMBER('Klisz-Verbräuche'!U156), 'Klisz-Verbräuche'!U156*Emissionsfaktoren!S156/1000, 0)</f>
        <v>0</v>
      </c>
      <c r="U666" s="110">
        <f>IF(ISNUMBER('Klisz-Verbräuche'!V156), 'Klisz-Verbräuche'!V156*Emissionsfaktoren!T156/1000, 0)</f>
        <v>0</v>
      </c>
      <c r="V666" s="110">
        <f>IF(ISNUMBER('Klisz-Verbräuche'!W156), 'Klisz-Verbräuche'!W156*Emissionsfaktoren!U156/1000, 0)</f>
        <v>0</v>
      </c>
      <c r="W666" s="110">
        <f>IF(ISNUMBER('Klisz-Verbräuche'!X156), 'Klisz-Verbräuche'!X156*Emissionsfaktoren!V156/1000, 0)</f>
        <v>0</v>
      </c>
      <c r="X666" s="110">
        <f>IF(ISNUMBER('Klisz-Verbräuche'!Y156), 'Klisz-Verbräuche'!Y156*Emissionsfaktoren!W156/1000, 0)</f>
        <v>0</v>
      </c>
      <c r="Y666" s="110">
        <f>IF(ISNUMBER('Klisz-Verbräuche'!Z156), 'Klisz-Verbräuche'!Z156*Emissionsfaktoren!X156/1000, 0)</f>
        <v>0</v>
      </c>
    </row>
    <row r="667" spans="2:25" ht="16.5">
      <c r="B667" s="14">
        <v>140</v>
      </c>
      <c r="C667" s="14" t="str">
        <f>'Refsz-Verbräuche'!C157</f>
        <v>Baugüter</v>
      </c>
      <c r="D667" s="19" t="str">
        <f>'Refsz-Verbräuche'!D157</f>
        <v>Stahlbeton Fertigteil Decke (20cm Dicke)</v>
      </c>
      <c r="E667" t="s">
        <v>195</v>
      </c>
      <c r="F667" s="110">
        <f>IF(ISNUMBER('Klisz-Verbräuche'!G157), 'Klisz-Verbräuche'!G157*Emissionsfaktoren!E157/1000, 0)</f>
        <v>0</v>
      </c>
      <c r="G667" s="110">
        <f>IF(ISNUMBER('Klisz-Verbräuche'!H157), 'Klisz-Verbräuche'!H157*Emissionsfaktoren!F157/1000, 0)</f>
        <v>0</v>
      </c>
      <c r="H667" s="110">
        <f>IF(ISNUMBER('Klisz-Verbräuche'!I157), 'Klisz-Verbräuche'!I157*Emissionsfaktoren!G157/1000, 0)</f>
        <v>0</v>
      </c>
      <c r="I667" s="110">
        <f>IF(ISNUMBER('Klisz-Verbräuche'!J157), 'Klisz-Verbräuche'!J157*Emissionsfaktoren!H157/1000, 0)</f>
        <v>0</v>
      </c>
      <c r="J667" s="110">
        <f>IF(ISNUMBER('Klisz-Verbräuche'!K157), 'Klisz-Verbräuche'!K157*Emissionsfaktoren!I157/1000, 0)</f>
        <v>0</v>
      </c>
      <c r="K667" s="110">
        <f>IF(ISNUMBER('Klisz-Verbräuche'!L157), 'Klisz-Verbräuche'!L157*Emissionsfaktoren!J157/1000, 0)</f>
        <v>0</v>
      </c>
      <c r="L667" s="110">
        <f>IF(ISNUMBER('Klisz-Verbräuche'!M157), 'Klisz-Verbräuche'!M157*Emissionsfaktoren!K157/1000, 0)</f>
        <v>0</v>
      </c>
      <c r="M667" s="110">
        <f>IF(ISNUMBER('Klisz-Verbräuche'!N157), 'Klisz-Verbräuche'!N157*Emissionsfaktoren!L157/1000, 0)</f>
        <v>0</v>
      </c>
      <c r="N667" s="110">
        <f>IF(ISNUMBER('Klisz-Verbräuche'!O157), 'Klisz-Verbräuche'!O157*Emissionsfaktoren!M157/1000, 0)</f>
        <v>0</v>
      </c>
      <c r="O667" s="110">
        <f>IF(ISNUMBER('Klisz-Verbräuche'!P157), 'Klisz-Verbräuche'!P157*Emissionsfaktoren!N157/1000, 0)</f>
        <v>0</v>
      </c>
      <c r="P667" s="110">
        <f>IF(ISNUMBER('Klisz-Verbräuche'!Q157), 'Klisz-Verbräuche'!Q157*Emissionsfaktoren!O157/1000, 0)</f>
        <v>0</v>
      </c>
      <c r="Q667" s="110">
        <f>IF(ISNUMBER('Klisz-Verbräuche'!R157), 'Klisz-Verbräuche'!R157*Emissionsfaktoren!P157/1000, 0)</f>
        <v>0</v>
      </c>
      <c r="R667" s="110">
        <f>IF(ISNUMBER('Klisz-Verbräuche'!S157), 'Klisz-Verbräuche'!S157*Emissionsfaktoren!Q157/1000, 0)</f>
        <v>0</v>
      </c>
      <c r="S667" s="110">
        <f>IF(ISNUMBER('Klisz-Verbräuche'!T157), 'Klisz-Verbräuche'!T157*Emissionsfaktoren!R157/1000, 0)</f>
        <v>0</v>
      </c>
      <c r="T667" s="110">
        <f>IF(ISNUMBER('Klisz-Verbräuche'!U157), 'Klisz-Verbräuche'!U157*Emissionsfaktoren!S157/1000, 0)</f>
        <v>0</v>
      </c>
      <c r="U667" s="110">
        <f>IF(ISNUMBER('Klisz-Verbräuche'!V157), 'Klisz-Verbräuche'!V157*Emissionsfaktoren!T157/1000, 0)</f>
        <v>0</v>
      </c>
      <c r="V667" s="110">
        <f>IF(ISNUMBER('Klisz-Verbräuche'!W157), 'Klisz-Verbräuche'!W157*Emissionsfaktoren!U157/1000, 0)</f>
        <v>0</v>
      </c>
      <c r="W667" s="110">
        <f>IF(ISNUMBER('Klisz-Verbräuche'!X157), 'Klisz-Verbräuche'!X157*Emissionsfaktoren!V157/1000, 0)</f>
        <v>0</v>
      </c>
      <c r="X667" s="110">
        <f>IF(ISNUMBER('Klisz-Verbräuche'!Y157), 'Klisz-Verbräuche'!Y157*Emissionsfaktoren!W157/1000, 0)</f>
        <v>0</v>
      </c>
      <c r="Y667" s="110">
        <f>IF(ISNUMBER('Klisz-Verbräuche'!Z157), 'Klisz-Verbräuche'!Z157*Emissionsfaktoren!X157/1000, 0)</f>
        <v>0</v>
      </c>
    </row>
    <row r="668" spans="2:25" ht="16.5">
      <c r="B668" s="14">
        <v>141</v>
      </c>
      <c r="C668" s="14" t="str">
        <f>'Refsz-Verbräuche'!C158</f>
        <v>Baugüter</v>
      </c>
      <c r="D668" s="19" t="str">
        <f>'Refsz-Verbräuche'!D158</f>
        <v>Stahlbeton Fertigteil Wand (12cm Dicke)</v>
      </c>
      <c r="E668" t="s">
        <v>195</v>
      </c>
      <c r="F668" s="110">
        <f>IF(ISNUMBER('Klisz-Verbräuche'!G158), 'Klisz-Verbräuche'!G158*Emissionsfaktoren!E158/1000, 0)</f>
        <v>0</v>
      </c>
      <c r="G668" s="110">
        <f>IF(ISNUMBER('Klisz-Verbräuche'!H158), 'Klisz-Verbräuche'!H158*Emissionsfaktoren!F158/1000, 0)</f>
        <v>0</v>
      </c>
      <c r="H668" s="110">
        <f>IF(ISNUMBER('Klisz-Verbräuche'!I158), 'Klisz-Verbräuche'!I158*Emissionsfaktoren!G158/1000, 0)</f>
        <v>0</v>
      </c>
      <c r="I668" s="110">
        <f>IF(ISNUMBER('Klisz-Verbräuche'!J158), 'Klisz-Verbräuche'!J158*Emissionsfaktoren!H158/1000, 0)</f>
        <v>0</v>
      </c>
      <c r="J668" s="110">
        <f>IF(ISNUMBER('Klisz-Verbräuche'!K158), 'Klisz-Verbräuche'!K158*Emissionsfaktoren!I158/1000, 0)</f>
        <v>0</v>
      </c>
      <c r="K668" s="110">
        <f>IF(ISNUMBER('Klisz-Verbräuche'!L158), 'Klisz-Verbräuche'!L158*Emissionsfaktoren!J158/1000, 0)</f>
        <v>0</v>
      </c>
      <c r="L668" s="110">
        <f>IF(ISNUMBER('Klisz-Verbräuche'!M158), 'Klisz-Verbräuche'!M158*Emissionsfaktoren!K158/1000, 0)</f>
        <v>0</v>
      </c>
      <c r="M668" s="110">
        <f>IF(ISNUMBER('Klisz-Verbräuche'!N158), 'Klisz-Verbräuche'!N158*Emissionsfaktoren!L158/1000, 0)</f>
        <v>0</v>
      </c>
      <c r="N668" s="110">
        <f>IF(ISNUMBER('Klisz-Verbräuche'!O158), 'Klisz-Verbräuche'!O158*Emissionsfaktoren!M158/1000, 0)</f>
        <v>0</v>
      </c>
      <c r="O668" s="110">
        <f>IF(ISNUMBER('Klisz-Verbräuche'!P158), 'Klisz-Verbräuche'!P158*Emissionsfaktoren!N158/1000, 0)</f>
        <v>0</v>
      </c>
      <c r="P668" s="110">
        <f>IF(ISNUMBER('Klisz-Verbräuche'!Q158), 'Klisz-Verbräuche'!Q158*Emissionsfaktoren!O158/1000, 0)</f>
        <v>0</v>
      </c>
      <c r="Q668" s="110">
        <f>IF(ISNUMBER('Klisz-Verbräuche'!R158), 'Klisz-Verbräuche'!R158*Emissionsfaktoren!P158/1000, 0)</f>
        <v>0</v>
      </c>
      <c r="R668" s="110">
        <f>IF(ISNUMBER('Klisz-Verbräuche'!S158), 'Klisz-Verbräuche'!S158*Emissionsfaktoren!Q158/1000, 0)</f>
        <v>0</v>
      </c>
      <c r="S668" s="110">
        <f>IF(ISNUMBER('Klisz-Verbräuche'!T158), 'Klisz-Verbräuche'!T158*Emissionsfaktoren!R158/1000, 0)</f>
        <v>0</v>
      </c>
      <c r="T668" s="110">
        <f>IF(ISNUMBER('Klisz-Verbräuche'!U158), 'Klisz-Verbräuche'!U158*Emissionsfaktoren!S158/1000, 0)</f>
        <v>0</v>
      </c>
      <c r="U668" s="110">
        <f>IF(ISNUMBER('Klisz-Verbräuche'!V158), 'Klisz-Verbräuche'!V158*Emissionsfaktoren!T158/1000, 0)</f>
        <v>0</v>
      </c>
      <c r="V668" s="110">
        <f>IF(ISNUMBER('Klisz-Verbräuche'!W158), 'Klisz-Verbräuche'!W158*Emissionsfaktoren!U158/1000, 0)</f>
        <v>0</v>
      </c>
      <c r="W668" s="110">
        <f>IF(ISNUMBER('Klisz-Verbräuche'!X158), 'Klisz-Verbräuche'!X158*Emissionsfaktoren!V158/1000, 0)</f>
        <v>0</v>
      </c>
      <c r="X668" s="110">
        <f>IF(ISNUMBER('Klisz-Verbräuche'!Y158), 'Klisz-Verbräuche'!Y158*Emissionsfaktoren!W158/1000, 0)</f>
        <v>0</v>
      </c>
      <c r="Y668" s="110">
        <f>IF(ISNUMBER('Klisz-Verbräuche'!Z158), 'Klisz-Verbräuche'!Z158*Emissionsfaktoren!X158/1000, 0)</f>
        <v>0</v>
      </c>
    </row>
    <row r="669" spans="2:25" ht="16.5">
      <c r="B669" s="14">
        <v>142</v>
      </c>
      <c r="C669" s="14" t="str">
        <f>'Refsz-Verbräuche'!C159</f>
        <v>Baugüter</v>
      </c>
      <c r="D669" s="19" t="str">
        <f>'Refsz-Verbräuche'!D159</f>
        <v xml:space="preserve">Stahlbeton Fertigteil Treppe (1,1 m Breite, 9 Stufen a 16 cm) </v>
      </c>
      <c r="E669" t="s">
        <v>195</v>
      </c>
      <c r="F669" s="110">
        <f>IF(ISNUMBER('Klisz-Verbräuche'!G159), 'Klisz-Verbräuche'!G159*Emissionsfaktoren!E159/1000, 0)</f>
        <v>0</v>
      </c>
      <c r="G669" s="110">
        <f>IF(ISNUMBER('Klisz-Verbräuche'!H159), 'Klisz-Verbräuche'!H159*Emissionsfaktoren!F159/1000, 0)</f>
        <v>0</v>
      </c>
      <c r="H669" s="110">
        <f>IF(ISNUMBER('Klisz-Verbräuche'!I159), 'Klisz-Verbräuche'!I159*Emissionsfaktoren!G159/1000, 0)</f>
        <v>0</v>
      </c>
      <c r="I669" s="110">
        <f>IF(ISNUMBER('Klisz-Verbräuche'!J159), 'Klisz-Verbräuche'!J159*Emissionsfaktoren!H159/1000, 0)</f>
        <v>0</v>
      </c>
      <c r="J669" s="110">
        <f>IF(ISNUMBER('Klisz-Verbräuche'!K159), 'Klisz-Verbräuche'!K159*Emissionsfaktoren!I159/1000, 0)</f>
        <v>0</v>
      </c>
      <c r="K669" s="110">
        <f>IF(ISNUMBER('Klisz-Verbräuche'!L159), 'Klisz-Verbräuche'!L159*Emissionsfaktoren!J159/1000, 0)</f>
        <v>0</v>
      </c>
      <c r="L669" s="110">
        <f>IF(ISNUMBER('Klisz-Verbräuche'!M159), 'Klisz-Verbräuche'!M159*Emissionsfaktoren!K159/1000, 0)</f>
        <v>0</v>
      </c>
      <c r="M669" s="110">
        <f>IF(ISNUMBER('Klisz-Verbräuche'!N159), 'Klisz-Verbräuche'!N159*Emissionsfaktoren!L159/1000, 0)</f>
        <v>0</v>
      </c>
      <c r="N669" s="110">
        <f>IF(ISNUMBER('Klisz-Verbräuche'!O159), 'Klisz-Verbräuche'!O159*Emissionsfaktoren!M159/1000, 0)</f>
        <v>0</v>
      </c>
      <c r="O669" s="110">
        <f>IF(ISNUMBER('Klisz-Verbräuche'!P159), 'Klisz-Verbräuche'!P159*Emissionsfaktoren!N159/1000, 0)</f>
        <v>0</v>
      </c>
      <c r="P669" s="110">
        <f>IF(ISNUMBER('Klisz-Verbräuche'!Q159), 'Klisz-Verbräuche'!Q159*Emissionsfaktoren!O159/1000, 0)</f>
        <v>0</v>
      </c>
      <c r="Q669" s="110">
        <f>IF(ISNUMBER('Klisz-Verbräuche'!R159), 'Klisz-Verbräuche'!R159*Emissionsfaktoren!P159/1000, 0)</f>
        <v>0</v>
      </c>
      <c r="R669" s="110">
        <f>IF(ISNUMBER('Klisz-Verbräuche'!S159), 'Klisz-Verbräuche'!S159*Emissionsfaktoren!Q159/1000, 0)</f>
        <v>0</v>
      </c>
      <c r="S669" s="110">
        <f>IF(ISNUMBER('Klisz-Verbräuche'!T159), 'Klisz-Verbräuche'!T159*Emissionsfaktoren!R159/1000, 0)</f>
        <v>0</v>
      </c>
      <c r="T669" s="110">
        <f>IF(ISNUMBER('Klisz-Verbräuche'!U159), 'Klisz-Verbräuche'!U159*Emissionsfaktoren!S159/1000, 0)</f>
        <v>0</v>
      </c>
      <c r="U669" s="110">
        <f>IF(ISNUMBER('Klisz-Verbräuche'!V159), 'Klisz-Verbräuche'!V159*Emissionsfaktoren!T159/1000, 0)</f>
        <v>0</v>
      </c>
      <c r="V669" s="110">
        <f>IF(ISNUMBER('Klisz-Verbräuche'!W159), 'Klisz-Verbräuche'!W159*Emissionsfaktoren!U159/1000, 0)</f>
        <v>0</v>
      </c>
      <c r="W669" s="110">
        <f>IF(ISNUMBER('Klisz-Verbräuche'!X159), 'Klisz-Verbräuche'!X159*Emissionsfaktoren!V159/1000, 0)</f>
        <v>0</v>
      </c>
      <c r="X669" s="110">
        <f>IF(ISNUMBER('Klisz-Verbräuche'!Y159), 'Klisz-Verbräuche'!Y159*Emissionsfaktoren!W159/1000, 0)</f>
        <v>0</v>
      </c>
      <c r="Y669" s="110">
        <f>IF(ISNUMBER('Klisz-Verbräuche'!Z159), 'Klisz-Verbräuche'!Z159*Emissionsfaktoren!X159/1000, 0)</f>
        <v>0</v>
      </c>
    </row>
    <row r="670" spans="2:25" ht="16.5">
      <c r="B670" s="14">
        <v>143</v>
      </c>
      <c r="C670" s="14" t="str">
        <f>'Refsz-Verbräuche'!C160</f>
        <v>Baugüter</v>
      </c>
      <c r="D670" s="19" t="str">
        <f>'Refsz-Verbräuche'!D160</f>
        <v>Mineralwolle</v>
      </c>
      <c r="E670" t="s">
        <v>195</v>
      </c>
      <c r="F670" s="110">
        <f>IF(ISNUMBER('Klisz-Verbräuche'!G160), 'Klisz-Verbräuche'!G160*Emissionsfaktoren!E160/1000, 0)</f>
        <v>0</v>
      </c>
      <c r="G670" s="110">
        <f>IF(ISNUMBER('Klisz-Verbräuche'!H160), 'Klisz-Verbräuche'!H160*Emissionsfaktoren!F160/1000, 0)</f>
        <v>0</v>
      </c>
      <c r="H670" s="110">
        <f>IF(ISNUMBER('Klisz-Verbräuche'!I160), 'Klisz-Verbräuche'!I160*Emissionsfaktoren!G160/1000, 0)</f>
        <v>0</v>
      </c>
      <c r="I670" s="110">
        <f>IF(ISNUMBER('Klisz-Verbräuche'!J160), 'Klisz-Verbräuche'!J160*Emissionsfaktoren!H160/1000, 0)</f>
        <v>0</v>
      </c>
      <c r="J670" s="110">
        <f>IF(ISNUMBER('Klisz-Verbräuche'!K160), 'Klisz-Verbräuche'!K160*Emissionsfaktoren!I160/1000, 0)</f>
        <v>0</v>
      </c>
      <c r="K670" s="110">
        <f>IF(ISNUMBER('Klisz-Verbräuche'!L160), 'Klisz-Verbräuche'!L160*Emissionsfaktoren!J160/1000, 0)</f>
        <v>0</v>
      </c>
      <c r="L670" s="110">
        <f>IF(ISNUMBER('Klisz-Verbräuche'!M160), 'Klisz-Verbräuche'!M160*Emissionsfaktoren!K160/1000, 0)</f>
        <v>0</v>
      </c>
      <c r="M670" s="110">
        <f>IF(ISNUMBER('Klisz-Verbräuche'!N160), 'Klisz-Verbräuche'!N160*Emissionsfaktoren!L160/1000, 0)</f>
        <v>0</v>
      </c>
      <c r="N670" s="110">
        <f>IF(ISNUMBER('Klisz-Verbräuche'!O160), 'Klisz-Verbräuche'!O160*Emissionsfaktoren!M160/1000, 0)</f>
        <v>0</v>
      </c>
      <c r="O670" s="110">
        <f>IF(ISNUMBER('Klisz-Verbräuche'!P160), 'Klisz-Verbräuche'!P160*Emissionsfaktoren!N160/1000, 0)</f>
        <v>0</v>
      </c>
      <c r="P670" s="110">
        <f>IF(ISNUMBER('Klisz-Verbräuche'!Q160), 'Klisz-Verbräuche'!Q160*Emissionsfaktoren!O160/1000, 0)</f>
        <v>0</v>
      </c>
      <c r="Q670" s="110">
        <f>IF(ISNUMBER('Klisz-Verbräuche'!R160), 'Klisz-Verbräuche'!R160*Emissionsfaktoren!P160/1000, 0)</f>
        <v>0</v>
      </c>
      <c r="R670" s="110">
        <f>IF(ISNUMBER('Klisz-Verbräuche'!S160), 'Klisz-Verbräuche'!S160*Emissionsfaktoren!Q160/1000, 0)</f>
        <v>0</v>
      </c>
      <c r="S670" s="110">
        <f>IF(ISNUMBER('Klisz-Verbräuche'!T160), 'Klisz-Verbräuche'!T160*Emissionsfaktoren!R160/1000, 0)</f>
        <v>0</v>
      </c>
      <c r="T670" s="110">
        <f>IF(ISNUMBER('Klisz-Verbräuche'!U160), 'Klisz-Verbräuche'!U160*Emissionsfaktoren!S160/1000, 0)</f>
        <v>0</v>
      </c>
      <c r="U670" s="110">
        <f>IF(ISNUMBER('Klisz-Verbräuche'!V160), 'Klisz-Verbräuche'!V160*Emissionsfaktoren!T160/1000, 0)</f>
        <v>0</v>
      </c>
      <c r="V670" s="110">
        <f>IF(ISNUMBER('Klisz-Verbräuche'!W160), 'Klisz-Verbräuche'!W160*Emissionsfaktoren!U160/1000, 0)</f>
        <v>0</v>
      </c>
      <c r="W670" s="110">
        <f>IF(ISNUMBER('Klisz-Verbräuche'!X160), 'Klisz-Verbräuche'!X160*Emissionsfaktoren!V160/1000, 0)</f>
        <v>0</v>
      </c>
      <c r="X670" s="110">
        <f>IF(ISNUMBER('Klisz-Verbräuche'!Y160), 'Klisz-Verbräuche'!Y160*Emissionsfaktoren!W160/1000, 0)</f>
        <v>0</v>
      </c>
      <c r="Y670" s="110">
        <f>IF(ISNUMBER('Klisz-Verbräuche'!Z160), 'Klisz-Verbräuche'!Z160*Emissionsfaktoren!X160/1000, 0)</f>
        <v>0</v>
      </c>
    </row>
    <row r="671" spans="2:25" ht="16.5">
      <c r="B671" s="14">
        <v>144</v>
      </c>
      <c r="C671" s="14" t="str">
        <f>'Refsz-Verbräuche'!C161</f>
        <v>Baugüter</v>
      </c>
      <c r="D671" s="19" t="str">
        <f>'Refsz-Verbräuche'!D161</f>
        <v>Mauerziegel (ungefüllt)</v>
      </c>
      <c r="E671" t="s">
        <v>195</v>
      </c>
      <c r="F671" s="110">
        <f>IF(ISNUMBER('Klisz-Verbräuche'!G161), 'Klisz-Verbräuche'!G161*Emissionsfaktoren!E161/1000, 0)</f>
        <v>0</v>
      </c>
      <c r="G671" s="110">
        <f>IF(ISNUMBER('Klisz-Verbräuche'!H161), 'Klisz-Verbräuche'!H161*Emissionsfaktoren!F161/1000, 0)</f>
        <v>0</v>
      </c>
      <c r="H671" s="110">
        <f>IF(ISNUMBER('Klisz-Verbräuche'!I161), 'Klisz-Verbräuche'!I161*Emissionsfaktoren!G161/1000, 0)</f>
        <v>0</v>
      </c>
      <c r="I671" s="110">
        <f>IF(ISNUMBER('Klisz-Verbräuche'!J161), 'Klisz-Verbräuche'!J161*Emissionsfaktoren!H161/1000, 0)</f>
        <v>0</v>
      </c>
      <c r="J671" s="110">
        <f>IF(ISNUMBER('Klisz-Verbräuche'!K161), 'Klisz-Verbräuche'!K161*Emissionsfaktoren!I161/1000, 0)</f>
        <v>0</v>
      </c>
      <c r="K671" s="110">
        <f>IF(ISNUMBER('Klisz-Verbräuche'!L161), 'Klisz-Verbräuche'!L161*Emissionsfaktoren!J161/1000, 0)</f>
        <v>0</v>
      </c>
      <c r="L671" s="110">
        <f>IF(ISNUMBER('Klisz-Verbräuche'!M161), 'Klisz-Verbräuche'!M161*Emissionsfaktoren!K161/1000, 0)</f>
        <v>0</v>
      </c>
      <c r="M671" s="110">
        <f>IF(ISNUMBER('Klisz-Verbräuche'!N161), 'Klisz-Verbräuche'!N161*Emissionsfaktoren!L161/1000, 0)</f>
        <v>0</v>
      </c>
      <c r="N671" s="110">
        <f>IF(ISNUMBER('Klisz-Verbräuche'!O161), 'Klisz-Verbräuche'!O161*Emissionsfaktoren!M161/1000, 0)</f>
        <v>0</v>
      </c>
      <c r="O671" s="110">
        <f>IF(ISNUMBER('Klisz-Verbräuche'!P161), 'Klisz-Verbräuche'!P161*Emissionsfaktoren!N161/1000, 0)</f>
        <v>0</v>
      </c>
      <c r="P671" s="110">
        <f>IF(ISNUMBER('Klisz-Verbräuche'!Q161), 'Klisz-Verbräuche'!Q161*Emissionsfaktoren!O161/1000, 0)</f>
        <v>0</v>
      </c>
      <c r="Q671" s="110">
        <f>IF(ISNUMBER('Klisz-Verbräuche'!R161), 'Klisz-Verbräuche'!R161*Emissionsfaktoren!P161/1000, 0)</f>
        <v>0</v>
      </c>
      <c r="R671" s="110">
        <f>IF(ISNUMBER('Klisz-Verbräuche'!S161), 'Klisz-Verbräuche'!S161*Emissionsfaktoren!Q161/1000, 0)</f>
        <v>0</v>
      </c>
      <c r="S671" s="110">
        <f>IF(ISNUMBER('Klisz-Verbräuche'!T161), 'Klisz-Verbräuche'!T161*Emissionsfaktoren!R161/1000, 0)</f>
        <v>0</v>
      </c>
      <c r="T671" s="110">
        <f>IF(ISNUMBER('Klisz-Verbräuche'!U161), 'Klisz-Verbräuche'!U161*Emissionsfaktoren!S161/1000, 0)</f>
        <v>0</v>
      </c>
      <c r="U671" s="110">
        <f>IF(ISNUMBER('Klisz-Verbräuche'!V161), 'Klisz-Verbräuche'!V161*Emissionsfaktoren!T161/1000, 0)</f>
        <v>0</v>
      </c>
      <c r="V671" s="110">
        <f>IF(ISNUMBER('Klisz-Verbräuche'!W161), 'Klisz-Verbräuche'!W161*Emissionsfaktoren!U161/1000, 0)</f>
        <v>0</v>
      </c>
      <c r="W671" s="110">
        <f>IF(ISNUMBER('Klisz-Verbräuche'!X161), 'Klisz-Verbräuche'!X161*Emissionsfaktoren!V161/1000, 0)</f>
        <v>0</v>
      </c>
      <c r="X671" s="110">
        <f>IF(ISNUMBER('Klisz-Verbräuche'!Y161), 'Klisz-Verbräuche'!Y161*Emissionsfaktoren!W161/1000, 0)</f>
        <v>0</v>
      </c>
      <c r="Y671" s="110">
        <f>IF(ISNUMBER('Klisz-Verbräuche'!Z161), 'Klisz-Verbräuche'!Z161*Emissionsfaktoren!X161/1000, 0)</f>
        <v>0</v>
      </c>
    </row>
    <row r="672" spans="2:25" ht="16.5">
      <c r="B672" s="14">
        <v>145</v>
      </c>
      <c r="C672" s="14">
        <f>'Refsz-Verbräuche'!C162</f>
        <v>0</v>
      </c>
      <c r="D672" s="19">
        <f>'Refsz-Verbräuche'!D162</f>
        <v>0</v>
      </c>
      <c r="E672" t="s">
        <v>195</v>
      </c>
      <c r="F672" s="110">
        <f>IF(ISNUMBER('Klisz-Verbräuche'!G162), 'Klisz-Verbräuche'!G162*Emissionsfaktoren!E162/1000, 0)</f>
        <v>0</v>
      </c>
      <c r="G672" s="110">
        <f>IF(ISNUMBER('Klisz-Verbräuche'!H162), 'Klisz-Verbräuche'!H162*Emissionsfaktoren!F162/1000, 0)</f>
        <v>0</v>
      </c>
      <c r="H672" s="110">
        <f>IF(ISNUMBER('Klisz-Verbräuche'!I162), 'Klisz-Verbräuche'!I162*Emissionsfaktoren!G162/1000, 0)</f>
        <v>0</v>
      </c>
      <c r="I672" s="110">
        <f>IF(ISNUMBER('Klisz-Verbräuche'!J162), 'Klisz-Verbräuche'!J162*Emissionsfaktoren!H162/1000, 0)</f>
        <v>0</v>
      </c>
      <c r="J672" s="110">
        <f>IF(ISNUMBER('Klisz-Verbräuche'!K162), 'Klisz-Verbräuche'!K162*Emissionsfaktoren!I162/1000, 0)</f>
        <v>0</v>
      </c>
      <c r="K672" s="110">
        <f>IF(ISNUMBER('Klisz-Verbräuche'!L162), 'Klisz-Verbräuche'!L162*Emissionsfaktoren!J162/1000, 0)</f>
        <v>0</v>
      </c>
      <c r="L672" s="110">
        <f>IF(ISNUMBER('Klisz-Verbräuche'!M162), 'Klisz-Verbräuche'!M162*Emissionsfaktoren!K162/1000, 0)</f>
        <v>0</v>
      </c>
      <c r="M672" s="110">
        <f>IF(ISNUMBER('Klisz-Verbräuche'!N162), 'Klisz-Verbräuche'!N162*Emissionsfaktoren!L162/1000, 0)</f>
        <v>0</v>
      </c>
      <c r="N672" s="110">
        <f>IF(ISNUMBER('Klisz-Verbräuche'!O162), 'Klisz-Verbräuche'!O162*Emissionsfaktoren!M162/1000, 0)</f>
        <v>0</v>
      </c>
      <c r="O672" s="110">
        <f>IF(ISNUMBER('Klisz-Verbräuche'!P162), 'Klisz-Verbräuche'!P162*Emissionsfaktoren!N162/1000, 0)</f>
        <v>0</v>
      </c>
      <c r="P672" s="110">
        <f>IF(ISNUMBER('Klisz-Verbräuche'!Q162), 'Klisz-Verbräuche'!Q162*Emissionsfaktoren!O162/1000, 0)</f>
        <v>0</v>
      </c>
      <c r="Q672" s="110">
        <f>IF(ISNUMBER('Klisz-Verbräuche'!R162), 'Klisz-Verbräuche'!R162*Emissionsfaktoren!P162/1000, 0)</f>
        <v>0</v>
      </c>
      <c r="R672" s="110">
        <f>IF(ISNUMBER('Klisz-Verbräuche'!S162), 'Klisz-Verbräuche'!S162*Emissionsfaktoren!Q162/1000, 0)</f>
        <v>0</v>
      </c>
      <c r="S672" s="110">
        <f>IF(ISNUMBER('Klisz-Verbräuche'!T162), 'Klisz-Verbräuche'!T162*Emissionsfaktoren!R162/1000, 0)</f>
        <v>0</v>
      </c>
      <c r="T672" s="110">
        <f>IF(ISNUMBER('Klisz-Verbräuche'!U162), 'Klisz-Verbräuche'!U162*Emissionsfaktoren!S162/1000, 0)</f>
        <v>0</v>
      </c>
      <c r="U672" s="110">
        <f>IF(ISNUMBER('Klisz-Verbräuche'!V162), 'Klisz-Verbräuche'!V162*Emissionsfaktoren!T162/1000, 0)</f>
        <v>0</v>
      </c>
      <c r="V672" s="110">
        <f>IF(ISNUMBER('Klisz-Verbräuche'!W162), 'Klisz-Verbräuche'!W162*Emissionsfaktoren!U162/1000, 0)</f>
        <v>0</v>
      </c>
      <c r="W672" s="110">
        <f>IF(ISNUMBER('Klisz-Verbräuche'!X162), 'Klisz-Verbräuche'!X162*Emissionsfaktoren!V162/1000, 0)</f>
        <v>0</v>
      </c>
      <c r="X672" s="110">
        <f>IF(ISNUMBER('Klisz-Verbräuche'!Y162), 'Klisz-Verbräuche'!Y162*Emissionsfaktoren!W162/1000, 0)</f>
        <v>0</v>
      </c>
      <c r="Y672" s="110">
        <f>IF(ISNUMBER('Klisz-Verbräuche'!Z162), 'Klisz-Verbräuche'!Z162*Emissionsfaktoren!X162/1000, 0)</f>
        <v>0</v>
      </c>
    </row>
    <row r="673" spans="2:25" ht="16.5">
      <c r="B673" s="14">
        <v>146</v>
      </c>
      <c r="C673" s="14" t="str">
        <f>'Refsz-Verbräuche'!C163</f>
        <v>Waren mit negativem GWP total</v>
      </c>
      <c r="D673" s="19" t="str">
        <f>'Refsz-Verbräuche'!D163</f>
        <v>Holzfaserdämmpatte (flexibe Matte)</v>
      </c>
      <c r="E673" t="s">
        <v>195</v>
      </c>
      <c r="F673" s="110">
        <f>IF(ISNUMBER('Klisz-Verbräuche'!G163), 'Klisz-Verbräuche'!G163*Emissionsfaktoren!E163/1000, 0)</f>
        <v>0</v>
      </c>
      <c r="G673" s="110">
        <f>IF(ISNUMBER('Klisz-Verbräuche'!H163), 'Klisz-Verbräuche'!H163*Emissionsfaktoren!F163/1000, 0)</f>
        <v>0</v>
      </c>
      <c r="H673" s="110">
        <f>IF(ISNUMBER('Klisz-Verbräuche'!I163), 'Klisz-Verbräuche'!I163*Emissionsfaktoren!G163/1000, 0)</f>
        <v>0</v>
      </c>
      <c r="I673" s="110">
        <f>IF(ISNUMBER('Klisz-Verbräuche'!J163), 'Klisz-Verbräuche'!J163*Emissionsfaktoren!H163/1000, 0)</f>
        <v>0</v>
      </c>
      <c r="J673" s="110">
        <f>IF(ISNUMBER('Klisz-Verbräuche'!K163), 'Klisz-Verbräuche'!K163*Emissionsfaktoren!I163/1000, 0)</f>
        <v>0</v>
      </c>
      <c r="K673" s="110">
        <f>IF(ISNUMBER('Klisz-Verbräuche'!L163), 'Klisz-Verbräuche'!L163*Emissionsfaktoren!J163/1000, 0)</f>
        <v>0</v>
      </c>
      <c r="L673" s="110">
        <f>IF(ISNUMBER('Klisz-Verbräuche'!M163), 'Klisz-Verbräuche'!M163*Emissionsfaktoren!K163/1000, 0)</f>
        <v>0</v>
      </c>
      <c r="M673" s="110">
        <f>IF(ISNUMBER('Klisz-Verbräuche'!N163), 'Klisz-Verbräuche'!N163*Emissionsfaktoren!L163/1000, 0)</f>
        <v>0</v>
      </c>
      <c r="N673" s="110">
        <f>IF(ISNUMBER('Klisz-Verbräuche'!O163), 'Klisz-Verbräuche'!O163*Emissionsfaktoren!M163/1000, 0)</f>
        <v>0</v>
      </c>
      <c r="O673" s="110">
        <f>IF(ISNUMBER('Klisz-Verbräuche'!P163), 'Klisz-Verbräuche'!P163*Emissionsfaktoren!N163/1000, 0)</f>
        <v>0</v>
      </c>
      <c r="P673" s="110">
        <f>IF(ISNUMBER('Klisz-Verbräuche'!Q163), 'Klisz-Verbräuche'!Q163*Emissionsfaktoren!O163/1000, 0)</f>
        <v>0</v>
      </c>
      <c r="Q673" s="110">
        <f>IF(ISNUMBER('Klisz-Verbräuche'!R163), 'Klisz-Verbräuche'!R163*Emissionsfaktoren!P163/1000, 0)</f>
        <v>0</v>
      </c>
      <c r="R673" s="110">
        <f>IF(ISNUMBER('Klisz-Verbräuche'!S163), 'Klisz-Verbräuche'!S163*Emissionsfaktoren!Q163/1000, 0)</f>
        <v>0</v>
      </c>
      <c r="S673" s="110">
        <f>IF(ISNUMBER('Klisz-Verbräuche'!T163), 'Klisz-Verbräuche'!T163*Emissionsfaktoren!R163/1000, 0)</f>
        <v>0</v>
      </c>
      <c r="T673" s="110">
        <f>IF(ISNUMBER('Klisz-Verbräuche'!U163), 'Klisz-Verbräuche'!U163*Emissionsfaktoren!S163/1000, 0)</f>
        <v>0</v>
      </c>
      <c r="U673" s="110">
        <f>IF(ISNUMBER('Klisz-Verbräuche'!V163), 'Klisz-Verbräuche'!V163*Emissionsfaktoren!T163/1000, 0)</f>
        <v>0</v>
      </c>
      <c r="V673" s="110">
        <f>IF(ISNUMBER('Klisz-Verbräuche'!W163), 'Klisz-Verbräuche'!W163*Emissionsfaktoren!U163/1000, 0)</f>
        <v>0</v>
      </c>
      <c r="W673" s="110">
        <f>IF(ISNUMBER('Klisz-Verbräuche'!X163), 'Klisz-Verbräuche'!X163*Emissionsfaktoren!V163/1000, 0)</f>
        <v>0</v>
      </c>
      <c r="X673" s="110">
        <f>IF(ISNUMBER('Klisz-Verbräuche'!Y163), 'Klisz-Verbräuche'!Y163*Emissionsfaktoren!W163/1000, 0)</f>
        <v>0</v>
      </c>
      <c r="Y673" s="110">
        <f>IF(ISNUMBER('Klisz-Verbräuche'!Z163), 'Klisz-Verbräuche'!Z163*Emissionsfaktoren!X163/1000, 0)</f>
        <v>0</v>
      </c>
    </row>
    <row r="674" spans="2:25" ht="16.5">
      <c r="B674" s="14">
        <v>147</v>
      </c>
      <c r="C674" s="14">
        <f>'Refsz-Verbräuche'!C164</f>
        <v>0</v>
      </c>
      <c r="D674" s="19">
        <f>'Refsz-Verbräuche'!D164</f>
        <v>0</v>
      </c>
      <c r="E674" t="s">
        <v>195</v>
      </c>
      <c r="F674" s="110">
        <f>IF(ISNUMBER('Klisz-Verbräuche'!G164), 'Klisz-Verbräuche'!G164*Emissionsfaktoren!E164/1000, 0)</f>
        <v>0</v>
      </c>
      <c r="G674" s="110">
        <f>IF(ISNUMBER('Klisz-Verbräuche'!H164), 'Klisz-Verbräuche'!H164*Emissionsfaktoren!F164/1000, 0)</f>
        <v>0</v>
      </c>
      <c r="H674" s="110">
        <f>IF(ISNUMBER('Klisz-Verbräuche'!I164), 'Klisz-Verbräuche'!I164*Emissionsfaktoren!G164/1000, 0)</f>
        <v>0</v>
      </c>
      <c r="I674" s="110">
        <f>IF(ISNUMBER('Klisz-Verbräuche'!J164), 'Klisz-Verbräuche'!J164*Emissionsfaktoren!H164/1000, 0)</f>
        <v>0</v>
      </c>
      <c r="J674" s="110">
        <f>IF(ISNUMBER('Klisz-Verbräuche'!K164), 'Klisz-Verbräuche'!K164*Emissionsfaktoren!I164/1000, 0)</f>
        <v>0</v>
      </c>
      <c r="K674" s="110">
        <f>IF(ISNUMBER('Klisz-Verbräuche'!L164), 'Klisz-Verbräuche'!L164*Emissionsfaktoren!J164/1000, 0)</f>
        <v>0</v>
      </c>
      <c r="L674" s="110">
        <f>IF(ISNUMBER('Klisz-Verbräuche'!M164), 'Klisz-Verbräuche'!M164*Emissionsfaktoren!K164/1000, 0)</f>
        <v>0</v>
      </c>
      <c r="M674" s="110">
        <f>IF(ISNUMBER('Klisz-Verbräuche'!N164), 'Klisz-Verbräuche'!N164*Emissionsfaktoren!L164/1000, 0)</f>
        <v>0</v>
      </c>
      <c r="N674" s="110">
        <f>IF(ISNUMBER('Klisz-Verbräuche'!O164), 'Klisz-Verbräuche'!O164*Emissionsfaktoren!M164/1000, 0)</f>
        <v>0</v>
      </c>
      <c r="O674" s="110">
        <f>IF(ISNUMBER('Klisz-Verbräuche'!P164), 'Klisz-Verbräuche'!P164*Emissionsfaktoren!N164/1000, 0)</f>
        <v>0</v>
      </c>
      <c r="P674" s="110">
        <f>IF(ISNUMBER('Klisz-Verbräuche'!Q164), 'Klisz-Verbräuche'!Q164*Emissionsfaktoren!O164/1000, 0)</f>
        <v>0</v>
      </c>
      <c r="Q674" s="110">
        <f>IF(ISNUMBER('Klisz-Verbräuche'!R164), 'Klisz-Verbräuche'!R164*Emissionsfaktoren!P164/1000, 0)</f>
        <v>0</v>
      </c>
      <c r="R674" s="110">
        <f>IF(ISNUMBER('Klisz-Verbräuche'!S164), 'Klisz-Verbräuche'!S164*Emissionsfaktoren!Q164/1000, 0)</f>
        <v>0</v>
      </c>
      <c r="S674" s="110">
        <f>IF(ISNUMBER('Klisz-Verbräuche'!T164), 'Klisz-Verbräuche'!T164*Emissionsfaktoren!R164/1000, 0)</f>
        <v>0</v>
      </c>
      <c r="T674" s="110">
        <f>IF(ISNUMBER('Klisz-Verbräuche'!U164), 'Klisz-Verbräuche'!U164*Emissionsfaktoren!S164/1000, 0)</f>
        <v>0</v>
      </c>
      <c r="U674" s="110">
        <f>IF(ISNUMBER('Klisz-Verbräuche'!V164), 'Klisz-Verbräuche'!V164*Emissionsfaktoren!T164/1000, 0)</f>
        <v>0</v>
      </c>
      <c r="V674" s="110">
        <f>IF(ISNUMBER('Klisz-Verbräuche'!W164), 'Klisz-Verbräuche'!W164*Emissionsfaktoren!U164/1000, 0)</f>
        <v>0</v>
      </c>
      <c r="W674" s="110">
        <f>IF(ISNUMBER('Klisz-Verbräuche'!X164), 'Klisz-Verbräuche'!X164*Emissionsfaktoren!V164/1000, 0)</f>
        <v>0</v>
      </c>
      <c r="X674" s="110">
        <f>IF(ISNUMBER('Klisz-Verbräuche'!Y164), 'Klisz-Verbräuche'!Y164*Emissionsfaktoren!W164/1000, 0)</f>
        <v>0</v>
      </c>
      <c r="Y674" s="110">
        <f>IF(ISNUMBER('Klisz-Verbräuche'!Z164), 'Klisz-Verbräuche'!Z164*Emissionsfaktoren!X164/1000, 0)</f>
        <v>0</v>
      </c>
    </row>
    <row r="675" spans="2:25" ht="16.5">
      <c r="B675" s="14">
        <v>148</v>
      </c>
      <c r="C675" s="14" t="str">
        <f>'Refsz-Verbräuche'!C165</f>
        <v>Kompensation</v>
      </c>
      <c r="D675" s="19" t="str">
        <f>'Refsz-Verbräuche'!D165</f>
        <v>Kompensation</v>
      </c>
      <c r="E675" t="s">
        <v>195</v>
      </c>
      <c r="F675" s="110">
        <f>IF(ISNUMBER('Klisz-Verbräuche'!G165), 'Klisz-Verbräuche'!G165*Emissionsfaktoren!E165/1000, 0)</f>
        <v>0</v>
      </c>
      <c r="G675" s="110">
        <f>IF(ISNUMBER('Klisz-Verbräuche'!H165), 'Klisz-Verbräuche'!H165*Emissionsfaktoren!F165/1000, 0)</f>
        <v>0</v>
      </c>
      <c r="H675" s="110">
        <f>IF(ISNUMBER('Klisz-Verbräuche'!I165), 'Klisz-Verbräuche'!I165*Emissionsfaktoren!G165/1000, 0)</f>
        <v>0</v>
      </c>
      <c r="I675" s="110">
        <f>IF(ISNUMBER('Klisz-Verbräuche'!J165), 'Klisz-Verbräuche'!J165*Emissionsfaktoren!H165/1000, 0)</f>
        <v>0</v>
      </c>
      <c r="J675" s="110">
        <f>IF(ISNUMBER('Klisz-Verbräuche'!K165), 'Klisz-Verbräuche'!K165*Emissionsfaktoren!I165/1000, 0)</f>
        <v>0</v>
      </c>
      <c r="K675" s="110">
        <f>IF(ISNUMBER('Klisz-Verbräuche'!L165), 'Klisz-Verbräuche'!L165*Emissionsfaktoren!J165/1000, 0)</f>
        <v>0</v>
      </c>
      <c r="L675" s="110">
        <f>IF(ISNUMBER('Klisz-Verbräuche'!M165), 'Klisz-Verbräuche'!M165*Emissionsfaktoren!K165/1000, 0)</f>
        <v>0</v>
      </c>
      <c r="M675" s="110">
        <f>IF(ISNUMBER('Klisz-Verbräuche'!N165), 'Klisz-Verbräuche'!N165*Emissionsfaktoren!L165/1000, 0)</f>
        <v>0</v>
      </c>
      <c r="N675" s="110">
        <f>IF(ISNUMBER('Klisz-Verbräuche'!O165), 'Klisz-Verbräuche'!O165*Emissionsfaktoren!M165/1000, 0)</f>
        <v>0</v>
      </c>
      <c r="O675" s="110">
        <f>IF(ISNUMBER('Klisz-Verbräuche'!P165), 'Klisz-Verbräuche'!P165*Emissionsfaktoren!N165/1000, 0)</f>
        <v>0</v>
      </c>
      <c r="P675" s="110">
        <f>IF(ISNUMBER('Klisz-Verbräuche'!Q165), 'Klisz-Verbräuche'!Q165*Emissionsfaktoren!O165/1000, 0)</f>
        <v>0</v>
      </c>
      <c r="Q675" s="110">
        <f>IF(ISNUMBER('Klisz-Verbräuche'!R165), 'Klisz-Verbräuche'!R165*Emissionsfaktoren!P165/1000, 0)</f>
        <v>0</v>
      </c>
      <c r="R675" s="110">
        <f>IF(ISNUMBER('Klisz-Verbräuche'!S165), 'Klisz-Verbräuche'!S165*Emissionsfaktoren!Q165/1000, 0)</f>
        <v>0</v>
      </c>
      <c r="S675" s="110">
        <f>IF(ISNUMBER('Klisz-Verbräuche'!T165), 'Klisz-Verbräuche'!T165*Emissionsfaktoren!R165/1000, 0)</f>
        <v>0</v>
      </c>
      <c r="T675" s="110">
        <f>IF(ISNUMBER('Klisz-Verbräuche'!U165), 'Klisz-Verbräuche'!U165*Emissionsfaktoren!S165/1000, 0)</f>
        <v>0</v>
      </c>
      <c r="U675" s="110">
        <f>IF(ISNUMBER('Klisz-Verbräuche'!V165), 'Klisz-Verbräuche'!V165*Emissionsfaktoren!T165/1000, 0)</f>
        <v>0</v>
      </c>
      <c r="V675" s="110">
        <f>IF(ISNUMBER('Klisz-Verbräuche'!W165), 'Klisz-Verbräuche'!W165*Emissionsfaktoren!U165/1000, 0)</f>
        <v>0</v>
      </c>
      <c r="W675" s="110">
        <f>IF(ISNUMBER('Klisz-Verbräuche'!X165), 'Klisz-Verbräuche'!X165*Emissionsfaktoren!V165/1000, 0)</f>
        <v>0</v>
      </c>
      <c r="X675" s="110">
        <f>IF(ISNUMBER('Klisz-Verbräuche'!Y165), 'Klisz-Verbräuche'!Y165*Emissionsfaktoren!W165/1000, 0)</f>
        <v>0</v>
      </c>
      <c r="Y675" s="110">
        <f>IF(ISNUMBER('Klisz-Verbräuche'!Z165), 'Klisz-Verbräuche'!Z165*Emissionsfaktoren!X165/1000, 0)</f>
        <v>0</v>
      </c>
    </row>
    <row r="676" spans="2:25" ht="16.5">
      <c r="B676" s="14">
        <v>149</v>
      </c>
      <c r="C676" s="14">
        <f>'Refsz-Verbräuche'!C166</f>
        <v>0</v>
      </c>
      <c r="D676" s="19">
        <f>'Refsz-Verbräuche'!D166</f>
        <v>0</v>
      </c>
      <c r="E676" t="s">
        <v>195</v>
      </c>
      <c r="F676" s="110">
        <f>IF(ISNUMBER('Klisz-Verbräuche'!G166), 'Klisz-Verbräuche'!G166*Emissionsfaktoren!E166/1000, 0)</f>
        <v>0</v>
      </c>
      <c r="G676" s="110">
        <f>IF(ISNUMBER('Klisz-Verbräuche'!H166), 'Klisz-Verbräuche'!H166*Emissionsfaktoren!F166/1000, 0)</f>
        <v>0</v>
      </c>
      <c r="H676" s="110">
        <f>IF(ISNUMBER('Klisz-Verbräuche'!I166), 'Klisz-Verbräuche'!I166*Emissionsfaktoren!G166/1000, 0)</f>
        <v>0</v>
      </c>
      <c r="I676" s="110">
        <f>IF(ISNUMBER('Klisz-Verbräuche'!J166), 'Klisz-Verbräuche'!J166*Emissionsfaktoren!H166/1000, 0)</f>
        <v>0</v>
      </c>
      <c r="J676" s="110">
        <f>IF(ISNUMBER('Klisz-Verbräuche'!K166), 'Klisz-Verbräuche'!K166*Emissionsfaktoren!I166/1000, 0)</f>
        <v>0</v>
      </c>
      <c r="K676" s="110">
        <f>IF(ISNUMBER('Klisz-Verbräuche'!L166), 'Klisz-Verbräuche'!L166*Emissionsfaktoren!J166/1000, 0)</f>
        <v>0</v>
      </c>
      <c r="L676" s="110">
        <f>IF(ISNUMBER('Klisz-Verbräuche'!M166), 'Klisz-Verbräuche'!M166*Emissionsfaktoren!K166/1000, 0)</f>
        <v>0</v>
      </c>
      <c r="M676" s="110">
        <f>IF(ISNUMBER('Klisz-Verbräuche'!N166), 'Klisz-Verbräuche'!N166*Emissionsfaktoren!L166/1000, 0)</f>
        <v>0</v>
      </c>
      <c r="N676" s="110">
        <f>IF(ISNUMBER('Klisz-Verbräuche'!O166), 'Klisz-Verbräuche'!O166*Emissionsfaktoren!M166/1000, 0)</f>
        <v>0</v>
      </c>
      <c r="O676" s="110">
        <f>IF(ISNUMBER('Klisz-Verbräuche'!P166), 'Klisz-Verbräuche'!P166*Emissionsfaktoren!N166/1000, 0)</f>
        <v>0</v>
      </c>
      <c r="P676" s="110">
        <f>IF(ISNUMBER('Klisz-Verbräuche'!Q166), 'Klisz-Verbräuche'!Q166*Emissionsfaktoren!O166/1000, 0)</f>
        <v>0</v>
      </c>
      <c r="Q676" s="110">
        <f>IF(ISNUMBER('Klisz-Verbräuche'!R166), 'Klisz-Verbräuche'!R166*Emissionsfaktoren!P166/1000, 0)</f>
        <v>0</v>
      </c>
      <c r="R676" s="110">
        <f>IF(ISNUMBER('Klisz-Verbräuche'!S166), 'Klisz-Verbräuche'!S166*Emissionsfaktoren!Q166/1000, 0)</f>
        <v>0</v>
      </c>
      <c r="S676" s="110">
        <f>IF(ISNUMBER('Klisz-Verbräuche'!T166), 'Klisz-Verbräuche'!T166*Emissionsfaktoren!R166/1000, 0)</f>
        <v>0</v>
      </c>
      <c r="T676" s="110">
        <f>IF(ISNUMBER('Klisz-Verbräuche'!U166), 'Klisz-Verbräuche'!U166*Emissionsfaktoren!S166/1000, 0)</f>
        <v>0</v>
      </c>
      <c r="U676" s="110">
        <f>IF(ISNUMBER('Klisz-Verbräuche'!V166), 'Klisz-Verbräuche'!V166*Emissionsfaktoren!T166/1000, 0)</f>
        <v>0</v>
      </c>
      <c r="V676" s="110">
        <f>IF(ISNUMBER('Klisz-Verbräuche'!W166), 'Klisz-Verbräuche'!W166*Emissionsfaktoren!U166/1000, 0)</f>
        <v>0</v>
      </c>
      <c r="W676" s="110">
        <f>IF(ISNUMBER('Klisz-Verbräuche'!X166), 'Klisz-Verbräuche'!X166*Emissionsfaktoren!V166/1000, 0)</f>
        <v>0</v>
      </c>
      <c r="X676" s="110">
        <f>IF(ISNUMBER('Klisz-Verbräuche'!Y166), 'Klisz-Verbräuche'!Y166*Emissionsfaktoren!W166/1000, 0)</f>
        <v>0</v>
      </c>
      <c r="Y676" s="110">
        <f>IF(ISNUMBER('Klisz-Verbräuche'!Z166), 'Klisz-Verbräuche'!Z166*Emissionsfaktoren!X166/1000, 0)</f>
        <v>0</v>
      </c>
    </row>
    <row r="677" spans="2:25" ht="16.5">
      <c r="B677" s="14">
        <v>150</v>
      </c>
      <c r="C677" s="14">
        <f>'Refsz-Verbräuche'!C167</f>
        <v>0</v>
      </c>
      <c r="D677" s="19">
        <f>'Refsz-Verbräuche'!D167</f>
        <v>0</v>
      </c>
      <c r="E677" t="s">
        <v>195</v>
      </c>
      <c r="F677" s="110">
        <f>IF(ISNUMBER('Klisz-Verbräuche'!G167), 'Klisz-Verbräuche'!G167*Emissionsfaktoren!E167/1000, 0)</f>
        <v>0</v>
      </c>
      <c r="G677" s="110">
        <f>IF(ISNUMBER('Klisz-Verbräuche'!H167), 'Klisz-Verbräuche'!H167*Emissionsfaktoren!F167/1000, 0)</f>
        <v>0</v>
      </c>
      <c r="H677" s="110">
        <f>IF(ISNUMBER('Klisz-Verbräuche'!I167), 'Klisz-Verbräuche'!I167*Emissionsfaktoren!G167/1000, 0)</f>
        <v>0</v>
      </c>
      <c r="I677" s="110">
        <f>IF(ISNUMBER('Klisz-Verbräuche'!J167), 'Klisz-Verbräuche'!J167*Emissionsfaktoren!H167/1000, 0)</f>
        <v>0</v>
      </c>
      <c r="J677" s="110">
        <f>IF(ISNUMBER('Klisz-Verbräuche'!K167), 'Klisz-Verbräuche'!K167*Emissionsfaktoren!I167/1000, 0)</f>
        <v>0</v>
      </c>
      <c r="K677" s="110">
        <f>IF(ISNUMBER('Klisz-Verbräuche'!L167), 'Klisz-Verbräuche'!L167*Emissionsfaktoren!J167/1000, 0)</f>
        <v>0</v>
      </c>
      <c r="L677" s="110">
        <f>IF(ISNUMBER('Klisz-Verbräuche'!M167), 'Klisz-Verbräuche'!M167*Emissionsfaktoren!K167/1000, 0)</f>
        <v>0</v>
      </c>
      <c r="M677" s="110">
        <f>IF(ISNUMBER('Klisz-Verbräuche'!N167), 'Klisz-Verbräuche'!N167*Emissionsfaktoren!L167/1000, 0)</f>
        <v>0</v>
      </c>
      <c r="N677" s="110">
        <f>IF(ISNUMBER('Klisz-Verbräuche'!O167), 'Klisz-Verbräuche'!O167*Emissionsfaktoren!M167/1000, 0)</f>
        <v>0</v>
      </c>
      <c r="O677" s="110">
        <f>IF(ISNUMBER('Klisz-Verbräuche'!P167), 'Klisz-Verbräuche'!P167*Emissionsfaktoren!N167/1000, 0)</f>
        <v>0</v>
      </c>
      <c r="P677" s="110">
        <f>IF(ISNUMBER('Klisz-Verbräuche'!Q167), 'Klisz-Verbräuche'!Q167*Emissionsfaktoren!O167/1000, 0)</f>
        <v>0</v>
      </c>
      <c r="Q677" s="110">
        <f>IF(ISNUMBER('Klisz-Verbräuche'!R167), 'Klisz-Verbräuche'!R167*Emissionsfaktoren!P167/1000, 0)</f>
        <v>0</v>
      </c>
      <c r="R677" s="110">
        <f>IF(ISNUMBER('Klisz-Verbräuche'!S167), 'Klisz-Verbräuche'!S167*Emissionsfaktoren!Q167/1000, 0)</f>
        <v>0</v>
      </c>
      <c r="S677" s="110">
        <f>IF(ISNUMBER('Klisz-Verbräuche'!T167), 'Klisz-Verbräuche'!T167*Emissionsfaktoren!R167/1000, 0)</f>
        <v>0</v>
      </c>
      <c r="T677" s="110">
        <f>IF(ISNUMBER('Klisz-Verbräuche'!U167), 'Klisz-Verbräuche'!U167*Emissionsfaktoren!S167/1000, 0)</f>
        <v>0</v>
      </c>
      <c r="U677" s="110">
        <f>IF(ISNUMBER('Klisz-Verbräuche'!V167), 'Klisz-Verbräuche'!V167*Emissionsfaktoren!T167/1000, 0)</f>
        <v>0</v>
      </c>
      <c r="V677" s="110">
        <f>IF(ISNUMBER('Klisz-Verbräuche'!W167), 'Klisz-Verbräuche'!W167*Emissionsfaktoren!U167/1000, 0)</f>
        <v>0</v>
      </c>
      <c r="W677" s="110">
        <f>IF(ISNUMBER('Klisz-Verbräuche'!X167), 'Klisz-Verbräuche'!X167*Emissionsfaktoren!V167/1000, 0)</f>
        <v>0</v>
      </c>
      <c r="X677" s="110">
        <f>IF(ISNUMBER('Klisz-Verbräuche'!Y167), 'Klisz-Verbräuche'!Y167*Emissionsfaktoren!W167/1000, 0)</f>
        <v>0</v>
      </c>
      <c r="Y677" s="110">
        <f>IF(ISNUMBER('Klisz-Verbräuche'!Z167), 'Klisz-Verbräuche'!Z167*Emissionsfaktoren!X167/1000, 0)</f>
        <v>0</v>
      </c>
    </row>
    <row r="678" spans="2:25" ht="16.5">
      <c r="B678" s="14">
        <v>151</v>
      </c>
      <c r="C678" s="14">
        <f>'Refsz-Verbräuche'!C168</f>
        <v>0</v>
      </c>
      <c r="D678" s="19">
        <f>'Refsz-Verbräuche'!D168</f>
        <v>0</v>
      </c>
      <c r="E678" t="s">
        <v>195</v>
      </c>
      <c r="F678" s="110">
        <f>IF(ISNUMBER('Klisz-Verbräuche'!G168), 'Klisz-Verbräuche'!G168*Emissionsfaktoren!E168/1000, 0)</f>
        <v>0</v>
      </c>
      <c r="G678" s="110">
        <f>IF(ISNUMBER('Klisz-Verbräuche'!H168), 'Klisz-Verbräuche'!H168*Emissionsfaktoren!F168/1000, 0)</f>
        <v>0</v>
      </c>
      <c r="H678" s="110">
        <f>IF(ISNUMBER('Klisz-Verbräuche'!I168), 'Klisz-Verbräuche'!I168*Emissionsfaktoren!G168/1000, 0)</f>
        <v>0</v>
      </c>
      <c r="I678" s="110">
        <f>IF(ISNUMBER('Klisz-Verbräuche'!J168), 'Klisz-Verbräuche'!J168*Emissionsfaktoren!H168/1000, 0)</f>
        <v>0</v>
      </c>
      <c r="J678" s="110">
        <f>IF(ISNUMBER('Klisz-Verbräuche'!K168), 'Klisz-Verbräuche'!K168*Emissionsfaktoren!I168/1000, 0)</f>
        <v>0</v>
      </c>
      <c r="K678" s="110">
        <f>IF(ISNUMBER('Klisz-Verbräuche'!L168), 'Klisz-Verbräuche'!L168*Emissionsfaktoren!J168/1000, 0)</f>
        <v>0</v>
      </c>
      <c r="L678" s="110">
        <f>IF(ISNUMBER('Klisz-Verbräuche'!M168), 'Klisz-Verbräuche'!M168*Emissionsfaktoren!K168/1000, 0)</f>
        <v>0</v>
      </c>
      <c r="M678" s="110">
        <f>IF(ISNUMBER('Klisz-Verbräuche'!N168), 'Klisz-Verbräuche'!N168*Emissionsfaktoren!L168/1000, 0)</f>
        <v>0</v>
      </c>
      <c r="N678" s="110">
        <f>IF(ISNUMBER('Klisz-Verbräuche'!O168), 'Klisz-Verbräuche'!O168*Emissionsfaktoren!M168/1000, 0)</f>
        <v>0</v>
      </c>
      <c r="O678" s="110">
        <f>IF(ISNUMBER('Klisz-Verbräuche'!P168), 'Klisz-Verbräuche'!P168*Emissionsfaktoren!N168/1000, 0)</f>
        <v>0</v>
      </c>
      <c r="P678" s="110">
        <f>IF(ISNUMBER('Klisz-Verbräuche'!Q168), 'Klisz-Verbräuche'!Q168*Emissionsfaktoren!O168/1000, 0)</f>
        <v>0</v>
      </c>
      <c r="Q678" s="110">
        <f>IF(ISNUMBER('Klisz-Verbräuche'!R168), 'Klisz-Verbräuche'!R168*Emissionsfaktoren!P168/1000, 0)</f>
        <v>0</v>
      </c>
      <c r="R678" s="110">
        <f>IF(ISNUMBER('Klisz-Verbräuche'!S168), 'Klisz-Verbräuche'!S168*Emissionsfaktoren!Q168/1000, 0)</f>
        <v>0</v>
      </c>
      <c r="S678" s="110">
        <f>IF(ISNUMBER('Klisz-Verbräuche'!T168), 'Klisz-Verbräuche'!T168*Emissionsfaktoren!R168/1000, 0)</f>
        <v>0</v>
      </c>
      <c r="T678" s="110">
        <f>IF(ISNUMBER('Klisz-Verbräuche'!U168), 'Klisz-Verbräuche'!U168*Emissionsfaktoren!S168/1000, 0)</f>
        <v>0</v>
      </c>
      <c r="U678" s="110">
        <f>IF(ISNUMBER('Klisz-Verbräuche'!V168), 'Klisz-Verbräuche'!V168*Emissionsfaktoren!T168/1000, 0)</f>
        <v>0</v>
      </c>
      <c r="V678" s="110">
        <f>IF(ISNUMBER('Klisz-Verbräuche'!W168), 'Klisz-Verbräuche'!W168*Emissionsfaktoren!U168/1000, 0)</f>
        <v>0</v>
      </c>
      <c r="W678" s="110">
        <f>IF(ISNUMBER('Klisz-Verbräuche'!X168), 'Klisz-Verbräuche'!X168*Emissionsfaktoren!V168/1000, 0)</f>
        <v>0</v>
      </c>
      <c r="X678" s="110">
        <f>IF(ISNUMBER('Klisz-Verbräuche'!Y168), 'Klisz-Verbräuche'!Y168*Emissionsfaktoren!W168/1000, 0)</f>
        <v>0</v>
      </c>
      <c r="Y678" s="110">
        <f>IF(ISNUMBER('Klisz-Verbräuche'!Z168), 'Klisz-Verbräuche'!Z168*Emissionsfaktoren!X168/1000, 0)</f>
        <v>0</v>
      </c>
    </row>
    <row r="679" spans="2:25" ht="16.5">
      <c r="B679" s="14">
        <v>152</v>
      </c>
      <c r="C679" s="14">
        <f>'Refsz-Verbräuche'!C169</f>
        <v>0</v>
      </c>
      <c r="D679" s="19">
        <f>'Refsz-Verbräuche'!D169</f>
        <v>0</v>
      </c>
      <c r="E679" t="s">
        <v>195</v>
      </c>
      <c r="F679" s="110">
        <f>IF(ISNUMBER('Klisz-Verbräuche'!G169), 'Klisz-Verbräuche'!G169*Emissionsfaktoren!E169/1000, 0)</f>
        <v>0</v>
      </c>
      <c r="G679" s="110">
        <f>IF(ISNUMBER('Klisz-Verbräuche'!H169), 'Klisz-Verbräuche'!H169*Emissionsfaktoren!F169/1000, 0)</f>
        <v>0</v>
      </c>
      <c r="H679" s="110">
        <f>IF(ISNUMBER('Klisz-Verbräuche'!I169), 'Klisz-Verbräuche'!I169*Emissionsfaktoren!G169/1000, 0)</f>
        <v>0</v>
      </c>
      <c r="I679" s="110">
        <f>IF(ISNUMBER('Klisz-Verbräuche'!J169), 'Klisz-Verbräuche'!J169*Emissionsfaktoren!H169/1000, 0)</f>
        <v>0</v>
      </c>
      <c r="J679" s="110">
        <f>IF(ISNUMBER('Klisz-Verbräuche'!K169), 'Klisz-Verbräuche'!K169*Emissionsfaktoren!I169/1000, 0)</f>
        <v>0</v>
      </c>
      <c r="K679" s="110">
        <f>IF(ISNUMBER('Klisz-Verbräuche'!L169), 'Klisz-Verbräuche'!L169*Emissionsfaktoren!J169/1000, 0)</f>
        <v>0</v>
      </c>
      <c r="L679" s="110">
        <f>IF(ISNUMBER('Klisz-Verbräuche'!M169), 'Klisz-Verbräuche'!M169*Emissionsfaktoren!K169/1000, 0)</f>
        <v>0</v>
      </c>
      <c r="M679" s="110">
        <f>IF(ISNUMBER('Klisz-Verbräuche'!N169), 'Klisz-Verbräuche'!N169*Emissionsfaktoren!L169/1000, 0)</f>
        <v>0</v>
      </c>
      <c r="N679" s="110">
        <f>IF(ISNUMBER('Klisz-Verbräuche'!O169), 'Klisz-Verbräuche'!O169*Emissionsfaktoren!M169/1000, 0)</f>
        <v>0</v>
      </c>
      <c r="O679" s="110">
        <f>IF(ISNUMBER('Klisz-Verbräuche'!P169), 'Klisz-Verbräuche'!P169*Emissionsfaktoren!N169/1000, 0)</f>
        <v>0</v>
      </c>
      <c r="P679" s="110">
        <f>IF(ISNUMBER('Klisz-Verbräuche'!Q169), 'Klisz-Verbräuche'!Q169*Emissionsfaktoren!O169/1000, 0)</f>
        <v>0</v>
      </c>
      <c r="Q679" s="110">
        <f>IF(ISNUMBER('Klisz-Verbräuche'!R169), 'Klisz-Verbräuche'!R169*Emissionsfaktoren!P169/1000, 0)</f>
        <v>0</v>
      </c>
      <c r="R679" s="110">
        <f>IF(ISNUMBER('Klisz-Verbräuche'!S169), 'Klisz-Verbräuche'!S169*Emissionsfaktoren!Q169/1000, 0)</f>
        <v>0</v>
      </c>
      <c r="S679" s="110">
        <f>IF(ISNUMBER('Klisz-Verbräuche'!T169), 'Klisz-Verbräuche'!T169*Emissionsfaktoren!R169/1000, 0)</f>
        <v>0</v>
      </c>
      <c r="T679" s="110">
        <f>IF(ISNUMBER('Klisz-Verbräuche'!U169), 'Klisz-Verbräuche'!U169*Emissionsfaktoren!S169/1000, 0)</f>
        <v>0</v>
      </c>
      <c r="U679" s="110">
        <f>IF(ISNUMBER('Klisz-Verbräuche'!V169), 'Klisz-Verbräuche'!V169*Emissionsfaktoren!T169/1000, 0)</f>
        <v>0</v>
      </c>
      <c r="V679" s="110">
        <f>IF(ISNUMBER('Klisz-Verbräuche'!W169), 'Klisz-Verbräuche'!W169*Emissionsfaktoren!U169/1000, 0)</f>
        <v>0</v>
      </c>
      <c r="W679" s="110">
        <f>IF(ISNUMBER('Klisz-Verbräuche'!X169), 'Klisz-Verbräuche'!X169*Emissionsfaktoren!V169/1000, 0)</f>
        <v>0</v>
      </c>
      <c r="X679" s="110">
        <f>IF(ISNUMBER('Klisz-Verbräuche'!Y169), 'Klisz-Verbräuche'!Y169*Emissionsfaktoren!W169/1000, 0)</f>
        <v>0</v>
      </c>
      <c r="Y679" s="110">
        <f>IF(ISNUMBER('Klisz-Verbräuche'!Z169), 'Klisz-Verbräuche'!Z169*Emissionsfaktoren!X169/1000, 0)</f>
        <v>0</v>
      </c>
    </row>
    <row r="680" spans="2:25" ht="16.5">
      <c r="B680" s="14">
        <v>153</v>
      </c>
      <c r="C680" s="14">
        <f>'Refsz-Verbräuche'!C170</f>
        <v>0</v>
      </c>
      <c r="D680" s="19">
        <f>'Refsz-Verbräuche'!D170</f>
        <v>0</v>
      </c>
      <c r="E680" t="s">
        <v>195</v>
      </c>
      <c r="F680" s="110">
        <f>IF(ISNUMBER('Klisz-Verbräuche'!G170), 'Klisz-Verbräuche'!G170*Emissionsfaktoren!E170/1000, 0)</f>
        <v>0</v>
      </c>
      <c r="G680" s="110">
        <f>IF(ISNUMBER('Klisz-Verbräuche'!H170), 'Klisz-Verbräuche'!H170*Emissionsfaktoren!F170/1000, 0)</f>
        <v>0</v>
      </c>
      <c r="H680" s="110">
        <f>IF(ISNUMBER('Klisz-Verbräuche'!I170), 'Klisz-Verbräuche'!I170*Emissionsfaktoren!G170/1000, 0)</f>
        <v>0</v>
      </c>
      <c r="I680" s="110">
        <f>IF(ISNUMBER('Klisz-Verbräuche'!J170), 'Klisz-Verbräuche'!J170*Emissionsfaktoren!H170/1000, 0)</f>
        <v>0</v>
      </c>
      <c r="J680" s="110">
        <f>IF(ISNUMBER('Klisz-Verbräuche'!K170), 'Klisz-Verbräuche'!K170*Emissionsfaktoren!I170/1000, 0)</f>
        <v>0</v>
      </c>
      <c r="K680" s="110">
        <f>IF(ISNUMBER('Klisz-Verbräuche'!L170), 'Klisz-Verbräuche'!L170*Emissionsfaktoren!J170/1000, 0)</f>
        <v>0</v>
      </c>
      <c r="L680" s="110">
        <f>IF(ISNUMBER('Klisz-Verbräuche'!M170), 'Klisz-Verbräuche'!M170*Emissionsfaktoren!K170/1000, 0)</f>
        <v>0</v>
      </c>
      <c r="M680" s="110">
        <f>IF(ISNUMBER('Klisz-Verbräuche'!N170), 'Klisz-Verbräuche'!N170*Emissionsfaktoren!L170/1000, 0)</f>
        <v>0</v>
      </c>
      <c r="N680" s="110">
        <f>IF(ISNUMBER('Klisz-Verbräuche'!O170), 'Klisz-Verbräuche'!O170*Emissionsfaktoren!M170/1000, 0)</f>
        <v>0</v>
      </c>
      <c r="O680" s="110">
        <f>IF(ISNUMBER('Klisz-Verbräuche'!P170), 'Klisz-Verbräuche'!P170*Emissionsfaktoren!N170/1000, 0)</f>
        <v>0</v>
      </c>
      <c r="P680" s="110">
        <f>IF(ISNUMBER('Klisz-Verbräuche'!Q170), 'Klisz-Verbräuche'!Q170*Emissionsfaktoren!O170/1000, 0)</f>
        <v>0</v>
      </c>
      <c r="Q680" s="110">
        <f>IF(ISNUMBER('Klisz-Verbräuche'!R170), 'Klisz-Verbräuche'!R170*Emissionsfaktoren!P170/1000, 0)</f>
        <v>0</v>
      </c>
      <c r="R680" s="110">
        <f>IF(ISNUMBER('Klisz-Verbräuche'!S170), 'Klisz-Verbräuche'!S170*Emissionsfaktoren!Q170/1000, 0)</f>
        <v>0</v>
      </c>
      <c r="S680" s="110">
        <f>IF(ISNUMBER('Klisz-Verbräuche'!T170), 'Klisz-Verbräuche'!T170*Emissionsfaktoren!R170/1000, 0)</f>
        <v>0</v>
      </c>
      <c r="T680" s="110">
        <f>IF(ISNUMBER('Klisz-Verbräuche'!U170), 'Klisz-Verbräuche'!U170*Emissionsfaktoren!S170/1000, 0)</f>
        <v>0</v>
      </c>
      <c r="U680" s="110">
        <f>IF(ISNUMBER('Klisz-Verbräuche'!V170), 'Klisz-Verbräuche'!V170*Emissionsfaktoren!T170/1000, 0)</f>
        <v>0</v>
      </c>
      <c r="V680" s="110">
        <f>IF(ISNUMBER('Klisz-Verbräuche'!W170), 'Klisz-Verbräuche'!W170*Emissionsfaktoren!U170/1000, 0)</f>
        <v>0</v>
      </c>
      <c r="W680" s="110">
        <f>IF(ISNUMBER('Klisz-Verbräuche'!X170), 'Klisz-Verbräuche'!X170*Emissionsfaktoren!V170/1000, 0)</f>
        <v>0</v>
      </c>
      <c r="X680" s="110">
        <f>IF(ISNUMBER('Klisz-Verbräuche'!Y170), 'Klisz-Verbräuche'!Y170*Emissionsfaktoren!W170/1000, 0)</f>
        <v>0</v>
      </c>
      <c r="Y680" s="110">
        <f>IF(ISNUMBER('Klisz-Verbräuche'!Z170), 'Klisz-Verbräuche'!Z170*Emissionsfaktoren!X170/1000, 0)</f>
        <v>0</v>
      </c>
    </row>
    <row r="681" spans="2:25" ht="16.5">
      <c r="B681" s="14">
        <v>154</v>
      </c>
      <c r="C681" s="14">
        <f>'Refsz-Verbräuche'!C171</f>
        <v>0</v>
      </c>
      <c r="D681" s="19">
        <f>'Refsz-Verbräuche'!D171</f>
        <v>0</v>
      </c>
      <c r="E681" t="s">
        <v>195</v>
      </c>
      <c r="F681" s="110">
        <f>IF(ISNUMBER('Klisz-Verbräuche'!G171), 'Klisz-Verbräuche'!G171*Emissionsfaktoren!E171/1000, 0)</f>
        <v>0</v>
      </c>
      <c r="G681" s="110">
        <f>IF(ISNUMBER('Klisz-Verbräuche'!H171), 'Klisz-Verbräuche'!H171*Emissionsfaktoren!F171/1000, 0)</f>
        <v>0</v>
      </c>
      <c r="H681" s="110">
        <f>IF(ISNUMBER('Klisz-Verbräuche'!I171), 'Klisz-Verbräuche'!I171*Emissionsfaktoren!G171/1000, 0)</f>
        <v>0</v>
      </c>
      <c r="I681" s="110">
        <f>IF(ISNUMBER('Klisz-Verbräuche'!J171), 'Klisz-Verbräuche'!J171*Emissionsfaktoren!H171/1000, 0)</f>
        <v>0</v>
      </c>
      <c r="J681" s="110">
        <f>IF(ISNUMBER('Klisz-Verbräuche'!K171), 'Klisz-Verbräuche'!K171*Emissionsfaktoren!I171/1000, 0)</f>
        <v>0</v>
      </c>
      <c r="K681" s="110">
        <f>IF(ISNUMBER('Klisz-Verbräuche'!L171), 'Klisz-Verbräuche'!L171*Emissionsfaktoren!J171/1000, 0)</f>
        <v>0</v>
      </c>
      <c r="L681" s="110">
        <f>IF(ISNUMBER('Klisz-Verbräuche'!M171), 'Klisz-Verbräuche'!M171*Emissionsfaktoren!K171/1000, 0)</f>
        <v>0</v>
      </c>
      <c r="M681" s="110">
        <f>IF(ISNUMBER('Klisz-Verbräuche'!N171), 'Klisz-Verbräuche'!N171*Emissionsfaktoren!L171/1000, 0)</f>
        <v>0</v>
      </c>
      <c r="N681" s="110">
        <f>IF(ISNUMBER('Klisz-Verbräuche'!O171), 'Klisz-Verbräuche'!O171*Emissionsfaktoren!M171/1000, 0)</f>
        <v>0</v>
      </c>
      <c r="O681" s="110">
        <f>IF(ISNUMBER('Klisz-Verbräuche'!P171), 'Klisz-Verbräuche'!P171*Emissionsfaktoren!N171/1000, 0)</f>
        <v>0</v>
      </c>
      <c r="P681" s="110">
        <f>IF(ISNUMBER('Klisz-Verbräuche'!Q171), 'Klisz-Verbräuche'!Q171*Emissionsfaktoren!O171/1000, 0)</f>
        <v>0</v>
      </c>
      <c r="Q681" s="110">
        <f>IF(ISNUMBER('Klisz-Verbräuche'!R171), 'Klisz-Verbräuche'!R171*Emissionsfaktoren!P171/1000, 0)</f>
        <v>0</v>
      </c>
      <c r="R681" s="110">
        <f>IF(ISNUMBER('Klisz-Verbräuche'!S171), 'Klisz-Verbräuche'!S171*Emissionsfaktoren!Q171/1000, 0)</f>
        <v>0</v>
      </c>
      <c r="S681" s="110">
        <f>IF(ISNUMBER('Klisz-Verbräuche'!T171), 'Klisz-Verbräuche'!T171*Emissionsfaktoren!R171/1000, 0)</f>
        <v>0</v>
      </c>
      <c r="T681" s="110">
        <f>IF(ISNUMBER('Klisz-Verbräuche'!U171), 'Klisz-Verbräuche'!U171*Emissionsfaktoren!S171/1000, 0)</f>
        <v>0</v>
      </c>
      <c r="U681" s="110">
        <f>IF(ISNUMBER('Klisz-Verbräuche'!V171), 'Klisz-Verbräuche'!V171*Emissionsfaktoren!T171/1000, 0)</f>
        <v>0</v>
      </c>
      <c r="V681" s="110">
        <f>IF(ISNUMBER('Klisz-Verbräuche'!W171), 'Klisz-Verbräuche'!W171*Emissionsfaktoren!U171/1000, 0)</f>
        <v>0</v>
      </c>
      <c r="W681" s="110">
        <f>IF(ISNUMBER('Klisz-Verbräuche'!X171), 'Klisz-Verbräuche'!X171*Emissionsfaktoren!V171/1000, 0)</f>
        <v>0</v>
      </c>
      <c r="X681" s="110">
        <f>IF(ISNUMBER('Klisz-Verbräuche'!Y171), 'Klisz-Verbräuche'!Y171*Emissionsfaktoren!W171/1000, 0)</f>
        <v>0</v>
      </c>
      <c r="Y681" s="110">
        <f>IF(ISNUMBER('Klisz-Verbräuche'!Z171), 'Klisz-Verbräuche'!Z171*Emissionsfaktoren!X171/1000, 0)</f>
        <v>0</v>
      </c>
    </row>
    <row r="682" spans="2:25" ht="16.5">
      <c r="B682" s="14">
        <v>155</v>
      </c>
      <c r="C682" s="14">
        <f>'Refsz-Verbräuche'!C172</f>
        <v>0</v>
      </c>
      <c r="D682" s="19">
        <f>'Refsz-Verbräuche'!D172</f>
        <v>0</v>
      </c>
      <c r="E682" t="s">
        <v>195</v>
      </c>
      <c r="F682" s="110">
        <f>IF(ISNUMBER('Klisz-Verbräuche'!G172), 'Klisz-Verbräuche'!G172*Emissionsfaktoren!E172/1000, 0)</f>
        <v>0</v>
      </c>
      <c r="G682" s="110">
        <f>IF(ISNUMBER('Klisz-Verbräuche'!H172), 'Klisz-Verbräuche'!H172*Emissionsfaktoren!F172/1000, 0)</f>
        <v>0</v>
      </c>
      <c r="H682" s="110">
        <f>IF(ISNUMBER('Klisz-Verbräuche'!I172), 'Klisz-Verbräuche'!I172*Emissionsfaktoren!G172/1000, 0)</f>
        <v>0</v>
      </c>
      <c r="I682" s="110">
        <f>IF(ISNUMBER('Klisz-Verbräuche'!J172), 'Klisz-Verbräuche'!J172*Emissionsfaktoren!H172/1000, 0)</f>
        <v>0</v>
      </c>
      <c r="J682" s="110">
        <f>IF(ISNUMBER('Klisz-Verbräuche'!K172), 'Klisz-Verbräuche'!K172*Emissionsfaktoren!I172/1000, 0)</f>
        <v>0</v>
      </c>
      <c r="K682" s="110">
        <f>IF(ISNUMBER('Klisz-Verbräuche'!L172), 'Klisz-Verbräuche'!L172*Emissionsfaktoren!J172/1000, 0)</f>
        <v>0</v>
      </c>
      <c r="L682" s="110">
        <f>IF(ISNUMBER('Klisz-Verbräuche'!M172), 'Klisz-Verbräuche'!M172*Emissionsfaktoren!K172/1000, 0)</f>
        <v>0</v>
      </c>
      <c r="M682" s="110">
        <f>IF(ISNUMBER('Klisz-Verbräuche'!N172), 'Klisz-Verbräuche'!N172*Emissionsfaktoren!L172/1000, 0)</f>
        <v>0</v>
      </c>
      <c r="N682" s="110">
        <f>IF(ISNUMBER('Klisz-Verbräuche'!O172), 'Klisz-Verbräuche'!O172*Emissionsfaktoren!M172/1000, 0)</f>
        <v>0</v>
      </c>
      <c r="O682" s="110">
        <f>IF(ISNUMBER('Klisz-Verbräuche'!P172), 'Klisz-Verbräuche'!P172*Emissionsfaktoren!N172/1000, 0)</f>
        <v>0</v>
      </c>
      <c r="P682" s="110">
        <f>IF(ISNUMBER('Klisz-Verbräuche'!Q172), 'Klisz-Verbräuche'!Q172*Emissionsfaktoren!O172/1000, 0)</f>
        <v>0</v>
      </c>
      <c r="Q682" s="110">
        <f>IF(ISNUMBER('Klisz-Verbräuche'!R172), 'Klisz-Verbräuche'!R172*Emissionsfaktoren!P172/1000, 0)</f>
        <v>0</v>
      </c>
      <c r="R682" s="110">
        <f>IF(ISNUMBER('Klisz-Verbräuche'!S172), 'Klisz-Verbräuche'!S172*Emissionsfaktoren!Q172/1000, 0)</f>
        <v>0</v>
      </c>
      <c r="S682" s="110">
        <f>IF(ISNUMBER('Klisz-Verbräuche'!T172), 'Klisz-Verbräuche'!T172*Emissionsfaktoren!R172/1000, 0)</f>
        <v>0</v>
      </c>
      <c r="T682" s="110">
        <f>IF(ISNUMBER('Klisz-Verbräuche'!U172), 'Klisz-Verbräuche'!U172*Emissionsfaktoren!S172/1000, 0)</f>
        <v>0</v>
      </c>
      <c r="U682" s="110">
        <f>IF(ISNUMBER('Klisz-Verbräuche'!V172), 'Klisz-Verbräuche'!V172*Emissionsfaktoren!T172/1000, 0)</f>
        <v>0</v>
      </c>
      <c r="V682" s="110">
        <f>IF(ISNUMBER('Klisz-Verbräuche'!W172), 'Klisz-Verbräuche'!W172*Emissionsfaktoren!U172/1000, 0)</f>
        <v>0</v>
      </c>
      <c r="W682" s="110">
        <f>IF(ISNUMBER('Klisz-Verbräuche'!X172), 'Klisz-Verbräuche'!X172*Emissionsfaktoren!V172/1000, 0)</f>
        <v>0</v>
      </c>
      <c r="X682" s="110">
        <f>IF(ISNUMBER('Klisz-Verbräuche'!Y172), 'Klisz-Verbräuche'!Y172*Emissionsfaktoren!W172/1000, 0)</f>
        <v>0</v>
      </c>
      <c r="Y682" s="110">
        <f>IF(ISNUMBER('Klisz-Verbräuche'!Z172), 'Klisz-Verbräuche'!Z172*Emissionsfaktoren!X172/1000, 0)</f>
        <v>0</v>
      </c>
    </row>
    <row r="683" spans="2:25" ht="16.5">
      <c r="B683" s="14">
        <v>156</v>
      </c>
      <c r="C683" s="14">
        <f>'Refsz-Verbräuche'!C173</f>
        <v>0</v>
      </c>
      <c r="D683" s="19">
        <f>'Refsz-Verbräuche'!D173</f>
        <v>0</v>
      </c>
      <c r="E683" t="s">
        <v>195</v>
      </c>
      <c r="F683" s="110">
        <f>IF(ISNUMBER('Klisz-Verbräuche'!G173), 'Klisz-Verbräuche'!G173*Emissionsfaktoren!E173/1000, 0)</f>
        <v>0</v>
      </c>
      <c r="G683" s="110">
        <f>IF(ISNUMBER('Klisz-Verbräuche'!H173), 'Klisz-Verbräuche'!H173*Emissionsfaktoren!F173/1000, 0)</f>
        <v>0</v>
      </c>
      <c r="H683" s="110">
        <f>IF(ISNUMBER('Klisz-Verbräuche'!I173), 'Klisz-Verbräuche'!I173*Emissionsfaktoren!G173/1000, 0)</f>
        <v>0</v>
      </c>
      <c r="I683" s="110">
        <f>IF(ISNUMBER('Klisz-Verbräuche'!J173), 'Klisz-Verbräuche'!J173*Emissionsfaktoren!H173/1000, 0)</f>
        <v>0</v>
      </c>
      <c r="J683" s="110">
        <f>IF(ISNUMBER('Klisz-Verbräuche'!K173), 'Klisz-Verbräuche'!K173*Emissionsfaktoren!I173/1000, 0)</f>
        <v>0</v>
      </c>
      <c r="K683" s="110">
        <f>IF(ISNUMBER('Klisz-Verbräuche'!L173), 'Klisz-Verbräuche'!L173*Emissionsfaktoren!J173/1000, 0)</f>
        <v>0</v>
      </c>
      <c r="L683" s="110">
        <f>IF(ISNUMBER('Klisz-Verbräuche'!M173), 'Klisz-Verbräuche'!M173*Emissionsfaktoren!K173/1000, 0)</f>
        <v>0</v>
      </c>
      <c r="M683" s="110">
        <f>IF(ISNUMBER('Klisz-Verbräuche'!N173), 'Klisz-Verbräuche'!N173*Emissionsfaktoren!L173/1000, 0)</f>
        <v>0</v>
      </c>
      <c r="N683" s="110">
        <f>IF(ISNUMBER('Klisz-Verbräuche'!O173), 'Klisz-Verbräuche'!O173*Emissionsfaktoren!M173/1000, 0)</f>
        <v>0</v>
      </c>
      <c r="O683" s="110">
        <f>IF(ISNUMBER('Klisz-Verbräuche'!P173), 'Klisz-Verbräuche'!P173*Emissionsfaktoren!N173/1000, 0)</f>
        <v>0</v>
      </c>
      <c r="P683" s="110">
        <f>IF(ISNUMBER('Klisz-Verbräuche'!Q173), 'Klisz-Verbräuche'!Q173*Emissionsfaktoren!O173/1000, 0)</f>
        <v>0</v>
      </c>
      <c r="Q683" s="110">
        <f>IF(ISNUMBER('Klisz-Verbräuche'!R173), 'Klisz-Verbräuche'!R173*Emissionsfaktoren!P173/1000, 0)</f>
        <v>0</v>
      </c>
      <c r="R683" s="110">
        <f>IF(ISNUMBER('Klisz-Verbräuche'!S173), 'Klisz-Verbräuche'!S173*Emissionsfaktoren!Q173/1000, 0)</f>
        <v>0</v>
      </c>
      <c r="S683" s="110">
        <f>IF(ISNUMBER('Klisz-Verbräuche'!T173), 'Klisz-Verbräuche'!T173*Emissionsfaktoren!R173/1000, 0)</f>
        <v>0</v>
      </c>
      <c r="T683" s="110">
        <f>IF(ISNUMBER('Klisz-Verbräuche'!U173), 'Klisz-Verbräuche'!U173*Emissionsfaktoren!S173/1000, 0)</f>
        <v>0</v>
      </c>
      <c r="U683" s="110">
        <f>IF(ISNUMBER('Klisz-Verbräuche'!V173), 'Klisz-Verbräuche'!V173*Emissionsfaktoren!T173/1000, 0)</f>
        <v>0</v>
      </c>
      <c r="V683" s="110">
        <f>IF(ISNUMBER('Klisz-Verbräuche'!W173), 'Klisz-Verbräuche'!W173*Emissionsfaktoren!U173/1000, 0)</f>
        <v>0</v>
      </c>
      <c r="W683" s="110">
        <f>IF(ISNUMBER('Klisz-Verbräuche'!X173), 'Klisz-Verbräuche'!X173*Emissionsfaktoren!V173/1000, 0)</f>
        <v>0</v>
      </c>
      <c r="X683" s="110">
        <f>IF(ISNUMBER('Klisz-Verbräuche'!Y173), 'Klisz-Verbräuche'!Y173*Emissionsfaktoren!W173/1000, 0)</f>
        <v>0</v>
      </c>
      <c r="Y683" s="110">
        <f>IF(ISNUMBER('Klisz-Verbräuche'!Z173), 'Klisz-Verbräuche'!Z173*Emissionsfaktoren!X173/1000, 0)</f>
        <v>0</v>
      </c>
    </row>
    <row r="684" spans="2:25" ht="16.5">
      <c r="B684" s="14">
        <v>157</v>
      </c>
      <c r="C684" s="14">
        <f>'Refsz-Verbräuche'!C174</f>
        <v>0</v>
      </c>
      <c r="D684" s="19">
        <f>'Refsz-Verbräuche'!D174</f>
        <v>0</v>
      </c>
      <c r="E684" t="s">
        <v>195</v>
      </c>
      <c r="F684" s="110">
        <f>IF(ISNUMBER('Klisz-Verbräuche'!G174), 'Klisz-Verbräuche'!G174*Emissionsfaktoren!E174/1000, 0)</f>
        <v>0</v>
      </c>
      <c r="G684" s="110">
        <f>IF(ISNUMBER('Klisz-Verbräuche'!H174), 'Klisz-Verbräuche'!H174*Emissionsfaktoren!F174/1000, 0)</f>
        <v>0</v>
      </c>
      <c r="H684" s="110">
        <f>IF(ISNUMBER('Klisz-Verbräuche'!I174), 'Klisz-Verbräuche'!I174*Emissionsfaktoren!G174/1000, 0)</f>
        <v>0</v>
      </c>
      <c r="I684" s="110">
        <f>IF(ISNUMBER('Klisz-Verbräuche'!J174), 'Klisz-Verbräuche'!J174*Emissionsfaktoren!H174/1000, 0)</f>
        <v>0</v>
      </c>
      <c r="J684" s="110">
        <f>IF(ISNUMBER('Klisz-Verbräuche'!K174), 'Klisz-Verbräuche'!K174*Emissionsfaktoren!I174/1000, 0)</f>
        <v>0</v>
      </c>
      <c r="K684" s="110">
        <f>IF(ISNUMBER('Klisz-Verbräuche'!L174), 'Klisz-Verbräuche'!L174*Emissionsfaktoren!J174/1000, 0)</f>
        <v>0</v>
      </c>
      <c r="L684" s="110">
        <f>IF(ISNUMBER('Klisz-Verbräuche'!M174), 'Klisz-Verbräuche'!M174*Emissionsfaktoren!K174/1000, 0)</f>
        <v>0</v>
      </c>
      <c r="M684" s="110">
        <f>IF(ISNUMBER('Klisz-Verbräuche'!N174), 'Klisz-Verbräuche'!N174*Emissionsfaktoren!L174/1000, 0)</f>
        <v>0</v>
      </c>
      <c r="N684" s="110">
        <f>IF(ISNUMBER('Klisz-Verbräuche'!O174), 'Klisz-Verbräuche'!O174*Emissionsfaktoren!M174/1000, 0)</f>
        <v>0</v>
      </c>
      <c r="O684" s="110">
        <f>IF(ISNUMBER('Klisz-Verbräuche'!P174), 'Klisz-Verbräuche'!P174*Emissionsfaktoren!N174/1000, 0)</f>
        <v>0</v>
      </c>
      <c r="P684" s="110">
        <f>IF(ISNUMBER('Klisz-Verbräuche'!Q174), 'Klisz-Verbräuche'!Q174*Emissionsfaktoren!O174/1000, 0)</f>
        <v>0</v>
      </c>
      <c r="Q684" s="110">
        <f>IF(ISNUMBER('Klisz-Verbräuche'!R174), 'Klisz-Verbräuche'!R174*Emissionsfaktoren!P174/1000, 0)</f>
        <v>0</v>
      </c>
      <c r="R684" s="110">
        <f>IF(ISNUMBER('Klisz-Verbräuche'!S174), 'Klisz-Verbräuche'!S174*Emissionsfaktoren!Q174/1000, 0)</f>
        <v>0</v>
      </c>
      <c r="S684" s="110">
        <f>IF(ISNUMBER('Klisz-Verbräuche'!T174), 'Klisz-Verbräuche'!T174*Emissionsfaktoren!R174/1000, 0)</f>
        <v>0</v>
      </c>
      <c r="T684" s="110">
        <f>IF(ISNUMBER('Klisz-Verbräuche'!U174), 'Klisz-Verbräuche'!U174*Emissionsfaktoren!S174/1000, 0)</f>
        <v>0</v>
      </c>
      <c r="U684" s="110">
        <f>IF(ISNUMBER('Klisz-Verbräuche'!V174), 'Klisz-Verbräuche'!V174*Emissionsfaktoren!T174/1000, 0)</f>
        <v>0</v>
      </c>
      <c r="V684" s="110">
        <f>IF(ISNUMBER('Klisz-Verbräuche'!W174), 'Klisz-Verbräuche'!W174*Emissionsfaktoren!U174/1000, 0)</f>
        <v>0</v>
      </c>
      <c r="W684" s="110">
        <f>IF(ISNUMBER('Klisz-Verbräuche'!X174), 'Klisz-Verbräuche'!X174*Emissionsfaktoren!V174/1000, 0)</f>
        <v>0</v>
      </c>
      <c r="X684" s="110">
        <f>IF(ISNUMBER('Klisz-Verbräuche'!Y174), 'Klisz-Verbräuche'!Y174*Emissionsfaktoren!W174/1000, 0)</f>
        <v>0</v>
      </c>
      <c r="Y684" s="110">
        <f>IF(ISNUMBER('Klisz-Verbräuche'!Z174), 'Klisz-Verbräuche'!Z174*Emissionsfaktoren!X174/1000, 0)</f>
        <v>0</v>
      </c>
    </row>
    <row r="685" spans="2:25" ht="16.5">
      <c r="B685" s="14">
        <v>158</v>
      </c>
      <c r="C685" s="14">
        <f>'Refsz-Verbräuche'!C175</f>
        <v>0</v>
      </c>
      <c r="D685" s="19">
        <f>'Refsz-Verbräuche'!D175</f>
        <v>0</v>
      </c>
      <c r="E685" t="s">
        <v>195</v>
      </c>
      <c r="F685" s="110">
        <f>IF(ISNUMBER('Klisz-Verbräuche'!G175), 'Klisz-Verbräuche'!G175*Emissionsfaktoren!E175/1000, 0)</f>
        <v>0</v>
      </c>
      <c r="G685" s="110">
        <f>IF(ISNUMBER('Klisz-Verbräuche'!H175), 'Klisz-Verbräuche'!H175*Emissionsfaktoren!F175/1000, 0)</f>
        <v>0</v>
      </c>
      <c r="H685" s="110">
        <f>IF(ISNUMBER('Klisz-Verbräuche'!I175), 'Klisz-Verbräuche'!I175*Emissionsfaktoren!G175/1000, 0)</f>
        <v>0</v>
      </c>
      <c r="I685" s="110">
        <f>IF(ISNUMBER('Klisz-Verbräuche'!J175), 'Klisz-Verbräuche'!J175*Emissionsfaktoren!H175/1000, 0)</f>
        <v>0</v>
      </c>
      <c r="J685" s="110">
        <f>IF(ISNUMBER('Klisz-Verbräuche'!K175), 'Klisz-Verbräuche'!K175*Emissionsfaktoren!I175/1000, 0)</f>
        <v>0</v>
      </c>
      <c r="K685" s="110">
        <f>IF(ISNUMBER('Klisz-Verbräuche'!L175), 'Klisz-Verbräuche'!L175*Emissionsfaktoren!J175/1000, 0)</f>
        <v>0</v>
      </c>
      <c r="L685" s="110">
        <f>IF(ISNUMBER('Klisz-Verbräuche'!M175), 'Klisz-Verbräuche'!M175*Emissionsfaktoren!K175/1000, 0)</f>
        <v>0</v>
      </c>
      <c r="M685" s="110">
        <f>IF(ISNUMBER('Klisz-Verbräuche'!N175), 'Klisz-Verbräuche'!N175*Emissionsfaktoren!L175/1000, 0)</f>
        <v>0</v>
      </c>
      <c r="N685" s="110">
        <f>IF(ISNUMBER('Klisz-Verbräuche'!O175), 'Klisz-Verbräuche'!O175*Emissionsfaktoren!M175/1000, 0)</f>
        <v>0</v>
      </c>
      <c r="O685" s="110">
        <f>IF(ISNUMBER('Klisz-Verbräuche'!P175), 'Klisz-Verbräuche'!P175*Emissionsfaktoren!N175/1000, 0)</f>
        <v>0</v>
      </c>
      <c r="P685" s="110">
        <f>IF(ISNUMBER('Klisz-Verbräuche'!Q175), 'Klisz-Verbräuche'!Q175*Emissionsfaktoren!O175/1000, 0)</f>
        <v>0</v>
      </c>
      <c r="Q685" s="110">
        <f>IF(ISNUMBER('Klisz-Verbräuche'!R175), 'Klisz-Verbräuche'!R175*Emissionsfaktoren!P175/1000, 0)</f>
        <v>0</v>
      </c>
      <c r="R685" s="110">
        <f>IF(ISNUMBER('Klisz-Verbräuche'!S175), 'Klisz-Verbräuche'!S175*Emissionsfaktoren!Q175/1000, 0)</f>
        <v>0</v>
      </c>
      <c r="S685" s="110">
        <f>IF(ISNUMBER('Klisz-Verbräuche'!T175), 'Klisz-Verbräuche'!T175*Emissionsfaktoren!R175/1000, 0)</f>
        <v>0</v>
      </c>
      <c r="T685" s="110">
        <f>IF(ISNUMBER('Klisz-Verbräuche'!U175), 'Klisz-Verbräuche'!U175*Emissionsfaktoren!S175/1000, 0)</f>
        <v>0</v>
      </c>
      <c r="U685" s="110">
        <f>IF(ISNUMBER('Klisz-Verbräuche'!V175), 'Klisz-Verbräuche'!V175*Emissionsfaktoren!T175/1000, 0)</f>
        <v>0</v>
      </c>
      <c r="V685" s="110">
        <f>IF(ISNUMBER('Klisz-Verbräuche'!W175), 'Klisz-Verbräuche'!W175*Emissionsfaktoren!U175/1000, 0)</f>
        <v>0</v>
      </c>
      <c r="W685" s="110">
        <f>IF(ISNUMBER('Klisz-Verbräuche'!X175), 'Klisz-Verbräuche'!X175*Emissionsfaktoren!V175/1000, 0)</f>
        <v>0</v>
      </c>
      <c r="X685" s="110">
        <f>IF(ISNUMBER('Klisz-Verbräuche'!Y175), 'Klisz-Verbräuche'!Y175*Emissionsfaktoren!W175/1000, 0)</f>
        <v>0</v>
      </c>
      <c r="Y685" s="110">
        <f>IF(ISNUMBER('Klisz-Verbräuche'!Z175), 'Klisz-Verbräuche'!Z175*Emissionsfaktoren!X175/1000, 0)</f>
        <v>0</v>
      </c>
    </row>
    <row r="686" spans="2:25" ht="16.5">
      <c r="B686" s="14">
        <v>159</v>
      </c>
      <c r="C686" s="14">
        <f>'Refsz-Verbräuche'!C176</f>
        <v>0</v>
      </c>
      <c r="D686" s="19">
        <f>'Refsz-Verbräuche'!D176</f>
        <v>0</v>
      </c>
      <c r="E686" t="s">
        <v>195</v>
      </c>
      <c r="F686" s="110">
        <f>IF(ISNUMBER('Klisz-Verbräuche'!G176), 'Klisz-Verbräuche'!G176*Emissionsfaktoren!E176/1000, 0)</f>
        <v>0</v>
      </c>
      <c r="G686" s="110">
        <f>IF(ISNUMBER('Klisz-Verbräuche'!H176), 'Klisz-Verbräuche'!H176*Emissionsfaktoren!F176/1000, 0)</f>
        <v>0</v>
      </c>
      <c r="H686" s="110">
        <f>IF(ISNUMBER('Klisz-Verbräuche'!I176), 'Klisz-Verbräuche'!I176*Emissionsfaktoren!G176/1000, 0)</f>
        <v>0</v>
      </c>
      <c r="I686" s="110">
        <f>IF(ISNUMBER('Klisz-Verbräuche'!J176), 'Klisz-Verbräuche'!J176*Emissionsfaktoren!H176/1000, 0)</f>
        <v>0</v>
      </c>
      <c r="J686" s="110">
        <f>IF(ISNUMBER('Klisz-Verbräuche'!K176), 'Klisz-Verbräuche'!K176*Emissionsfaktoren!I176/1000, 0)</f>
        <v>0</v>
      </c>
      <c r="K686" s="110">
        <f>IF(ISNUMBER('Klisz-Verbräuche'!L176), 'Klisz-Verbräuche'!L176*Emissionsfaktoren!J176/1000, 0)</f>
        <v>0</v>
      </c>
      <c r="L686" s="110">
        <f>IF(ISNUMBER('Klisz-Verbräuche'!M176), 'Klisz-Verbräuche'!M176*Emissionsfaktoren!K176/1000, 0)</f>
        <v>0</v>
      </c>
      <c r="M686" s="110">
        <f>IF(ISNUMBER('Klisz-Verbräuche'!N176), 'Klisz-Verbräuche'!N176*Emissionsfaktoren!L176/1000, 0)</f>
        <v>0</v>
      </c>
      <c r="N686" s="110">
        <f>IF(ISNUMBER('Klisz-Verbräuche'!O176), 'Klisz-Verbräuche'!O176*Emissionsfaktoren!M176/1000, 0)</f>
        <v>0</v>
      </c>
      <c r="O686" s="110">
        <f>IF(ISNUMBER('Klisz-Verbräuche'!P176), 'Klisz-Verbräuche'!P176*Emissionsfaktoren!N176/1000, 0)</f>
        <v>0</v>
      </c>
      <c r="P686" s="110">
        <f>IF(ISNUMBER('Klisz-Verbräuche'!Q176), 'Klisz-Verbräuche'!Q176*Emissionsfaktoren!O176/1000, 0)</f>
        <v>0</v>
      </c>
      <c r="Q686" s="110">
        <f>IF(ISNUMBER('Klisz-Verbräuche'!R176), 'Klisz-Verbräuche'!R176*Emissionsfaktoren!P176/1000, 0)</f>
        <v>0</v>
      </c>
      <c r="R686" s="110">
        <f>IF(ISNUMBER('Klisz-Verbräuche'!S176), 'Klisz-Verbräuche'!S176*Emissionsfaktoren!Q176/1000, 0)</f>
        <v>0</v>
      </c>
      <c r="S686" s="110">
        <f>IF(ISNUMBER('Klisz-Verbräuche'!T176), 'Klisz-Verbräuche'!T176*Emissionsfaktoren!R176/1000, 0)</f>
        <v>0</v>
      </c>
      <c r="T686" s="110">
        <f>IF(ISNUMBER('Klisz-Verbräuche'!U176), 'Klisz-Verbräuche'!U176*Emissionsfaktoren!S176/1000, 0)</f>
        <v>0</v>
      </c>
      <c r="U686" s="110">
        <f>IF(ISNUMBER('Klisz-Verbräuche'!V176), 'Klisz-Verbräuche'!V176*Emissionsfaktoren!T176/1000, 0)</f>
        <v>0</v>
      </c>
      <c r="V686" s="110">
        <f>IF(ISNUMBER('Klisz-Verbräuche'!W176), 'Klisz-Verbräuche'!W176*Emissionsfaktoren!U176/1000, 0)</f>
        <v>0</v>
      </c>
      <c r="W686" s="110">
        <f>IF(ISNUMBER('Klisz-Verbräuche'!X176), 'Klisz-Verbräuche'!X176*Emissionsfaktoren!V176/1000, 0)</f>
        <v>0</v>
      </c>
      <c r="X686" s="110">
        <f>IF(ISNUMBER('Klisz-Verbräuche'!Y176), 'Klisz-Verbräuche'!Y176*Emissionsfaktoren!W176/1000, 0)</f>
        <v>0</v>
      </c>
      <c r="Y686" s="110">
        <f>IF(ISNUMBER('Klisz-Verbräuche'!Z176), 'Klisz-Verbräuche'!Z176*Emissionsfaktoren!X176/1000, 0)</f>
        <v>0</v>
      </c>
    </row>
    <row r="687" spans="2:25" ht="16.5">
      <c r="B687" s="14">
        <v>160</v>
      </c>
      <c r="C687" s="14">
        <f>'Refsz-Verbräuche'!C177</f>
        <v>0</v>
      </c>
      <c r="D687" s="19">
        <f>'Refsz-Verbräuche'!D177</f>
        <v>0</v>
      </c>
      <c r="E687" t="s">
        <v>195</v>
      </c>
      <c r="F687" s="110">
        <f>IF(ISNUMBER('Klisz-Verbräuche'!G177), 'Klisz-Verbräuche'!G177*Emissionsfaktoren!E177/1000, 0)</f>
        <v>0</v>
      </c>
      <c r="G687" s="110">
        <f>IF(ISNUMBER('Klisz-Verbräuche'!H177), 'Klisz-Verbräuche'!H177*Emissionsfaktoren!F177/1000, 0)</f>
        <v>0</v>
      </c>
      <c r="H687" s="110">
        <f>IF(ISNUMBER('Klisz-Verbräuche'!I177), 'Klisz-Verbräuche'!I177*Emissionsfaktoren!G177/1000, 0)</f>
        <v>0</v>
      </c>
      <c r="I687" s="110">
        <f>IF(ISNUMBER('Klisz-Verbräuche'!J177), 'Klisz-Verbräuche'!J177*Emissionsfaktoren!H177/1000, 0)</f>
        <v>0</v>
      </c>
      <c r="J687" s="110">
        <f>IF(ISNUMBER('Klisz-Verbräuche'!K177), 'Klisz-Verbräuche'!K177*Emissionsfaktoren!I177/1000, 0)</f>
        <v>0</v>
      </c>
      <c r="K687" s="110">
        <f>IF(ISNUMBER('Klisz-Verbräuche'!L177), 'Klisz-Verbräuche'!L177*Emissionsfaktoren!J177/1000, 0)</f>
        <v>0</v>
      </c>
      <c r="L687" s="110">
        <f>IF(ISNUMBER('Klisz-Verbräuche'!M177), 'Klisz-Verbräuche'!M177*Emissionsfaktoren!K177/1000, 0)</f>
        <v>0</v>
      </c>
      <c r="M687" s="110">
        <f>IF(ISNUMBER('Klisz-Verbräuche'!N177), 'Klisz-Verbräuche'!N177*Emissionsfaktoren!L177/1000, 0)</f>
        <v>0</v>
      </c>
      <c r="N687" s="110">
        <f>IF(ISNUMBER('Klisz-Verbräuche'!O177), 'Klisz-Verbräuche'!O177*Emissionsfaktoren!M177/1000, 0)</f>
        <v>0</v>
      </c>
      <c r="O687" s="110">
        <f>IF(ISNUMBER('Klisz-Verbräuche'!P177), 'Klisz-Verbräuche'!P177*Emissionsfaktoren!N177/1000, 0)</f>
        <v>0</v>
      </c>
      <c r="P687" s="110">
        <f>IF(ISNUMBER('Klisz-Verbräuche'!Q177), 'Klisz-Verbräuche'!Q177*Emissionsfaktoren!O177/1000, 0)</f>
        <v>0</v>
      </c>
      <c r="Q687" s="110">
        <f>IF(ISNUMBER('Klisz-Verbräuche'!R177), 'Klisz-Verbräuche'!R177*Emissionsfaktoren!P177/1000, 0)</f>
        <v>0</v>
      </c>
      <c r="R687" s="110">
        <f>IF(ISNUMBER('Klisz-Verbräuche'!S177), 'Klisz-Verbräuche'!S177*Emissionsfaktoren!Q177/1000, 0)</f>
        <v>0</v>
      </c>
      <c r="S687" s="110">
        <f>IF(ISNUMBER('Klisz-Verbräuche'!T177), 'Klisz-Verbräuche'!T177*Emissionsfaktoren!R177/1000, 0)</f>
        <v>0</v>
      </c>
      <c r="T687" s="110">
        <f>IF(ISNUMBER('Klisz-Verbräuche'!U177), 'Klisz-Verbräuche'!U177*Emissionsfaktoren!S177/1000, 0)</f>
        <v>0</v>
      </c>
      <c r="U687" s="110">
        <f>IF(ISNUMBER('Klisz-Verbräuche'!V177), 'Klisz-Verbräuche'!V177*Emissionsfaktoren!T177/1000, 0)</f>
        <v>0</v>
      </c>
      <c r="V687" s="110">
        <f>IF(ISNUMBER('Klisz-Verbräuche'!W177), 'Klisz-Verbräuche'!W177*Emissionsfaktoren!U177/1000, 0)</f>
        <v>0</v>
      </c>
      <c r="W687" s="110">
        <f>IF(ISNUMBER('Klisz-Verbräuche'!X177), 'Klisz-Verbräuche'!X177*Emissionsfaktoren!V177/1000, 0)</f>
        <v>0</v>
      </c>
      <c r="X687" s="110">
        <f>IF(ISNUMBER('Klisz-Verbräuche'!Y177), 'Klisz-Verbräuche'!Y177*Emissionsfaktoren!W177/1000, 0)</f>
        <v>0</v>
      </c>
      <c r="Y687" s="110">
        <f>IF(ISNUMBER('Klisz-Verbräuche'!Z177), 'Klisz-Verbräuche'!Z177*Emissionsfaktoren!X177/1000, 0)</f>
        <v>0</v>
      </c>
    </row>
    <row r="688" spans="2:25" ht="16.5">
      <c r="B688" s="14">
        <v>161</v>
      </c>
      <c r="C688" s="14">
        <f>'Refsz-Verbräuche'!C178</f>
        <v>0</v>
      </c>
      <c r="D688" s="19">
        <f>'Refsz-Verbräuche'!D178</f>
        <v>0</v>
      </c>
      <c r="E688" t="s">
        <v>195</v>
      </c>
      <c r="F688" s="110">
        <f>IF(ISNUMBER('Klisz-Verbräuche'!G178), 'Klisz-Verbräuche'!G178*Emissionsfaktoren!E178/1000, 0)</f>
        <v>0</v>
      </c>
      <c r="G688" s="110">
        <f>IF(ISNUMBER('Klisz-Verbräuche'!H178), 'Klisz-Verbräuche'!H178*Emissionsfaktoren!F178/1000, 0)</f>
        <v>0</v>
      </c>
      <c r="H688" s="110">
        <f>IF(ISNUMBER('Klisz-Verbräuche'!I178), 'Klisz-Verbräuche'!I178*Emissionsfaktoren!G178/1000, 0)</f>
        <v>0</v>
      </c>
      <c r="I688" s="110">
        <f>IF(ISNUMBER('Klisz-Verbräuche'!J178), 'Klisz-Verbräuche'!J178*Emissionsfaktoren!H178/1000, 0)</f>
        <v>0</v>
      </c>
      <c r="J688" s="110">
        <f>IF(ISNUMBER('Klisz-Verbräuche'!K178), 'Klisz-Verbräuche'!K178*Emissionsfaktoren!I178/1000, 0)</f>
        <v>0</v>
      </c>
      <c r="K688" s="110">
        <f>IF(ISNUMBER('Klisz-Verbräuche'!L178), 'Klisz-Verbräuche'!L178*Emissionsfaktoren!J178/1000, 0)</f>
        <v>0</v>
      </c>
      <c r="L688" s="110">
        <f>IF(ISNUMBER('Klisz-Verbräuche'!M178), 'Klisz-Verbräuche'!M178*Emissionsfaktoren!K178/1000, 0)</f>
        <v>0</v>
      </c>
      <c r="M688" s="110">
        <f>IF(ISNUMBER('Klisz-Verbräuche'!N178), 'Klisz-Verbräuche'!N178*Emissionsfaktoren!L178/1000, 0)</f>
        <v>0</v>
      </c>
      <c r="N688" s="110">
        <f>IF(ISNUMBER('Klisz-Verbräuche'!O178), 'Klisz-Verbräuche'!O178*Emissionsfaktoren!M178/1000, 0)</f>
        <v>0</v>
      </c>
      <c r="O688" s="110">
        <f>IF(ISNUMBER('Klisz-Verbräuche'!P178), 'Klisz-Verbräuche'!P178*Emissionsfaktoren!N178/1000, 0)</f>
        <v>0</v>
      </c>
      <c r="P688" s="110">
        <f>IF(ISNUMBER('Klisz-Verbräuche'!Q178), 'Klisz-Verbräuche'!Q178*Emissionsfaktoren!O178/1000, 0)</f>
        <v>0</v>
      </c>
      <c r="Q688" s="110">
        <f>IF(ISNUMBER('Klisz-Verbräuche'!R178), 'Klisz-Verbräuche'!R178*Emissionsfaktoren!P178/1000, 0)</f>
        <v>0</v>
      </c>
      <c r="R688" s="110">
        <f>IF(ISNUMBER('Klisz-Verbräuche'!S178), 'Klisz-Verbräuche'!S178*Emissionsfaktoren!Q178/1000, 0)</f>
        <v>0</v>
      </c>
      <c r="S688" s="110">
        <f>IF(ISNUMBER('Klisz-Verbräuche'!T178), 'Klisz-Verbräuche'!T178*Emissionsfaktoren!R178/1000, 0)</f>
        <v>0</v>
      </c>
      <c r="T688" s="110">
        <f>IF(ISNUMBER('Klisz-Verbräuche'!U178), 'Klisz-Verbräuche'!U178*Emissionsfaktoren!S178/1000, 0)</f>
        <v>0</v>
      </c>
      <c r="U688" s="110">
        <f>IF(ISNUMBER('Klisz-Verbräuche'!V178), 'Klisz-Verbräuche'!V178*Emissionsfaktoren!T178/1000, 0)</f>
        <v>0</v>
      </c>
      <c r="V688" s="110">
        <f>IF(ISNUMBER('Klisz-Verbräuche'!W178), 'Klisz-Verbräuche'!W178*Emissionsfaktoren!U178/1000, 0)</f>
        <v>0</v>
      </c>
      <c r="W688" s="110">
        <f>IF(ISNUMBER('Klisz-Verbräuche'!X178), 'Klisz-Verbräuche'!X178*Emissionsfaktoren!V178/1000, 0)</f>
        <v>0</v>
      </c>
      <c r="X688" s="110">
        <f>IF(ISNUMBER('Klisz-Verbräuche'!Y178), 'Klisz-Verbräuche'!Y178*Emissionsfaktoren!W178/1000, 0)</f>
        <v>0</v>
      </c>
      <c r="Y688" s="110">
        <f>IF(ISNUMBER('Klisz-Verbräuche'!Z178), 'Klisz-Verbräuche'!Z178*Emissionsfaktoren!X178/1000, 0)</f>
        <v>0</v>
      </c>
    </row>
    <row r="690" spans="2:24">
      <c r="C690" s="1"/>
    </row>
    <row r="691" spans="2:24" ht="15.5">
      <c r="B691" s="6" t="s">
        <v>580</v>
      </c>
      <c r="C691" s="1"/>
    </row>
    <row r="692" spans="2:24" ht="15.5">
      <c r="B692" s="6" t="s">
        <v>403</v>
      </c>
      <c r="C692" s="1"/>
    </row>
    <row r="693" spans="2:24">
      <c r="C693" s="1"/>
    </row>
    <row r="694" spans="2:24">
      <c r="C694" t="s">
        <v>28</v>
      </c>
      <c r="D694" t="s">
        <v>2</v>
      </c>
      <c r="E694" t="s">
        <v>3</v>
      </c>
      <c r="F694" t="s">
        <v>4</v>
      </c>
      <c r="G694" t="s">
        <v>5</v>
      </c>
      <c r="H694" t="s">
        <v>6</v>
      </c>
      <c r="I694" t="s">
        <v>7</v>
      </c>
      <c r="J694" t="s">
        <v>8</v>
      </c>
      <c r="K694" t="s">
        <v>9</v>
      </c>
      <c r="L694" t="s">
        <v>10</v>
      </c>
      <c r="M694" t="s">
        <v>11</v>
      </c>
      <c r="N694" t="s">
        <v>12</v>
      </c>
      <c r="O694" t="s">
        <v>13</v>
      </c>
      <c r="P694" t="s">
        <v>14</v>
      </c>
      <c r="Q694" t="s">
        <v>216</v>
      </c>
      <c r="R694" t="s">
        <v>217</v>
      </c>
      <c r="S694" t="s">
        <v>218</v>
      </c>
      <c r="T694" t="s">
        <v>15</v>
      </c>
      <c r="U694" t="s">
        <v>16</v>
      </c>
      <c r="V694" t="s">
        <v>17</v>
      </c>
      <c r="W694" t="s">
        <v>18</v>
      </c>
      <c r="X694" t="s">
        <v>19</v>
      </c>
    </row>
    <row r="695" spans="2:24" ht="16.5">
      <c r="C695" t="str">
        <f>'Refsz-Emissionen'!C350</f>
        <v>Elektrischer Strom</v>
      </c>
      <c r="D695" t="s">
        <v>195</v>
      </c>
      <c r="E695">
        <f>SUMIFS(Klisz_Emissionen_Bundesmix[2015], $C$18:$C$178,$C695)</f>
        <v>0</v>
      </c>
      <c r="F695">
        <f>SUMIFS(Klisz_Emissionen_Bundesmix[2016], $C$18:$C$178,$C695)</f>
        <v>0</v>
      </c>
      <c r="G695">
        <f>SUMIFS(Klisz_Emissionen_Bundesmix[2017], $C$18:$C$178,$C695)</f>
        <v>0</v>
      </c>
      <c r="H695">
        <f>SUMIFS(Klisz_Emissionen_Bundesmix[2018], $C$18:$C$178,$C695)</f>
        <v>0</v>
      </c>
      <c r="I695">
        <f>SUMIFS(Klisz_Emissionen_Bundesmix[2019], $C$18:$C$178,$C695)</f>
        <v>0</v>
      </c>
      <c r="J695">
        <f>SUMIFS(Klisz_Emissionen_Bundesmix[2020], $C$18:$C$178,$C695)</f>
        <v>0</v>
      </c>
      <c r="K695">
        <f>SUMIFS(Klisz_Emissionen_Bundesmix[2021], $C$18:$C$178,$C695)</f>
        <v>0</v>
      </c>
      <c r="L695">
        <f>SUMIFS(Klisz_Emissionen_Bundesmix[2022], $C$18:$C$178,$C695)</f>
        <v>0</v>
      </c>
      <c r="M695">
        <f>SUMIFS(Klisz_Emissionen_Bundesmix[2023], $C$18:$C$178,$C695)</f>
        <v>0</v>
      </c>
      <c r="N695">
        <f>SUMIFS(Klisz_Emissionen_Bundesmix[2024], $C$18:$C$178,$C695)</f>
        <v>0</v>
      </c>
      <c r="O695">
        <f>SUMIFS(Klisz_Emissionen_Bundesmix[2025], $C$18:$C$178,$C695)</f>
        <v>0</v>
      </c>
      <c r="P695">
        <f>SUMIFS(Klisz_Emissionen_Bundesmix[2026], $C$18:$C$178,$C695)</f>
        <v>0</v>
      </c>
      <c r="Q695">
        <f>SUMIFS(Klisz_Emissionen_Bundesmix[2027], $C$18:$C$178,$C695)</f>
        <v>0</v>
      </c>
      <c r="R695">
        <f>SUMIFS(Klisz_Emissionen_Bundesmix[2028], $C$18:$C$178,$C695)</f>
        <v>0</v>
      </c>
      <c r="S695">
        <f>SUMIFS(Klisz_Emissionen_Bundesmix[2029], $C$18:$C$178,$C695)</f>
        <v>0</v>
      </c>
      <c r="T695">
        <f>SUMIFS(Klisz_Emissionen_Bundesmix[2030], $C$18:$C$178,$C695)</f>
        <v>0</v>
      </c>
      <c r="U695">
        <f>SUMIFS(Klisz_Emissionen_Bundesmix[2035], $C$18:$C$178,$C695)</f>
        <v>0</v>
      </c>
      <c r="V695">
        <f>SUMIFS(Klisz_Emissionen_Bundesmix[2040], $C$18:$C$178,$C695)</f>
        <v>0</v>
      </c>
      <c r="W695">
        <f>SUMIFS(Klisz_Emissionen_Bundesmix[2045], $C$18:$C$178,$C695)</f>
        <v>0</v>
      </c>
      <c r="X695">
        <f>SUMIFS(Klisz_Emissionen_Bundesmix[2050], $C$18:$C$178,$C695)</f>
        <v>0</v>
      </c>
    </row>
    <row r="696" spans="2:24" ht="16.5">
      <c r="C696" t="str">
        <f>'Refsz-Emissionen'!C351</f>
        <v>Wärme</v>
      </c>
      <c r="D696" t="s">
        <v>195</v>
      </c>
      <c r="E696">
        <f>SUMIFS(Klisz_Emissionen_Bundesmix[2015], $C$18:$C$178,$C696)</f>
        <v>0</v>
      </c>
      <c r="F696">
        <f>SUMIFS(Klisz_Emissionen_Bundesmix[2016], $C$18:$C$178,$C696)</f>
        <v>0</v>
      </c>
      <c r="G696">
        <f>SUMIFS(Klisz_Emissionen_Bundesmix[2017], $C$18:$C$178,$C696)</f>
        <v>0</v>
      </c>
      <c r="H696">
        <f>SUMIFS(Klisz_Emissionen_Bundesmix[2018], $C$18:$C$178,$C696)</f>
        <v>0</v>
      </c>
      <c r="I696">
        <f>SUMIFS(Klisz_Emissionen_Bundesmix[2019], $C$18:$C$178,$C696)</f>
        <v>0</v>
      </c>
      <c r="J696">
        <f>SUMIFS(Klisz_Emissionen_Bundesmix[2020], $C$18:$C$178,$C696)</f>
        <v>0</v>
      </c>
      <c r="K696">
        <f>SUMIFS(Klisz_Emissionen_Bundesmix[2021], $C$18:$C$178,$C696)</f>
        <v>0</v>
      </c>
      <c r="L696">
        <f>SUMIFS(Klisz_Emissionen_Bundesmix[2022], $C$18:$C$178,$C696)</f>
        <v>0</v>
      </c>
      <c r="M696">
        <f>SUMIFS(Klisz_Emissionen_Bundesmix[2023], $C$18:$C$178,$C696)</f>
        <v>0</v>
      </c>
      <c r="N696">
        <f>SUMIFS(Klisz_Emissionen_Bundesmix[2024], $C$18:$C$178,$C696)</f>
        <v>0</v>
      </c>
      <c r="O696">
        <f>SUMIFS(Klisz_Emissionen_Bundesmix[2025], $C$18:$C$178,$C696)</f>
        <v>0</v>
      </c>
      <c r="P696">
        <f>SUMIFS(Klisz_Emissionen_Bundesmix[2026], $C$18:$C$178,$C696)</f>
        <v>0</v>
      </c>
      <c r="Q696">
        <f>SUMIFS(Klisz_Emissionen_Bundesmix[2027], $C$18:$C$178,$C696)</f>
        <v>0</v>
      </c>
      <c r="R696">
        <f>SUMIFS(Klisz_Emissionen_Bundesmix[2028], $C$18:$C$178,$C696)</f>
        <v>0</v>
      </c>
      <c r="S696">
        <f>SUMIFS(Klisz_Emissionen_Bundesmix[2029], $C$18:$C$178,$C696)</f>
        <v>0</v>
      </c>
      <c r="T696">
        <f>SUMIFS(Klisz_Emissionen_Bundesmix[2030], $C$18:$C$178,$C696)</f>
        <v>0</v>
      </c>
      <c r="U696">
        <f>SUMIFS(Klisz_Emissionen_Bundesmix[2035], $C$18:$C$178,$C696)</f>
        <v>0</v>
      </c>
      <c r="V696">
        <f>SUMIFS(Klisz_Emissionen_Bundesmix[2040], $C$18:$C$178,$C696)</f>
        <v>0</v>
      </c>
      <c r="W696">
        <f>SUMIFS(Klisz_Emissionen_Bundesmix[2045], $C$18:$C$178,$C696)</f>
        <v>0</v>
      </c>
      <c r="X696">
        <f>SUMIFS(Klisz_Emissionen_Bundesmix[2050], $C$18:$C$178,$C696)</f>
        <v>0</v>
      </c>
    </row>
    <row r="697" spans="2:24" ht="16.5">
      <c r="C697" t="str">
        <f>'Refsz-Emissionen'!C352</f>
        <v>Kälte</v>
      </c>
      <c r="D697" t="s">
        <v>195</v>
      </c>
      <c r="E697">
        <f>SUMIFS(Klisz_Emissionen_Bundesmix[2015], $C$18:$C$178,$C697)</f>
        <v>0</v>
      </c>
      <c r="F697">
        <f>SUMIFS(Klisz_Emissionen_Bundesmix[2016], $C$18:$C$178,$C697)</f>
        <v>0</v>
      </c>
      <c r="G697">
        <f>SUMIFS(Klisz_Emissionen_Bundesmix[2017], $C$18:$C$178,$C697)</f>
        <v>0</v>
      </c>
      <c r="H697">
        <f>SUMIFS(Klisz_Emissionen_Bundesmix[2018], $C$18:$C$178,$C697)</f>
        <v>0</v>
      </c>
      <c r="I697">
        <f>SUMIFS(Klisz_Emissionen_Bundesmix[2019], $C$18:$C$178,$C697)</f>
        <v>0</v>
      </c>
      <c r="J697">
        <f>SUMIFS(Klisz_Emissionen_Bundesmix[2020], $C$18:$C$178,$C697)</f>
        <v>0</v>
      </c>
      <c r="K697">
        <f>SUMIFS(Klisz_Emissionen_Bundesmix[2021], $C$18:$C$178,$C697)</f>
        <v>0</v>
      </c>
      <c r="L697">
        <f>SUMIFS(Klisz_Emissionen_Bundesmix[2022], $C$18:$C$178,$C697)</f>
        <v>0</v>
      </c>
      <c r="M697">
        <f>SUMIFS(Klisz_Emissionen_Bundesmix[2023], $C$18:$C$178,$C697)</f>
        <v>0</v>
      </c>
      <c r="N697">
        <f>SUMIFS(Klisz_Emissionen_Bundesmix[2024], $C$18:$C$178,$C697)</f>
        <v>0</v>
      </c>
      <c r="O697">
        <f>SUMIFS(Klisz_Emissionen_Bundesmix[2025], $C$18:$C$178,$C697)</f>
        <v>0</v>
      </c>
      <c r="P697">
        <f>SUMIFS(Klisz_Emissionen_Bundesmix[2026], $C$18:$C$178,$C697)</f>
        <v>0</v>
      </c>
      <c r="Q697">
        <f>SUMIFS(Klisz_Emissionen_Bundesmix[2027], $C$18:$C$178,$C697)</f>
        <v>0</v>
      </c>
      <c r="R697">
        <f>SUMIFS(Klisz_Emissionen_Bundesmix[2028], $C$18:$C$178,$C697)</f>
        <v>0</v>
      </c>
      <c r="S697">
        <f>SUMIFS(Klisz_Emissionen_Bundesmix[2029], $C$18:$C$178,$C697)</f>
        <v>0</v>
      </c>
      <c r="T697">
        <f>SUMIFS(Klisz_Emissionen_Bundesmix[2030], $C$18:$C$178,$C697)</f>
        <v>0</v>
      </c>
      <c r="U697">
        <f>SUMIFS(Klisz_Emissionen_Bundesmix[2035], $C$18:$C$178,$C697)</f>
        <v>0</v>
      </c>
      <c r="V697">
        <f>SUMIFS(Klisz_Emissionen_Bundesmix[2040], $C$18:$C$178,$C697)</f>
        <v>0</v>
      </c>
      <c r="W697">
        <f>SUMIFS(Klisz_Emissionen_Bundesmix[2045], $C$18:$C$178,$C697)</f>
        <v>0</v>
      </c>
      <c r="X697">
        <f>SUMIFS(Klisz_Emissionen_Bundesmix[2050], $C$18:$C$178,$C697)</f>
        <v>0</v>
      </c>
    </row>
    <row r="698" spans="2:24" ht="16.5">
      <c r="C698" t="str">
        <f>'Refsz-Emissionen'!C353</f>
        <v>Mobilität 1</v>
      </c>
      <c r="D698" t="s">
        <v>195</v>
      </c>
      <c r="E698">
        <f>SUMIFS(Klisz_Emissionen_Bundesmix[2015], $C$18:$C$178,$C698)</f>
        <v>0</v>
      </c>
      <c r="F698">
        <f>SUMIFS(Klisz_Emissionen_Bundesmix[2016], $C$18:$C$178,$C698)</f>
        <v>0</v>
      </c>
      <c r="G698">
        <f>SUMIFS(Klisz_Emissionen_Bundesmix[2017], $C$18:$C$178,$C698)</f>
        <v>0</v>
      </c>
      <c r="H698">
        <f>SUMIFS(Klisz_Emissionen_Bundesmix[2018], $C$18:$C$178,$C698)</f>
        <v>0</v>
      </c>
      <c r="I698">
        <f>SUMIFS(Klisz_Emissionen_Bundesmix[2019], $C$18:$C$178,$C698)</f>
        <v>0</v>
      </c>
      <c r="J698">
        <f>SUMIFS(Klisz_Emissionen_Bundesmix[2020], $C$18:$C$178,$C698)</f>
        <v>0</v>
      </c>
      <c r="K698">
        <f>SUMIFS(Klisz_Emissionen_Bundesmix[2021], $C$18:$C$178,$C698)</f>
        <v>0</v>
      </c>
      <c r="L698">
        <f>SUMIFS(Klisz_Emissionen_Bundesmix[2022], $C$18:$C$178,$C698)</f>
        <v>0</v>
      </c>
      <c r="M698">
        <f>SUMIFS(Klisz_Emissionen_Bundesmix[2023], $C$18:$C$178,$C698)</f>
        <v>0</v>
      </c>
      <c r="N698">
        <f>SUMIFS(Klisz_Emissionen_Bundesmix[2024], $C$18:$C$178,$C698)</f>
        <v>0</v>
      </c>
      <c r="O698">
        <f>SUMIFS(Klisz_Emissionen_Bundesmix[2025], $C$18:$C$178,$C698)</f>
        <v>0</v>
      </c>
      <c r="P698">
        <f>SUMIFS(Klisz_Emissionen_Bundesmix[2026], $C$18:$C$178,$C698)</f>
        <v>0</v>
      </c>
      <c r="Q698">
        <f>SUMIFS(Klisz_Emissionen_Bundesmix[2027], $C$18:$C$178,$C698)</f>
        <v>0</v>
      </c>
      <c r="R698">
        <f>SUMIFS(Klisz_Emissionen_Bundesmix[2028], $C$18:$C$178,$C698)</f>
        <v>0</v>
      </c>
      <c r="S698">
        <f>SUMIFS(Klisz_Emissionen_Bundesmix[2029], $C$18:$C$178,$C698)</f>
        <v>0</v>
      </c>
      <c r="T698">
        <f>SUMIFS(Klisz_Emissionen_Bundesmix[2030], $C$18:$C$178,$C698)</f>
        <v>0</v>
      </c>
      <c r="U698">
        <f>SUMIFS(Klisz_Emissionen_Bundesmix[2035], $C$18:$C$178,$C698)</f>
        <v>0</v>
      </c>
      <c r="V698">
        <f>SUMIFS(Klisz_Emissionen_Bundesmix[2040], $C$18:$C$178,$C698)</f>
        <v>0</v>
      </c>
      <c r="W698">
        <f>SUMIFS(Klisz_Emissionen_Bundesmix[2045], $C$18:$C$178,$C698)</f>
        <v>0</v>
      </c>
      <c r="X698">
        <f>SUMIFS(Klisz_Emissionen_Bundesmix[2050], $C$18:$C$178,$C698)</f>
        <v>0</v>
      </c>
    </row>
    <row r="699" spans="2:24" ht="16.5">
      <c r="C699" t="str">
        <f>'Refsz-Emissionen'!C354</f>
        <v>Mobilität 2</v>
      </c>
      <c r="D699" t="s">
        <v>195</v>
      </c>
      <c r="E699">
        <f>SUMIFS(Klisz_Emissionen_Bundesmix[2015], $C$18:$C$178,$C699)</f>
        <v>0</v>
      </c>
      <c r="F699">
        <f>SUMIFS(Klisz_Emissionen_Bundesmix[2016], $C$18:$C$178,$C699)</f>
        <v>0</v>
      </c>
      <c r="G699">
        <f>SUMIFS(Klisz_Emissionen_Bundesmix[2017], $C$18:$C$178,$C699)</f>
        <v>0</v>
      </c>
      <c r="H699">
        <f>SUMIFS(Klisz_Emissionen_Bundesmix[2018], $C$18:$C$178,$C699)</f>
        <v>0</v>
      </c>
      <c r="I699">
        <f>SUMIFS(Klisz_Emissionen_Bundesmix[2019], $C$18:$C$178,$C699)</f>
        <v>0</v>
      </c>
      <c r="J699">
        <f>SUMIFS(Klisz_Emissionen_Bundesmix[2020], $C$18:$C$178,$C699)</f>
        <v>0</v>
      </c>
      <c r="K699">
        <f>SUMIFS(Klisz_Emissionen_Bundesmix[2021], $C$18:$C$178,$C699)</f>
        <v>0</v>
      </c>
      <c r="L699">
        <f>SUMIFS(Klisz_Emissionen_Bundesmix[2022], $C$18:$C$178,$C699)</f>
        <v>0</v>
      </c>
      <c r="M699">
        <f>SUMIFS(Klisz_Emissionen_Bundesmix[2023], $C$18:$C$178,$C699)</f>
        <v>0</v>
      </c>
      <c r="N699">
        <f>SUMIFS(Klisz_Emissionen_Bundesmix[2024], $C$18:$C$178,$C699)</f>
        <v>0</v>
      </c>
      <c r="O699">
        <f>SUMIFS(Klisz_Emissionen_Bundesmix[2025], $C$18:$C$178,$C699)</f>
        <v>0</v>
      </c>
      <c r="P699">
        <f>SUMIFS(Klisz_Emissionen_Bundesmix[2026], $C$18:$C$178,$C699)</f>
        <v>0</v>
      </c>
      <c r="Q699">
        <f>SUMIFS(Klisz_Emissionen_Bundesmix[2027], $C$18:$C$178,$C699)</f>
        <v>0</v>
      </c>
      <c r="R699">
        <f>SUMIFS(Klisz_Emissionen_Bundesmix[2028], $C$18:$C$178,$C699)</f>
        <v>0</v>
      </c>
      <c r="S699">
        <f>SUMIFS(Klisz_Emissionen_Bundesmix[2029], $C$18:$C$178,$C699)</f>
        <v>0</v>
      </c>
      <c r="T699">
        <f>SUMIFS(Klisz_Emissionen_Bundesmix[2030], $C$18:$C$178,$C699)</f>
        <v>0</v>
      </c>
      <c r="U699">
        <f>SUMIFS(Klisz_Emissionen_Bundesmix[2035], $C$18:$C$178,$C699)</f>
        <v>0</v>
      </c>
      <c r="V699">
        <f>SUMIFS(Klisz_Emissionen_Bundesmix[2040], $C$18:$C$178,$C699)</f>
        <v>0</v>
      </c>
      <c r="W699">
        <f>SUMIFS(Klisz_Emissionen_Bundesmix[2045], $C$18:$C$178,$C699)</f>
        <v>0</v>
      </c>
      <c r="X699">
        <f>SUMIFS(Klisz_Emissionen_Bundesmix[2050], $C$18:$C$178,$C699)</f>
        <v>0</v>
      </c>
    </row>
    <row r="700" spans="2:24" ht="16.5">
      <c r="C700" t="str">
        <f>'Refsz-Emissionen'!C355</f>
        <v>Wasser</v>
      </c>
      <c r="D700" t="s">
        <v>195</v>
      </c>
      <c r="E700">
        <f>SUMIFS(Klisz_Emissionen_Bundesmix[2015], $C$18:$C$178,$C700)</f>
        <v>0</v>
      </c>
      <c r="F700">
        <f>SUMIFS(Klisz_Emissionen_Bundesmix[2016], $C$18:$C$178,$C700)</f>
        <v>0</v>
      </c>
      <c r="G700">
        <f>SUMIFS(Klisz_Emissionen_Bundesmix[2017], $C$18:$C$178,$C700)</f>
        <v>0</v>
      </c>
      <c r="H700">
        <f>SUMIFS(Klisz_Emissionen_Bundesmix[2018], $C$18:$C$178,$C700)</f>
        <v>0</v>
      </c>
      <c r="I700">
        <f>SUMIFS(Klisz_Emissionen_Bundesmix[2019], $C$18:$C$178,$C700)</f>
        <v>0</v>
      </c>
      <c r="J700">
        <f>SUMIFS(Klisz_Emissionen_Bundesmix[2020], $C$18:$C$178,$C700)</f>
        <v>0</v>
      </c>
      <c r="K700">
        <f>SUMIFS(Klisz_Emissionen_Bundesmix[2021], $C$18:$C$178,$C700)</f>
        <v>0</v>
      </c>
      <c r="L700">
        <f>SUMIFS(Klisz_Emissionen_Bundesmix[2022], $C$18:$C$178,$C700)</f>
        <v>0</v>
      </c>
      <c r="M700">
        <f>SUMIFS(Klisz_Emissionen_Bundesmix[2023], $C$18:$C$178,$C700)</f>
        <v>0</v>
      </c>
      <c r="N700">
        <f>SUMIFS(Klisz_Emissionen_Bundesmix[2024], $C$18:$C$178,$C700)</f>
        <v>0</v>
      </c>
      <c r="O700">
        <f>SUMIFS(Klisz_Emissionen_Bundesmix[2025], $C$18:$C$178,$C700)</f>
        <v>0</v>
      </c>
      <c r="P700">
        <f>SUMIFS(Klisz_Emissionen_Bundesmix[2026], $C$18:$C$178,$C700)</f>
        <v>0</v>
      </c>
      <c r="Q700">
        <f>SUMIFS(Klisz_Emissionen_Bundesmix[2027], $C$18:$C$178,$C700)</f>
        <v>0</v>
      </c>
      <c r="R700">
        <f>SUMIFS(Klisz_Emissionen_Bundesmix[2028], $C$18:$C$178,$C700)</f>
        <v>0</v>
      </c>
      <c r="S700">
        <f>SUMIFS(Klisz_Emissionen_Bundesmix[2029], $C$18:$C$178,$C700)</f>
        <v>0</v>
      </c>
      <c r="T700">
        <f>SUMIFS(Klisz_Emissionen_Bundesmix[2030], $C$18:$C$178,$C700)</f>
        <v>0</v>
      </c>
      <c r="U700">
        <f>SUMIFS(Klisz_Emissionen_Bundesmix[2035], $C$18:$C$178,$C700)</f>
        <v>0</v>
      </c>
      <c r="V700">
        <f>SUMIFS(Klisz_Emissionen_Bundesmix[2040], $C$18:$C$178,$C700)</f>
        <v>0</v>
      </c>
      <c r="W700">
        <f>SUMIFS(Klisz_Emissionen_Bundesmix[2045], $C$18:$C$178,$C700)</f>
        <v>0</v>
      </c>
      <c r="X700">
        <f>SUMIFS(Klisz_Emissionen_Bundesmix[2050], $C$18:$C$178,$C700)</f>
        <v>0</v>
      </c>
    </row>
    <row r="701" spans="2:24" ht="16.5">
      <c r="C701" t="str">
        <f>'Refsz-Emissionen'!C356</f>
        <v>Abfall</v>
      </c>
      <c r="D701" t="s">
        <v>195</v>
      </c>
      <c r="E701">
        <f>SUMIFS(Klisz_Emissionen_Bundesmix[2015], $C$18:$C$178,$C701)</f>
        <v>0</v>
      </c>
      <c r="F701">
        <f>SUMIFS(Klisz_Emissionen_Bundesmix[2016], $C$18:$C$178,$C701)</f>
        <v>0</v>
      </c>
      <c r="G701">
        <f>SUMIFS(Klisz_Emissionen_Bundesmix[2017], $C$18:$C$178,$C701)</f>
        <v>0</v>
      </c>
      <c r="H701">
        <f>SUMIFS(Klisz_Emissionen_Bundesmix[2018], $C$18:$C$178,$C701)</f>
        <v>0</v>
      </c>
      <c r="I701">
        <f>SUMIFS(Klisz_Emissionen_Bundesmix[2019], $C$18:$C$178,$C701)</f>
        <v>0</v>
      </c>
      <c r="J701">
        <f>SUMIFS(Klisz_Emissionen_Bundesmix[2020], $C$18:$C$178,$C701)</f>
        <v>0</v>
      </c>
      <c r="K701">
        <f>SUMIFS(Klisz_Emissionen_Bundesmix[2021], $C$18:$C$178,$C701)</f>
        <v>0</v>
      </c>
      <c r="L701">
        <f>SUMIFS(Klisz_Emissionen_Bundesmix[2022], $C$18:$C$178,$C701)</f>
        <v>0</v>
      </c>
      <c r="M701">
        <f>SUMIFS(Klisz_Emissionen_Bundesmix[2023], $C$18:$C$178,$C701)</f>
        <v>0</v>
      </c>
      <c r="N701">
        <f>SUMIFS(Klisz_Emissionen_Bundesmix[2024], $C$18:$C$178,$C701)</f>
        <v>0</v>
      </c>
      <c r="O701">
        <f>SUMIFS(Klisz_Emissionen_Bundesmix[2025], $C$18:$C$178,$C701)</f>
        <v>0</v>
      </c>
      <c r="P701">
        <f>SUMIFS(Klisz_Emissionen_Bundesmix[2026], $C$18:$C$178,$C701)</f>
        <v>0</v>
      </c>
      <c r="Q701">
        <f>SUMIFS(Klisz_Emissionen_Bundesmix[2027], $C$18:$C$178,$C701)</f>
        <v>0</v>
      </c>
      <c r="R701">
        <f>SUMIFS(Klisz_Emissionen_Bundesmix[2028], $C$18:$C$178,$C701)</f>
        <v>0</v>
      </c>
      <c r="S701">
        <f>SUMIFS(Klisz_Emissionen_Bundesmix[2029], $C$18:$C$178,$C701)</f>
        <v>0</v>
      </c>
      <c r="T701">
        <f>SUMIFS(Klisz_Emissionen_Bundesmix[2030], $C$18:$C$178,$C701)</f>
        <v>0</v>
      </c>
      <c r="U701">
        <f>SUMIFS(Klisz_Emissionen_Bundesmix[2035], $C$18:$C$178,$C701)</f>
        <v>0</v>
      </c>
      <c r="V701">
        <f>SUMIFS(Klisz_Emissionen_Bundesmix[2040], $C$18:$C$178,$C701)</f>
        <v>0</v>
      </c>
      <c r="W701">
        <f>SUMIFS(Klisz_Emissionen_Bundesmix[2045], $C$18:$C$178,$C701)</f>
        <v>0</v>
      </c>
      <c r="X701">
        <f>SUMIFS(Klisz_Emissionen_Bundesmix[2050], $C$18:$C$178,$C701)</f>
        <v>0</v>
      </c>
    </row>
    <row r="702" spans="2:24" ht="16.5">
      <c r="C702" t="str">
        <f>'Refsz-Emissionen'!C357</f>
        <v>Waren und Dienstleistungen</v>
      </c>
      <c r="D702" t="s">
        <v>195</v>
      </c>
      <c r="E702">
        <f>SUMIFS(Klisz_Emissionen_Bundesmix[2015], $C$18:$C$178,$C702)</f>
        <v>0</v>
      </c>
      <c r="F702">
        <f>SUMIFS(Klisz_Emissionen_Bundesmix[2016], $C$18:$C$178,$C702)</f>
        <v>0</v>
      </c>
      <c r="G702">
        <f>SUMIFS(Klisz_Emissionen_Bundesmix[2017], $C$18:$C$178,$C702)</f>
        <v>0</v>
      </c>
      <c r="H702">
        <f>SUMIFS(Klisz_Emissionen_Bundesmix[2018], $C$18:$C$178,$C702)</f>
        <v>0</v>
      </c>
      <c r="I702">
        <f>SUMIFS(Klisz_Emissionen_Bundesmix[2019], $C$18:$C$178,$C702)</f>
        <v>0</v>
      </c>
      <c r="J702">
        <f>SUMIFS(Klisz_Emissionen_Bundesmix[2020], $C$18:$C$178,$C702)</f>
        <v>0</v>
      </c>
      <c r="K702">
        <f>SUMIFS(Klisz_Emissionen_Bundesmix[2021], $C$18:$C$178,$C702)</f>
        <v>0</v>
      </c>
      <c r="L702">
        <f>SUMIFS(Klisz_Emissionen_Bundesmix[2022], $C$18:$C$178,$C702)</f>
        <v>0</v>
      </c>
      <c r="M702">
        <f>SUMIFS(Klisz_Emissionen_Bundesmix[2023], $C$18:$C$178,$C702)</f>
        <v>0</v>
      </c>
      <c r="N702">
        <f>SUMIFS(Klisz_Emissionen_Bundesmix[2024], $C$18:$C$178,$C702)</f>
        <v>0</v>
      </c>
      <c r="O702">
        <f>SUMIFS(Klisz_Emissionen_Bundesmix[2025], $C$18:$C$178,$C702)</f>
        <v>0</v>
      </c>
      <c r="P702">
        <f>SUMIFS(Klisz_Emissionen_Bundesmix[2026], $C$18:$C$178,$C702)</f>
        <v>0</v>
      </c>
      <c r="Q702">
        <f>SUMIFS(Klisz_Emissionen_Bundesmix[2027], $C$18:$C$178,$C702)</f>
        <v>0</v>
      </c>
      <c r="R702">
        <f>SUMIFS(Klisz_Emissionen_Bundesmix[2028], $C$18:$C$178,$C702)</f>
        <v>0</v>
      </c>
      <c r="S702">
        <f>SUMIFS(Klisz_Emissionen_Bundesmix[2029], $C$18:$C$178,$C702)</f>
        <v>0</v>
      </c>
      <c r="T702">
        <f>SUMIFS(Klisz_Emissionen_Bundesmix[2030], $C$18:$C$178,$C702)</f>
        <v>0</v>
      </c>
      <c r="U702">
        <f>SUMIFS(Klisz_Emissionen_Bundesmix[2035], $C$18:$C$178,$C702)</f>
        <v>0</v>
      </c>
      <c r="V702">
        <f>SUMIFS(Klisz_Emissionen_Bundesmix[2040], $C$18:$C$178,$C702)</f>
        <v>0</v>
      </c>
      <c r="W702">
        <f>SUMIFS(Klisz_Emissionen_Bundesmix[2045], $C$18:$C$178,$C702)</f>
        <v>0</v>
      </c>
      <c r="X702">
        <f>SUMIFS(Klisz_Emissionen_Bundesmix[2050], $C$18:$C$178,$C702)</f>
        <v>0</v>
      </c>
    </row>
    <row r="703" spans="2:24" ht="16.5">
      <c r="C703" t="str">
        <f>'Refsz-Emissionen'!C358</f>
        <v>Baugüter</v>
      </c>
      <c r="D703" t="s">
        <v>195</v>
      </c>
      <c r="E703">
        <f>SUMIFS(Klisz_Emissionen_Bundesmix[2015], $C$18:$C$178,$C703)</f>
        <v>0</v>
      </c>
      <c r="F703">
        <f>SUMIFS(Klisz_Emissionen_Bundesmix[2016], $C$18:$C$178,$C703)</f>
        <v>0</v>
      </c>
      <c r="G703">
        <f>SUMIFS(Klisz_Emissionen_Bundesmix[2017], $C$18:$C$178,$C703)</f>
        <v>0</v>
      </c>
      <c r="H703">
        <f>SUMIFS(Klisz_Emissionen_Bundesmix[2018], $C$18:$C$178,$C703)</f>
        <v>0</v>
      </c>
      <c r="I703">
        <f>SUMIFS(Klisz_Emissionen_Bundesmix[2019], $C$18:$C$178,$C703)</f>
        <v>0</v>
      </c>
      <c r="J703">
        <f>SUMIFS(Klisz_Emissionen_Bundesmix[2020], $C$18:$C$178,$C703)</f>
        <v>0</v>
      </c>
      <c r="K703">
        <f>SUMIFS(Klisz_Emissionen_Bundesmix[2021], $C$18:$C$178,$C703)</f>
        <v>0</v>
      </c>
      <c r="L703">
        <f>SUMIFS(Klisz_Emissionen_Bundesmix[2022], $C$18:$C$178,$C703)</f>
        <v>0</v>
      </c>
      <c r="M703">
        <f>SUMIFS(Klisz_Emissionen_Bundesmix[2023], $C$18:$C$178,$C703)</f>
        <v>0</v>
      </c>
      <c r="N703">
        <f>SUMIFS(Klisz_Emissionen_Bundesmix[2024], $C$18:$C$178,$C703)</f>
        <v>0</v>
      </c>
      <c r="O703">
        <f>SUMIFS(Klisz_Emissionen_Bundesmix[2025], $C$18:$C$178,$C703)</f>
        <v>0</v>
      </c>
      <c r="P703">
        <f>SUMIFS(Klisz_Emissionen_Bundesmix[2026], $C$18:$C$178,$C703)</f>
        <v>0</v>
      </c>
      <c r="Q703">
        <f>SUMIFS(Klisz_Emissionen_Bundesmix[2027], $C$18:$C$178,$C703)</f>
        <v>0</v>
      </c>
      <c r="R703">
        <f>SUMIFS(Klisz_Emissionen_Bundesmix[2028], $C$18:$C$178,$C703)</f>
        <v>0</v>
      </c>
      <c r="S703">
        <f>SUMIFS(Klisz_Emissionen_Bundesmix[2029], $C$18:$C$178,$C703)</f>
        <v>0</v>
      </c>
      <c r="T703">
        <f>SUMIFS(Klisz_Emissionen_Bundesmix[2030], $C$18:$C$178,$C703)</f>
        <v>0</v>
      </c>
      <c r="U703">
        <f>SUMIFS(Klisz_Emissionen_Bundesmix[2035], $C$18:$C$178,$C703)</f>
        <v>0</v>
      </c>
      <c r="V703">
        <f>SUMIFS(Klisz_Emissionen_Bundesmix[2040], $C$18:$C$178,$C703)</f>
        <v>0</v>
      </c>
      <c r="W703">
        <f>SUMIFS(Klisz_Emissionen_Bundesmix[2045], $C$18:$C$178,$C703)</f>
        <v>0</v>
      </c>
      <c r="X703">
        <f>SUMIFS(Klisz_Emissionen_Bundesmix[2050], $C$18:$C$178,$C703)</f>
        <v>0</v>
      </c>
    </row>
    <row r="704" spans="2:24" ht="16.5">
      <c r="C704" t="str">
        <f>'Refsz-Emissionen'!C359</f>
        <v>Waren mit negativem GWP total</v>
      </c>
      <c r="D704" t="s">
        <v>195</v>
      </c>
      <c r="E704">
        <f>SUMIFS(Klisz_Emissionen_Bundesmix[2015], $C$18:$C$178,$C704)</f>
        <v>0</v>
      </c>
      <c r="F704">
        <f>SUMIFS(Klisz_Emissionen_Bundesmix[2016], $C$18:$C$178,$C704)</f>
        <v>0</v>
      </c>
      <c r="G704">
        <f>SUMIFS(Klisz_Emissionen_Bundesmix[2017], $C$18:$C$178,$C704)</f>
        <v>0</v>
      </c>
      <c r="H704">
        <f>SUMIFS(Klisz_Emissionen_Bundesmix[2018], $C$18:$C$178,$C704)</f>
        <v>0</v>
      </c>
      <c r="I704">
        <f>SUMIFS(Klisz_Emissionen_Bundesmix[2019], $C$18:$C$178,$C704)</f>
        <v>0</v>
      </c>
      <c r="J704">
        <f>SUMIFS(Klisz_Emissionen_Bundesmix[2020], $C$18:$C$178,$C704)</f>
        <v>0</v>
      </c>
      <c r="K704">
        <f>SUMIFS(Klisz_Emissionen_Bundesmix[2021], $C$18:$C$178,$C704)</f>
        <v>0</v>
      </c>
      <c r="L704">
        <f>SUMIFS(Klisz_Emissionen_Bundesmix[2022], $C$18:$C$178,$C704)</f>
        <v>0</v>
      </c>
      <c r="M704">
        <f>SUMIFS(Klisz_Emissionen_Bundesmix[2023], $C$18:$C$178,$C704)</f>
        <v>0</v>
      </c>
      <c r="N704">
        <f>SUMIFS(Klisz_Emissionen_Bundesmix[2024], $C$18:$C$178,$C704)</f>
        <v>0</v>
      </c>
      <c r="O704">
        <f>SUMIFS(Klisz_Emissionen_Bundesmix[2025], $C$18:$C$178,$C704)</f>
        <v>0</v>
      </c>
      <c r="P704">
        <f>SUMIFS(Klisz_Emissionen_Bundesmix[2026], $C$18:$C$178,$C704)</f>
        <v>0</v>
      </c>
      <c r="Q704">
        <f>SUMIFS(Klisz_Emissionen_Bundesmix[2027], $C$18:$C$178,$C704)</f>
        <v>0</v>
      </c>
      <c r="R704">
        <f>SUMIFS(Klisz_Emissionen_Bundesmix[2028], $C$18:$C$178,$C704)</f>
        <v>0</v>
      </c>
      <c r="S704">
        <f>SUMIFS(Klisz_Emissionen_Bundesmix[2029], $C$18:$C$178,$C704)</f>
        <v>0</v>
      </c>
      <c r="T704">
        <f>SUMIFS(Klisz_Emissionen_Bundesmix[2030], $C$18:$C$178,$C704)</f>
        <v>0</v>
      </c>
      <c r="U704">
        <f>SUMIFS(Klisz_Emissionen_Bundesmix[2035], $C$18:$C$178,$C704)</f>
        <v>0</v>
      </c>
      <c r="V704">
        <f>SUMIFS(Klisz_Emissionen_Bundesmix[2040], $C$18:$C$178,$C704)</f>
        <v>0</v>
      </c>
      <c r="W704">
        <f>SUMIFS(Klisz_Emissionen_Bundesmix[2045], $C$18:$C$178,$C704)</f>
        <v>0</v>
      </c>
      <c r="X704">
        <f>SUMIFS(Klisz_Emissionen_Bundesmix[2050], $C$18:$C$178,$C704)</f>
        <v>0</v>
      </c>
    </row>
    <row r="705" spans="2:24" ht="16.5">
      <c r="C705" t="str">
        <f>'Refsz-Emissionen'!C360</f>
        <v>Kompensation</v>
      </c>
      <c r="D705" t="s">
        <v>195</v>
      </c>
      <c r="E705">
        <f>SUMIFS(Klisz_Emissionen_Bundesmix[2015], $C$18:$C$178,$C705)</f>
        <v>0</v>
      </c>
      <c r="F705">
        <f>SUMIFS(Klisz_Emissionen_Bundesmix[2016], $C$18:$C$178,$C705)</f>
        <v>0</v>
      </c>
      <c r="G705">
        <f>SUMIFS(Klisz_Emissionen_Bundesmix[2017], $C$18:$C$178,$C705)</f>
        <v>0</v>
      </c>
      <c r="H705">
        <f>SUMIFS(Klisz_Emissionen_Bundesmix[2018], $C$18:$C$178,$C705)</f>
        <v>0</v>
      </c>
      <c r="I705">
        <f>SUMIFS(Klisz_Emissionen_Bundesmix[2019], $C$18:$C$178,$C705)</f>
        <v>0</v>
      </c>
      <c r="J705">
        <f>SUMIFS(Klisz_Emissionen_Bundesmix[2020], $C$18:$C$178,$C705)</f>
        <v>0</v>
      </c>
      <c r="K705">
        <f>SUMIFS(Klisz_Emissionen_Bundesmix[2021], $C$18:$C$178,$C705)</f>
        <v>0</v>
      </c>
      <c r="L705">
        <f>SUMIFS(Klisz_Emissionen_Bundesmix[2022], $C$18:$C$178,$C705)</f>
        <v>0</v>
      </c>
      <c r="M705">
        <f>SUMIFS(Klisz_Emissionen_Bundesmix[2023], $C$18:$C$178,$C705)</f>
        <v>0</v>
      </c>
      <c r="N705">
        <f>SUMIFS(Klisz_Emissionen_Bundesmix[2024], $C$18:$C$178,$C705)</f>
        <v>0</v>
      </c>
      <c r="O705">
        <f>SUMIFS(Klisz_Emissionen_Bundesmix[2025], $C$18:$C$178,$C705)</f>
        <v>0</v>
      </c>
      <c r="P705">
        <f>SUMIFS(Klisz_Emissionen_Bundesmix[2026], $C$18:$C$178,$C705)</f>
        <v>0</v>
      </c>
      <c r="Q705">
        <f>SUMIFS(Klisz_Emissionen_Bundesmix[2027], $C$18:$C$178,$C705)</f>
        <v>0</v>
      </c>
      <c r="R705">
        <f>SUMIFS(Klisz_Emissionen_Bundesmix[2028], $C$18:$C$178,$C705)</f>
        <v>0</v>
      </c>
      <c r="S705">
        <f>SUMIFS(Klisz_Emissionen_Bundesmix[2029], $C$18:$C$178,$C705)</f>
        <v>0</v>
      </c>
      <c r="T705">
        <f>SUMIFS(Klisz_Emissionen_Bundesmix[2030], $C$18:$C$178,$C705)</f>
        <v>0</v>
      </c>
      <c r="U705">
        <f>SUMIFS(Klisz_Emissionen_Bundesmix[2035], $C$18:$C$178,$C705)</f>
        <v>0</v>
      </c>
      <c r="V705">
        <f>SUMIFS(Klisz_Emissionen_Bundesmix[2040], $C$18:$C$178,$C705)</f>
        <v>0</v>
      </c>
      <c r="W705">
        <f>SUMIFS(Klisz_Emissionen_Bundesmix[2045], $C$18:$C$178,$C705)</f>
        <v>0</v>
      </c>
      <c r="X705">
        <f>SUMIFS(Klisz_Emissionen_Bundesmix[2050], $C$18:$C$178,$C705)</f>
        <v>0</v>
      </c>
    </row>
    <row r="706" spans="2:24" ht="16.5">
      <c r="C706" s="23" t="s">
        <v>39</v>
      </c>
      <c r="D706" s="23" t="s">
        <v>195</v>
      </c>
      <c r="E706" s="147">
        <f>SUBTOTAL(109,Klisz_Bundesmix_Handlungsfelder[2015])</f>
        <v>0</v>
      </c>
      <c r="F706" s="147">
        <f>SUBTOTAL(109,Klisz_Bundesmix_Handlungsfelder[2016])</f>
        <v>0</v>
      </c>
      <c r="G706" s="147">
        <f>SUBTOTAL(109,Klisz_Bundesmix_Handlungsfelder[2017])</f>
        <v>0</v>
      </c>
      <c r="H706" s="147">
        <f>SUBTOTAL(109,Klisz_Bundesmix_Handlungsfelder[2018])</f>
        <v>0</v>
      </c>
      <c r="I706" s="147">
        <f>SUBTOTAL(109,Klisz_Bundesmix_Handlungsfelder[2019])</f>
        <v>0</v>
      </c>
      <c r="J706" s="147">
        <f>SUBTOTAL(109,Klisz_Bundesmix_Handlungsfelder[2020])</f>
        <v>0</v>
      </c>
      <c r="K706" s="147">
        <f>SUBTOTAL(109,Klisz_Bundesmix_Handlungsfelder[2021])</f>
        <v>0</v>
      </c>
      <c r="L706" s="147">
        <f>SUBTOTAL(109,Klisz_Bundesmix_Handlungsfelder[2022])</f>
        <v>0</v>
      </c>
      <c r="M706" s="147">
        <f>SUBTOTAL(109,Klisz_Bundesmix_Handlungsfelder[2023])</f>
        <v>0</v>
      </c>
      <c r="N706" s="147">
        <f>SUBTOTAL(109,Klisz_Bundesmix_Handlungsfelder[2024])</f>
        <v>0</v>
      </c>
      <c r="O706" s="147">
        <f>SUBTOTAL(109,Klisz_Bundesmix_Handlungsfelder[2025])</f>
        <v>0</v>
      </c>
      <c r="P706" s="147">
        <f>SUBTOTAL(109,Klisz_Bundesmix_Handlungsfelder[2026])</f>
        <v>0</v>
      </c>
      <c r="Q706" s="147">
        <f>SUBTOTAL(109,Klisz_Bundesmix_Handlungsfelder[2027])</f>
        <v>0</v>
      </c>
      <c r="R706" s="147">
        <f>SUBTOTAL(109,Klisz_Bundesmix_Handlungsfelder[2028])</f>
        <v>0</v>
      </c>
      <c r="S706" s="147">
        <f>SUBTOTAL(109,Klisz_Bundesmix_Handlungsfelder[2029])</f>
        <v>0</v>
      </c>
      <c r="T706" s="147">
        <f>SUBTOTAL(109,Klisz_Bundesmix_Handlungsfelder[2030])</f>
        <v>0</v>
      </c>
      <c r="U706" s="147">
        <f>SUBTOTAL(109,Klisz_Bundesmix_Handlungsfelder[2035])</f>
        <v>0</v>
      </c>
      <c r="V706" s="147">
        <f>SUBTOTAL(109,Klisz_Bundesmix_Handlungsfelder[2040])</f>
        <v>0</v>
      </c>
      <c r="W706" s="147">
        <f>SUBTOTAL(109,Klisz_Bundesmix_Handlungsfelder[2045])</f>
        <v>0</v>
      </c>
      <c r="X706" s="147">
        <f>SUBTOTAL(109,Klisz_Bundesmix_Handlungsfelder[2050])</f>
        <v>0</v>
      </c>
    </row>
    <row r="708" spans="2:24">
      <c r="C708" t="s">
        <v>375</v>
      </c>
      <c r="D708" t="s">
        <v>2</v>
      </c>
      <c r="E708" t="s">
        <v>3</v>
      </c>
      <c r="F708" t="s">
        <v>4</v>
      </c>
      <c r="G708" t="s">
        <v>5</v>
      </c>
      <c r="H708" t="s">
        <v>6</v>
      </c>
      <c r="I708" t="s">
        <v>7</v>
      </c>
      <c r="J708" t="s">
        <v>8</v>
      </c>
      <c r="K708" t="s">
        <v>9</v>
      </c>
      <c r="L708" t="s">
        <v>10</v>
      </c>
      <c r="M708" t="s">
        <v>11</v>
      </c>
      <c r="N708" t="s">
        <v>12</v>
      </c>
      <c r="O708" t="s">
        <v>13</v>
      </c>
      <c r="P708" t="s">
        <v>14</v>
      </c>
      <c r="Q708" t="s">
        <v>216</v>
      </c>
      <c r="R708" t="s">
        <v>217</v>
      </c>
      <c r="S708" t="s">
        <v>218</v>
      </c>
      <c r="T708" t="s">
        <v>15</v>
      </c>
      <c r="U708" t="s">
        <v>16</v>
      </c>
      <c r="V708" t="s">
        <v>17</v>
      </c>
      <c r="W708" t="s">
        <v>18</v>
      </c>
      <c r="X708" t="s">
        <v>19</v>
      </c>
    </row>
    <row r="709" spans="2:24" ht="16.5">
      <c r="C709" t="s">
        <v>206</v>
      </c>
      <c r="D709" t="s">
        <v>208</v>
      </c>
      <c r="E709" t="str">
        <f>IF(ISERROR(Startseite!G$75+Startseite!G$74), "Personenanzahl fehlt", IF(Startseite!G$74+Startseite!G$75=0, "Personenanzahl fehlt", Klisz_Bundesmix_Handlungsfelder[[#Totals],[2015]]/(Startseite!G$74+Startseite!G$75)))</f>
        <v>Personenanzahl fehlt</v>
      </c>
      <c r="F709" t="str">
        <f>IF(ISERROR(Startseite!H$75+Startseite!H$74), "Personenanzahl fehlt", IF(Startseite!H$74+Startseite!H$75=0, "Personenanzahl fehlt", Klisz_Bundesmix_Handlungsfelder[[#Totals],[2016]]/(Startseite!H$74+Startseite!H$75)))</f>
        <v>Personenanzahl fehlt</v>
      </c>
      <c r="G709" t="str">
        <f>IF(ISERROR(Startseite!I$75+Startseite!I$74), "Personenanzahl fehlt", IF(Startseite!I$74+Startseite!I$75=0, "Personenanzahl fehlt", Klisz_Bundesmix_Handlungsfelder[[#Totals],[2017]]/(Startseite!I$74+Startseite!I$75)))</f>
        <v>Personenanzahl fehlt</v>
      </c>
      <c r="H709" t="str">
        <f>IF(ISERROR(Startseite!J$75+Startseite!J$74), "Personenanzahl fehlt", IF(Startseite!J$74+Startseite!J$75=0, "Personenanzahl fehlt", Klisz_Bundesmix_Handlungsfelder[[#Totals],[2018]]/(Startseite!J$74+Startseite!J$75)))</f>
        <v>Personenanzahl fehlt</v>
      </c>
      <c r="I709" t="str">
        <f>IF(ISERROR(Startseite!K$75+Startseite!K$74), "Personenanzahl fehlt", IF(Startseite!K$74+Startseite!K$75=0, "Personenanzahl fehlt", Klisz_Bundesmix_Handlungsfelder[[#Totals],[2019]]/(Startseite!K$74+Startseite!K$75)))</f>
        <v>Personenanzahl fehlt</v>
      </c>
      <c r="J709" t="str">
        <f>IF(ISERROR(Startseite!L$75+Startseite!L$74), "Personenanzahl fehlt", IF(Startseite!L$74+Startseite!L$75=0, "Personenanzahl fehlt", Klisz_Bundesmix_Handlungsfelder[[#Totals],[2020]]/(Startseite!L$74+Startseite!L$75)))</f>
        <v>Personenanzahl fehlt</v>
      </c>
      <c r="K709" t="str">
        <f>IF(ISERROR(Startseite!M$75+Startseite!M$74), "Personenanzahl fehlt", IF(Startseite!M$74+Startseite!M$75=0, "Personenanzahl fehlt", Klisz_Bundesmix_Handlungsfelder[[#Totals],[2021]]/(Startseite!M$74+Startseite!M$75)))</f>
        <v>Personenanzahl fehlt</v>
      </c>
      <c r="L709" t="str">
        <f>IF(ISERROR(Startseite!N$75+Startseite!N$74), "Personenanzahl fehlt", IF(Startseite!N$74+Startseite!N$75=0, "Personenanzahl fehlt", Klisz_Bundesmix_Handlungsfelder[[#Totals],[2022]]/(Startseite!N$74+Startseite!N$75)))</f>
        <v>Personenanzahl fehlt</v>
      </c>
      <c r="M709" t="str">
        <f>IF(ISERROR(Startseite!O$75+Startseite!O$74), "Personenanzahl fehlt", IF(Startseite!O$74+Startseite!O$75=0, "Personenanzahl fehlt", Klisz_Bundesmix_Handlungsfelder[[#Totals],[2023]]/(Startseite!O$74+Startseite!O$75)))</f>
        <v>Personenanzahl fehlt</v>
      </c>
      <c r="N709" t="str">
        <f>IF(ISERROR(Startseite!P$75+Startseite!P$74), "Personenanzahl fehlt", IF(Startseite!P$74+Startseite!P$75=0, "Personenanzahl fehlt", Klisz_Bundesmix_Handlungsfelder[[#Totals],[2024]]/(Startseite!P$74+Startseite!P$75)))</f>
        <v>Personenanzahl fehlt</v>
      </c>
      <c r="O709" t="str">
        <f>IF(ISERROR(Startseite!Q$75+Startseite!Q$74), "Personenanzahl fehlt", IF(Startseite!Q$74+Startseite!Q$75=0, "Personenanzahl fehlt", Klisz_Bundesmix_Handlungsfelder[[#Totals],[2025]]/(Startseite!Q$74+Startseite!Q$75)))</f>
        <v>Personenanzahl fehlt</v>
      </c>
      <c r="P709" t="str">
        <f>IF(ISERROR(Startseite!R$75+Startseite!R$74), "Personenanzahl fehlt", IF(Startseite!R$74+Startseite!R$75=0, "Personenanzahl fehlt", Klisz_Bundesmix_Handlungsfelder[[#Totals],[2026]]/(Startseite!R$74+Startseite!R$75)))</f>
        <v>Personenanzahl fehlt</v>
      </c>
      <c r="Q709" t="str">
        <f>IF(ISERROR(Startseite!S$75+Startseite!S$74), "Personenanzahl fehlt", IF(Startseite!S$74+Startseite!S$75=0, "Personenanzahl fehlt", Klisz_Bundesmix_Handlungsfelder[[#Totals],[2027]]/(Startseite!S$74+Startseite!S$75)))</f>
        <v>Personenanzahl fehlt</v>
      </c>
      <c r="R709" t="str">
        <f>IF(ISERROR(Startseite!T$75+Startseite!T$74), "Personenanzahl fehlt", IF(Startseite!T$74+Startseite!T$75=0, "Personenanzahl fehlt", Klisz_Bundesmix_Handlungsfelder[[#Totals],[2028]]/(Startseite!T$74+Startseite!T$75)))</f>
        <v>Personenanzahl fehlt</v>
      </c>
      <c r="S709" t="str">
        <f>IF(ISERROR(Startseite!U$75+Startseite!U$74), "Personenanzahl fehlt", IF(Startseite!U$74+Startseite!U$75=0, "Personenanzahl fehlt", Klisz_Bundesmix_Handlungsfelder[[#Totals],[2029]]/(Startseite!U$74+Startseite!U$75)))</f>
        <v>Personenanzahl fehlt</v>
      </c>
      <c r="T709" t="str">
        <f>IF(ISERROR(Startseite!V$75+Startseite!V$74), "Personenanzahl fehlt", IF(Startseite!V$74+Startseite!V$75=0, "Personenanzahl fehlt", Klisz_Bundesmix_Handlungsfelder[[#Totals],[2030]]/(Startseite!V$74+Startseite!V$75)))</f>
        <v>Personenanzahl fehlt</v>
      </c>
      <c r="U709" t="str">
        <f>IF(ISERROR(Startseite!W$75+Startseite!W$74), "Personenanzahl fehlt", IF(Startseite!W$74+Startseite!W$75=0, "Personenanzahl fehlt", Klisz_Bundesmix_Handlungsfelder[[#Totals],[2035]]/(Startseite!W$74+Startseite!W$75)))</f>
        <v>Personenanzahl fehlt</v>
      </c>
      <c r="V709" t="str">
        <f>IF(ISERROR(Startseite!X$75+Startseite!X$74), "Personenanzahl fehlt", IF(Startseite!X$74+Startseite!X$75=0, "Personenanzahl fehlt", Klisz_Bundesmix_Handlungsfelder[[#Totals],[2040]]/(Startseite!X$74+Startseite!X$75)))</f>
        <v>Personenanzahl fehlt</v>
      </c>
      <c r="W709" t="str">
        <f>IF(ISERROR(Startseite!Y$75+Startseite!Y$74), "Personenanzahl fehlt", IF(Startseite!Y$74+Startseite!Y$75=0, "Personenanzahl fehlt", Klisz_Bundesmix_Handlungsfelder[[#Totals],[2045]]/(Startseite!Y$74+Startseite!Y$75)))</f>
        <v>Personenanzahl fehlt</v>
      </c>
      <c r="X709" t="str">
        <f>IF(ISERROR(Startseite!Z$75+Startseite!Z$74), "Personenanzahl fehlt", IF(Startseite!Z$74+Startseite!Z$75=0, "Personenanzahl fehlt", Klisz_Bundesmix_Handlungsfelder[[#Totals],[2050]]/(Startseite!Z$74+Startseite!Z$75)))</f>
        <v>Personenanzahl fehlt</v>
      </c>
    </row>
    <row r="710" spans="2:24" ht="16.5">
      <c r="C710" t="s">
        <v>207</v>
      </c>
      <c r="D710" t="s">
        <v>209</v>
      </c>
      <c r="E710" t="str">
        <f>IF(ISERROR(Klisz_Bundesmix_Handlungsfelder[[#Totals],[2015]]/Startseite!G$72), "Fläche fehlt", IF(Startseite!G$72&lt;&gt;0, Klisz_Bundesmix_Handlungsfelder[[#Totals],[2015]]/Startseite!G$72, "Fläche fehlt"))</f>
        <v>Fläche fehlt</v>
      </c>
      <c r="F710" t="str">
        <f>IF(ISERROR(Klisz_Bundesmix_Handlungsfelder[[#Totals],[2016]]/Startseite!H$72), "Fläche fehlt", IF(Startseite!H$72&lt;&gt;0, Klisz_Bundesmix_Handlungsfelder[[#Totals],[2016]]/Startseite!H$72, "Fläche fehlt"))</f>
        <v>Fläche fehlt</v>
      </c>
      <c r="G710" t="str">
        <f>IF(ISERROR(Klisz_Bundesmix_Handlungsfelder[[#Totals],[2017]]/Startseite!I$72), "Fläche fehlt", IF(Startseite!I$72&lt;&gt;0, Klisz_Bundesmix_Handlungsfelder[[#Totals],[2017]]/Startseite!I$72, "Fläche fehlt"))</f>
        <v>Fläche fehlt</v>
      </c>
      <c r="H710" t="str">
        <f>IF(ISERROR(Klisz_Bundesmix_Handlungsfelder[[#Totals],[2018]]/Startseite!J$72), "Fläche fehlt", IF(Startseite!J$72&lt;&gt;0, Klisz_Bundesmix_Handlungsfelder[[#Totals],[2018]]/Startseite!J$72, "Fläche fehlt"))</f>
        <v>Fläche fehlt</v>
      </c>
      <c r="I710" t="str">
        <f>IF(ISERROR(Klisz_Bundesmix_Handlungsfelder[[#Totals],[2019]]/Startseite!K$72), "Fläche fehlt", IF(Startseite!K$72&lt;&gt;0, Klisz_Bundesmix_Handlungsfelder[[#Totals],[2019]]/Startseite!K$72, "Fläche fehlt"))</f>
        <v>Fläche fehlt</v>
      </c>
      <c r="J710" t="str">
        <f>IF(ISERROR(Klisz_Bundesmix_Handlungsfelder[[#Totals],[2020]]/Startseite!L$72), "Fläche fehlt", IF(Startseite!L$72&lt;&gt;0, Klisz_Bundesmix_Handlungsfelder[[#Totals],[2020]]/Startseite!L$72, "Fläche fehlt"))</f>
        <v>Fläche fehlt</v>
      </c>
      <c r="K710" t="str">
        <f>IF(ISERROR(Klisz_Bundesmix_Handlungsfelder[[#Totals],[2021]]/Startseite!M$72), "Fläche fehlt", IF(Startseite!M$72&lt;&gt;0, Klisz_Bundesmix_Handlungsfelder[[#Totals],[2021]]/Startseite!M$72, "Fläche fehlt"))</f>
        <v>Fläche fehlt</v>
      </c>
      <c r="L710" t="str">
        <f>IF(ISERROR(Klisz_Bundesmix_Handlungsfelder[[#Totals],[2022]]/Startseite!N$72), "Fläche fehlt", IF(Startseite!N$72&lt;&gt;0, Klisz_Bundesmix_Handlungsfelder[[#Totals],[2022]]/Startseite!N$72, "Fläche fehlt"))</f>
        <v>Fläche fehlt</v>
      </c>
      <c r="M710" t="str">
        <f>IF(ISERROR(Klisz_Bundesmix_Handlungsfelder[[#Totals],[2023]]/Startseite!O$72), "Fläche fehlt", IF(Startseite!O$72&lt;&gt;0, Klisz_Bundesmix_Handlungsfelder[[#Totals],[2023]]/Startseite!O$72, "Fläche fehlt"))</f>
        <v>Fläche fehlt</v>
      </c>
      <c r="N710" t="str">
        <f>IF(ISERROR(Klisz_Bundesmix_Handlungsfelder[[#Totals],[2024]]/Startseite!P$72), "Fläche fehlt", IF(Startseite!P$72&lt;&gt;0, Klisz_Bundesmix_Handlungsfelder[[#Totals],[2024]]/Startseite!P$72, "Fläche fehlt"))</f>
        <v>Fläche fehlt</v>
      </c>
      <c r="O710" t="str">
        <f>IF(ISERROR(Klisz_Bundesmix_Handlungsfelder[[#Totals],[2025]]/Startseite!Q$72), "Fläche fehlt", IF(Startseite!Q$72&lt;&gt;0, Klisz_Bundesmix_Handlungsfelder[[#Totals],[2025]]/Startseite!Q$72, "Fläche fehlt"))</f>
        <v>Fläche fehlt</v>
      </c>
      <c r="P710" t="str">
        <f>IF(ISERROR(Klisz_Bundesmix_Handlungsfelder[[#Totals],[2026]]/Startseite!R$72), "Fläche fehlt", IF(Startseite!R$72&lt;&gt;0, Klisz_Bundesmix_Handlungsfelder[[#Totals],[2026]]/Startseite!R$72, "Fläche fehlt"))</f>
        <v>Fläche fehlt</v>
      </c>
      <c r="Q710" t="str">
        <f>IF(ISERROR(Klisz_Bundesmix_Handlungsfelder[[#Totals],[2027]]/Startseite!S$72), "Fläche fehlt", IF(Startseite!S$72&lt;&gt;0, Klisz_Bundesmix_Handlungsfelder[[#Totals],[2027]]/Startseite!S$72, "Fläche fehlt"))</f>
        <v>Fläche fehlt</v>
      </c>
      <c r="R710" t="str">
        <f>IF(ISERROR(Klisz_Bundesmix_Handlungsfelder[[#Totals],[2028]]/Startseite!T$72), "Fläche fehlt", IF(Startseite!T$72&lt;&gt;0, Klisz_Bundesmix_Handlungsfelder[[#Totals],[2028]]/Startseite!T$72, "Fläche fehlt"))</f>
        <v>Fläche fehlt</v>
      </c>
      <c r="S710" t="str">
        <f>IF(ISERROR(Klisz_Bundesmix_Handlungsfelder[[#Totals],[2029]]/Startseite!U$72), "Fläche fehlt", IF(Startseite!U$72&lt;&gt;0, Klisz_Bundesmix_Handlungsfelder[[#Totals],[2029]]/Startseite!U$72, "Fläche fehlt"))</f>
        <v>Fläche fehlt</v>
      </c>
      <c r="T710" t="str">
        <f>IF(ISERROR(Klisz_Bundesmix_Handlungsfelder[[#Totals],[2030]]/Startseite!V$72), "Fläche fehlt", IF(Startseite!V$72&lt;&gt;0, Klisz_Bundesmix_Handlungsfelder[[#Totals],[2030]]/Startseite!V$72, "Fläche fehlt"))</f>
        <v>Fläche fehlt</v>
      </c>
      <c r="U710" t="str">
        <f>IF(ISERROR(Klisz_Bundesmix_Handlungsfelder[[#Totals],[2035]]/Startseite!W$72), "Fläche fehlt", IF(Startseite!W$72&lt;&gt;0, Klisz_Bundesmix_Handlungsfelder[[#Totals],[2035]]/Startseite!W$72, "Fläche fehlt"))</f>
        <v>Fläche fehlt</v>
      </c>
      <c r="V710" t="str">
        <f>IF(ISERROR(Klisz_Bundesmix_Handlungsfelder[[#Totals],[2040]]/Startseite!X$72), "Fläche fehlt", IF(Startseite!X$72&lt;&gt;0, Klisz_Bundesmix_Handlungsfelder[[#Totals],[2040]]/Startseite!X$72, "Fläche fehlt"))</f>
        <v>Fläche fehlt</v>
      </c>
      <c r="W710" t="str">
        <f>IF(ISERROR(Klisz_Bundesmix_Handlungsfelder[[#Totals],[2045]]/Startseite!Y$72), "Fläche fehlt", IF(Startseite!Y$72&lt;&gt;0, Klisz_Bundesmix_Handlungsfelder[[#Totals],[2045]]/Startseite!Y$72, "Fläche fehlt"))</f>
        <v>Fläche fehlt</v>
      </c>
      <c r="X710" t="str">
        <f>IF(ISERROR(Klisz_Bundesmix_Handlungsfelder[[#Totals],[2050]]/Startseite!Z$72), "Fläche fehlt", IF(Startseite!Z$72&lt;&gt;0, Klisz_Bundesmix_Handlungsfelder[[#Totals],[2050]]/Startseite!Z$72, "Fläche fehlt"))</f>
        <v>Fläche fehlt</v>
      </c>
    </row>
    <row r="713" spans="2:24" ht="15.5">
      <c r="B713" s="6" t="s">
        <v>404</v>
      </c>
    </row>
    <row r="714" spans="2:24">
      <c r="C714" s="1"/>
    </row>
    <row r="715" spans="2:24">
      <c r="C715" t="s">
        <v>28</v>
      </c>
      <c r="D715" t="s">
        <v>2</v>
      </c>
      <c r="E715" t="s">
        <v>3</v>
      </c>
      <c r="F715" t="s">
        <v>4</v>
      </c>
      <c r="G715" t="s">
        <v>5</v>
      </c>
      <c r="H715" t="s">
        <v>6</v>
      </c>
      <c r="I715" t="s">
        <v>7</v>
      </c>
      <c r="J715" t="s">
        <v>8</v>
      </c>
      <c r="K715" t="s">
        <v>9</v>
      </c>
      <c r="L715" t="s">
        <v>10</v>
      </c>
      <c r="M715" t="s">
        <v>11</v>
      </c>
      <c r="N715" t="s">
        <v>12</v>
      </c>
      <c r="O715" t="s">
        <v>13</v>
      </c>
      <c r="P715" t="s">
        <v>14</v>
      </c>
      <c r="Q715" t="s">
        <v>216</v>
      </c>
      <c r="R715" t="s">
        <v>217</v>
      </c>
      <c r="S715" t="s">
        <v>218</v>
      </c>
      <c r="T715" t="s">
        <v>15</v>
      </c>
      <c r="U715" t="s">
        <v>16</v>
      </c>
      <c r="V715" t="s">
        <v>17</v>
      </c>
      <c r="W715" t="s">
        <v>18</v>
      </c>
      <c r="X715" t="s">
        <v>19</v>
      </c>
    </row>
    <row r="716" spans="2:24" ht="16.5">
      <c r="C716" t="str">
        <f>'Refsz-Emissionen'!C350</f>
        <v>Elektrischer Strom</v>
      </c>
      <c r="D716" t="s">
        <v>195</v>
      </c>
      <c r="E716">
        <f>SUMIFS(Klisz_Emissionen_BundesmixKS80[2015], $C$183:$C$343,$C716)</f>
        <v>0</v>
      </c>
      <c r="F716">
        <f>SUMIFS(Klisz_Emissionen_BundesmixKS80[2016], $C$183:$C$343,$C716)</f>
        <v>0</v>
      </c>
      <c r="G716">
        <f>SUMIFS(Klisz_Emissionen_BundesmixKS80[2017], $C$183:$C$343,$C716)</f>
        <v>0</v>
      </c>
      <c r="H716">
        <f>SUMIFS(Klisz_Emissionen_BundesmixKS80[2018], $C$183:$C$343,$C716)</f>
        <v>0</v>
      </c>
      <c r="I716">
        <f>SUMIFS(Klisz_Emissionen_BundesmixKS80[2019], $C$183:$C$343,$C716)</f>
        <v>0</v>
      </c>
      <c r="J716">
        <f>SUMIFS(Klisz_Emissionen_BundesmixKS80[2020], $C$183:$C$343,$C716)</f>
        <v>0</v>
      </c>
      <c r="K716">
        <f>SUMIFS(Klisz_Emissionen_BundesmixKS80[2021], $C$183:$C$343,$C716)</f>
        <v>0</v>
      </c>
      <c r="L716">
        <f>SUMIFS(Klisz_Emissionen_BundesmixKS80[2022], $C$183:$C$343,$C716)</f>
        <v>0</v>
      </c>
      <c r="M716">
        <f>SUMIFS(Klisz_Emissionen_BundesmixKS80[2023], $C$183:$C$343,$C716)</f>
        <v>0</v>
      </c>
      <c r="N716">
        <f>SUMIFS(Klisz_Emissionen_BundesmixKS80[2024], $C$183:$C$343,$C716)</f>
        <v>0</v>
      </c>
      <c r="O716">
        <f>SUMIFS(Klisz_Emissionen_BundesmixKS80[2025], $C$183:$C$343,$C716)</f>
        <v>0</v>
      </c>
      <c r="P716">
        <f>SUMIFS(Klisz_Emissionen_BundesmixKS80[2026], $C$183:$C$343,$C716)</f>
        <v>0</v>
      </c>
      <c r="Q716">
        <f>SUMIFS(Klisz_Emissionen_BundesmixKS80[2027], $C$183:$C$343,$C716)</f>
        <v>0</v>
      </c>
      <c r="R716">
        <f>SUMIFS(Klisz_Emissionen_BundesmixKS80[2028], $C$183:$C$343,$C716)</f>
        <v>0</v>
      </c>
      <c r="S716">
        <f>SUMIFS(Klisz_Emissionen_BundesmixKS80[2029], $C$183:$C$343,$C716)</f>
        <v>0</v>
      </c>
      <c r="T716">
        <f>SUMIFS(Klisz_Emissionen_BundesmixKS80[2030], $C$183:$C$343,$C716)</f>
        <v>0</v>
      </c>
      <c r="U716">
        <f>SUMIFS(Klisz_Emissionen_BundesmixKS80[2035], $C$183:$C$343,$C716)</f>
        <v>0</v>
      </c>
      <c r="V716">
        <f>SUMIFS(Klisz_Emissionen_BundesmixKS80[2040], $C$183:$C$343,$C716)</f>
        <v>0</v>
      </c>
      <c r="W716">
        <f>SUMIFS(Klisz_Emissionen_BundesmixKS80[2045], $C$183:$C$343,$C716)</f>
        <v>0</v>
      </c>
      <c r="X716">
        <f>SUMIFS(Klisz_Emissionen_BundesmixKS80[2050], $C$183:$C$343,$C716)</f>
        <v>0</v>
      </c>
    </row>
    <row r="717" spans="2:24" ht="16.5">
      <c r="C717" t="str">
        <f>'Refsz-Emissionen'!C351</f>
        <v>Wärme</v>
      </c>
      <c r="D717" t="s">
        <v>195</v>
      </c>
      <c r="E717">
        <f>SUMIFS(Klisz_Emissionen_BundesmixKS80[2015], $C$183:$C$343,$C717)</f>
        <v>0</v>
      </c>
      <c r="F717">
        <f>SUMIFS(Klisz_Emissionen_BundesmixKS80[2016], $C$183:$C$343,$C717)</f>
        <v>0</v>
      </c>
      <c r="G717">
        <f>SUMIFS(Klisz_Emissionen_BundesmixKS80[2017], $C$183:$C$343,$C717)</f>
        <v>0</v>
      </c>
      <c r="H717">
        <f>SUMIFS(Klisz_Emissionen_BundesmixKS80[2018], $C$183:$C$343,$C717)</f>
        <v>0</v>
      </c>
      <c r="I717">
        <f>SUMIFS(Klisz_Emissionen_BundesmixKS80[2019], $C$183:$C$343,$C717)</f>
        <v>0</v>
      </c>
      <c r="J717">
        <f>SUMIFS(Klisz_Emissionen_BundesmixKS80[2020], $C$183:$C$343,$C717)</f>
        <v>0</v>
      </c>
      <c r="K717">
        <f>SUMIFS(Klisz_Emissionen_BundesmixKS80[2021], $C$183:$C$343,$C717)</f>
        <v>0</v>
      </c>
      <c r="L717">
        <f>SUMIFS(Klisz_Emissionen_BundesmixKS80[2022], $C$183:$C$343,$C717)</f>
        <v>0</v>
      </c>
      <c r="M717">
        <f>SUMIFS(Klisz_Emissionen_BundesmixKS80[2023], $C$183:$C$343,$C717)</f>
        <v>0</v>
      </c>
      <c r="N717">
        <f>SUMIFS(Klisz_Emissionen_BundesmixKS80[2024], $C$183:$C$343,$C717)</f>
        <v>0</v>
      </c>
      <c r="O717">
        <f>SUMIFS(Klisz_Emissionen_BundesmixKS80[2025], $C$183:$C$343,$C717)</f>
        <v>0</v>
      </c>
      <c r="P717">
        <f>SUMIFS(Klisz_Emissionen_BundesmixKS80[2026], $C$183:$C$343,$C717)</f>
        <v>0</v>
      </c>
      <c r="Q717">
        <f>SUMIFS(Klisz_Emissionen_BundesmixKS80[2027], $C$183:$C$343,$C717)</f>
        <v>0</v>
      </c>
      <c r="R717">
        <f>SUMIFS(Klisz_Emissionen_BundesmixKS80[2028], $C$183:$C$343,$C717)</f>
        <v>0</v>
      </c>
      <c r="S717">
        <f>SUMIFS(Klisz_Emissionen_BundesmixKS80[2029], $C$183:$C$343,$C717)</f>
        <v>0</v>
      </c>
      <c r="T717">
        <f>SUMIFS(Klisz_Emissionen_BundesmixKS80[2030], $C$183:$C$343,$C717)</f>
        <v>0</v>
      </c>
      <c r="U717">
        <f>SUMIFS(Klisz_Emissionen_BundesmixKS80[2035], $C$183:$C$343,$C717)</f>
        <v>0</v>
      </c>
      <c r="V717">
        <f>SUMIFS(Klisz_Emissionen_BundesmixKS80[2040], $C$183:$C$343,$C717)</f>
        <v>0</v>
      </c>
      <c r="W717">
        <f>SUMIFS(Klisz_Emissionen_BundesmixKS80[2045], $C$183:$C$343,$C717)</f>
        <v>0</v>
      </c>
      <c r="X717">
        <f>SUMIFS(Klisz_Emissionen_BundesmixKS80[2050], $C$183:$C$343,$C717)</f>
        <v>0</v>
      </c>
    </row>
    <row r="718" spans="2:24" ht="16.5">
      <c r="C718" t="str">
        <f>'Refsz-Emissionen'!C352</f>
        <v>Kälte</v>
      </c>
      <c r="D718" t="s">
        <v>195</v>
      </c>
      <c r="E718">
        <f>SUMIFS(Klisz_Emissionen_BundesmixKS80[2015], $C$183:$C$343,$C718)</f>
        <v>0</v>
      </c>
      <c r="F718">
        <f>SUMIFS(Klisz_Emissionen_BundesmixKS80[2016], $C$183:$C$343,$C718)</f>
        <v>0</v>
      </c>
      <c r="G718">
        <f>SUMIFS(Klisz_Emissionen_BundesmixKS80[2017], $C$183:$C$343,$C718)</f>
        <v>0</v>
      </c>
      <c r="H718">
        <f>SUMIFS(Klisz_Emissionen_BundesmixKS80[2018], $C$183:$C$343,$C718)</f>
        <v>0</v>
      </c>
      <c r="I718">
        <f>SUMIFS(Klisz_Emissionen_BundesmixKS80[2019], $C$183:$C$343,$C718)</f>
        <v>0</v>
      </c>
      <c r="J718">
        <f>SUMIFS(Klisz_Emissionen_BundesmixKS80[2020], $C$183:$C$343,$C718)</f>
        <v>0</v>
      </c>
      <c r="K718">
        <f>SUMIFS(Klisz_Emissionen_BundesmixKS80[2021], $C$183:$C$343,$C718)</f>
        <v>0</v>
      </c>
      <c r="L718">
        <f>SUMIFS(Klisz_Emissionen_BundesmixKS80[2022], $C$183:$C$343,$C718)</f>
        <v>0</v>
      </c>
      <c r="M718">
        <f>SUMIFS(Klisz_Emissionen_BundesmixKS80[2023], $C$183:$C$343,$C718)</f>
        <v>0</v>
      </c>
      <c r="N718">
        <f>SUMIFS(Klisz_Emissionen_BundesmixKS80[2024], $C$183:$C$343,$C718)</f>
        <v>0</v>
      </c>
      <c r="O718">
        <f>SUMIFS(Klisz_Emissionen_BundesmixKS80[2025], $C$183:$C$343,$C718)</f>
        <v>0</v>
      </c>
      <c r="P718">
        <f>SUMIFS(Klisz_Emissionen_BundesmixKS80[2026], $C$183:$C$343,$C718)</f>
        <v>0</v>
      </c>
      <c r="Q718">
        <f>SUMIFS(Klisz_Emissionen_BundesmixKS80[2027], $C$183:$C$343,$C718)</f>
        <v>0</v>
      </c>
      <c r="R718">
        <f>SUMIFS(Klisz_Emissionen_BundesmixKS80[2028], $C$183:$C$343,$C718)</f>
        <v>0</v>
      </c>
      <c r="S718">
        <f>SUMIFS(Klisz_Emissionen_BundesmixKS80[2029], $C$183:$C$343,$C718)</f>
        <v>0</v>
      </c>
      <c r="T718">
        <f>SUMIFS(Klisz_Emissionen_BundesmixKS80[2030], $C$183:$C$343,$C718)</f>
        <v>0</v>
      </c>
      <c r="U718">
        <f>SUMIFS(Klisz_Emissionen_BundesmixKS80[2035], $C$183:$C$343,$C718)</f>
        <v>0</v>
      </c>
      <c r="V718">
        <f>SUMIFS(Klisz_Emissionen_BundesmixKS80[2040], $C$183:$C$343,$C718)</f>
        <v>0</v>
      </c>
      <c r="W718">
        <f>SUMIFS(Klisz_Emissionen_BundesmixKS80[2045], $C$183:$C$343,$C718)</f>
        <v>0</v>
      </c>
      <c r="X718">
        <f>SUMIFS(Klisz_Emissionen_BundesmixKS80[2050], $C$183:$C$343,$C718)</f>
        <v>0</v>
      </c>
    </row>
    <row r="719" spans="2:24" ht="16.5">
      <c r="C719" t="str">
        <f>'Refsz-Emissionen'!C353</f>
        <v>Mobilität 1</v>
      </c>
      <c r="D719" t="s">
        <v>195</v>
      </c>
      <c r="E719">
        <f>SUMIFS(Klisz_Emissionen_BundesmixKS80[2015], $C$183:$C$343,$C719)</f>
        <v>0</v>
      </c>
      <c r="F719">
        <f>SUMIFS(Klisz_Emissionen_BundesmixKS80[2016], $C$183:$C$343,$C719)</f>
        <v>0</v>
      </c>
      <c r="G719">
        <f>SUMIFS(Klisz_Emissionen_BundesmixKS80[2017], $C$183:$C$343,$C719)</f>
        <v>0</v>
      </c>
      <c r="H719">
        <f>SUMIFS(Klisz_Emissionen_BundesmixKS80[2018], $C$183:$C$343,$C719)</f>
        <v>0</v>
      </c>
      <c r="I719">
        <f>SUMIFS(Klisz_Emissionen_BundesmixKS80[2019], $C$183:$C$343,$C719)</f>
        <v>0</v>
      </c>
      <c r="J719">
        <f>SUMIFS(Klisz_Emissionen_BundesmixKS80[2020], $C$183:$C$343,$C719)</f>
        <v>0</v>
      </c>
      <c r="K719">
        <f>SUMIFS(Klisz_Emissionen_BundesmixKS80[2021], $C$183:$C$343,$C719)</f>
        <v>0</v>
      </c>
      <c r="L719">
        <f>SUMIFS(Klisz_Emissionen_BundesmixKS80[2022], $C$183:$C$343,$C719)</f>
        <v>0</v>
      </c>
      <c r="M719">
        <f>SUMIFS(Klisz_Emissionen_BundesmixKS80[2023], $C$183:$C$343,$C719)</f>
        <v>0</v>
      </c>
      <c r="N719">
        <f>SUMIFS(Klisz_Emissionen_BundesmixKS80[2024], $C$183:$C$343,$C719)</f>
        <v>0</v>
      </c>
      <c r="O719">
        <f>SUMIFS(Klisz_Emissionen_BundesmixKS80[2025], $C$183:$C$343,$C719)</f>
        <v>0</v>
      </c>
      <c r="P719">
        <f>SUMIFS(Klisz_Emissionen_BundesmixKS80[2026], $C$183:$C$343,$C719)</f>
        <v>0</v>
      </c>
      <c r="Q719">
        <f>SUMIFS(Klisz_Emissionen_BundesmixKS80[2027], $C$183:$C$343,$C719)</f>
        <v>0</v>
      </c>
      <c r="R719">
        <f>SUMIFS(Klisz_Emissionen_BundesmixKS80[2028], $C$183:$C$343,$C719)</f>
        <v>0</v>
      </c>
      <c r="S719">
        <f>SUMIFS(Klisz_Emissionen_BundesmixKS80[2029], $C$183:$C$343,$C719)</f>
        <v>0</v>
      </c>
      <c r="T719">
        <f>SUMIFS(Klisz_Emissionen_BundesmixKS80[2030], $C$183:$C$343,$C719)</f>
        <v>0</v>
      </c>
      <c r="U719">
        <f>SUMIFS(Klisz_Emissionen_BundesmixKS80[2035], $C$183:$C$343,$C719)</f>
        <v>0</v>
      </c>
      <c r="V719">
        <f>SUMIFS(Klisz_Emissionen_BundesmixKS80[2040], $C$183:$C$343,$C719)</f>
        <v>0</v>
      </c>
      <c r="W719">
        <f>SUMIFS(Klisz_Emissionen_BundesmixKS80[2045], $C$183:$C$343,$C719)</f>
        <v>0</v>
      </c>
      <c r="X719">
        <f>SUMIFS(Klisz_Emissionen_BundesmixKS80[2050], $C$183:$C$343,$C719)</f>
        <v>0</v>
      </c>
    </row>
    <row r="720" spans="2:24" ht="16.5">
      <c r="C720" t="str">
        <f>'Refsz-Emissionen'!C354</f>
        <v>Mobilität 2</v>
      </c>
      <c r="D720" t="s">
        <v>195</v>
      </c>
      <c r="E720">
        <f>SUMIFS(Klisz_Emissionen_BundesmixKS80[2015], $C$183:$C$343,$C720)</f>
        <v>0</v>
      </c>
      <c r="F720">
        <f>SUMIFS(Klisz_Emissionen_BundesmixKS80[2016], $C$183:$C$343,$C720)</f>
        <v>0</v>
      </c>
      <c r="G720">
        <f>SUMIFS(Klisz_Emissionen_BundesmixKS80[2017], $C$183:$C$343,$C720)</f>
        <v>0</v>
      </c>
      <c r="H720">
        <f>SUMIFS(Klisz_Emissionen_BundesmixKS80[2018], $C$183:$C$343,$C720)</f>
        <v>0</v>
      </c>
      <c r="I720">
        <f>SUMIFS(Klisz_Emissionen_BundesmixKS80[2019], $C$183:$C$343,$C720)</f>
        <v>0</v>
      </c>
      <c r="J720">
        <f>SUMIFS(Klisz_Emissionen_BundesmixKS80[2020], $C$183:$C$343,$C720)</f>
        <v>0</v>
      </c>
      <c r="K720">
        <f>SUMIFS(Klisz_Emissionen_BundesmixKS80[2021], $C$183:$C$343,$C720)</f>
        <v>0</v>
      </c>
      <c r="L720">
        <f>SUMIFS(Klisz_Emissionen_BundesmixKS80[2022], $C$183:$C$343,$C720)</f>
        <v>0</v>
      </c>
      <c r="M720">
        <f>SUMIFS(Klisz_Emissionen_BundesmixKS80[2023], $C$183:$C$343,$C720)</f>
        <v>0</v>
      </c>
      <c r="N720">
        <f>SUMIFS(Klisz_Emissionen_BundesmixKS80[2024], $C$183:$C$343,$C720)</f>
        <v>0</v>
      </c>
      <c r="O720">
        <f>SUMIFS(Klisz_Emissionen_BundesmixKS80[2025], $C$183:$C$343,$C720)</f>
        <v>0</v>
      </c>
      <c r="P720">
        <f>SUMIFS(Klisz_Emissionen_BundesmixKS80[2026], $C$183:$C$343,$C720)</f>
        <v>0</v>
      </c>
      <c r="Q720">
        <f>SUMIFS(Klisz_Emissionen_BundesmixKS80[2027], $C$183:$C$343,$C720)</f>
        <v>0</v>
      </c>
      <c r="R720">
        <f>SUMIFS(Klisz_Emissionen_BundesmixKS80[2028], $C$183:$C$343,$C720)</f>
        <v>0</v>
      </c>
      <c r="S720">
        <f>SUMIFS(Klisz_Emissionen_BundesmixKS80[2029], $C$183:$C$343,$C720)</f>
        <v>0</v>
      </c>
      <c r="T720">
        <f>SUMIFS(Klisz_Emissionen_BundesmixKS80[2030], $C$183:$C$343,$C720)</f>
        <v>0</v>
      </c>
      <c r="U720">
        <f>SUMIFS(Klisz_Emissionen_BundesmixKS80[2035], $C$183:$C$343,$C720)</f>
        <v>0</v>
      </c>
      <c r="V720">
        <f>SUMIFS(Klisz_Emissionen_BundesmixKS80[2040], $C$183:$C$343,$C720)</f>
        <v>0</v>
      </c>
      <c r="W720">
        <f>SUMIFS(Klisz_Emissionen_BundesmixKS80[2045], $C$183:$C$343,$C720)</f>
        <v>0</v>
      </c>
      <c r="X720">
        <f>SUMIFS(Klisz_Emissionen_BundesmixKS80[2050], $C$183:$C$343,$C720)</f>
        <v>0</v>
      </c>
    </row>
    <row r="721" spans="2:24" ht="16.5">
      <c r="C721" t="str">
        <f>'Refsz-Emissionen'!C355</f>
        <v>Wasser</v>
      </c>
      <c r="D721" t="s">
        <v>195</v>
      </c>
      <c r="E721">
        <f>SUMIFS(Klisz_Emissionen_BundesmixKS80[2015], $C$183:$C$343,$C721)</f>
        <v>0</v>
      </c>
      <c r="F721">
        <f>SUMIFS(Klisz_Emissionen_BundesmixKS80[2016], $C$183:$C$343,$C721)</f>
        <v>0</v>
      </c>
      <c r="G721">
        <f>SUMIFS(Klisz_Emissionen_BundesmixKS80[2017], $C$183:$C$343,$C721)</f>
        <v>0</v>
      </c>
      <c r="H721">
        <f>SUMIFS(Klisz_Emissionen_BundesmixKS80[2018], $C$183:$C$343,$C721)</f>
        <v>0</v>
      </c>
      <c r="I721">
        <f>SUMIFS(Klisz_Emissionen_BundesmixKS80[2019], $C$183:$C$343,$C721)</f>
        <v>0</v>
      </c>
      <c r="J721">
        <f>SUMIFS(Klisz_Emissionen_BundesmixKS80[2020], $C$183:$C$343,$C721)</f>
        <v>0</v>
      </c>
      <c r="K721">
        <f>SUMIFS(Klisz_Emissionen_BundesmixKS80[2021], $C$183:$C$343,$C721)</f>
        <v>0</v>
      </c>
      <c r="L721">
        <f>SUMIFS(Klisz_Emissionen_BundesmixKS80[2022], $C$183:$C$343,$C721)</f>
        <v>0</v>
      </c>
      <c r="M721">
        <f>SUMIFS(Klisz_Emissionen_BundesmixKS80[2023], $C$183:$C$343,$C721)</f>
        <v>0</v>
      </c>
      <c r="N721">
        <f>SUMIFS(Klisz_Emissionen_BundesmixKS80[2024], $C$183:$C$343,$C721)</f>
        <v>0</v>
      </c>
      <c r="O721">
        <f>SUMIFS(Klisz_Emissionen_BundesmixKS80[2025], $C$183:$C$343,$C721)</f>
        <v>0</v>
      </c>
      <c r="P721">
        <f>SUMIFS(Klisz_Emissionen_BundesmixKS80[2026], $C$183:$C$343,$C721)</f>
        <v>0</v>
      </c>
      <c r="Q721">
        <f>SUMIFS(Klisz_Emissionen_BundesmixKS80[2027], $C$183:$C$343,$C721)</f>
        <v>0</v>
      </c>
      <c r="R721">
        <f>SUMIFS(Klisz_Emissionen_BundesmixKS80[2028], $C$183:$C$343,$C721)</f>
        <v>0</v>
      </c>
      <c r="S721">
        <f>SUMIFS(Klisz_Emissionen_BundesmixKS80[2029], $C$183:$C$343,$C721)</f>
        <v>0</v>
      </c>
      <c r="T721">
        <f>SUMIFS(Klisz_Emissionen_BundesmixKS80[2030], $C$183:$C$343,$C721)</f>
        <v>0</v>
      </c>
      <c r="U721">
        <f>SUMIFS(Klisz_Emissionen_BundesmixKS80[2035], $C$183:$C$343,$C721)</f>
        <v>0</v>
      </c>
      <c r="V721">
        <f>SUMIFS(Klisz_Emissionen_BundesmixKS80[2040], $C$183:$C$343,$C721)</f>
        <v>0</v>
      </c>
      <c r="W721">
        <f>SUMIFS(Klisz_Emissionen_BundesmixKS80[2045], $C$183:$C$343,$C721)</f>
        <v>0</v>
      </c>
      <c r="X721">
        <f>SUMIFS(Klisz_Emissionen_BundesmixKS80[2050], $C$183:$C$343,$C721)</f>
        <v>0</v>
      </c>
    </row>
    <row r="722" spans="2:24" ht="16.5">
      <c r="C722" t="str">
        <f>'Refsz-Emissionen'!C356</f>
        <v>Abfall</v>
      </c>
      <c r="D722" t="s">
        <v>195</v>
      </c>
      <c r="E722">
        <f>SUMIFS(Klisz_Emissionen_BundesmixKS80[2015], $C$183:$C$343,$C722)</f>
        <v>0</v>
      </c>
      <c r="F722">
        <f>SUMIFS(Klisz_Emissionen_BundesmixKS80[2016], $C$183:$C$343,$C722)</f>
        <v>0</v>
      </c>
      <c r="G722">
        <f>SUMIFS(Klisz_Emissionen_BundesmixKS80[2017], $C$183:$C$343,$C722)</f>
        <v>0</v>
      </c>
      <c r="H722">
        <f>SUMIFS(Klisz_Emissionen_BundesmixKS80[2018], $C$183:$C$343,$C722)</f>
        <v>0</v>
      </c>
      <c r="I722">
        <f>SUMIFS(Klisz_Emissionen_BundesmixKS80[2019], $C$183:$C$343,$C722)</f>
        <v>0</v>
      </c>
      <c r="J722">
        <f>SUMIFS(Klisz_Emissionen_BundesmixKS80[2020], $C$183:$C$343,$C722)</f>
        <v>0</v>
      </c>
      <c r="K722">
        <f>SUMIFS(Klisz_Emissionen_BundesmixKS80[2021], $C$183:$C$343,$C722)</f>
        <v>0</v>
      </c>
      <c r="L722">
        <f>SUMIFS(Klisz_Emissionen_BundesmixKS80[2022], $C$183:$C$343,$C722)</f>
        <v>0</v>
      </c>
      <c r="M722">
        <f>SUMIFS(Klisz_Emissionen_BundesmixKS80[2023], $C$183:$C$343,$C722)</f>
        <v>0</v>
      </c>
      <c r="N722">
        <f>SUMIFS(Klisz_Emissionen_BundesmixKS80[2024], $C$183:$C$343,$C722)</f>
        <v>0</v>
      </c>
      <c r="O722">
        <f>SUMIFS(Klisz_Emissionen_BundesmixKS80[2025], $C$183:$C$343,$C722)</f>
        <v>0</v>
      </c>
      <c r="P722">
        <f>SUMIFS(Klisz_Emissionen_BundesmixKS80[2026], $C$183:$C$343,$C722)</f>
        <v>0</v>
      </c>
      <c r="Q722">
        <f>SUMIFS(Klisz_Emissionen_BundesmixKS80[2027], $C$183:$C$343,$C722)</f>
        <v>0</v>
      </c>
      <c r="R722">
        <f>SUMIFS(Klisz_Emissionen_BundesmixKS80[2028], $C$183:$C$343,$C722)</f>
        <v>0</v>
      </c>
      <c r="S722">
        <f>SUMIFS(Klisz_Emissionen_BundesmixKS80[2029], $C$183:$C$343,$C722)</f>
        <v>0</v>
      </c>
      <c r="T722">
        <f>SUMIFS(Klisz_Emissionen_BundesmixKS80[2030], $C$183:$C$343,$C722)</f>
        <v>0</v>
      </c>
      <c r="U722">
        <f>SUMIFS(Klisz_Emissionen_BundesmixKS80[2035], $C$183:$C$343,$C722)</f>
        <v>0</v>
      </c>
      <c r="V722">
        <f>SUMIFS(Klisz_Emissionen_BundesmixKS80[2040], $C$183:$C$343,$C722)</f>
        <v>0</v>
      </c>
      <c r="W722">
        <f>SUMIFS(Klisz_Emissionen_BundesmixKS80[2045], $C$183:$C$343,$C722)</f>
        <v>0</v>
      </c>
      <c r="X722">
        <f>SUMIFS(Klisz_Emissionen_BundesmixKS80[2050], $C$183:$C$343,$C722)</f>
        <v>0</v>
      </c>
    </row>
    <row r="723" spans="2:24" ht="16.5">
      <c r="C723" t="str">
        <f>'Refsz-Emissionen'!C357</f>
        <v>Waren und Dienstleistungen</v>
      </c>
      <c r="D723" t="s">
        <v>195</v>
      </c>
      <c r="E723">
        <f>SUMIFS(Klisz_Emissionen_BundesmixKS80[2015], $C$183:$C$343,$C723)</f>
        <v>0</v>
      </c>
      <c r="F723">
        <f>SUMIFS(Klisz_Emissionen_BundesmixKS80[2016], $C$183:$C$343,$C723)</f>
        <v>0</v>
      </c>
      <c r="G723">
        <f>SUMIFS(Klisz_Emissionen_BundesmixKS80[2017], $C$183:$C$343,$C723)</f>
        <v>0</v>
      </c>
      <c r="H723">
        <f>SUMIFS(Klisz_Emissionen_BundesmixKS80[2018], $C$183:$C$343,$C723)</f>
        <v>0</v>
      </c>
      <c r="I723">
        <f>SUMIFS(Klisz_Emissionen_BundesmixKS80[2019], $C$183:$C$343,$C723)</f>
        <v>0</v>
      </c>
      <c r="J723">
        <f>SUMIFS(Klisz_Emissionen_BundesmixKS80[2020], $C$183:$C$343,$C723)</f>
        <v>0</v>
      </c>
      <c r="K723">
        <f>SUMIFS(Klisz_Emissionen_BundesmixKS80[2021], $C$183:$C$343,$C723)</f>
        <v>0</v>
      </c>
      <c r="L723">
        <f>SUMIFS(Klisz_Emissionen_BundesmixKS80[2022], $C$183:$C$343,$C723)</f>
        <v>0</v>
      </c>
      <c r="M723">
        <f>SUMIFS(Klisz_Emissionen_BundesmixKS80[2023], $C$183:$C$343,$C723)</f>
        <v>0</v>
      </c>
      <c r="N723">
        <f>SUMIFS(Klisz_Emissionen_BundesmixKS80[2024], $C$183:$C$343,$C723)</f>
        <v>0</v>
      </c>
      <c r="O723">
        <f>SUMIFS(Klisz_Emissionen_BundesmixKS80[2025], $C$183:$C$343,$C723)</f>
        <v>0</v>
      </c>
      <c r="P723">
        <f>SUMIFS(Klisz_Emissionen_BundesmixKS80[2026], $C$183:$C$343,$C723)</f>
        <v>0</v>
      </c>
      <c r="Q723">
        <f>SUMIFS(Klisz_Emissionen_BundesmixKS80[2027], $C$183:$C$343,$C723)</f>
        <v>0</v>
      </c>
      <c r="R723">
        <f>SUMIFS(Klisz_Emissionen_BundesmixKS80[2028], $C$183:$C$343,$C723)</f>
        <v>0</v>
      </c>
      <c r="S723">
        <f>SUMIFS(Klisz_Emissionen_BundesmixKS80[2029], $C$183:$C$343,$C723)</f>
        <v>0</v>
      </c>
      <c r="T723">
        <f>SUMIFS(Klisz_Emissionen_BundesmixKS80[2030], $C$183:$C$343,$C723)</f>
        <v>0</v>
      </c>
      <c r="U723">
        <f>SUMIFS(Klisz_Emissionen_BundesmixKS80[2035], $C$183:$C$343,$C723)</f>
        <v>0</v>
      </c>
      <c r="V723">
        <f>SUMIFS(Klisz_Emissionen_BundesmixKS80[2040], $C$183:$C$343,$C723)</f>
        <v>0</v>
      </c>
      <c r="W723">
        <f>SUMIFS(Klisz_Emissionen_BundesmixKS80[2045], $C$183:$C$343,$C723)</f>
        <v>0</v>
      </c>
      <c r="X723">
        <f>SUMIFS(Klisz_Emissionen_BundesmixKS80[2050], $C$183:$C$343,$C723)</f>
        <v>0</v>
      </c>
    </row>
    <row r="724" spans="2:24" ht="16.5">
      <c r="C724" t="str">
        <f>'Refsz-Emissionen'!C358</f>
        <v>Baugüter</v>
      </c>
      <c r="D724" t="s">
        <v>195</v>
      </c>
      <c r="E724">
        <f>SUMIFS(Klisz_Emissionen_BundesmixKS80[2015], $C$183:$C$343,$C724)</f>
        <v>0</v>
      </c>
      <c r="F724">
        <f>SUMIFS(Klisz_Emissionen_BundesmixKS80[2016], $C$183:$C$343,$C724)</f>
        <v>0</v>
      </c>
      <c r="G724">
        <f>SUMIFS(Klisz_Emissionen_BundesmixKS80[2017], $C$183:$C$343,$C724)</f>
        <v>0</v>
      </c>
      <c r="H724">
        <f>SUMIFS(Klisz_Emissionen_BundesmixKS80[2018], $C$183:$C$343,$C724)</f>
        <v>0</v>
      </c>
      <c r="I724">
        <f>SUMIFS(Klisz_Emissionen_BundesmixKS80[2019], $C$183:$C$343,$C724)</f>
        <v>0</v>
      </c>
      <c r="J724">
        <f>SUMIFS(Klisz_Emissionen_BundesmixKS80[2020], $C$183:$C$343,$C724)</f>
        <v>0</v>
      </c>
      <c r="K724">
        <f>SUMIFS(Klisz_Emissionen_BundesmixKS80[2021], $C$183:$C$343,$C724)</f>
        <v>0</v>
      </c>
      <c r="L724">
        <f>SUMIFS(Klisz_Emissionen_BundesmixKS80[2022], $C$183:$C$343,$C724)</f>
        <v>0</v>
      </c>
      <c r="M724">
        <f>SUMIFS(Klisz_Emissionen_BundesmixKS80[2023], $C$183:$C$343,$C724)</f>
        <v>0</v>
      </c>
      <c r="N724">
        <f>SUMIFS(Klisz_Emissionen_BundesmixKS80[2024], $C$183:$C$343,$C724)</f>
        <v>0</v>
      </c>
      <c r="O724">
        <f>SUMIFS(Klisz_Emissionen_BundesmixKS80[2025], $C$183:$C$343,$C724)</f>
        <v>0</v>
      </c>
      <c r="P724">
        <f>SUMIFS(Klisz_Emissionen_BundesmixKS80[2026], $C$183:$C$343,$C724)</f>
        <v>0</v>
      </c>
      <c r="Q724">
        <f>SUMIFS(Klisz_Emissionen_BundesmixKS80[2027], $C$183:$C$343,$C724)</f>
        <v>0</v>
      </c>
      <c r="R724">
        <f>SUMIFS(Klisz_Emissionen_BundesmixKS80[2028], $C$183:$C$343,$C724)</f>
        <v>0</v>
      </c>
      <c r="S724">
        <f>SUMIFS(Klisz_Emissionen_BundesmixKS80[2029], $C$183:$C$343,$C724)</f>
        <v>0</v>
      </c>
      <c r="T724">
        <f>SUMIFS(Klisz_Emissionen_BundesmixKS80[2030], $C$183:$C$343,$C724)</f>
        <v>0</v>
      </c>
      <c r="U724">
        <f>SUMIFS(Klisz_Emissionen_BundesmixKS80[2035], $C$183:$C$343,$C724)</f>
        <v>0</v>
      </c>
      <c r="V724">
        <f>SUMIFS(Klisz_Emissionen_BundesmixKS80[2040], $C$183:$C$343,$C724)</f>
        <v>0</v>
      </c>
      <c r="W724">
        <f>SUMIFS(Klisz_Emissionen_BundesmixKS80[2045], $C$183:$C$343,$C724)</f>
        <v>0</v>
      </c>
      <c r="X724">
        <f>SUMIFS(Klisz_Emissionen_BundesmixKS80[2050], $C$183:$C$343,$C724)</f>
        <v>0</v>
      </c>
    </row>
    <row r="725" spans="2:24" ht="16.5">
      <c r="C725" t="str">
        <f>'Refsz-Emissionen'!C359</f>
        <v>Waren mit negativem GWP total</v>
      </c>
      <c r="D725" t="s">
        <v>195</v>
      </c>
      <c r="E725">
        <f>SUMIFS(Klisz_Emissionen_BundesmixKS80[2015], $C$183:$C$343,$C725)</f>
        <v>0</v>
      </c>
      <c r="F725">
        <f>SUMIFS(Klisz_Emissionen_BundesmixKS80[2016], $C$183:$C$343,$C725)</f>
        <v>0</v>
      </c>
      <c r="G725">
        <f>SUMIFS(Klisz_Emissionen_BundesmixKS80[2017], $C$183:$C$343,$C725)</f>
        <v>0</v>
      </c>
      <c r="H725">
        <f>SUMIFS(Klisz_Emissionen_BundesmixKS80[2018], $C$183:$C$343,$C725)</f>
        <v>0</v>
      </c>
      <c r="I725">
        <f>SUMIFS(Klisz_Emissionen_BundesmixKS80[2019], $C$183:$C$343,$C725)</f>
        <v>0</v>
      </c>
      <c r="J725">
        <f>SUMIFS(Klisz_Emissionen_BundesmixKS80[2020], $C$183:$C$343,$C725)</f>
        <v>0</v>
      </c>
      <c r="K725">
        <f>SUMIFS(Klisz_Emissionen_BundesmixKS80[2021], $C$183:$C$343,$C725)</f>
        <v>0</v>
      </c>
      <c r="L725">
        <f>SUMIFS(Klisz_Emissionen_BundesmixKS80[2022], $C$183:$C$343,$C725)</f>
        <v>0</v>
      </c>
      <c r="M725">
        <f>SUMIFS(Klisz_Emissionen_BundesmixKS80[2023], $C$183:$C$343,$C725)</f>
        <v>0</v>
      </c>
      <c r="N725">
        <f>SUMIFS(Klisz_Emissionen_BundesmixKS80[2024], $C$183:$C$343,$C725)</f>
        <v>0</v>
      </c>
      <c r="O725">
        <f>SUMIFS(Klisz_Emissionen_BundesmixKS80[2025], $C$183:$C$343,$C725)</f>
        <v>0</v>
      </c>
      <c r="P725">
        <f>SUMIFS(Klisz_Emissionen_BundesmixKS80[2026], $C$183:$C$343,$C725)</f>
        <v>0</v>
      </c>
      <c r="Q725">
        <f>SUMIFS(Klisz_Emissionen_BundesmixKS80[2027], $C$183:$C$343,$C725)</f>
        <v>0</v>
      </c>
      <c r="R725">
        <f>SUMIFS(Klisz_Emissionen_BundesmixKS80[2028], $C$183:$C$343,$C725)</f>
        <v>0</v>
      </c>
      <c r="S725">
        <f>SUMIFS(Klisz_Emissionen_BundesmixKS80[2029], $C$183:$C$343,$C725)</f>
        <v>0</v>
      </c>
      <c r="T725">
        <f>SUMIFS(Klisz_Emissionen_BundesmixKS80[2030], $C$183:$C$343,$C725)</f>
        <v>0</v>
      </c>
      <c r="U725">
        <f>SUMIFS(Klisz_Emissionen_BundesmixKS80[2035], $C$183:$C$343,$C725)</f>
        <v>0</v>
      </c>
      <c r="V725">
        <f>SUMIFS(Klisz_Emissionen_BundesmixKS80[2040], $C$183:$C$343,$C725)</f>
        <v>0</v>
      </c>
      <c r="W725">
        <f>SUMIFS(Klisz_Emissionen_BundesmixKS80[2045], $C$183:$C$343,$C725)</f>
        <v>0</v>
      </c>
      <c r="X725">
        <f>SUMIFS(Klisz_Emissionen_BundesmixKS80[2050], $C$183:$C$343,$C725)</f>
        <v>0</v>
      </c>
    </row>
    <row r="726" spans="2:24" ht="16.5">
      <c r="C726" t="str">
        <f>'Refsz-Emissionen'!C360</f>
        <v>Kompensation</v>
      </c>
      <c r="D726" t="s">
        <v>195</v>
      </c>
      <c r="E726">
        <f>SUMIFS(Klisz_Emissionen_BundesmixKS80[2015], $C$183:$C$343,$C726)</f>
        <v>0</v>
      </c>
      <c r="F726">
        <f>SUMIFS(Klisz_Emissionen_BundesmixKS80[2016], $C$183:$C$343,$C726)</f>
        <v>0</v>
      </c>
      <c r="G726">
        <f>SUMIFS(Klisz_Emissionen_BundesmixKS80[2017], $C$183:$C$343,$C726)</f>
        <v>0</v>
      </c>
      <c r="H726">
        <f>SUMIFS(Klisz_Emissionen_BundesmixKS80[2018], $C$183:$C$343,$C726)</f>
        <v>0</v>
      </c>
      <c r="I726">
        <f>SUMIFS(Klisz_Emissionen_BundesmixKS80[2019], $C$183:$C$343,$C726)</f>
        <v>0</v>
      </c>
      <c r="J726">
        <f>SUMIFS(Klisz_Emissionen_BundesmixKS80[2020], $C$183:$C$343,$C726)</f>
        <v>0</v>
      </c>
      <c r="K726">
        <f>SUMIFS(Klisz_Emissionen_BundesmixKS80[2021], $C$183:$C$343,$C726)</f>
        <v>0</v>
      </c>
      <c r="L726">
        <f>SUMIFS(Klisz_Emissionen_BundesmixKS80[2022], $C$183:$C$343,$C726)</f>
        <v>0</v>
      </c>
      <c r="M726">
        <f>SUMIFS(Klisz_Emissionen_BundesmixKS80[2023], $C$183:$C$343,$C726)</f>
        <v>0</v>
      </c>
      <c r="N726">
        <f>SUMIFS(Klisz_Emissionen_BundesmixKS80[2024], $C$183:$C$343,$C726)</f>
        <v>0</v>
      </c>
      <c r="O726">
        <f>SUMIFS(Klisz_Emissionen_BundesmixKS80[2025], $C$183:$C$343,$C726)</f>
        <v>0</v>
      </c>
      <c r="P726">
        <f>SUMIFS(Klisz_Emissionen_BundesmixKS80[2026], $C$183:$C$343,$C726)</f>
        <v>0</v>
      </c>
      <c r="Q726">
        <f>SUMIFS(Klisz_Emissionen_BundesmixKS80[2027], $C$183:$C$343,$C726)</f>
        <v>0</v>
      </c>
      <c r="R726">
        <f>SUMIFS(Klisz_Emissionen_BundesmixKS80[2028], $C$183:$C$343,$C726)</f>
        <v>0</v>
      </c>
      <c r="S726">
        <f>SUMIFS(Klisz_Emissionen_BundesmixKS80[2029], $C$183:$C$343,$C726)</f>
        <v>0</v>
      </c>
      <c r="T726">
        <f>SUMIFS(Klisz_Emissionen_BundesmixKS80[2030], $C$183:$C$343,$C726)</f>
        <v>0</v>
      </c>
      <c r="U726">
        <f>SUMIFS(Klisz_Emissionen_BundesmixKS80[2035], $C$183:$C$343,$C726)</f>
        <v>0</v>
      </c>
      <c r="V726">
        <f>SUMIFS(Klisz_Emissionen_BundesmixKS80[2040], $C$183:$C$343,$C726)</f>
        <v>0</v>
      </c>
      <c r="W726">
        <f>SUMIFS(Klisz_Emissionen_BundesmixKS80[2045], $C$183:$C$343,$C726)</f>
        <v>0</v>
      </c>
      <c r="X726">
        <f>SUMIFS(Klisz_Emissionen_BundesmixKS80[2050], $C$183:$C$343,$C726)</f>
        <v>0</v>
      </c>
    </row>
    <row r="727" spans="2:24" ht="16.5">
      <c r="C727" s="23" t="s">
        <v>39</v>
      </c>
      <c r="D727" s="23" t="s">
        <v>195</v>
      </c>
      <c r="E727" s="147">
        <f>SUBTOTAL(109,Klisz_Bundesmix_KS80_Handlungsfelder[2015])</f>
        <v>0</v>
      </c>
      <c r="F727" s="147">
        <f>SUBTOTAL(109,Klisz_Bundesmix_KS80_Handlungsfelder[2016])</f>
        <v>0</v>
      </c>
      <c r="G727" s="147">
        <f>SUBTOTAL(109,Klisz_Bundesmix_KS80_Handlungsfelder[2017])</f>
        <v>0</v>
      </c>
      <c r="H727" s="147">
        <f>SUBTOTAL(109,Klisz_Bundesmix_KS80_Handlungsfelder[2018])</f>
        <v>0</v>
      </c>
      <c r="I727" s="147">
        <f>SUBTOTAL(109,Klisz_Bundesmix_KS80_Handlungsfelder[2019])</f>
        <v>0</v>
      </c>
      <c r="J727" s="147">
        <f>SUBTOTAL(109,Klisz_Bundesmix_KS80_Handlungsfelder[2020])</f>
        <v>0</v>
      </c>
      <c r="K727" s="147">
        <f>SUBTOTAL(109,Klisz_Bundesmix_KS80_Handlungsfelder[2021])</f>
        <v>0</v>
      </c>
      <c r="L727" s="147">
        <f>SUBTOTAL(109,Klisz_Bundesmix_KS80_Handlungsfelder[2022])</f>
        <v>0</v>
      </c>
      <c r="M727" s="147">
        <f>SUBTOTAL(109,Klisz_Bundesmix_KS80_Handlungsfelder[2023])</f>
        <v>0</v>
      </c>
      <c r="N727" s="147">
        <f>SUBTOTAL(109,Klisz_Bundesmix_KS80_Handlungsfelder[2024])</f>
        <v>0</v>
      </c>
      <c r="O727" s="147">
        <f>SUBTOTAL(109,Klisz_Bundesmix_KS80_Handlungsfelder[2025])</f>
        <v>0</v>
      </c>
      <c r="P727" s="147">
        <f>SUBTOTAL(109,Klisz_Bundesmix_KS80_Handlungsfelder[2026])</f>
        <v>0</v>
      </c>
      <c r="Q727" s="147">
        <f>SUBTOTAL(109,Klisz_Bundesmix_KS80_Handlungsfelder[2027])</f>
        <v>0</v>
      </c>
      <c r="R727" s="147">
        <f>SUBTOTAL(109,Klisz_Bundesmix_KS80_Handlungsfelder[2028])</f>
        <v>0</v>
      </c>
      <c r="S727" s="147">
        <f>SUBTOTAL(109,Klisz_Bundesmix_KS80_Handlungsfelder[2029])</f>
        <v>0</v>
      </c>
      <c r="T727" s="147">
        <f>SUBTOTAL(109,Klisz_Bundesmix_KS80_Handlungsfelder[2030])</f>
        <v>0</v>
      </c>
      <c r="U727" s="147">
        <f>SUBTOTAL(109,Klisz_Bundesmix_KS80_Handlungsfelder[2035])</f>
        <v>0</v>
      </c>
      <c r="V727" s="147">
        <f>SUBTOTAL(109,Klisz_Bundesmix_KS80_Handlungsfelder[2040])</f>
        <v>0</v>
      </c>
      <c r="W727" s="147">
        <f>SUBTOTAL(109,Klisz_Bundesmix_KS80_Handlungsfelder[2045])</f>
        <v>0</v>
      </c>
      <c r="X727" s="147">
        <f>SUBTOTAL(109,Klisz_Bundesmix_KS80_Handlungsfelder[2050])</f>
        <v>0</v>
      </c>
    </row>
    <row r="729" spans="2:24">
      <c r="C729" t="s">
        <v>375</v>
      </c>
      <c r="D729" t="s">
        <v>2</v>
      </c>
      <c r="E729" t="s">
        <v>3</v>
      </c>
      <c r="F729" t="s">
        <v>4</v>
      </c>
      <c r="G729" t="s">
        <v>5</v>
      </c>
      <c r="H729" t="s">
        <v>6</v>
      </c>
      <c r="I729" t="s">
        <v>7</v>
      </c>
      <c r="J729" t="s">
        <v>8</v>
      </c>
      <c r="K729" t="s">
        <v>9</v>
      </c>
      <c r="L729" t="s">
        <v>10</v>
      </c>
      <c r="M729" t="s">
        <v>11</v>
      </c>
      <c r="N729" t="s">
        <v>12</v>
      </c>
      <c r="O729" t="s">
        <v>13</v>
      </c>
      <c r="P729" t="s">
        <v>14</v>
      </c>
      <c r="Q729" t="s">
        <v>216</v>
      </c>
      <c r="R729" t="s">
        <v>217</v>
      </c>
      <c r="S729" t="s">
        <v>218</v>
      </c>
      <c r="T729" t="s">
        <v>15</v>
      </c>
      <c r="U729" t="s">
        <v>16</v>
      </c>
      <c r="V729" t="s">
        <v>17</v>
      </c>
      <c r="W729" t="s">
        <v>18</v>
      </c>
      <c r="X729" t="s">
        <v>19</v>
      </c>
    </row>
    <row r="730" spans="2:24" ht="16.5">
      <c r="C730" t="s">
        <v>206</v>
      </c>
      <c r="D730" t="s">
        <v>208</v>
      </c>
      <c r="E730" t="str">
        <f>IF(ISERROR(Startseite!G$75+Startseite!G$74), "Personenanzahl fehlt", IF(Startseite!G$74+Startseite!G$75=0, "Personenanzahl fehlt", Klisz_Bundesmix_KS80_Handlungsfelder[[#Totals],[2015]]/(Startseite!G$74+Startseite!G$75)))</f>
        <v>Personenanzahl fehlt</v>
      </c>
      <c r="F730" t="str">
        <f>IF(ISERROR(Startseite!H$75+Startseite!H$74), "Personenanzahl fehlt", IF(Startseite!H$74+Startseite!H$75=0, "Personenanzahl fehlt", Klisz_Bundesmix_KS80_Handlungsfelder[[#Totals],[2016]]/(Startseite!H$74+Startseite!H$75)))</f>
        <v>Personenanzahl fehlt</v>
      </c>
      <c r="G730" t="str">
        <f>IF(ISERROR(Startseite!I$75+Startseite!I$74), "Personenanzahl fehlt", IF(Startseite!I$74+Startseite!I$75=0, "Personenanzahl fehlt", Klisz_Bundesmix_KS80_Handlungsfelder[[#Totals],[2017]]/(Startseite!I$74+Startseite!I$75)))</f>
        <v>Personenanzahl fehlt</v>
      </c>
      <c r="H730" t="str">
        <f>IF(ISERROR(Startseite!J$75+Startseite!J$74), "Personenanzahl fehlt", IF(Startseite!J$74+Startseite!J$75=0, "Personenanzahl fehlt", Klisz_Bundesmix_KS80_Handlungsfelder[[#Totals],[2018]]/(Startseite!J$74+Startseite!J$75)))</f>
        <v>Personenanzahl fehlt</v>
      </c>
      <c r="I730" t="str">
        <f>IF(ISERROR(Startseite!K$75+Startseite!K$74), "Personenanzahl fehlt", IF(Startseite!K$74+Startseite!K$75=0, "Personenanzahl fehlt", Klisz_Bundesmix_KS80_Handlungsfelder[[#Totals],[2019]]/(Startseite!K$74+Startseite!K$75)))</f>
        <v>Personenanzahl fehlt</v>
      </c>
      <c r="J730" t="str">
        <f>IF(ISERROR(Startseite!L$75+Startseite!L$74), "Personenanzahl fehlt", IF(Startseite!L$74+Startseite!L$75=0, "Personenanzahl fehlt", Klisz_Bundesmix_KS80_Handlungsfelder[[#Totals],[2020]]/(Startseite!L$74+Startseite!L$75)))</f>
        <v>Personenanzahl fehlt</v>
      </c>
      <c r="K730" t="str">
        <f>IF(ISERROR(Startseite!M$75+Startseite!M$74), "Personenanzahl fehlt", IF(Startseite!M$74+Startseite!M$75=0, "Personenanzahl fehlt", Klisz_Bundesmix_KS80_Handlungsfelder[[#Totals],[2021]]/(Startseite!M$74+Startseite!M$75)))</f>
        <v>Personenanzahl fehlt</v>
      </c>
      <c r="L730" t="str">
        <f>IF(ISERROR(Startseite!N$75+Startseite!N$74), "Personenanzahl fehlt", IF(Startseite!N$74+Startseite!N$75=0, "Personenanzahl fehlt", Klisz_Bundesmix_KS80_Handlungsfelder[[#Totals],[2022]]/(Startseite!N$74+Startseite!N$75)))</f>
        <v>Personenanzahl fehlt</v>
      </c>
      <c r="M730" t="str">
        <f>IF(ISERROR(Startseite!O$75+Startseite!O$74), "Personenanzahl fehlt", IF(Startseite!O$74+Startseite!O$75=0, "Personenanzahl fehlt", Klisz_Bundesmix_KS80_Handlungsfelder[[#Totals],[2023]]/(Startseite!O$74+Startseite!O$75)))</f>
        <v>Personenanzahl fehlt</v>
      </c>
      <c r="N730" t="str">
        <f>IF(ISERROR(Startseite!P$75+Startseite!P$74), "Personenanzahl fehlt", IF(Startseite!P$74+Startseite!P$75=0, "Personenanzahl fehlt", Klisz_Bundesmix_KS80_Handlungsfelder[[#Totals],[2024]]/(Startseite!P$74+Startseite!P$75)))</f>
        <v>Personenanzahl fehlt</v>
      </c>
      <c r="O730" t="str">
        <f>IF(ISERROR(Startseite!Q$75+Startseite!Q$74), "Personenanzahl fehlt", IF(Startseite!Q$74+Startseite!Q$75=0, "Personenanzahl fehlt", Klisz_Bundesmix_KS80_Handlungsfelder[[#Totals],[2025]]/(Startseite!Q$74+Startseite!Q$75)))</f>
        <v>Personenanzahl fehlt</v>
      </c>
      <c r="P730" t="str">
        <f>IF(ISERROR(Startseite!R$75+Startseite!R$74), "Personenanzahl fehlt", IF(Startseite!R$74+Startseite!R$75=0, "Personenanzahl fehlt", Klisz_Bundesmix_KS80_Handlungsfelder[[#Totals],[2026]]/(Startseite!R$74+Startseite!R$75)))</f>
        <v>Personenanzahl fehlt</v>
      </c>
      <c r="Q730" t="str">
        <f>IF(ISERROR(Startseite!S$75+Startseite!S$74), "Personenanzahl fehlt", IF(Startseite!S$74+Startseite!S$75=0, "Personenanzahl fehlt", Klisz_Bundesmix_KS80_Handlungsfelder[[#Totals],[2027]]/(Startseite!S$74+Startseite!S$75)))</f>
        <v>Personenanzahl fehlt</v>
      </c>
      <c r="R730" t="str">
        <f>IF(ISERROR(Startseite!T$75+Startseite!T$74), "Personenanzahl fehlt", IF(Startseite!T$74+Startseite!T$75=0, "Personenanzahl fehlt", Klisz_Bundesmix_KS80_Handlungsfelder[[#Totals],[2028]]/(Startseite!T$74+Startseite!T$75)))</f>
        <v>Personenanzahl fehlt</v>
      </c>
      <c r="S730" t="str">
        <f>IF(ISERROR(Startseite!U$75+Startseite!U$74), "Personenanzahl fehlt", IF(Startseite!U$74+Startseite!U$75=0, "Personenanzahl fehlt", Klisz_Bundesmix_KS80_Handlungsfelder[[#Totals],[2029]]/(Startseite!U$74+Startseite!U$75)))</f>
        <v>Personenanzahl fehlt</v>
      </c>
      <c r="T730" t="str">
        <f>IF(ISERROR(Startseite!V$75+Startseite!V$74), "Personenanzahl fehlt", IF(Startseite!V$74+Startseite!V$75=0, "Personenanzahl fehlt", Klisz_Bundesmix_KS80_Handlungsfelder[[#Totals],[2030]]/(Startseite!V$74+Startseite!V$75)))</f>
        <v>Personenanzahl fehlt</v>
      </c>
      <c r="U730" t="str">
        <f>IF(ISERROR(Startseite!W$75+Startseite!W$74), "Personenanzahl fehlt", IF(Startseite!W$74+Startseite!W$75=0, "Personenanzahl fehlt", Klisz_Bundesmix_KS80_Handlungsfelder[[#Totals],[2035]]/(Startseite!W$74+Startseite!W$75)))</f>
        <v>Personenanzahl fehlt</v>
      </c>
      <c r="V730" t="str">
        <f>IF(ISERROR(Startseite!X$75+Startseite!X$74), "Personenanzahl fehlt", IF(Startseite!X$74+Startseite!X$75=0, "Personenanzahl fehlt", Klisz_Bundesmix_KS80_Handlungsfelder[[#Totals],[2040]]/(Startseite!X$74+Startseite!X$75)))</f>
        <v>Personenanzahl fehlt</v>
      </c>
      <c r="W730" t="str">
        <f>IF(ISERROR(Startseite!Y$75+Startseite!Y$74), "Personenanzahl fehlt", IF(Startseite!Y$74+Startseite!Y$75=0, "Personenanzahl fehlt", Klisz_Bundesmix_KS80_Handlungsfelder[[#Totals],[2045]]/(Startseite!Y$74+Startseite!Y$75)))</f>
        <v>Personenanzahl fehlt</v>
      </c>
      <c r="X730" t="str">
        <f>IF(ISERROR(Startseite!Z$75+Startseite!Z$74), "Personenanzahl fehlt", IF(Startseite!Z$74+Startseite!Z$75=0, "Personenanzahl fehlt", Klisz_Bundesmix_KS80_Handlungsfelder[[#Totals],[2050]]/(Startseite!Z$74+Startseite!Z$75)))</f>
        <v>Personenanzahl fehlt</v>
      </c>
    </row>
    <row r="731" spans="2:24" ht="16.5">
      <c r="C731" t="s">
        <v>207</v>
      </c>
      <c r="D731" t="s">
        <v>209</v>
      </c>
      <c r="E731" t="str">
        <f>IF(ISERROR(Klisz_Bundesmix_KS80_Handlungsfelder[[#Totals],[2015]]/Startseite!G$72), "Fläche fehlt", IF(Startseite!G$72&lt;&gt;0, Klisz_Bundesmix_KS80_Handlungsfelder[[#Totals],[2015]]/Startseite!G$72, "Fläche fehlt"))</f>
        <v>Fläche fehlt</v>
      </c>
      <c r="F731" t="str">
        <f>IF(ISERROR(Klisz_Bundesmix_KS80_Handlungsfelder[[#Totals],[2016]]/Startseite!H$72), "Fläche fehlt", IF(Startseite!H$72&lt;&gt;0, Klisz_Bundesmix_KS80_Handlungsfelder[[#Totals],[2016]]/Startseite!H$72, "Fläche fehlt"))</f>
        <v>Fläche fehlt</v>
      </c>
      <c r="G731" t="str">
        <f>IF(ISERROR(Klisz_Bundesmix_KS80_Handlungsfelder[[#Totals],[2017]]/Startseite!I$72), "Fläche fehlt", IF(Startseite!I$72&lt;&gt;0, Klisz_Bundesmix_KS80_Handlungsfelder[[#Totals],[2017]]/Startseite!I$72, "Fläche fehlt"))</f>
        <v>Fläche fehlt</v>
      </c>
      <c r="H731" t="str">
        <f>IF(ISERROR(Klisz_Bundesmix_KS80_Handlungsfelder[[#Totals],[2018]]/Startseite!J$72), "Fläche fehlt", IF(Startseite!J$72&lt;&gt;0, Klisz_Bundesmix_KS80_Handlungsfelder[[#Totals],[2018]]/Startseite!J$72, "Fläche fehlt"))</f>
        <v>Fläche fehlt</v>
      </c>
      <c r="I731" t="str">
        <f>IF(ISERROR(Klisz_Bundesmix_KS80_Handlungsfelder[[#Totals],[2019]]/Startseite!K$72), "Fläche fehlt", IF(Startseite!K$72&lt;&gt;0, Klisz_Bundesmix_KS80_Handlungsfelder[[#Totals],[2019]]/Startseite!K$72, "Fläche fehlt"))</f>
        <v>Fläche fehlt</v>
      </c>
      <c r="J731" t="str">
        <f>IF(ISERROR(Klisz_Bundesmix_KS80_Handlungsfelder[[#Totals],[2020]]/Startseite!L$72), "Fläche fehlt", IF(Startseite!L$72&lt;&gt;0, Klisz_Bundesmix_KS80_Handlungsfelder[[#Totals],[2020]]/Startseite!L$72, "Fläche fehlt"))</f>
        <v>Fläche fehlt</v>
      </c>
      <c r="K731" t="str">
        <f>IF(ISERROR(Klisz_Bundesmix_KS80_Handlungsfelder[[#Totals],[2021]]/Startseite!M$72), "Fläche fehlt", IF(Startseite!M$72&lt;&gt;0, Klisz_Bundesmix_KS80_Handlungsfelder[[#Totals],[2021]]/Startseite!M$72, "Fläche fehlt"))</f>
        <v>Fläche fehlt</v>
      </c>
      <c r="L731" t="str">
        <f>IF(ISERROR(Klisz_Bundesmix_KS80_Handlungsfelder[[#Totals],[2022]]/Startseite!N$72), "Fläche fehlt", IF(Startseite!N$72&lt;&gt;0, Klisz_Bundesmix_KS80_Handlungsfelder[[#Totals],[2022]]/Startseite!N$72, "Fläche fehlt"))</f>
        <v>Fläche fehlt</v>
      </c>
      <c r="M731" t="str">
        <f>IF(ISERROR(Klisz_Bundesmix_KS80_Handlungsfelder[[#Totals],[2023]]/Startseite!O$72), "Fläche fehlt", IF(Startseite!O$72&lt;&gt;0, Klisz_Bundesmix_KS80_Handlungsfelder[[#Totals],[2023]]/Startseite!O$72, "Fläche fehlt"))</f>
        <v>Fläche fehlt</v>
      </c>
      <c r="N731" t="str">
        <f>IF(ISERROR(Klisz_Bundesmix_KS80_Handlungsfelder[[#Totals],[2024]]/Startseite!P$72), "Fläche fehlt", IF(Startseite!P$72&lt;&gt;0, Klisz_Bundesmix_KS80_Handlungsfelder[[#Totals],[2024]]/Startseite!P$72, "Fläche fehlt"))</f>
        <v>Fläche fehlt</v>
      </c>
      <c r="O731" t="str">
        <f>IF(ISERROR(Klisz_Bundesmix_KS80_Handlungsfelder[[#Totals],[2025]]/Startseite!Q$72), "Fläche fehlt", IF(Startseite!Q$72&lt;&gt;0, Klisz_Bundesmix_KS80_Handlungsfelder[[#Totals],[2025]]/Startseite!Q$72, "Fläche fehlt"))</f>
        <v>Fläche fehlt</v>
      </c>
      <c r="P731" t="str">
        <f>IF(ISERROR(Klisz_Bundesmix_KS80_Handlungsfelder[[#Totals],[2026]]/Startseite!R$72), "Fläche fehlt", IF(Startseite!R$72&lt;&gt;0, Klisz_Bundesmix_KS80_Handlungsfelder[[#Totals],[2026]]/Startseite!R$72, "Fläche fehlt"))</f>
        <v>Fläche fehlt</v>
      </c>
      <c r="Q731" t="str">
        <f>IF(ISERROR(Klisz_Bundesmix_KS80_Handlungsfelder[[#Totals],[2027]]/Startseite!S$72), "Fläche fehlt", IF(Startseite!S$72&lt;&gt;0, Klisz_Bundesmix_KS80_Handlungsfelder[[#Totals],[2027]]/Startseite!S$72, "Fläche fehlt"))</f>
        <v>Fläche fehlt</v>
      </c>
      <c r="R731" t="str">
        <f>IF(ISERROR(Klisz_Bundesmix_KS80_Handlungsfelder[[#Totals],[2028]]/Startseite!T$72), "Fläche fehlt", IF(Startseite!T$72&lt;&gt;0, Klisz_Bundesmix_KS80_Handlungsfelder[[#Totals],[2028]]/Startseite!T$72, "Fläche fehlt"))</f>
        <v>Fläche fehlt</v>
      </c>
      <c r="S731" t="str">
        <f>IF(ISERROR(Klisz_Bundesmix_KS80_Handlungsfelder[[#Totals],[2029]]/Startseite!U$72), "Fläche fehlt", IF(Startseite!U$72&lt;&gt;0, Klisz_Bundesmix_KS80_Handlungsfelder[[#Totals],[2029]]/Startseite!U$72, "Fläche fehlt"))</f>
        <v>Fläche fehlt</v>
      </c>
      <c r="T731" t="str">
        <f>IF(ISERROR(Klisz_Bundesmix_KS80_Handlungsfelder[[#Totals],[2030]]/Startseite!V$72), "Fläche fehlt", IF(Startseite!V$72&lt;&gt;0, Klisz_Bundesmix_KS80_Handlungsfelder[[#Totals],[2030]]/Startseite!V$72, "Fläche fehlt"))</f>
        <v>Fläche fehlt</v>
      </c>
      <c r="U731" t="str">
        <f>IF(ISERROR(Klisz_Bundesmix_KS80_Handlungsfelder[[#Totals],[2035]]/Startseite!W$72), "Fläche fehlt", IF(Startseite!W$72&lt;&gt;0, Klisz_Bundesmix_KS80_Handlungsfelder[[#Totals],[2035]]/Startseite!W$72, "Fläche fehlt"))</f>
        <v>Fläche fehlt</v>
      </c>
      <c r="V731" t="str">
        <f>IF(ISERROR(Klisz_Bundesmix_KS80_Handlungsfelder[[#Totals],[2040]]/Startseite!X$72), "Fläche fehlt", IF(Startseite!X$72&lt;&gt;0, Klisz_Bundesmix_KS80_Handlungsfelder[[#Totals],[2040]]/Startseite!X$72, "Fläche fehlt"))</f>
        <v>Fläche fehlt</v>
      </c>
      <c r="W731" t="str">
        <f>IF(ISERROR(Klisz_Bundesmix_KS80_Handlungsfelder[[#Totals],[2045]]/Startseite!Y$72), "Fläche fehlt", IF(Startseite!Y$72&lt;&gt;0, Klisz_Bundesmix_KS80_Handlungsfelder[[#Totals],[2045]]/Startseite!Y$72, "Fläche fehlt"))</f>
        <v>Fläche fehlt</v>
      </c>
      <c r="X731" t="str">
        <f>IF(ISERROR(Klisz_Bundesmix_KS80_Handlungsfelder[[#Totals],[2050]]/Startseite!Z$72), "Fläche fehlt", IF(Startseite!Z$72&lt;&gt;0, Klisz_Bundesmix_KS80_Handlungsfelder[[#Totals],[2050]]/Startseite!Z$72, "Fläche fehlt"))</f>
        <v>Fläche fehlt</v>
      </c>
    </row>
    <row r="734" spans="2:24" ht="15.5">
      <c r="B734" s="6" t="s">
        <v>405</v>
      </c>
    </row>
    <row r="735" spans="2:24">
      <c r="C735" s="1"/>
    </row>
    <row r="736" spans="2:24">
      <c r="C736" t="s">
        <v>28</v>
      </c>
      <c r="D736" t="s">
        <v>2</v>
      </c>
      <c r="E736" t="s">
        <v>3</v>
      </c>
      <c r="F736" t="s">
        <v>4</v>
      </c>
      <c r="G736" t="s">
        <v>5</v>
      </c>
      <c r="H736" t="s">
        <v>6</v>
      </c>
      <c r="I736" t="s">
        <v>7</v>
      </c>
      <c r="J736" t="s">
        <v>8</v>
      </c>
      <c r="K736" t="s">
        <v>9</v>
      </c>
      <c r="L736" t="s">
        <v>10</v>
      </c>
      <c r="M736" t="s">
        <v>11</v>
      </c>
      <c r="N736" t="s">
        <v>12</v>
      </c>
      <c r="O736" t="s">
        <v>13</v>
      </c>
      <c r="P736" t="s">
        <v>14</v>
      </c>
      <c r="Q736" t="s">
        <v>216</v>
      </c>
      <c r="R736" t="s">
        <v>217</v>
      </c>
      <c r="S736" t="s">
        <v>218</v>
      </c>
      <c r="T736" t="s">
        <v>15</v>
      </c>
      <c r="U736" t="s">
        <v>16</v>
      </c>
      <c r="V736" t="s">
        <v>17</v>
      </c>
      <c r="W736" t="s">
        <v>18</v>
      </c>
      <c r="X736" t="s">
        <v>19</v>
      </c>
    </row>
    <row r="737" spans="3:24" ht="16.5">
      <c r="C737" t="str">
        <f>'Refsz-Emissionen'!C350</f>
        <v>Elektrischer Strom</v>
      </c>
      <c r="D737" t="s">
        <v>195</v>
      </c>
      <c r="E737">
        <f>SUMIFS(Klisz_Emissionen_Regiomix[2015], $C$348:$C$508,$C737)</f>
        <v>0</v>
      </c>
      <c r="F737">
        <f>SUMIFS(Klisz_Emissionen_Regiomix[2016], $C$348:$C$508,$C737)</f>
        <v>0</v>
      </c>
      <c r="G737">
        <f>SUMIFS(Klisz_Emissionen_Regiomix[2017], $C$348:$C$508,$C737)</f>
        <v>0</v>
      </c>
      <c r="H737">
        <f>SUMIFS(Klisz_Emissionen_Regiomix[2018], $C$348:$C$508,$C737)</f>
        <v>0</v>
      </c>
      <c r="I737">
        <f>SUMIFS(Klisz_Emissionen_Regiomix[2019], $C$348:$C$508,$C737)</f>
        <v>0</v>
      </c>
      <c r="J737">
        <f>SUMIFS(Klisz_Emissionen_Regiomix[2020], $C$348:$C$508,$C737)</f>
        <v>0</v>
      </c>
      <c r="K737">
        <f>SUMIFS(Klisz_Emissionen_Regiomix[2021], $C$348:$C$508,$C737)</f>
        <v>0</v>
      </c>
      <c r="L737">
        <f>SUMIFS(Klisz_Emissionen_Regiomix[2022], $C$348:$C$508,$C737)</f>
        <v>0</v>
      </c>
      <c r="M737">
        <f>SUMIFS(Klisz_Emissionen_Regiomix[2023], $C$348:$C$508,$C737)</f>
        <v>0</v>
      </c>
      <c r="N737">
        <f>SUMIFS(Klisz_Emissionen_Regiomix[2024], $C$348:$C$508,$C737)</f>
        <v>0</v>
      </c>
      <c r="O737">
        <f>SUMIFS(Klisz_Emissionen_Regiomix[2025], $C$348:$C$508,$C737)</f>
        <v>0</v>
      </c>
      <c r="P737">
        <f>SUMIFS(Klisz_Emissionen_Regiomix[2026], $C$348:$C$508,$C737)</f>
        <v>0</v>
      </c>
      <c r="Q737">
        <f>SUMIFS(Klisz_Emissionen_Regiomix[2027], $C$348:$C$508,$C737)</f>
        <v>0</v>
      </c>
      <c r="R737">
        <f>SUMIFS(Klisz_Emissionen_Regiomix[2028], $C$348:$C$508,$C737)</f>
        <v>0</v>
      </c>
      <c r="S737">
        <f>SUMIFS(Klisz_Emissionen_Regiomix[2029], $C$348:$C$508,$C737)</f>
        <v>0</v>
      </c>
      <c r="T737">
        <f>SUMIFS(Klisz_Emissionen_Regiomix[2030], $C$348:$C$508,$C737)</f>
        <v>0</v>
      </c>
      <c r="U737">
        <f>SUMIFS(Klisz_Emissionen_Regiomix[2035], $C$348:$C$508,$C737)</f>
        <v>0</v>
      </c>
      <c r="V737">
        <f>SUMIFS(Klisz_Emissionen_Regiomix[2040], $C$348:$C$508,$C737)</f>
        <v>0</v>
      </c>
      <c r="W737">
        <f>SUMIFS(Klisz_Emissionen_Regiomix[2045], $C$348:$C$508,$C737)</f>
        <v>0</v>
      </c>
      <c r="X737">
        <f>SUMIFS(Klisz_Emissionen_Regiomix[2050], $C$348:$C$508,$C737)</f>
        <v>0</v>
      </c>
    </row>
    <row r="738" spans="3:24" ht="16.5">
      <c r="C738" t="str">
        <f>'Refsz-Emissionen'!C351</f>
        <v>Wärme</v>
      </c>
      <c r="D738" t="s">
        <v>195</v>
      </c>
      <c r="E738">
        <f>SUMIFS(Klisz_Emissionen_Regiomix[2015], $C$348:$C$508,$C738)</f>
        <v>0</v>
      </c>
      <c r="F738">
        <f>SUMIFS(Klisz_Emissionen_Regiomix[2016], $C$348:$C$508,$C738)</f>
        <v>0</v>
      </c>
      <c r="G738">
        <f>SUMIFS(Klisz_Emissionen_Regiomix[2017], $C$348:$C$508,$C738)</f>
        <v>0</v>
      </c>
      <c r="H738">
        <f>SUMIFS(Klisz_Emissionen_Regiomix[2018], $C$348:$C$508,$C738)</f>
        <v>0</v>
      </c>
      <c r="I738">
        <f>SUMIFS(Klisz_Emissionen_Regiomix[2019], $C$348:$C$508,$C738)</f>
        <v>0</v>
      </c>
      <c r="J738">
        <f>SUMIFS(Klisz_Emissionen_Regiomix[2020], $C$348:$C$508,$C738)</f>
        <v>0</v>
      </c>
      <c r="K738">
        <f>SUMIFS(Klisz_Emissionen_Regiomix[2021], $C$348:$C$508,$C738)</f>
        <v>0</v>
      </c>
      <c r="L738">
        <f>SUMIFS(Klisz_Emissionen_Regiomix[2022], $C$348:$C$508,$C738)</f>
        <v>0</v>
      </c>
      <c r="M738">
        <f>SUMIFS(Klisz_Emissionen_Regiomix[2023], $C$348:$C$508,$C738)</f>
        <v>0</v>
      </c>
      <c r="N738">
        <f>SUMIFS(Klisz_Emissionen_Regiomix[2024], $C$348:$C$508,$C738)</f>
        <v>0</v>
      </c>
      <c r="O738">
        <f>SUMIFS(Klisz_Emissionen_Regiomix[2025], $C$348:$C$508,$C738)</f>
        <v>0</v>
      </c>
      <c r="P738">
        <f>SUMIFS(Klisz_Emissionen_Regiomix[2026], $C$348:$C$508,$C738)</f>
        <v>0</v>
      </c>
      <c r="Q738">
        <f>SUMIFS(Klisz_Emissionen_Regiomix[2027], $C$348:$C$508,$C738)</f>
        <v>0</v>
      </c>
      <c r="R738">
        <f>SUMIFS(Klisz_Emissionen_Regiomix[2028], $C$348:$C$508,$C738)</f>
        <v>0</v>
      </c>
      <c r="S738">
        <f>SUMIFS(Klisz_Emissionen_Regiomix[2029], $C$348:$C$508,$C738)</f>
        <v>0</v>
      </c>
      <c r="T738">
        <f>SUMIFS(Klisz_Emissionen_Regiomix[2030], $C$348:$C$508,$C738)</f>
        <v>0</v>
      </c>
      <c r="U738">
        <f>SUMIFS(Klisz_Emissionen_Regiomix[2035], $C$348:$C$508,$C738)</f>
        <v>0</v>
      </c>
      <c r="V738">
        <f>SUMIFS(Klisz_Emissionen_Regiomix[2040], $C$348:$C$508,$C738)</f>
        <v>0</v>
      </c>
      <c r="W738">
        <f>SUMIFS(Klisz_Emissionen_Regiomix[2045], $C$348:$C$508,$C738)</f>
        <v>0</v>
      </c>
      <c r="X738">
        <f>SUMIFS(Klisz_Emissionen_Regiomix[2050], $C$348:$C$508,$C738)</f>
        <v>0</v>
      </c>
    </row>
    <row r="739" spans="3:24" ht="16.5">
      <c r="C739" t="str">
        <f>'Refsz-Emissionen'!C352</f>
        <v>Kälte</v>
      </c>
      <c r="D739" t="s">
        <v>195</v>
      </c>
      <c r="E739">
        <f>SUMIFS(Klisz_Emissionen_Regiomix[2015], $C$348:$C$508,$C739)</f>
        <v>0</v>
      </c>
      <c r="F739">
        <f>SUMIFS(Klisz_Emissionen_Regiomix[2016], $C$348:$C$508,$C739)</f>
        <v>0</v>
      </c>
      <c r="G739">
        <f>SUMIFS(Klisz_Emissionen_Regiomix[2017], $C$348:$C$508,$C739)</f>
        <v>0</v>
      </c>
      <c r="H739">
        <f>SUMIFS(Klisz_Emissionen_Regiomix[2018], $C$348:$C$508,$C739)</f>
        <v>0</v>
      </c>
      <c r="I739">
        <f>SUMIFS(Klisz_Emissionen_Regiomix[2019], $C$348:$C$508,$C739)</f>
        <v>0</v>
      </c>
      <c r="J739">
        <f>SUMIFS(Klisz_Emissionen_Regiomix[2020], $C$348:$C$508,$C739)</f>
        <v>0</v>
      </c>
      <c r="K739">
        <f>SUMIFS(Klisz_Emissionen_Regiomix[2021], $C$348:$C$508,$C739)</f>
        <v>0</v>
      </c>
      <c r="L739">
        <f>SUMIFS(Klisz_Emissionen_Regiomix[2022], $C$348:$C$508,$C739)</f>
        <v>0</v>
      </c>
      <c r="M739">
        <f>SUMIFS(Klisz_Emissionen_Regiomix[2023], $C$348:$C$508,$C739)</f>
        <v>0</v>
      </c>
      <c r="N739">
        <f>SUMIFS(Klisz_Emissionen_Regiomix[2024], $C$348:$C$508,$C739)</f>
        <v>0</v>
      </c>
      <c r="O739">
        <f>SUMIFS(Klisz_Emissionen_Regiomix[2025], $C$348:$C$508,$C739)</f>
        <v>0</v>
      </c>
      <c r="P739">
        <f>SUMIFS(Klisz_Emissionen_Regiomix[2026], $C$348:$C$508,$C739)</f>
        <v>0</v>
      </c>
      <c r="Q739">
        <f>SUMIFS(Klisz_Emissionen_Regiomix[2027], $C$348:$C$508,$C739)</f>
        <v>0</v>
      </c>
      <c r="R739">
        <f>SUMIFS(Klisz_Emissionen_Regiomix[2028], $C$348:$C$508,$C739)</f>
        <v>0</v>
      </c>
      <c r="S739">
        <f>SUMIFS(Klisz_Emissionen_Regiomix[2029], $C$348:$C$508,$C739)</f>
        <v>0</v>
      </c>
      <c r="T739">
        <f>SUMIFS(Klisz_Emissionen_Regiomix[2030], $C$348:$C$508,$C739)</f>
        <v>0</v>
      </c>
      <c r="U739">
        <f>SUMIFS(Klisz_Emissionen_Regiomix[2035], $C$348:$C$508,$C739)</f>
        <v>0</v>
      </c>
      <c r="V739">
        <f>SUMIFS(Klisz_Emissionen_Regiomix[2040], $C$348:$C$508,$C739)</f>
        <v>0</v>
      </c>
      <c r="W739">
        <f>SUMIFS(Klisz_Emissionen_Regiomix[2045], $C$348:$C$508,$C739)</f>
        <v>0</v>
      </c>
      <c r="X739">
        <f>SUMIFS(Klisz_Emissionen_Regiomix[2050], $C$348:$C$508,$C739)</f>
        <v>0</v>
      </c>
    </row>
    <row r="740" spans="3:24" ht="16.5">
      <c r="C740" t="str">
        <f>'Refsz-Emissionen'!C353</f>
        <v>Mobilität 1</v>
      </c>
      <c r="D740" t="s">
        <v>195</v>
      </c>
      <c r="E740">
        <f>SUMIFS(Klisz_Emissionen_Regiomix[2015], $C$348:$C$508,$C740)</f>
        <v>0</v>
      </c>
      <c r="F740">
        <f>SUMIFS(Klisz_Emissionen_Regiomix[2016], $C$348:$C$508,$C740)</f>
        <v>0</v>
      </c>
      <c r="G740">
        <f>SUMIFS(Klisz_Emissionen_Regiomix[2017], $C$348:$C$508,$C740)</f>
        <v>0</v>
      </c>
      <c r="H740">
        <f>SUMIFS(Klisz_Emissionen_Regiomix[2018], $C$348:$C$508,$C740)</f>
        <v>0</v>
      </c>
      <c r="I740">
        <f>SUMIFS(Klisz_Emissionen_Regiomix[2019], $C$348:$C$508,$C740)</f>
        <v>0</v>
      </c>
      <c r="J740">
        <f>SUMIFS(Klisz_Emissionen_Regiomix[2020], $C$348:$C$508,$C740)</f>
        <v>0</v>
      </c>
      <c r="K740">
        <f>SUMIFS(Klisz_Emissionen_Regiomix[2021], $C$348:$C$508,$C740)</f>
        <v>0</v>
      </c>
      <c r="L740">
        <f>SUMIFS(Klisz_Emissionen_Regiomix[2022], $C$348:$C$508,$C740)</f>
        <v>0</v>
      </c>
      <c r="M740">
        <f>SUMIFS(Klisz_Emissionen_Regiomix[2023], $C$348:$C$508,$C740)</f>
        <v>0</v>
      </c>
      <c r="N740">
        <f>SUMIFS(Klisz_Emissionen_Regiomix[2024], $C$348:$C$508,$C740)</f>
        <v>0</v>
      </c>
      <c r="O740">
        <f>SUMIFS(Klisz_Emissionen_Regiomix[2025], $C$348:$C$508,$C740)</f>
        <v>0</v>
      </c>
      <c r="P740">
        <f>SUMIFS(Klisz_Emissionen_Regiomix[2026], $C$348:$C$508,$C740)</f>
        <v>0</v>
      </c>
      <c r="Q740">
        <f>SUMIFS(Klisz_Emissionen_Regiomix[2027], $C$348:$C$508,$C740)</f>
        <v>0</v>
      </c>
      <c r="R740">
        <f>SUMIFS(Klisz_Emissionen_Regiomix[2028], $C$348:$C$508,$C740)</f>
        <v>0</v>
      </c>
      <c r="S740">
        <f>SUMIFS(Klisz_Emissionen_Regiomix[2029], $C$348:$C$508,$C740)</f>
        <v>0</v>
      </c>
      <c r="T740">
        <f>SUMIFS(Klisz_Emissionen_Regiomix[2030], $C$348:$C$508,$C740)</f>
        <v>0</v>
      </c>
      <c r="U740">
        <f>SUMIFS(Klisz_Emissionen_Regiomix[2035], $C$348:$C$508,$C740)</f>
        <v>0</v>
      </c>
      <c r="V740">
        <f>SUMIFS(Klisz_Emissionen_Regiomix[2040], $C$348:$C$508,$C740)</f>
        <v>0</v>
      </c>
      <c r="W740">
        <f>SUMIFS(Klisz_Emissionen_Regiomix[2045], $C$348:$C$508,$C740)</f>
        <v>0</v>
      </c>
      <c r="X740">
        <f>SUMIFS(Klisz_Emissionen_Regiomix[2050], $C$348:$C$508,$C740)</f>
        <v>0</v>
      </c>
    </row>
    <row r="741" spans="3:24" ht="16.5">
      <c r="C741" t="str">
        <f>'Refsz-Emissionen'!C354</f>
        <v>Mobilität 2</v>
      </c>
      <c r="D741" t="s">
        <v>195</v>
      </c>
      <c r="E741">
        <f>SUMIFS(Klisz_Emissionen_Regiomix[2015], $C$348:$C$508,$C741)</f>
        <v>0</v>
      </c>
      <c r="F741">
        <f>SUMIFS(Klisz_Emissionen_Regiomix[2016], $C$348:$C$508,$C741)</f>
        <v>0</v>
      </c>
      <c r="G741">
        <f>SUMIFS(Klisz_Emissionen_Regiomix[2017], $C$348:$C$508,$C741)</f>
        <v>0</v>
      </c>
      <c r="H741">
        <f>SUMIFS(Klisz_Emissionen_Regiomix[2018], $C$348:$C$508,$C741)</f>
        <v>0</v>
      </c>
      <c r="I741">
        <f>SUMIFS(Klisz_Emissionen_Regiomix[2019], $C$348:$C$508,$C741)</f>
        <v>0</v>
      </c>
      <c r="J741">
        <f>SUMIFS(Klisz_Emissionen_Regiomix[2020], $C$348:$C$508,$C741)</f>
        <v>0</v>
      </c>
      <c r="K741">
        <f>SUMIFS(Klisz_Emissionen_Regiomix[2021], $C$348:$C$508,$C741)</f>
        <v>0</v>
      </c>
      <c r="L741">
        <f>SUMIFS(Klisz_Emissionen_Regiomix[2022], $C$348:$C$508,$C741)</f>
        <v>0</v>
      </c>
      <c r="M741">
        <f>SUMIFS(Klisz_Emissionen_Regiomix[2023], $C$348:$C$508,$C741)</f>
        <v>0</v>
      </c>
      <c r="N741">
        <f>SUMIFS(Klisz_Emissionen_Regiomix[2024], $C$348:$C$508,$C741)</f>
        <v>0</v>
      </c>
      <c r="O741">
        <f>SUMIFS(Klisz_Emissionen_Regiomix[2025], $C$348:$C$508,$C741)</f>
        <v>0</v>
      </c>
      <c r="P741">
        <f>SUMIFS(Klisz_Emissionen_Regiomix[2026], $C$348:$C$508,$C741)</f>
        <v>0</v>
      </c>
      <c r="Q741">
        <f>SUMIFS(Klisz_Emissionen_Regiomix[2027], $C$348:$C$508,$C741)</f>
        <v>0</v>
      </c>
      <c r="R741">
        <f>SUMIFS(Klisz_Emissionen_Regiomix[2028], $C$348:$C$508,$C741)</f>
        <v>0</v>
      </c>
      <c r="S741">
        <f>SUMIFS(Klisz_Emissionen_Regiomix[2029], $C$348:$C$508,$C741)</f>
        <v>0</v>
      </c>
      <c r="T741">
        <f>SUMIFS(Klisz_Emissionen_Regiomix[2030], $C$348:$C$508,$C741)</f>
        <v>0</v>
      </c>
      <c r="U741">
        <f>SUMIFS(Klisz_Emissionen_Regiomix[2035], $C$348:$C$508,$C741)</f>
        <v>0</v>
      </c>
      <c r="V741">
        <f>SUMIFS(Klisz_Emissionen_Regiomix[2040], $C$348:$C$508,$C741)</f>
        <v>0</v>
      </c>
      <c r="W741">
        <f>SUMIFS(Klisz_Emissionen_Regiomix[2045], $C$348:$C$508,$C741)</f>
        <v>0</v>
      </c>
      <c r="X741">
        <f>SUMIFS(Klisz_Emissionen_Regiomix[2050], $C$348:$C$508,$C741)</f>
        <v>0</v>
      </c>
    </row>
    <row r="742" spans="3:24" ht="16.5">
      <c r="C742" t="str">
        <f>'Refsz-Emissionen'!C355</f>
        <v>Wasser</v>
      </c>
      <c r="D742" t="s">
        <v>195</v>
      </c>
      <c r="E742">
        <f>SUMIFS(Klisz_Emissionen_Regiomix[2015], $C$348:$C$508,$C742)</f>
        <v>0</v>
      </c>
      <c r="F742">
        <f>SUMIFS(Klisz_Emissionen_Regiomix[2016], $C$348:$C$508,$C742)</f>
        <v>0</v>
      </c>
      <c r="G742">
        <f>SUMIFS(Klisz_Emissionen_Regiomix[2017], $C$348:$C$508,$C742)</f>
        <v>0</v>
      </c>
      <c r="H742">
        <f>SUMIFS(Klisz_Emissionen_Regiomix[2018], $C$348:$C$508,$C742)</f>
        <v>0</v>
      </c>
      <c r="I742">
        <f>SUMIFS(Klisz_Emissionen_Regiomix[2019], $C$348:$C$508,$C742)</f>
        <v>0</v>
      </c>
      <c r="J742">
        <f>SUMIFS(Klisz_Emissionen_Regiomix[2020], $C$348:$C$508,$C742)</f>
        <v>0</v>
      </c>
      <c r="K742">
        <f>SUMIFS(Klisz_Emissionen_Regiomix[2021], $C$348:$C$508,$C742)</f>
        <v>0</v>
      </c>
      <c r="L742">
        <f>SUMIFS(Klisz_Emissionen_Regiomix[2022], $C$348:$C$508,$C742)</f>
        <v>0</v>
      </c>
      <c r="M742">
        <f>SUMIFS(Klisz_Emissionen_Regiomix[2023], $C$348:$C$508,$C742)</f>
        <v>0</v>
      </c>
      <c r="N742">
        <f>SUMIFS(Klisz_Emissionen_Regiomix[2024], $C$348:$C$508,$C742)</f>
        <v>0</v>
      </c>
      <c r="O742">
        <f>SUMIFS(Klisz_Emissionen_Regiomix[2025], $C$348:$C$508,$C742)</f>
        <v>0</v>
      </c>
      <c r="P742">
        <f>SUMIFS(Klisz_Emissionen_Regiomix[2026], $C$348:$C$508,$C742)</f>
        <v>0</v>
      </c>
      <c r="Q742">
        <f>SUMIFS(Klisz_Emissionen_Regiomix[2027], $C$348:$C$508,$C742)</f>
        <v>0</v>
      </c>
      <c r="R742">
        <f>SUMIFS(Klisz_Emissionen_Regiomix[2028], $C$348:$C$508,$C742)</f>
        <v>0</v>
      </c>
      <c r="S742">
        <f>SUMIFS(Klisz_Emissionen_Regiomix[2029], $C$348:$C$508,$C742)</f>
        <v>0</v>
      </c>
      <c r="T742">
        <f>SUMIFS(Klisz_Emissionen_Regiomix[2030], $C$348:$C$508,$C742)</f>
        <v>0</v>
      </c>
      <c r="U742">
        <f>SUMIFS(Klisz_Emissionen_Regiomix[2035], $C$348:$C$508,$C742)</f>
        <v>0</v>
      </c>
      <c r="V742">
        <f>SUMIFS(Klisz_Emissionen_Regiomix[2040], $C$348:$C$508,$C742)</f>
        <v>0</v>
      </c>
      <c r="W742">
        <f>SUMIFS(Klisz_Emissionen_Regiomix[2045], $C$348:$C$508,$C742)</f>
        <v>0</v>
      </c>
      <c r="X742">
        <f>SUMIFS(Klisz_Emissionen_Regiomix[2050], $C$348:$C$508,$C742)</f>
        <v>0</v>
      </c>
    </row>
    <row r="743" spans="3:24" ht="16.5">
      <c r="C743" t="str">
        <f>'Refsz-Emissionen'!C356</f>
        <v>Abfall</v>
      </c>
      <c r="D743" t="s">
        <v>195</v>
      </c>
      <c r="E743">
        <f>SUMIFS(Klisz_Emissionen_Regiomix[2015], $C$348:$C$508,$C743)</f>
        <v>0</v>
      </c>
      <c r="F743">
        <f>SUMIFS(Klisz_Emissionen_Regiomix[2016], $C$348:$C$508,$C743)</f>
        <v>0</v>
      </c>
      <c r="G743">
        <f>SUMIFS(Klisz_Emissionen_Regiomix[2017], $C$348:$C$508,$C743)</f>
        <v>0</v>
      </c>
      <c r="H743">
        <f>SUMIFS(Klisz_Emissionen_Regiomix[2018], $C$348:$C$508,$C743)</f>
        <v>0</v>
      </c>
      <c r="I743">
        <f>SUMIFS(Klisz_Emissionen_Regiomix[2019], $C$348:$C$508,$C743)</f>
        <v>0</v>
      </c>
      <c r="J743">
        <f>SUMIFS(Klisz_Emissionen_Regiomix[2020], $C$348:$C$508,$C743)</f>
        <v>0</v>
      </c>
      <c r="K743">
        <f>SUMIFS(Klisz_Emissionen_Regiomix[2021], $C$348:$C$508,$C743)</f>
        <v>0</v>
      </c>
      <c r="L743">
        <f>SUMIFS(Klisz_Emissionen_Regiomix[2022], $C$348:$C$508,$C743)</f>
        <v>0</v>
      </c>
      <c r="M743">
        <f>SUMIFS(Klisz_Emissionen_Regiomix[2023], $C$348:$C$508,$C743)</f>
        <v>0</v>
      </c>
      <c r="N743">
        <f>SUMIFS(Klisz_Emissionen_Regiomix[2024], $C$348:$C$508,$C743)</f>
        <v>0</v>
      </c>
      <c r="O743">
        <f>SUMIFS(Klisz_Emissionen_Regiomix[2025], $C$348:$C$508,$C743)</f>
        <v>0</v>
      </c>
      <c r="P743">
        <f>SUMIFS(Klisz_Emissionen_Regiomix[2026], $C$348:$C$508,$C743)</f>
        <v>0</v>
      </c>
      <c r="Q743">
        <f>SUMIFS(Klisz_Emissionen_Regiomix[2027], $C$348:$C$508,$C743)</f>
        <v>0</v>
      </c>
      <c r="R743">
        <f>SUMIFS(Klisz_Emissionen_Regiomix[2028], $C$348:$C$508,$C743)</f>
        <v>0</v>
      </c>
      <c r="S743">
        <f>SUMIFS(Klisz_Emissionen_Regiomix[2029], $C$348:$C$508,$C743)</f>
        <v>0</v>
      </c>
      <c r="T743">
        <f>SUMIFS(Klisz_Emissionen_Regiomix[2030], $C$348:$C$508,$C743)</f>
        <v>0</v>
      </c>
      <c r="U743">
        <f>SUMIFS(Klisz_Emissionen_Regiomix[2035], $C$348:$C$508,$C743)</f>
        <v>0</v>
      </c>
      <c r="V743">
        <f>SUMIFS(Klisz_Emissionen_Regiomix[2040], $C$348:$C$508,$C743)</f>
        <v>0</v>
      </c>
      <c r="W743">
        <f>SUMIFS(Klisz_Emissionen_Regiomix[2045], $C$348:$C$508,$C743)</f>
        <v>0</v>
      </c>
      <c r="X743">
        <f>SUMIFS(Klisz_Emissionen_Regiomix[2050], $C$348:$C$508,$C743)</f>
        <v>0</v>
      </c>
    </row>
    <row r="744" spans="3:24" ht="16.5">
      <c r="C744" t="str">
        <f>'Refsz-Emissionen'!C357</f>
        <v>Waren und Dienstleistungen</v>
      </c>
      <c r="D744" t="s">
        <v>195</v>
      </c>
      <c r="E744">
        <f>SUMIFS(Klisz_Emissionen_Regiomix[2015], $C$348:$C$508,$C744)</f>
        <v>0</v>
      </c>
      <c r="F744">
        <f>SUMIFS(Klisz_Emissionen_Regiomix[2016], $C$348:$C$508,$C744)</f>
        <v>0</v>
      </c>
      <c r="G744">
        <f>SUMIFS(Klisz_Emissionen_Regiomix[2017], $C$348:$C$508,$C744)</f>
        <v>0</v>
      </c>
      <c r="H744">
        <f>SUMIFS(Klisz_Emissionen_Regiomix[2018], $C$348:$C$508,$C744)</f>
        <v>0</v>
      </c>
      <c r="I744">
        <f>SUMIFS(Klisz_Emissionen_Regiomix[2019], $C$348:$C$508,$C744)</f>
        <v>0</v>
      </c>
      <c r="J744">
        <f>SUMIFS(Klisz_Emissionen_Regiomix[2020], $C$348:$C$508,$C744)</f>
        <v>0</v>
      </c>
      <c r="K744">
        <f>SUMIFS(Klisz_Emissionen_Regiomix[2021], $C$348:$C$508,$C744)</f>
        <v>0</v>
      </c>
      <c r="L744">
        <f>SUMIFS(Klisz_Emissionen_Regiomix[2022], $C$348:$C$508,$C744)</f>
        <v>0</v>
      </c>
      <c r="M744">
        <f>SUMIFS(Klisz_Emissionen_Regiomix[2023], $C$348:$C$508,$C744)</f>
        <v>0</v>
      </c>
      <c r="N744">
        <f>SUMIFS(Klisz_Emissionen_Regiomix[2024], $C$348:$C$508,$C744)</f>
        <v>0</v>
      </c>
      <c r="O744">
        <f>SUMIFS(Klisz_Emissionen_Regiomix[2025], $C$348:$C$508,$C744)</f>
        <v>0</v>
      </c>
      <c r="P744">
        <f>SUMIFS(Klisz_Emissionen_Regiomix[2026], $C$348:$C$508,$C744)</f>
        <v>0</v>
      </c>
      <c r="Q744">
        <f>SUMIFS(Klisz_Emissionen_Regiomix[2027], $C$348:$C$508,$C744)</f>
        <v>0</v>
      </c>
      <c r="R744">
        <f>SUMIFS(Klisz_Emissionen_Regiomix[2028], $C$348:$C$508,$C744)</f>
        <v>0</v>
      </c>
      <c r="S744">
        <f>SUMIFS(Klisz_Emissionen_Regiomix[2029], $C$348:$C$508,$C744)</f>
        <v>0</v>
      </c>
      <c r="T744">
        <f>SUMIFS(Klisz_Emissionen_Regiomix[2030], $C$348:$C$508,$C744)</f>
        <v>0</v>
      </c>
      <c r="U744">
        <f>SUMIFS(Klisz_Emissionen_Regiomix[2035], $C$348:$C$508,$C744)</f>
        <v>0</v>
      </c>
      <c r="V744">
        <f>SUMIFS(Klisz_Emissionen_Regiomix[2040], $C$348:$C$508,$C744)</f>
        <v>0</v>
      </c>
      <c r="W744">
        <f>SUMIFS(Klisz_Emissionen_Regiomix[2045], $C$348:$C$508,$C744)</f>
        <v>0</v>
      </c>
      <c r="X744">
        <f>SUMIFS(Klisz_Emissionen_Regiomix[2050], $C$348:$C$508,$C744)</f>
        <v>0</v>
      </c>
    </row>
    <row r="745" spans="3:24" ht="16.5">
      <c r="C745" t="str">
        <f>'Refsz-Emissionen'!C358</f>
        <v>Baugüter</v>
      </c>
      <c r="D745" t="s">
        <v>195</v>
      </c>
      <c r="E745">
        <f>SUMIFS(Klisz_Emissionen_Regiomix[2015], $C$348:$C$508,$C745)</f>
        <v>0</v>
      </c>
      <c r="F745">
        <f>SUMIFS(Klisz_Emissionen_Regiomix[2016], $C$348:$C$508,$C745)</f>
        <v>0</v>
      </c>
      <c r="G745">
        <f>SUMIFS(Klisz_Emissionen_Regiomix[2017], $C$348:$C$508,$C745)</f>
        <v>0</v>
      </c>
      <c r="H745">
        <f>SUMIFS(Klisz_Emissionen_Regiomix[2018], $C$348:$C$508,$C745)</f>
        <v>0</v>
      </c>
      <c r="I745">
        <f>SUMIFS(Klisz_Emissionen_Regiomix[2019], $C$348:$C$508,$C745)</f>
        <v>0</v>
      </c>
      <c r="J745">
        <f>SUMIFS(Klisz_Emissionen_Regiomix[2020], $C$348:$C$508,$C745)</f>
        <v>0</v>
      </c>
      <c r="K745">
        <f>SUMIFS(Klisz_Emissionen_Regiomix[2021], $C$348:$C$508,$C745)</f>
        <v>0</v>
      </c>
      <c r="L745">
        <f>SUMIFS(Klisz_Emissionen_Regiomix[2022], $C$348:$C$508,$C745)</f>
        <v>0</v>
      </c>
      <c r="M745">
        <f>SUMIFS(Klisz_Emissionen_Regiomix[2023], $C$348:$C$508,$C745)</f>
        <v>0</v>
      </c>
      <c r="N745">
        <f>SUMIFS(Klisz_Emissionen_Regiomix[2024], $C$348:$C$508,$C745)</f>
        <v>0</v>
      </c>
      <c r="O745">
        <f>SUMIFS(Klisz_Emissionen_Regiomix[2025], $C$348:$C$508,$C745)</f>
        <v>0</v>
      </c>
      <c r="P745">
        <f>SUMIFS(Klisz_Emissionen_Regiomix[2026], $C$348:$C$508,$C745)</f>
        <v>0</v>
      </c>
      <c r="Q745">
        <f>SUMIFS(Klisz_Emissionen_Regiomix[2027], $C$348:$C$508,$C745)</f>
        <v>0</v>
      </c>
      <c r="R745">
        <f>SUMIFS(Klisz_Emissionen_Regiomix[2028], $C$348:$C$508,$C745)</f>
        <v>0</v>
      </c>
      <c r="S745">
        <f>SUMIFS(Klisz_Emissionen_Regiomix[2029], $C$348:$C$508,$C745)</f>
        <v>0</v>
      </c>
      <c r="T745">
        <f>SUMIFS(Klisz_Emissionen_Regiomix[2030], $C$348:$C$508,$C745)</f>
        <v>0</v>
      </c>
      <c r="U745">
        <f>SUMIFS(Klisz_Emissionen_Regiomix[2035], $C$348:$C$508,$C745)</f>
        <v>0</v>
      </c>
      <c r="V745">
        <f>SUMIFS(Klisz_Emissionen_Regiomix[2040], $C$348:$C$508,$C745)</f>
        <v>0</v>
      </c>
      <c r="W745">
        <f>SUMIFS(Klisz_Emissionen_Regiomix[2045], $C$348:$C$508,$C745)</f>
        <v>0</v>
      </c>
      <c r="X745">
        <f>SUMIFS(Klisz_Emissionen_Regiomix[2050], $C$348:$C$508,$C745)</f>
        <v>0</v>
      </c>
    </row>
    <row r="746" spans="3:24" ht="16.5">
      <c r="C746" t="str">
        <f>'Refsz-Emissionen'!C359</f>
        <v>Waren mit negativem GWP total</v>
      </c>
      <c r="D746" t="s">
        <v>195</v>
      </c>
      <c r="E746">
        <f>SUMIFS(Klisz_Emissionen_Regiomix[2015], $C$348:$C$508,$C746)</f>
        <v>0</v>
      </c>
      <c r="F746">
        <f>SUMIFS(Klisz_Emissionen_Regiomix[2016], $C$348:$C$508,$C746)</f>
        <v>0</v>
      </c>
      <c r="G746">
        <f>SUMIFS(Klisz_Emissionen_Regiomix[2017], $C$348:$C$508,$C746)</f>
        <v>0</v>
      </c>
      <c r="H746">
        <f>SUMIFS(Klisz_Emissionen_Regiomix[2018], $C$348:$C$508,$C746)</f>
        <v>0</v>
      </c>
      <c r="I746">
        <f>SUMIFS(Klisz_Emissionen_Regiomix[2019], $C$348:$C$508,$C746)</f>
        <v>0</v>
      </c>
      <c r="J746">
        <f>SUMIFS(Klisz_Emissionen_Regiomix[2020], $C$348:$C$508,$C746)</f>
        <v>0</v>
      </c>
      <c r="K746">
        <f>SUMIFS(Klisz_Emissionen_Regiomix[2021], $C$348:$C$508,$C746)</f>
        <v>0</v>
      </c>
      <c r="L746">
        <f>SUMIFS(Klisz_Emissionen_Regiomix[2022], $C$348:$C$508,$C746)</f>
        <v>0</v>
      </c>
      <c r="M746">
        <f>SUMIFS(Klisz_Emissionen_Regiomix[2023], $C$348:$C$508,$C746)</f>
        <v>0</v>
      </c>
      <c r="N746">
        <f>SUMIFS(Klisz_Emissionen_Regiomix[2024], $C$348:$C$508,$C746)</f>
        <v>0</v>
      </c>
      <c r="O746">
        <f>SUMIFS(Klisz_Emissionen_Regiomix[2025], $C$348:$C$508,$C746)</f>
        <v>0</v>
      </c>
      <c r="P746">
        <f>SUMIFS(Klisz_Emissionen_Regiomix[2026], $C$348:$C$508,$C746)</f>
        <v>0</v>
      </c>
      <c r="Q746">
        <f>SUMIFS(Klisz_Emissionen_Regiomix[2027], $C$348:$C$508,$C746)</f>
        <v>0</v>
      </c>
      <c r="R746">
        <f>SUMIFS(Klisz_Emissionen_Regiomix[2028], $C$348:$C$508,$C746)</f>
        <v>0</v>
      </c>
      <c r="S746">
        <f>SUMIFS(Klisz_Emissionen_Regiomix[2029], $C$348:$C$508,$C746)</f>
        <v>0</v>
      </c>
      <c r="T746">
        <f>SUMIFS(Klisz_Emissionen_Regiomix[2030], $C$348:$C$508,$C746)</f>
        <v>0</v>
      </c>
      <c r="U746">
        <f>SUMIFS(Klisz_Emissionen_Regiomix[2035], $C$348:$C$508,$C746)</f>
        <v>0</v>
      </c>
      <c r="V746">
        <f>SUMIFS(Klisz_Emissionen_Regiomix[2040], $C$348:$C$508,$C746)</f>
        <v>0</v>
      </c>
      <c r="W746">
        <f>SUMIFS(Klisz_Emissionen_Regiomix[2045], $C$348:$C$508,$C746)</f>
        <v>0</v>
      </c>
      <c r="X746">
        <f>SUMIFS(Klisz_Emissionen_Regiomix[2050], $C$348:$C$508,$C746)</f>
        <v>0</v>
      </c>
    </row>
    <row r="747" spans="3:24" ht="16.5">
      <c r="C747" t="str">
        <f>'Refsz-Emissionen'!C360</f>
        <v>Kompensation</v>
      </c>
      <c r="D747" t="s">
        <v>195</v>
      </c>
      <c r="E747">
        <f>SUMIFS(Klisz_Emissionen_Regiomix[2015], $C$348:$C$508,$C747)</f>
        <v>0</v>
      </c>
      <c r="F747">
        <f>SUMIFS(Klisz_Emissionen_Regiomix[2016], $C$348:$C$508,$C747)</f>
        <v>0</v>
      </c>
      <c r="G747">
        <f>SUMIFS(Klisz_Emissionen_Regiomix[2017], $C$348:$C$508,$C747)</f>
        <v>0</v>
      </c>
      <c r="H747">
        <f>SUMIFS(Klisz_Emissionen_Regiomix[2018], $C$348:$C$508,$C747)</f>
        <v>0</v>
      </c>
      <c r="I747">
        <f>SUMIFS(Klisz_Emissionen_Regiomix[2019], $C$348:$C$508,$C747)</f>
        <v>0</v>
      </c>
      <c r="J747">
        <f>SUMIFS(Klisz_Emissionen_Regiomix[2020], $C$348:$C$508,$C747)</f>
        <v>0</v>
      </c>
      <c r="K747">
        <f>SUMIFS(Klisz_Emissionen_Regiomix[2021], $C$348:$C$508,$C747)</f>
        <v>0</v>
      </c>
      <c r="L747">
        <f>SUMIFS(Klisz_Emissionen_Regiomix[2022], $C$348:$C$508,$C747)</f>
        <v>0</v>
      </c>
      <c r="M747">
        <f>SUMIFS(Klisz_Emissionen_Regiomix[2023], $C$348:$C$508,$C747)</f>
        <v>0</v>
      </c>
      <c r="N747">
        <f>SUMIFS(Klisz_Emissionen_Regiomix[2024], $C$348:$C$508,$C747)</f>
        <v>0</v>
      </c>
      <c r="O747">
        <f>SUMIFS(Klisz_Emissionen_Regiomix[2025], $C$348:$C$508,$C747)</f>
        <v>0</v>
      </c>
      <c r="P747">
        <f>SUMIFS(Klisz_Emissionen_Regiomix[2026], $C$348:$C$508,$C747)</f>
        <v>0</v>
      </c>
      <c r="Q747">
        <f>SUMIFS(Klisz_Emissionen_Regiomix[2027], $C$348:$C$508,$C747)</f>
        <v>0</v>
      </c>
      <c r="R747">
        <f>SUMIFS(Klisz_Emissionen_Regiomix[2028], $C$348:$C$508,$C747)</f>
        <v>0</v>
      </c>
      <c r="S747">
        <f>SUMIFS(Klisz_Emissionen_Regiomix[2029], $C$348:$C$508,$C747)</f>
        <v>0</v>
      </c>
      <c r="T747">
        <f>SUMIFS(Klisz_Emissionen_Regiomix[2030], $C$348:$C$508,$C747)</f>
        <v>0</v>
      </c>
      <c r="U747">
        <f>SUMIFS(Klisz_Emissionen_Regiomix[2035], $C$348:$C$508,$C747)</f>
        <v>0</v>
      </c>
      <c r="V747">
        <f>SUMIFS(Klisz_Emissionen_Regiomix[2040], $C$348:$C$508,$C747)</f>
        <v>0</v>
      </c>
      <c r="W747">
        <f>SUMIFS(Klisz_Emissionen_Regiomix[2045], $C$348:$C$508,$C747)</f>
        <v>0</v>
      </c>
      <c r="X747">
        <f>SUMIFS(Klisz_Emissionen_Regiomix[2050], $C$348:$C$508,$C747)</f>
        <v>0</v>
      </c>
    </row>
    <row r="748" spans="3:24" ht="16.5">
      <c r="C748" s="23" t="s">
        <v>39</v>
      </c>
      <c r="D748" s="23" t="s">
        <v>195</v>
      </c>
      <c r="E748" s="147">
        <f>SUBTOTAL(109,Klisz_Regiomix_Handlungsfelder[2015])</f>
        <v>0</v>
      </c>
      <c r="F748" s="147">
        <f>SUBTOTAL(109,Klisz_Regiomix_Handlungsfelder[2016])</f>
        <v>0</v>
      </c>
      <c r="G748" s="147">
        <f>SUBTOTAL(109,Klisz_Regiomix_Handlungsfelder[2017])</f>
        <v>0</v>
      </c>
      <c r="H748" s="147">
        <f>SUBTOTAL(109,Klisz_Regiomix_Handlungsfelder[2018])</f>
        <v>0</v>
      </c>
      <c r="I748" s="147">
        <f>SUBTOTAL(109,Klisz_Regiomix_Handlungsfelder[2019])</f>
        <v>0</v>
      </c>
      <c r="J748" s="147">
        <f>SUBTOTAL(109,Klisz_Regiomix_Handlungsfelder[2020])</f>
        <v>0</v>
      </c>
      <c r="K748" s="147">
        <f>SUBTOTAL(109,Klisz_Regiomix_Handlungsfelder[2021])</f>
        <v>0</v>
      </c>
      <c r="L748" s="147">
        <f>SUBTOTAL(109,Klisz_Regiomix_Handlungsfelder[2022])</f>
        <v>0</v>
      </c>
      <c r="M748" s="147">
        <f>SUBTOTAL(109,Klisz_Regiomix_Handlungsfelder[2023])</f>
        <v>0</v>
      </c>
      <c r="N748" s="147">
        <f>SUBTOTAL(109,Klisz_Regiomix_Handlungsfelder[2024])</f>
        <v>0</v>
      </c>
      <c r="O748" s="147">
        <f>SUBTOTAL(109,Klisz_Regiomix_Handlungsfelder[2025])</f>
        <v>0</v>
      </c>
      <c r="P748" s="147">
        <f>SUBTOTAL(109,Klisz_Regiomix_Handlungsfelder[2026])</f>
        <v>0</v>
      </c>
      <c r="Q748" s="147">
        <f>SUBTOTAL(109,Klisz_Regiomix_Handlungsfelder[2027])</f>
        <v>0</v>
      </c>
      <c r="R748" s="147">
        <f>SUBTOTAL(109,Klisz_Regiomix_Handlungsfelder[2028])</f>
        <v>0</v>
      </c>
      <c r="S748" s="147">
        <f>SUBTOTAL(109,Klisz_Regiomix_Handlungsfelder[2029])</f>
        <v>0</v>
      </c>
      <c r="T748" s="147">
        <f>SUBTOTAL(109,Klisz_Regiomix_Handlungsfelder[2030])</f>
        <v>0</v>
      </c>
      <c r="U748" s="147">
        <f>SUBTOTAL(109,Klisz_Regiomix_Handlungsfelder[2035])</f>
        <v>0</v>
      </c>
      <c r="V748" s="147">
        <f>SUBTOTAL(109,Klisz_Regiomix_Handlungsfelder[2040])</f>
        <v>0</v>
      </c>
      <c r="W748" s="147">
        <f>SUBTOTAL(109,Klisz_Regiomix_Handlungsfelder[2045])</f>
        <v>0</v>
      </c>
      <c r="X748" s="147">
        <f>SUBTOTAL(109,Klisz_Regiomix_Handlungsfelder[2050])</f>
        <v>0</v>
      </c>
    </row>
    <row r="750" spans="3:24">
      <c r="C750" t="s">
        <v>375</v>
      </c>
      <c r="D750" t="s">
        <v>2</v>
      </c>
      <c r="E750" t="s">
        <v>3</v>
      </c>
      <c r="F750" t="s">
        <v>4</v>
      </c>
      <c r="G750" t="s">
        <v>5</v>
      </c>
      <c r="H750" t="s">
        <v>6</v>
      </c>
      <c r="I750" t="s">
        <v>7</v>
      </c>
      <c r="J750" t="s">
        <v>8</v>
      </c>
      <c r="K750" t="s">
        <v>9</v>
      </c>
      <c r="L750" t="s">
        <v>10</v>
      </c>
      <c r="M750" t="s">
        <v>11</v>
      </c>
      <c r="N750" t="s">
        <v>12</v>
      </c>
      <c r="O750" t="s">
        <v>13</v>
      </c>
      <c r="P750" t="s">
        <v>14</v>
      </c>
      <c r="Q750" t="s">
        <v>216</v>
      </c>
      <c r="R750" t="s">
        <v>217</v>
      </c>
      <c r="S750" t="s">
        <v>218</v>
      </c>
      <c r="T750" t="s">
        <v>15</v>
      </c>
      <c r="U750" t="s">
        <v>16</v>
      </c>
      <c r="V750" t="s">
        <v>17</v>
      </c>
      <c r="W750" t="s">
        <v>18</v>
      </c>
      <c r="X750" t="s">
        <v>19</v>
      </c>
    </row>
    <row r="751" spans="3:24" ht="16.5">
      <c r="C751" t="s">
        <v>206</v>
      </c>
      <c r="D751" t="s">
        <v>208</v>
      </c>
      <c r="E751" t="str">
        <f>IF(ISERROR(Startseite!G$75+Startseite!G$74), "Personenanzahl fehlt", IF(Startseite!G$74+Startseite!G$75=0, "Personenanzahl fehlt", Klisz_Regiomix_Handlungsfelder[[#Totals],[2015]]/(Startseite!G$74+Startseite!G$75)))</f>
        <v>Personenanzahl fehlt</v>
      </c>
      <c r="F751" t="str">
        <f>IF(ISERROR(Startseite!H$75+Startseite!H$74), "Personenanzahl fehlt", IF(Startseite!H$74+Startseite!H$75=0, "Personenanzahl fehlt", Klisz_Regiomix_Handlungsfelder[[#Totals],[2016]]/(Startseite!H$74+Startseite!H$75)))</f>
        <v>Personenanzahl fehlt</v>
      </c>
      <c r="G751" t="str">
        <f>IF(ISERROR(Startseite!I$75+Startseite!I$74), "Personenanzahl fehlt", IF(Startseite!I$74+Startseite!I$75=0, "Personenanzahl fehlt", Klisz_Regiomix_Handlungsfelder[[#Totals],[2017]]/(Startseite!I$74+Startseite!I$75)))</f>
        <v>Personenanzahl fehlt</v>
      </c>
      <c r="H751" t="str">
        <f>IF(ISERROR(Startseite!J$75+Startseite!J$74), "Personenanzahl fehlt", IF(Startseite!J$74+Startseite!J$75=0, "Personenanzahl fehlt", Klisz_Regiomix_Handlungsfelder[[#Totals],[2018]]/(Startseite!J$74+Startseite!J$75)))</f>
        <v>Personenanzahl fehlt</v>
      </c>
      <c r="I751" t="str">
        <f>IF(ISERROR(Startseite!K$75+Startseite!K$74), "Personenanzahl fehlt", IF(Startseite!K$74+Startseite!K$75=0, "Personenanzahl fehlt", Klisz_Regiomix_Handlungsfelder[[#Totals],[2019]]/(Startseite!K$74+Startseite!K$75)))</f>
        <v>Personenanzahl fehlt</v>
      </c>
      <c r="J751" t="str">
        <f>IF(ISERROR(Startseite!L$75+Startseite!L$74), "Personenanzahl fehlt", IF(Startseite!L$74+Startseite!L$75=0, "Personenanzahl fehlt", Klisz_Regiomix_Handlungsfelder[[#Totals],[2020]]/(Startseite!L$74+Startseite!L$75)))</f>
        <v>Personenanzahl fehlt</v>
      </c>
      <c r="K751" t="str">
        <f>IF(ISERROR(Startseite!M$75+Startseite!M$74), "Personenanzahl fehlt", IF(Startseite!M$74+Startseite!M$75=0, "Personenanzahl fehlt", Klisz_Regiomix_Handlungsfelder[[#Totals],[2021]]/(Startseite!M$74+Startseite!M$75)))</f>
        <v>Personenanzahl fehlt</v>
      </c>
      <c r="L751" t="str">
        <f>IF(ISERROR(Startseite!N$75+Startseite!N$74), "Personenanzahl fehlt", IF(Startseite!N$74+Startseite!N$75=0, "Personenanzahl fehlt", Klisz_Regiomix_Handlungsfelder[[#Totals],[2022]]/(Startseite!N$74+Startseite!N$75)))</f>
        <v>Personenanzahl fehlt</v>
      </c>
      <c r="M751" t="str">
        <f>IF(ISERROR(Startseite!O$75+Startseite!O$74), "Personenanzahl fehlt", IF(Startseite!O$74+Startseite!O$75=0, "Personenanzahl fehlt", Klisz_Regiomix_Handlungsfelder[[#Totals],[2023]]/(Startseite!O$74+Startseite!O$75)))</f>
        <v>Personenanzahl fehlt</v>
      </c>
      <c r="N751" t="str">
        <f>IF(ISERROR(Startseite!P$75+Startseite!P$74), "Personenanzahl fehlt", IF(Startseite!P$74+Startseite!P$75=0, "Personenanzahl fehlt", Klisz_Regiomix_Handlungsfelder[[#Totals],[2024]]/(Startseite!P$74+Startseite!P$75)))</f>
        <v>Personenanzahl fehlt</v>
      </c>
      <c r="O751" t="str">
        <f>IF(ISERROR(Startseite!Q$75+Startseite!Q$74), "Personenanzahl fehlt", IF(Startseite!Q$74+Startseite!Q$75=0, "Personenanzahl fehlt", Klisz_Regiomix_Handlungsfelder[[#Totals],[2025]]/(Startseite!Q$74+Startseite!Q$75)))</f>
        <v>Personenanzahl fehlt</v>
      </c>
      <c r="P751" t="str">
        <f>IF(ISERROR(Startseite!R$75+Startseite!R$74), "Personenanzahl fehlt", IF(Startseite!R$74+Startseite!R$75=0, "Personenanzahl fehlt", Klisz_Regiomix_Handlungsfelder[[#Totals],[2026]]/(Startseite!R$74+Startseite!R$75)))</f>
        <v>Personenanzahl fehlt</v>
      </c>
      <c r="Q751" t="str">
        <f>IF(ISERROR(Startseite!S$75+Startseite!S$74), "Personenanzahl fehlt", IF(Startseite!S$74+Startseite!S$75=0, "Personenanzahl fehlt", Klisz_Regiomix_Handlungsfelder[[#Totals],[2027]]/(Startseite!S$74+Startseite!S$75)))</f>
        <v>Personenanzahl fehlt</v>
      </c>
      <c r="R751" t="str">
        <f>IF(ISERROR(Startseite!T$75+Startseite!T$74), "Personenanzahl fehlt", IF(Startseite!T$74+Startseite!T$75=0, "Personenanzahl fehlt", Klisz_Regiomix_Handlungsfelder[[#Totals],[2028]]/(Startseite!T$74+Startseite!T$75)))</f>
        <v>Personenanzahl fehlt</v>
      </c>
      <c r="S751" t="str">
        <f>IF(ISERROR(Startseite!U$75+Startseite!U$74), "Personenanzahl fehlt", IF(Startseite!U$74+Startseite!U$75=0, "Personenanzahl fehlt", Klisz_Regiomix_Handlungsfelder[[#Totals],[2029]]/(Startseite!U$74+Startseite!U$75)))</f>
        <v>Personenanzahl fehlt</v>
      </c>
      <c r="T751" t="str">
        <f>IF(ISERROR(Startseite!V$75+Startseite!V$74), "Personenanzahl fehlt", IF(Startseite!V$74+Startseite!V$75=0, "Personenanzahl fehlt", Klisz_Regiomix_Handlungsfelder[[#Totals],[2030]]/(Startseite!V$74+Startseite!V$75)))</f>
        <v>Personenanzahl fehlt</v>
      </c>
      <c r="U751" t="str">
        <f>IF(ISERROR(Startseite!W$75+Startseite!W$74), "Personenanzahl fehlt", IF(Startseite!W$74+Startseite!W$75=0, "Personenanzahl fehlt", Klisz_Regiomix_Handlungsfelder[[#Totals],[2035]]/(Startseite!W$74+Startseite!W$75)))</f>
        <v>Personenanzahl fehlt</v>
      </c>
      <c r="V751" t="str">
        <f>IF(ISERROR(Startseite!X$75+Startseite!X$74), "Personenanzahl fehlt", IF(Startseite!X$74+Startseite!X$75=0, "Personenanzahl fehlt", Klisz_Regiomix_Handlungsfelder[[#Totals],[2040]]/(Startseite!X$74+Startseite!X$75)))</f>
        <v>Personenanzahl fehlt</v>
      </c>
      <c r="W751" t="str">
        <f>IF(ISERROR(Startseite!Y$75+Startseite!Y$74), "Personenanzahl fehlt", IF(Startseite!Y$74+Startseite!Y$75=0, "Personenanzahl fehlt", Klisz_Regiomix_Handlungsfelder[[#Totals],[2045]]/(Startseite!Y$74+Startseite!Y$75)))</f>
        <v>Personenanzahl fehlt</v>
      </c>
      <c r="X751" t="str">
        <f>IF(ISERROR(Startseite!Z$75+Startseite!Z$74), "Personenanzahl fehlt", IF(Startseite!Z$74+Startseite!Z$75=0, "Personenanzahl fehlt", Klisz_Regiomix_Handlungsfelder[[#Totals],[2050]]/(Startseite!Z$74+Startseite!Z$75)))</f>
        <v>Personenanzahl fehlt</v>
      </c>
    </row>
    <row r="752" spans="3:24" ht="16.5">
      <c r="C752" t="s">
        <v>207</v>
      </c>
      <c r="D752" t="s">
        <v>209</v>
      </c>
      <c r="E752" t="str">
        <f>IF(ISERROR(Klisz_Regiomix_Handlungsfelder[[#Totals],[2015]]/Startseite!G$72), "Fläche fehlt", IF(Startseite!G$72&lt;&gt;0, Klisz_Regiomix_Handlungsfelder[[#Totals],[2015]]/Startseite!G$72, "Fläche fehlt"))</f>
        <v>Fläche fehlt</v>
      </c>
      <c r="F752" t="str">
        <f>IF(ISERROR(Klisz_Regiomix_Handlungsfelder[[#Totals],[2016]]/Startseite!H$72), "Fläche fehlt", IF(Startseite!H$72&lt;&gt;0, Klisz_Regiomix_Handlungsfelder[[#Totals],[2016]]/Startseite!H$72, "Fläche fehlt"))</f>
        <v>Fläche fehlt</v>
      </c>
      <c r="G752" t="str">
        <f>IF(ISERROR(Klisz_Regiomix_Handlungsfelder[[#Totals],[2017]]/Startseite!I$72), "Fläche fehlt", IF(Startseite!I$72&lt;&gt;0, Klisz_Regiomix_Handlungsfelder[[#Totals],[2017]]/Startseite!I$72, "Fläche fehlt"))</f>
        <v>Fläche fehlt</v>
      </c>
      <c r="H752" t="str">
        <f>IF(ISERROR(Klisz_Regiomix_Handlungsfelder[[#Totals],[2018]]/Startseite!J$72), "Fläche fehlt", IF(Startseite!J$72&lt;&gt;0, Klisz_Regiomix_Handlungsfelder[[#Totals],[2018]]/Startseite!J$72, "Fläche fehlt"))</f>
        <v>Fläche fehlt</v>
      </c>
      <c r="I752" t="str">
        <f>IF(ISERROR(Klisz_Regiomix_Handlungsfelder[[#Totals],[2019]]/Startseite!K$72), "Fläche fehlt", IF(Startseite!K$72&lt;&gt;0, Klisz_Regiomix_Handlungsfelder[[#Totals],[2019]]/Startseite!K$72, "Fläche fehlt"))</f>
        <v>Fläche fehlt</v>
      </c>
      <c r="J752" t="str">
        <f>IF(ISERROR(Klisz_Regiomix_Handlungsfelder[[#Totals],[2020]]/Startseite!L$72), "Fläche fehlt", IF(Startseite!L$72&lt;&gt;0, Klisz_Regiomix_Handlungsfelder[[#Totals],[2020]]/Startseite!L$72, "Fläche fehlt"))</f>
        <v>Fläche fehlt</v>
      </c>
      <c r="K752" t="str">
        <f>IF(ISERROR(Klisz_Regiomix_Handlungsfelder[[#Totals],[2021]]/Startseite!M$72), "Fläche fehlt", IF(Startseite!M$72&lt;&gt;0, Klisz_Regiomix_Handlungsfelder[[#Totals],[2021]]/Startseite!M$72, "Fläche fehlt"))</f>
        <v>Fläche fehlt</v>
      </c>
      <c r="L752" t="str">
        <f>IF(ISERROR(Klisz_Regiomix_Handlungsfelder[[#Totals],[2022]]/Startseite!N$72), "Fläche fehlt", IF(Startseite!N$72&lt;&gt;0, Klisz_Regiomix_Handlungsfelder[[#Totals],[2022]]/Startseite!N$72, "Fläche fehlt"))</f>
        <v>Fläche fehlt</v>
      </c>
      <c r="M752" t="str">
        <f>IF(ISERROR(Klisz_Regiomix_Handlungsfelder[[#Totals],[2023]]/Startseite!O$72), "Fläche fehlt", IF(Startseite!O$72&lt;&gt;0, Klisz_Regiomix_Handlungsfelder[[#Totals],[2023]]/Startseite!O$72, "Fläche fehlt"))</f>
        <v>Fläche fehlt</v>
      </c>
      <c r="N752" t="str">
        <f>IF(ISERROR(Klisz_Regiomix_Handlungsfelder[[#Totals],[2024]]/Startseite!P$72), "Fläche fehlt", IF(Startseite!P$72&lt;&gt;0, Klisz_Regiomix_Handlungsfelder[[#Totals],[2024]]/Startseite!P$72, "Fläche fehlt"))</f>
        <v>Fläche fehlt</v>
      </c>
      <c r="O752" t="str">
        <f>IF(ISERROR(Klisz_Regiomix_Handlungsfelder[[#Totals],[2025]]/Startseite!Q$72), "Fläche fehlt", IF(Startseite!Q$72&lt;&gt;0, Klisz_Regiomix_Handlungsfelder[[#Totals],[2025]]/Startseite!Q$72, "Fläche fehlt"))</f>
        <v>Fläche fehlt</v>
      </c>
      <c r="P752" t="str">
        <f>IF(ISERROR(Klisz_Regiomix_Handlungsfelder[[#Totals],[2026]]/Startseite!R$72), "Fläche fehlt", IF(Startseite!R$72&lt;&gt;0, Klisz_Regiomix_Handlungsfelder[[#Totals],[2026]]/Startseite!R$72, "Fläche fehlt"))</f>
        <v>Fläche fehlt</v>
      </c>
      <c r="Q752" t="str">
        <f>IF(ISERROR(Klisz_Regiomix_Handlungsfelder[[#Totals],[2027]]/Startseite!S$72), "Fläche fehlt", IF(Startseite!S$72&lt;&gt;0, Klisz_Regiomix_Handlungsfelder[[#Totals],[2027]]/Startseite!S$72, "Fläche fehlt"))</f>
        <v>Fläche fehlt</v>
      </c>
      <c r="R752" t="str">
        <f>IF(ISERROR(Klisz_Regiomix_Handlungsfelder[[#Totals],[2028]]/Startseite!T$72), "Fläche fehlt", IF(Startseite!T$72&lt;&gt;0, Klisz_Regiomix_Handlungsfelder[[#Totals],[2028]]/Startseite!T$72, "Fläche fehlt"))</f>
        <v>Fläche fehlt</v>
      </c>
      <c r="S752" t="str">
        <f>IF(ISERROR(Klisz_Regiomix_Handlungsfelder[[#Totals],[2029]]/Startseite!U$72), "Fläche fehlt", IF(Startseite!U$72&lt;&gt;0, Klisz_Regiomix_Handlungsfelder[[#Totals],[2029]]/Startseite!U$72, "Fläche fehlt"))</f>
        <v>Fläche fehlt</v>
      </c>
      <c r="T752" t="str">
        <f>IF(ISERROR(Klisz_Regiomix_Handlungsfelder[[#Totals],[2030]]/Startseite!V$72), "Fläche fehlt", IF(Startseite!V$72&lt;&gt;0, Klisz_Regiomix_Handlungsfelder[[#Totals],[2030]]/Startseite!V$72, "Fläche fehlt"))</f>
        <v>Fläche fehlt</v>
      </c>
      <c r="U752" t="str">
        <f>IF(ISERROR(Klisz_Regiomix_Handlungsfelder[[#Totals],[2035]]/Startseite!W$72), "Fläche fehlt", IF(Startseite!W$72&lt;&gt;0, Klisz_Regiomix_Handlungsfelder[[#Totals],[2035]]/Startseite!W$72, "Fläche fehlt"))</f>
        <v>Fläche fehlt</v>
      </c>
      <c r="V752" t="str">
        <f>IF(ISERROR(Klisz_Regiomix_Handlungsfelder[[#Totals],[2040]]/Startseite!X$72), "Fläche fehlt", IF(Startseite!X$72&lt;&gt;0, Klisz_Regiomix_Handlungsfelder[[#Totals],[2040]]/Startseite!X$72, "Fläche fehlt"))</f>
        <v>Fläche fehlt</v>
      </c>
      <c r="W752" t="str">
        <f>IF(ISERROR(Klisz_Regiomix_Handlungsfelder[[#Totals],[2045]]/Startseite!Y$72), "Fläche fehlt", IF(Startseite!Y$72&lt;&gt;0, Klisz_Regiomix_Handlungsfelder[[#Totals],[2045]]/Startseite!Y$72, "Fläche fehlt"))</f>
        <v>Fläche fehlt</v>
      </c>
      <c r="X752" t="str">
        <f>IF(ISERROR(Klisz_Regiomix_Handlungsfelder[[#Totals],[2050]]/Startseite!Z$72), "Fläche fehlt", IF(Startseite!Z$72&lt;&gt;0, Klisz_Regiomix_Handlungsfelder[[#Totals],[2050]]/Startseite!Z$72, "Fläche fehlt"))</f>
        <v>Fläche fehlt</v>
      </c>
    </row>
    <row r="755" spans="2:24" ht="15.5">
      <c r="B755" s="6" t="s">
        <v>406</v>
      </c>
    </row>
    <row r="756" spans="2:24" ht="15.5">
      <c r="C756" s="27" t="s">
        <v>234</v>
      </c>
      <c r="D756" s="99" t="str">
        <f>'Klisz-Emissionen'!D517</f>
        <v>Beispiel: Umstellung der Landesliegenschaften auf Windkraft</v>
      </c>
    </row>
    <row r="757" spans="2:24">
      <c r="C757" t="s">
        <v>28</v>
      </c>
      <c r="D757" t="s">
        <v>2</v>
      </c>
      <c r="E757" t="s">
        <v>3</v>
      </c>
      <c r="F757" t="s">
        <v>4</v>
      </c>
      <c r="G757" t="s">
        <v>5</v>
      </c>
      <c r="H757" t="s">
        <v>6</v>
      </c>
      <c r="I757" t="s">
        <v>7</v>
      </c>
      <c r="J757" t="s">
        <v>8</v>
      </c>
      <c r="K757" t="s">
        <v>9</v>
      </c>
      <c r="L757" t="s">
        <v>10</v>
      </c>
      <c r="M757" t="s">
        <v>11</v>
      </c>
      <c r="N757" t="s">
        <v>12</v>
      </c>
      <c r="O757" t="s">
        <v>13</v>
      </c>
      <c r="P757" t="s">
        <v>14</v>
      </c>
      <c r="Q757" t="s">
        <v>216</v>
      </c>
      <c r="R757" t="s">
        <v>217</v>
      </c>
      <c r="S757" t="s">
        <v>218</v>
      </c>
      <c r="T757" t="s">
        <v>15</v>
      </c>
      <c r="U757" t="s">
        <v>16</v>
      </c>
      <c r="V757" t="s">
        <v>17</v>
      </c>
      <c r="W757" t="s">
        <v>18</v>
      </c>
      <c r="X757" t="s">
        <v>19</v>
      </c>
    </row>
    <row r="758" spans="2:24" ht="16.5">
      <c r="C758" t="str">
        <f>'Refsz-Emissionen'!C350</f>
        <v>Elektrischer Strom</v>
      </c>
      <c r="D758" t="s">
        <v>195</v>
      </c>
      <c r="E758">
        <f>SUMIFS(Klisz_Emissionen_Eigenes_Klimaschutzszenario[2015], $C$528:$C$688,$C758)</f>
        <v>0</v>
      </c>
      <c r="F758">
        <f>SUMIFS(Klisz_Emissionen_Eigenes_Klimaschutzszenario[2016], $C$528:$C$688,$C758)</f>
        <v>0</v>
      </c>
      <c r="G758">
        <f>SUMIFS(Klisz_Emissionen_Eigenes_Klimaschutzszenario[2017], $C$528:$C$688,$C758)</f>
        <v>0</v>
      </c>
      <c r="H758">
        <f>SUMIFS(Klisz_Emissionen_Eigenes_Klimaschutzszenario[2018], $C$528:$C$688,$C758)</f>
        <v>0</v>
      </c>
      <c r="I758">
        <f>SUMIFS(Klisz_Emissionen_Eigenes_Klimaschutzszenario[2019], $C$528:$C$688,$C758)</f>
        <v>0</v>
      </c>
      <c r="J758">
        <f>SUMIFS(Klisz_Emissionen_Eigenes_Klimaschutzszenario[2020], $C$528:$C$688,$C758)</f>
        <v>0</v>
      </c>
      <c r="K758">
        <f>SUMIFS(Klisz_Emissionen_Eigenes_Klimaschutzszenario[2021], $C$528:$C$688,$C758)</f>
        <v>0</v>
      </c>
      <c r="L758">
        <f>SUMIFS(Klisz_Emissionen_Eigenes_Klimaschutzszenario[2022], $C$528:$C$688,$C758)</f>
        <v>0</v>
      </c>
      <c r="M758">
        <f>SUMIFS(Klisz_Emissionen_Eigenes_Klimaschutzszenario[2023], $C$528:$C$688,$C758)</f>
        <v>0</v>
      </c>
      <c r="N758">
        <f>SUMIFS(Klisz_Emissionen_Eigenes_Klimaschutzszenario[2024], $C$528:$C$688,$C758)</f>
        <v>0</v>
      </c>
      <c r="O758">
        <f>SUMIFS(Klisz_Emissionen_Eigenes_Klimaschutzszenario[2025], $C$528:$C$688,$C758)</f>
        <v>0</v>
      </c>
      <c r="P758">
        <f>SUMIFS(Klisz_Emissionen_Eigenes_Klimaschutzszenario[2026], $C$528:$C$688,$C758)</f>
        <v>0</v>
      </c>
      <c r="Q758">
        <f>SUMIFS(Klisz_Emissionen_Eigenes_Klimaschutzszenario[2027], $C$528:$C$688,$C758)</f>
        <v>0</v>
      </c>
      <c r="R758">
        <f>SUMIFS(Klisz_Emissionen_Eigenes_Klimaschutzszenario[2028], $C$528:$C$688,$C758)</f>
        <v>0</v>
      </c>
      <c r="S758">
        <f>SUMIFS(Klisz_Emissionen_Eigenes_Klimaschutzszenario[2029], $C$528:$C$688,$C758)</f>
        <v>0</v>
      </c>
      <c r="T758">
        <f>SUMIFS(Klisz_Emissionen_Eigenes_Klimaschutzszenario[2030], $C$528:$C$688,$C758)</f>
        <v>0</v>
      </c>
      <c r="U758">
        <f>SUMIFS(Klisz_Emissionen_Eigenes_Klimaschutzszenario[2035], $C$528:$C$688,$C758)</f>
        <v>0</v>
      </c>
      <c r="V758">
        <f>SUMIFS(Klisz_Emissionen_Eigenes_Klimaschutzszenario[2040], $C$528:$C$688,$C758)</f>
        <v>0</v>
      </c>
      <c r="W758">
        <f>SUMIFS(Klisz_Emissionen_Eigenes_Klimaschutzszenario[2045], $C$528:$C$688,$C758)</f>
        <v>0</v>
      </c>
      <c r="X758">
        <f>SUMIFS(Klisz_Emissionen_Eigenes_Klimaschutzszenario[2050], $C$528:$C$688,$C758)</f>
        <v>0</v>
      </c>
    </row>
    <row r="759" spans="2:24" ht="16.5">
      <c r="C759" t="str">
        <f>'Refsz-Emissionen'!C351</f>
        <v>Wärme</v>
      </c>
      <c r="D759" t="s">
        <v>195</v>
      </c>
      <c r="E759">
        <f>SUMIFS(Klisz_Emissionen_Eigenes_Klimaschutzszenario[2015], $C$528:$C$688,$C759)</f>
        <v>0</v>
      </c>
      <c r="F759">
        <f>SUMIFS(Klisz_Emissionen_Eigenes_Klimaschutzszenario[2016], $C$528:$C$688,$C759)</f>
        <v>0</v>
      </c>
      <c r="G759">
        <f>SUMIFS(Klisz_Emissionen_Eigenes_Klimaschutzszenario[2017], $C$528:$C$688,$C759)</f>
        <v>0</v>
      </c>
      <c r="H759">
        <f>SUMIFS(Klisz_Emissionen_Eigenes_Klimaschutzszenario[2018], $C$528:$C$688,$C759)</f>
        <v>0</v>
      </c>
      <c r="I759">
        <f>SUMIFS(Klisz_Emissionen_Eigenes_Klimaschutzszenario[2019], $C$528:$C$688,$C759)</f>
        <v>0</v>
      </c>
      <c r="J759">
        <f>SUMIFS(Klisz_Emissionen_Eigenes_Klimaschutzszenario[2020], $C$528:$C$688,$C759)</f>
        <v>0</v>
      </c>
      <c r="K759">
        <f>SUMIFS(Klisz_Emissionen_Eigenes_Klimaschutzszenario[2021], $C$528:$C$688,$C759)</f>
        <v>0</v>
      </c>
      <c r="L759">
        <f>SUMIFS(Klisz_Emissionen_Eigenes_Klimaschutzszenario[2022], $C$528:$C$688,$C759)</f>
        <v>0</v>
      </c>
      <c r="M759">
        <f>SUMIFS(Klisz_Emissionen_Eigenes_Klimaschutzszenario[2023], $C$528:$C$688,$C759)</f>
        <v>0</v>
      </c>
      <c r="N759">
        <f>SUMIFS(Klisz_Emissionen_Eigenes_Klimaschutzszenario[2024], $C$528:$C$688,$C759)</f>
        <v>0</v>
      </c>
      <c r="O759">
        <f>SUMIFS(Klisz_Emissionen_Eigenes_Klimaschutzszenario[2025], $C$528:$C$688,$C759)</f>
        <v>0</v>
      </c>
      <c r="P759">
        <f>SUMIFS(Klisz_Emissionen_Eigenes_Klimaschutzszenario[2026], $C$528:$C$688,$C759)</f>
        <v>0</v>
      </c>
      <c r="Q759">
        <f>SUMIFS(Klisz_Emissionen_Eigenes_Klimaschutzszenario[2027], $C$528:$C$688,$C759)</f>
        <v>0</v>
      </c>
      <c r="R759">
        <f>SUMIFS(Klisz_Emissionen_Eigenes_Klimaschutzszenario[2028], $C$528:$C$688,$C759)</f>
        <v>0</v>
      </c>
      <c r="S759">
        <f>SUMIFS(Klisz_Emissionen_Eigenes_Klimaschutzszenario[2029], $C$528:$C$688,$C759)</f>
        <v>0</v>
      </c>
      <c r="T759">
        <f>SUMIFS(Klisz_Emissionen_Eigenes_Klimaschutzszenario[2030], $C$528:$C$688,$C759)</f>
        <v>0</v>
      </c>
      <c r="U759">
        <f>SUMIFS(Klisz_Emissionen_Eigenes_Klimaschutzszenario[2035], $C$528:$C$688,$C759)</f>
        <v>0</v>
      </c>
      <c r="V759">
        <f>SUMIFS(Klisz_Emissionen_Eigenes_Klimaschutzszenario[2040], $C$528:$C$688,$C759)</f>
        <v>0</v>
      </c>
      <c r="W759">
        <f>SUMIFS(Klisz_Emissionen_Eigenes_Klimaschutzszenario[2045], $C$528:$C$688,$C759)</f>
        <v>0</v>
      </c>
      <c r="X759">
        <f>SUMIFS(Klisz_Emissionen_Eigenes_Klimaschutzszenario[2050], $C$528:$C$688,$C759)</f>
        <v>0</v>
      </c>
    </row>
    <row r="760" spans="2:24" ht="16.5">
      <c r="C760" t="str">
        <f>'Refsz-Emissionen'!C352</f>
        <v>Kälte</v>
      </c>
      <c r="D760" t="s">
        <v>195</v>
      </c>
      <c r="E760">
        <f>SUMIFS(Klisz_Emissionen_Eigenes_Klimaschutzszenario[2015], $C$528:$C$688,$C760)</f>
        <v>0</v>
      </c>
      <c r="F760">
        <f>SUMIFS(Klisz_Emissionen_Eigenes_Klimaschutzszenario[2016], $C$528:$C$688,$C760)</f>
        <v>0</v>
      </c>
      <c r="G760">
        <f>SUMIFS(Klisz_Emissionen_Eigenes_Klimaschutzszenario[2017], $C$528:$C$688,$C760)</f>
        <v>0</v>
      </c>
      <c r="H760">
        <f>SUMIFS(Klisz_Emissionen_Eigenes_Klimaschutzszenario[2018], $C$528:$C$688,$C760)</f>
        <v>0</v>
      </c>
      <c r="I760">
        <f>SUMIFS(Klisz_Emissionen_Eigenes_Klimaschutzszenario[2019], $C$528:$C$688,$C760)</f>
        <v>0</v>
      </c>
      <c r="J760">
        <f>SUMIFS(Klisz_Emissionen_Eigenes_Klimaschutzszenario[2020], $C$528:$C$688,$C760)</f>
        <v>0</v>
      </c>
      <c r="K760">
        <f>SUMIFS(Klisz_Emissionen_Eigenes_Klimaschutzszenario[2021], $C$528:$C$688,$C760)</f>
        <v>0</v>
      </c>
      <c r="L760">
        <f>SUMIFS(Klisz_Emissionen_Eigenes_Klimaschutzszenario[2022], $C$528:$C$688,$C760)</f>
        <v>0</v>
      </c>
      <c r="M760">
        <f>SUMIFS(Klisz_Emissionen_Eigenes_Klimaschutzszenario[2023], $C$528:$C$688,$C760)</f>
        <v>0</v>
      </c>
      <c r="N760">
        <f>SUMIFS(Klisz_Emissionen_Eigenes_Klimaschutzszenario[2024], $C$528:$C$688,$C760)</f>
        <v>0</v>
      </c>
      <c r="O760">
        <f>SUMIFS(Klisz_Emissionen_Eigenes_Klimaschutzszenario[2025], $C$528:$C$688,$C760)</f>
        <v>0</v>
      </c>
      <c r="P760">
        <f>SUMIFS(Klisz_Emissionen_Eigenes_Klimaschutzszenario[2026], $C$528:$C$688,$C760)</f>
        <v>0</v>
      </c>
      <c r="Q760">
        <f>SUMIFS(Klisz_Emissionen_Eigenes_Klimaschutzszenario[2027], $C$528:$C$688,$C760)</f>
        <v>0</v>
      </c>
      <c r="R760">
        <f>SUMIFS(Klisz_Emissionen_Eigenes_Klimaschutzszenario[2028], $C$528:$C$688,$C760)</f>
        <v>0</v>
      </c>
      <c r="S760">
        <f>SUMIFS(Klisz_Emissionen_Eigenes_Klimaschutzszenario[2029], $C$528:$C$688,$C760)</f>
        <v>0</v>
      </c>
      <c r="T760">
        <f>SUMIFS(Klisz_Emissionen_Eigenes_Klimaschutzszenario[2030], $C$528:$C$688,$C760)</f>
        <v>0</v>
      </c>
      <c r="U760">
        <f>SUMIFS(Klisz_Emissionen_Eigenes_Klimaschutzszenario[2035], $C$528:$C$688,$C760)</f>
        <v>0</v>
      </c>
      <c r="V760">
        <f>SUMIFS(Klisz_Emissionen_Eigenes_Klimaschutzszenario[2040], $C$528:$C$688,$C760)</f>
        <v>0</v>
      </c>
      <c r="W760">
        <f>SUMIFS(Klisz_Emissionen_Eigenes_Klimaschutzszenario[2045], $C$528:$C$688,$C760)</f>
        <v>0</v>
      </c>
      <c r="X760">
        <f>SUMIFS(Klisz_Emissionen_Eigenes_Klimaschutzszenario[2050], $C$528:$C$688,$C760)</f>
        <v>0</v>
      </c>
    </row>
    <row r="761" spans="2:24" ht="16.5">
      <c r="C761" t="str">
        <f>'Refsz-Emissionen'!C353</f>
        <v>Mobilität 1</v>
      </c>
      <c r="D761" t="s">
        <v>195</v>
      </c>
      <c r="E761">
        <f>SUMIFS(Klisz_Emissionen_Eigenes_Klimaschutzszenario[2015], $C$528:$C$688,$C761)</f>
        <v>0</v>
      </c>
      <c r="F761">
        <f>SUMIFS(Klisz_Emissionen_Eigenes_Klimaschutzszenario[2016], $C$528:$C$688,$C761)</f>
        <v>0</v>
      </c>
      <c r="G761">
        <f>SUMIFS(Klisz_Emissionen_Eigenes_Klimaschutzszenario[2017], $C$528:$C$688,$C761)</f>
        <v>0</v>
      </c>
      <c r="H761">
        <f>SUMIFS(Klisz_Emissionen_Eigenes_Klimaschutzszenario[2018], $C$528:$C$688,$C761)</f>
        <v>0</v>
      </c>
      <c r="I761">
        <f>SUMIFS(Klisz_Emissionen_Eigenes_Klimaschutzszenario[2019], $C$528:$C$688,$C761)</f>
        <v>0</v>
      </c>
      <c r="J761">
        <f>SUMIFS(Klisz_Emissionen_Eigenes_Klimaschutzszenario[2020], $C$528:$C$688,$C761)</f>
        <v>0</v>
      </c>
      <c r="K761">
        <f>SUMIFS(Klisz_Emissionen_Eigenes_Klimaschutzszenario[2021], $C$528:$C$688,$C761)</f>
        <v>0</v>
      </c>
      <c r="L761">
        <f>SUMIFS(Klisz_Emissionen_Eigenes_Klimaschutzszenario[2022], $C$528:$C$688,$C761)</f>
        <v>0</v>
      </c>
      <c r="M761">
        <f>SUMIFS(Klisz_Emissionen_Eigenes_Klimaschutzszenario[2023], $C$528:$C$688,$C761)</f>
        <v>0</v>
      </c>
      <c r="N761">
        <f>SUMIFS(Klisz_Emissionen_Eigenes_Klimaschutzszenario[2024], $C$528:$C$688,$C761)</f>
        <v>0</v>
      </c>
      <c r="O761">
        <f>SUMIFS(Klisz_Emissionen_Eigenes_Klimaschutzszenario[2025], $C$528:$C$688,$C761)</f>
        <v>0</v>
      </c>
      <c r="P761">
        <f>SUMIFS(Klisz_Emissionen_Eigenes_Klimaschutzszenario[2026], $C$528:$C$688,$C761)</f>
        <v>0</v>
      </c>
      <c r="Q761">
        <f>SUMIFS(Klisz_Emissionen_Eigenes_Klimaschutzszenario[2027], $C$528:$C$688,$C761)</f>
        <v>0</v>
      </c>
      <c r="R761">
        <f>SUMIFS(Klisz_Emissionen_Eigenes_Klimaschutzszenario[2028], $C$528:$C$688,$C761)</f>
        <v>0</v>
      </c>
      <c r="S761">
        <f>SUMIFS(Klisz_Emissionen_Eigenes_Klimaschutzszenario[2029], $C$528:$C$688,$C761)</f>
        <v>0</v>
      </c>
      <c r="T761">
        <f>SUMIFS(Klisz_Emissionen_Eigenes_Klimaschutzszenario[2030], $C$528:$C$688,$C761)</f>
        <v>0</v>
      </c>
      <c r="U761">
        <f>SUMIFS(Klisz_Emissionen_Eigenes_Klimaschutzszenario[2035], $C$528:$C$688,$C761)</f>
        <v>0</v>
      </c>
      <c r="V761">
        <f>SUMIFS(Klisz_Emissionen_Eigenes_Klimaschutzszenario[2040], $C$528:$C$688,$C761)</f>
        <v>0</v>
      </c>
      <c r="W761">
        <f>SUMIFS(Klisz_Emissionen_Eigenes_Klimaschutzszenario[2045], $C$528:$C$688,$C761)</f>
        <v>0</v>
      </c>
      <c r="X761">
        <f>SUMIFS(Klisz_Emissionen_Eigenes_Klimaschutzszenario[2050], $C$528:$C$688,$C761)</f>
        <v>0</v>
      </c>
    </row>
    <row r="762" spans="2:24" ht="16.5">
      <c r="C762" t="str">
        <f>'Refsz-Emissionen'!C354</f>
        <v>Mobilität 2</v>
      </c>
      <c r="D762" t="s">
        <v>195</v>
      </c>
      <c r="E762">
        <f>SUMIFS(Klisz_Emissionen_Eigenes_Klimaschutzszenario[2015], $C$528:$C$688,$C762)</f>
        <v>0</v>
      </c>
      <c r="F762">
        <f>SUMIFS(Klisz_Emissionen_Eigenes_Klimaschutzszenario[2016], $C$528:$C$688,$C762)</f>
        <v>0</v>
      </c>
      <c r="G762">
        <f>SUMIFS(Klisz_Emissionen_Eigenes_Klimaschutzszenario[2017], $C$528:$C$688,$C762)</f>
        <v>0</v>
      </c>
      <c r="H762">
        <f>SUMIFS(Klisz_Emissionen_Eigenes_Klimaschutzszenario[2018], $C$528:$C$688,$C762)</f>
        <v>0</v>
      </c>
      <c r="I762">
        <f>SUMIFS(Klisz_Emissionen_Eigenes_Klimaschutzszenario[2019], $C$528:$C$688,$C762)</f>
        <v>0</v>
      </c>
      <c r="J762">
        <f>SUMIFS(Klisz_Emissionen_Eigenes_Klimaschutzszenario[2020], $C$528:$C$688,$C762)</f>
        <v>0</v>
      </c>
      <c r="K762">
        <f>SUMIFS(Klisz_Emissionen_Eigenes_Klimaschutzszenario[2021], $C$528:$C$688,$C762)</f>
        <v>0</v>
      </c>
      <c r="L762">
        <f>SUMIFS(Klisz_Emissionen_Eigenes_Klimaschutzszenario[2022], $C$528:$C$688,$C762)</f>
        <v>0</v>
      </c>
      <c r="M762">
        <f>SUMIFS(Klisz_Emissionen_Eigenes_Klimaschutzszenario[2023], $C$528:$C$688,$C762)</f>
        <v>0</v>
      </c>
      <c r="N762">
        <f>SUMIFS(Klisz_Emissionen_Eigenes_Klimaschutzszenario[2024], $C$528:$C$688,$C762)</f>
        <v>0</v>
      </c>
      <c r="O762">
        <f>SUMIFS(Klisz_Emissionen_Eigenes_Klimaschutzszenario[2025], $C$528:$C$688,$C762)</f>
        <v>0</v>
      </c>
      <c r="P762">
        <f>SUMIFS(Klisz_Emissionen_Eigenes_Klimaschutzszenario[2026], $C$528:$C$688,$C762)</f>
        <v>0</v>
      </c>
      <c r="Q762">
        <f>SUMIFS(Klisz_Emissionen_Eigenes_Klimaschutzszenario[2027], $C$528:$C$688,$C762)</f>
        <v>0</v>
      </c>
      <c r="R762">
        <f>SUMIFS(Klisz_Emissionen_Eigenes_Klimaschutzszenario[2028], $C$528:$C$688,$C762)</f>
        <v>0</v>
      </c>
      <c r="S762">
        <f>SUMIFS(Klisz_Emissionen_Eigenes_Klimaschutzszenario[2029], $C$528:$C$688,$C762)</f>
        <v>0</v>
      </c>
      <c r="T762">
        <f>SUMIFS(Klisz_Emissionen_Eigenes_Klimaschutzszenario[2030], $C$528:$C$688,$C762)</f>
        <v>0</v>
      </c>
      <c r="U762">
        <f>SUMIFS(Klisz_Emissionen_Eigenes_Klimaschutzszenario[2035], $C$528:$C$688,$C762)</f>
        <v>0</v>
      </c>
      <c r="V762">
        <f>SUMIFS(Klisz_Emissionen_Eigenes_Klimaschutzszenario[2040], $C$528:$C$688,$C762)</f>
        <v>0</v>
      </c>
      <c r="W762">
        <f>SUMIFS(Klisz_Emissionen_Eigenes_Klimaschutzszenario[2045], $C$528:$C$688,$C762)</f>
        <v>0</v>
      </c>
      <c r="X762">
        <f>SUMIFS(Klisz_Emissionen_Eigenes_Klimaschutzszenario[2050], $C$528:$C$688,$C762)</f>
        <v>0</v>
      </c>
    </row>
    <row r="763" spans="2:24" ht="16.5">
      <c r="C763" t="str">
        <f>'Refsz-Emissionen'!C355</f>
        <v>Wasser</v>
      </c>
      <c r="D763" t="s">
        <v>195</v>
      </c>
      <c r="E763">
        <f>SUMIFS(Klisz_Emissionen_Eigenes_Klimaschutzszenario[2015], $C$528:$C$688,$C763)</f>
        <v>0</v>
      </c>
      <c r="F763">
        <f>SUMIFS(Klisz_Emissionen_Eigenes_Klimaschutzszenario[2016], $C$528:$C$688,$C763)</f>
        <v>0</v>
      </c>
      <c r="G763">
        <f>SUMIFS(Klisz_Emissionen_Eigenes_Klimaschutzszenario[2017], $C$528:$C$688,$C763)</f>
        <v>0</v>
      </c>
      <c r="H763">
        <f>SUMIFS(Klisz_Emissionen_Eigenes_Klimaschutzszenario[2018], $C$528:$C$688,$C763)</f>
        <v>0</v>
      </c>
      <c r="I763">
        <f>SUMIFS(Klisz_Emissionen_Eigenes_Klimaschutzszenario[2019], $C$528:$C$688,$C763)</f>
        <v>0</v>
      </c>
      <c r="J763">
        <f>SUMIFS(Klisz_Emissionen_Eigenes_Klimaschutzszenario[2020], $C$528:$C$688,$C763)</f>
        <v>0</v>
      </c>
      <c r="K763">
        <f>SUMIFS(Klisz_Emissionen_Eigenes_Klimaschutzszenario[2021], $C$528:$C$688,$C763)</f>
        <v>0</v>
      </c>
      <c r="L763">
        <f>SUMIFS(Klisz_Emissionen_Eigenes_Klimaschutzszenario[2022], $C$528:$C$688,$C763)</f>
        <v>0</v>
      </c>
      <c r="M763">
        <f>SUMIFS(Klisz_Emissionen_Eigenes_Klimaschutzszenario[2023], $C$528:$C$688,$C763)</f>
        <v>0</v>
      </c>
      <c r="N763">
        <f>SUMIFS(Klisz_Emissionen_Eigenes_Klimaschutzszenario[2024], $C$528:$C$688,$C763)</f>
        <v>0</v>
      </c>
      <c r="O763">
        <f>SUMIFS(Klisz_Emissionen_Eigenes_Klimaschutzszenario[2025], $C$528:$C$688,$C763)</f>
        <v>0</v>
      </c>
      <c r="P763">
        <f>SUMIFS(Klisz_Emissionen_Eigenes_Klimaschutzszenario[2026], $C$528:$C$688,$C763)</f>
        <v>0</v>
      </c>
      <c r="Q763">
        <f>SUMIFS(Klisz_Emissionen_Eigenes_Klimaschutzszenario[2027], $C$528:$C$688,$C763)</f>
        <v>0</v>
      </c>
      <c r="R763">
        <f>SUMIFS(Klisz_Emissionen_Eigenes_Klimaschutzszenario[2028], $C$528:$C$688,$C763)</f>
        <v>0</v>
      </c>
      <c r="S763">
        <f>SUMIFS(Klisz_Emissionen_Eigenes_Klimaschutzszenario[2029], $C$528:$C$688,$C763)</f>
        <v>0</v>
      </c>
      <c r="T763">
        <f>SUMIFS(Klisz_Emissionen_Eigenes_Klimaschutzszenario[2030], $C$528:$C$688,$C763)</f>
        <v>0</v>
      </c>
      <c r="U763">
        <f>SUMIFS(Klisz_Emissionen_Eigenes_Klimaschutzszenario[2035], $C$528:$C$688,$C763)</f>
        <v>0</v>
      </c>
      <c r="V763">
        <f>SUMIFS(Klisz_Emissionen_Eigenes_Klimaschutzszenario[2040], $C$528:$C$688,$C763)</f>
        <v>0</v>
      </c>
      <c r="W763">
        <f>SUMIFS(Klisz_Emissionen_Eigenes_Klimaschutzszenario[2045], $C$528:$C$688,$C763)</f>
        <v>0</v>
      </c>
      <c r="X763">
        <f>SUMIFS(Klisz_Emissionen_Eigenes_Klimaschutzszenario[2050], $C$528:$C$688,$C763)</f>
        <v>0</v>
      </c>
    </row>
    <row r="764" spans="2:24" ht="16.5">
      <c r="C764" t="str">
        <f>'Refsz-Emissionen'!C356</f>
        <v>Abfall</v>
      </c>
      <c r="D764" t="s">
        <v>195</v>
      </c>
      <c r="E764">
        <f>SUMIFS(Klisz_Emissionen_Eigenes_Klimaschutzszenario[2015], $C$528:$C$688,$C764)</f>
        <v>0</v>
      </c>
      <c r="F764">
        <f>SUMIFS(Klisz_Emissionen_Eigenes_Klimaschutzszenario[2016], $C$528:$C$688,$C764)</f>
        <v>0</v>
      </c>
      <c r="G764">
        <f>SUMIFS(Klisz_Emissionen_Eigenes_Klimaschutzszenario[2017], $C$528:$C$688,$C764)</f>
        <v>0</v>
      </c>
      <c r="H764">
        <f>SUMIFS(Klisz_Emissionen_Eigenes_Klimaschutzszenario[2018], $C$528:$C$688,$C764)</f>
        <v>0</v>
      </c>
      <c r="I764">
        <f>SUMIFS(Klisz_Emissionen_Eigenes_Klimaschutzszenario[2019], $C$528:$C$688,$C764)</f>
        <v>0</v>
      </c>
      <c r="J764">
        <f>SUMIFS(Klisz_Emissionen_Eigenes_Klimaschutzszenario[2020], $C$528:$C$688,$C764)</f>
        <v>0</v>
      </c>
      <c r="K764">
        <f>SUMIFS(Klisz_Emissionen_Eigenes_Klimaschutzszenario[2021], $C$528:$C$688,$C764)</f>
        <v>0</v>
      </c>
      <c r="L764">
        <f>SUMIFS(Klisz_Emissionen_Eigenes_Klimaschutzszenario[2022], $C$528:$C$688,$C764)</f>
        <v>0</v>
      </c>
      <c r="M764">
        <f>SUMIFS(Klisz_Emissionen_Eigenes_Klimaschutzszenario[2023], $C$528:$C$688,$C764)</f>
        <v>0</v>
      </c>
      <c r="N764">
        <f>SUMIFS(Klisz_Emissionen_Eigenes_Klimaschutzszenario[2024], $C$528:$C$688,$C764)</f>
        <v>0</v>
      </c>
      <c r="O764">
        <f>SUMIFS(Klisz_Emissionen_Eigenes_Klimaschutzszenario[2025], $C$528:$C$688,$C764)</f>
        <v>0</v>
      </c>
      <c r="P764">
        <f>SUMIFS(Klisz_Emissionen_Eigenes_Klimaschutzszenario[2026], $C$528:$C$688,$C764)</f>
        <v>0</v>
      </c>
      <c r="Q764">
        <f>SUMIFS(Klisz_Emissionen_Eigenes_Klimaschutzszenario[2027], $C$528:$C$688,$C764)</f>
        <v>0</v>
      </c>
      <c r="R764">
        <f>SUMIFS(Klisz_Emissionen_Eigenes_Klimaschutzszenario[2028], $C$528:$C$688,$C764)</f>
        <v>0</v>
      </c>
      <c r="S764">
        <f>SUMIFS(Klisz_Emissionen_Eigenes_Klimaschutzszenario[2029], $C$528:$C$688,$C764)</f>
        <v>0</v>
      </c>
      <c r="T764">
        <f>SUMIFS(Klisz_Emissionen_Eigenes_Klimaschutzszenario[2030], $C$528:$C$688,$C764)</f>
        <v>0</v>
      </c>
      <c r="U764">
        <f>SUMIFS(Klisz_Emissionen_Eigenes_Klimaschutzszenario[2035], $C$528:$C$688,$C764)</f>
        <v>0</v>
      </c>
      <c r="V764">
        <f>SUMIFS(Klisz_Emissionen_Eigenes_Klimaschutzszenario[2040], $C$528:$C$688,$C764)</f>
        <v>0</v>
      </c>
      <c r="W764">
        <f>SUMIFS(Klisz_Emissionen_Eigenes_Klimaschutzszenario[2045], $C$528:$C$688,$C764)</f>
        <v>0</v>
      </c>
      <c r="X764">
        <f>SUMIFS(Klisz_Emissionen_Eigenes_Klimaschutzszenario[2050], $C$528:$C$688,$C764)</f>
        <v>0</v>
      </c>
    </row>
    <row r="765" spans="2:24" ht="16.5">
      <c r="C765" t="str">
        <f>'Refsz-Emissionen'!C357</f>
        <v>Waren und Dienstleistungen</v>
      </c>
      <c r="D765" t="s">
        <v>195</v>
      </c>
      <c r="E765">
        <f>SUMIFS(Klisz_Emissionen_Eigenes_Klimaschutzszenario[2015], $C$528:$C$688,$C765)</f>
        <v>0</v>
      </c>
      <c r="F765">
        <f>SUMIFS(Klisz_Emissionen_Eigenes_Klimaschutzszenario[2016], $C$528:$C$688,$C765)</f>
        <v>0</v>
      </c>
      <c r="G765">
        <f>SUMIFS(Klisz_Emissionen_Eigenes_Klimaschutzszenario[2017], $C$528:$C$688,$C765)</f>
        <v>0</v>
      </c>
      <c r="H765">
        <f>SUMIFS(Klisz_Emissionen_Eigenes_Klimaschutzszenario[2018], $C$528:$C$688,$C765)</f>
        <v>0</v>
      </c>
      <c r="I765">
        <f>SUMIFS(Klisz_Emissionen_Eigenes_Klimaschutzszenario[2019], $C$528:$C$688,$C765)</f>
        <v>0</v>
      </c>
      <c r="J765">
        <f>SUMIFS(Klisz_Emissionen_Eigenes_Klimaschutzszenario[2020], $C$528:$C$688,$C765)</f>
        <v>0</v>
      </c>
      <c r="K765">
        <f>SUMIFS(Klisz_Emissionen_Eigenes_Klimaschutzszenario[2021], $C$528:$C$688,$C765)</f>
        <v>0</v>
      </c>
      <c r="L765">
        <f>SUMIFS(Klisz_Emissionen_Eigenes_Klimaschutzszenario[2022], $C$528:$C$688,$C765)</f>
        <v>0</v>
      </c>
      <c r="M765">
        <f>SUMIFS(Klisz_Emissionen_Eigenes_Klimaschutzszenario[2023], $C$528:$C$688,$C765)</f>
        <v>0</v>
      </c>
      <c r="N765">
        <f>SUMIFS(Klisz_Emissionen_Eigenes_Klimaschutzszenario[2024], $C$528:$C$688,$C765)</f>
        <v>0</v>
      </c>
      <c r="O765">
        <f>SUMIFS(Klisz_Emissionen_Eigenes_Klimaschutzszenario[2025], $C$528:$C$688,$C765)</f>
        <v>0</v>
      </c>
      <c r="P765">
        <f>SUMIFS(Klisz_Emissionen_Eigenes_Klimaschutzszenario[2026], $C$528:$C$688,$C765)</f>
        <v>0</v>
      </c>
      <c r="Q765">
        <f>SUMIFS(Klisz_Emissionen_Eigenes_Klimaschutzszenario[2027], $C$528:$C$688,$C765)</f>
        <v>0</v>
      </c>
      <c r="R765">
        <f>SUMIFS(Klisz_Emissionen_Eigenes_Klimaschutzszenario[2028], $C$528:$C$688,$C765)</f>
        <v>0</v>
      </c>
      <c r="S765">
        <f>SUMIFS(Klisz_Emissionen_Eigenes_Klimaschutzszenario[2029], $C$528:$C$688,$C765)</f>
        <v>0</v>
      </c>
      <c r="T765">
        <f>SUMIFS(Klisz_Emissionen_Eigenes_Klimaschutzszenario[2030], $C$528:$C$688,$C765)</f>
        <v>0</v>
      </c>
      <c r="U765">
        <f>SUMIFS(Klisz_Emissionen_Eigenes_Klimaschutzszenario[2035], $C$528:$C$688,$C765)</f>
        <v>0</v>
      </c>
      <c r="V765">
        <f>SUMIFS(Klisz_Emissionen_Eigenes_Klimaschutzszenario[2040], $C$528:$C$688,$C765)</f>
        <v>0</v>
      </c>
      <c r="W765">
        <f>SUMIFS(Klisz_Emissionen_Eigenes_Klimaschutzszenario[2045], $C$528:$C$688,$C765)</f>
        <v>0</v>
      </c>
      <c r="X765">
        <f>SUMIFS(Klisz_Emissionen_Eigenes_Klimaschutzszenario[2050], $C$528:$C$688,$C765)</f>
        <v>0</v>
      </c>
    </row>
    <row r="766" spans="2:24" ht="16.5">
      <c r="C766" t="str">
        <f>'Refsz-Emissionen'!C358</f>
        <v>Baugüter</v>
      </c>
      <c r="D766" t="s">
        <v>195</v>
      </c>
      <c r="E766">
        <f>SUMIFS(Klisz_Emissionen_Eigenes_Klimaschutzszenario[2015], $C$528:$C$688,$C766)</f>
        <v>0</v>
      </c>
      <c r="F766">
        <f>SUMIFS(Klisz_Emissionen_Eigenes_Klimaschutzszenario[2016], $C$528:$C$688,$C766)</f>
        <v>0</v>
      </c>
      <c r="G766">
        <f>SUMIFS(Klisz_Emissionen_Eigenes_Klimaschutzszenario[2017], $C$528:$C$688,$C766)</f>
        <v>0</v>
      </c>
      <c r="H766">
        <f>SUMIFS(Klisz_Emissionen_Eigenes_Klimaschutzszenario[2018], $C$528:$C$688,$C766)</f>
        <v>0</v>
      </c>
      <c r="I766">
        <f>SUMIFS(Klisz_Emissionen_Eigenes_Klimaschutzszenario[2019], $C$528:$C$688,$C766)</f>
        <v>0</v>
      </c>
      <c r="J766">
        <f>SUMIFS(Klisz_Emissionen_Eigenes_Klimaschutzszenario[2020], $C$528:$C$688,$C766)</f>
        <v>0</v>
      </c>
      <c r="K766">
        <f>SUMIFS(Klisz_Emissionen_Eigenes_Klimaschutzszenario[2021], $C$528:$C$688,$C766)</f>
        <v>0</v>
      </c>
      <c r="L766">
        <f>SUMIFS(Klisz_Emissionen_Eigenes_Klimaschutzszenario[2022], $C$528:$C$688,$C766)</f>
        <v>0</v>
      </c>
      <c r="M766">
        <f>SUMIFS(Klisz_Emissionen_Eigenes_Klimaschutzszenario[2023], $C$528:$C$688,$C766)</f>
        <v>0</v>
      </c>
      <c r="N766">
        <f>SUMIFS(Klisz_Emissionen_Eigenes_Klimaschutzszenario[2024], $C$528:$C$688,$C766)</f>
        <v>0</v>
      </c>
      <c r="O766">
        <f>SUMIFS(Klisz_Emissionen_Eigenes_Klimaschutzszenario[2025], $C$528:$C$688,$C766)</f>
        <v>0</v>
      </c>
      <c r="P766">
        <f>SUMIFS(Klisz_Emissionen_Eigenes_Klimaschutzszenario[2026], $C$528:$C$688,$C766)</f>
        <v>0</v>
      </c>
      <c r="Q766">
        <f>SUMIFS(Klisz_Emissionen_Eigenes_Klimaschutzszenario[2027], $C$528:$C$688,$C766)</f>
        <v>0</v>
      </c>
      <c r="R766">
        <f>SUMIFS(Klisz_Emissionen_Eigenes_Klimaschutzszenario[2028], $C$528:$C$688,$C766)</f>
        <v>0</v>
      </c>
      <c r="S766">
        <f>SUMIFS(Klisz_Emissionen_Eigenes_Klimaschutzszenario[2029], $C$528:$C$688,$C766)</f>
        <v>0</v>
      </c>
      <c r="T766">
        <f>SUMIFS(Klisz_Emissionen_Eigenes_Klimaschutzszenario[2030], $C$528:$C$688,$C766)</f>
        <v>0</v>
      </c>
      <c r="U766">
        <f>SUMIFS(Klisz_Emissionen_Eigenes_Klimaschutzszenario[2035], $C$528:$C$688,$C766)</f>
        <v>0</v>
      </c>
      <c r="V766">
        <f>SUMIFS(Klisz_Emissionen_Eigenes_Klimaschutzszenario[2040], $C$528:$C$688,$C766)</f>
        <v>0</v>
      </c>
      <c r="W766">
        <f>SUMIFS(Klisz_Emissionen_Eigenes_Klimaschutzszenario[2045], $C$528:$C$688,$C766)</f>
        <v>0</v>
      </c>
      <c r="X766">
        <f>SUMIFS(Klisz_Emissionen_Eigenes_Klimaschutzszenario[2050], $C$528:$C$688,$C766)</f>
        <v>0</v>
      </c>
    </row>
    <row r="767" spans="2:24" ht="16.5">
      <c r="C767" t="str">
        <f>'Refsz-Emissionen'!C359</f>
        <v>Waren mit negativem GWP total</v>
      </c>
      <c r="D767" t="s">
        <v>195</v>
      </c>
      <c r="E767">
        <f>SUMIFS(Klisz_Emissionen_Eigenes_Klimaschutzszenario[2015], $C$528:$C$688,$C767)</f>
        <v>0</v>
      </c>
      <c r="F767">
        <f>SUMIFS(Klisz_Emissionen_Eigenes_Klimaschutzszenario[2016], $C$528:$C$688,$C767)</f>
        <v>0</v>
      </c>
      <c r="G767">
        <f>SUMIFS(Klisz_Emissionen_Eigenes_Klimaschutzszenario[2017], $C$528:$C$688,$C767)</f>
        <v>0</v>
      </c>
      <c r="H767">
        <f>SUMIFS(Klisz_Emissionen_Eigenes_Klimaschutzszenario[2018], $C$528:$C$688,$C767)</f>
        <v>0</v>
      </c>
      <c r="I767">
        <f>SUMIFS(Klisz_Emissionen_Eigenes_Klimaschutzszenario[2019], $C$528:$C$688,$C767)</f>
        <v>0</v>
      </c>
      <c r="J767">
        <f>SUMIFS(Klisz_Emissionen_Eigenes_Klimaschutzszenario[2020], $C$528:$C$688,$C767)</f>
        <v>0</v>
      </c>
      <c r="K767">
        <f>SUMIFS(Klisz_Emissionen_Eigenes_Klimaschutzszenario[2021], $C$528:$C$688,$C767)</f>
        <v>0</v>
      </c>
      <c r="L767">
        <f>SUMIFS(Klisz_Emissionen_Eigenes_Klimaschutzszenario[2022], $C$528:$C$688,$C767)</f>
        <v>0</v>
      </c>
      <c r="M767">
        <f>SUMIFS(Klisz_Emissionen_Eigenes_Klimaschutzszenario[2023], $C$528:$C$688,$C767)</f>
        <v>0</v>
      </c>
      <c r="N767">
        <f>SUMIFS(Klisz_Emissionen_Eigenes_Klimaschutzszenario[2024], $C$528:$C$688,$C767)</f>
        <v>0</v>
      </c>
      <c r="O767">
        <f>SUMIFS(Klisz_Emissionen_Eigenes_Klimaschutzszenario[2025], $C$528:$C$688,$C767)</f>
        <v>0</v>
      </c>
      <c r="P767">
        <f>SUMIFS(Klisz_Emissionen_Eigenes_Klimaschutzszenario[2026], $C$528:$C$688,$C767)</f>
        <v>0</v>
      </c>
      <c r="Q767">
        <f>SUMIFS(Klisz_Emissionen_Eigenes_Klimaschutzszenario[2027], $C$528:$C$688,$C767)</f>
        <v>0</v>
      </c>
      <c r="R767">
        <f>SUMIFS(Klisz_Emissionen_Eigenes_Klimaschutzszenario[2028], $C$528:$C$688,$C767)</f>
        <v>0</v>
      </c>
      <c r="S767">
        <f>SUMIFS(Klisz_Emissionen_Eigenes_Klimaschutzszenario[2029], $C$528:$C$688,$C767)</f>
        <v>0</v>
      </c>
      <c r="T767">
        <f>SUMIFS(Klisz_Emissionen_Eigenes_Klimaschutzszenario[2030], $C$528:$C$688,$C767)</f>
        <v>0</v>
      </c>
      <c r="U767">
        <f>SUMIFS(Klisz_Emissionen_Eigenes_Klimaschutzszenario[2035], $C$528:$C$688,$C767)</f>
        <v>0</v>
      </c>
      <c r="V767">
        <f>SUMIFS(Klisz_Emissionen_Eigenes_Klimaschutzszenario[2040], $C$528:$C$688,$C767)</f>
        <v>0</v>
      </c>
      <c r="W767">
        <f>SUMIFS(Klisz_Emissionen_Eigenes_Klimaschutzszenario[2045], $C$528:$C$688,$C767)</f>
        <v>0</v>
      </c>
      <c r="X767">
        <f>SUMIFS(Klisz_Emissionen_Eigenes_Klimaschutzszenario[2050], $C$528:$C$688,$C767)</f>
        <v>0</v>
      </c>
    </row>
    <row r="768" spans="2:24" ht="16.5">
      <c r="C768" t="str">
        <f>'Refsz-Emissionen'!C360</f>
        <v>Kompensation</v>
      </c>
      <c r="D768" t="s">
        <v>195</v>
      </c>
      <c r="E768">
        <f>SUMIFS(Klisz_Emissionen_Eigenes_Klimaschutzszenario[2015], $C$528:$C$688,$C768)</f>
        <v>0</v>
      </c>
      <c r="F768">
        <f>SUMIFS(Klisz_Emissionen_Eigenes_Klimaschutzszenario[2016], $C$528:$C$688,$C768)</f>
        <v>0</v>
      </c>
      <c r="G768">
        <f>SUMIFS(Klisz_Emissionen_Eigenes_Klimaschutzszenario[2017], $C$528:$C$688,$C768)</f>
        <v>0</v>
      </c>
      <c r="H768">
        <f>SUMIFS(Klisz_Emissionen_Eigenes_Klimaschutzszenario[2018], $C$528:$C$688,$C768)</f>
        <v>0</v>
      </c>
      <c r="I768">
        <f>SUMIFS(Klisz_Emissionen_Eigenes_Klimaschutzszenario[2019], $C$528:$C$688,$C768)</f>
        <v>0</v>
      </c>
      <c r="J768">
        <f>SUMIFS(Klisz_Emissionen_Eigenes_Klimaschutzszenario[2020], $C$528:$C$688,$C768)</f>
        <v>0</v>
      </c>
      <c r="K768">
        <f>SUMIFS(Klisz_Emissionen_Eigenes_Klimaschutzszenario[2021], $C$528:$C$688,$C768)</f>
        <v>0</v>
      </c>
      <c r="L768">
        <f>SUMIFS(Klisz_Emissionen_Eigenes_Klimaschutzszenario[2022], $C$528:$C$688,$C768)</f>
        <v>0</v>
      </c>
      <c r="M768">
        <f>SUMIFS(Klisz_Emissionen_Eigenes_Klimaschutzszenario[2023], $C$528:$C$688,$C768)</f>
        <v>0</v>
      </c>
      <c r="N768">
        <f>SUMIFS(Klisz_Emissionen_Eigenes_Klimaschutzszenario[2024], $C$528:$C$688,$C768)</f>
        <v>0</v>
      </c>
      <c r="O768">
        <f>SUMIFS(Klisz_Emissionen_Eigenes_Klimaschutzszenario[2025], $C$528:$C$688,$C768)</f>
        <v>0</v>
      </c>
      <c r="P768">
        <f>SUMIFS(Klisz_Emissionen_Eigenes_Klimaschutzszenario[2026], $C$528:$C$688,$C768)</f>
        <v>0</v>
      </c>
      <c r="Q768">
        <f>SUMIFS(Klisz_Emissionen_Eigenes_Klimaschutzszenario[2027], $C$528:$C$688,$C768)</f>
        <v>0</v>
      </c>
      <c r="R768">
        <f>SUMIFS(Klisz_Emissionen_Eigenes_Klimaschutzszenario[2028], $C$528:$C$688,$C768)</f>
        <v>0</v>
      </c>
      <c r="S768">
        <f>SUMIFS(Klisz_Emissionen_Eigenes_Klimaschutzszenario[2029], $C$528:$C$688,$C768)</f>
        <v>0</v>
      </c>
      <c r="T768">
        <f>SUMIFS(Klisz_Emissionen_Eigenes_Klimaschutzszenario[2030], $C$528:$C$688,$C768)</f>
        <v>0</v>
      </c>
      <c r="U768">
        <f>SUMIFS(Klisz_Emissionen_Eigenes_Klimaschutzszenario[2035], $C$528:$C$688,$C768)</f>
        <v>0</v>
      </c>
      <c r="V768">
        <f>SUMIFS(Klisz_Emissionen_Eigenes_Klimaschutzszenario[2040], $C$528:$C$688,$C768)</f>
        <v>0</v>
      </c>
      <c r="W768">
        <f>SUMIFS(Klisz_Emissionen_Eigenes_Klimaschutzszenario[2045], $C$528:$C$688,$C768)</f>
        <v>0</v>
      </c>
      <c r="X768">
        <f>SUMIFS(Klisz_Emissionen_Eigenes_Klimaschutzszenario[2050], $C$528:$C$688,$C768)</f>
        <v>0</v>
      </c>
    </row>
    <row r="769" spans="3:24" ht="16.5">
      <c r="C769" s="23" t="s">
        <v>39</v>
      </c>
      <c r="D769" s="23" t="s">
        <v>195</v>
      </c>
      <c r="E769" s="147">
        <f>SUBTOTAL(109,Klisz_Eigenes_Klimaschutzszenario_Handlungsfelder[2015])</f>
        <v>0</v>
      </c>
      <c r="F769" s="147">
        <f>SUBTOTAL(109,Klisz_Eigenes_Klimaschutzszenario_Handlungsfelder[2016])</f>
        <v>0</v>
      </c>
      <c r="G769" s="147">
        <f>SUBTOTAL(109,Klisz_Eigenes_Klimaschutzszenario_Handlungsfelder[2017])</f>
        <v>0</v>
      </c>
      <c r="H769" s="147">
        <f>SUBTOTAL(109,Klisz_Eigenes_Klimaschutzszenario_Handlungsfelder[2018])</f>
        <v>0</v>
      </c>
      <c r="I769" s="147">
        <f>SUBTOTAL(109,Klisz_Eigenes_Klimaschutzszenario_Handlungsfelder[2019])</f>
        <v>0</v>
      </c>
      <c r="J769" s="147">
        <f>SUBTOTAL(109,Klisz_Eigenes_Klimaschutzszenario_Handlungsfelder[2020])</f>
        <v>0</v>
      </c>
      <c r="K769" s="147">
        <f>SUBTOTAL(109,Klisz_Eigenes_Klimaschutzszenario_Handlungsfelder[2021])</f>
        <v>0</v>
      </c>
      <c r="L769" s="147">
        <f>SUBTOTAL(109,Klisz_Eigenes_Klimaschutzszenario_Handlungsfelder[2022])</f>
        <v>0</v>
      </c>
      <c r="M769" s="147">
        <f>SUBTOTAL(109,Klisz_Eigenes_Klimaschutzszenario_Handlungsfelder[2023])</f>
        <v>0</v>
      </c>
      <c r="N769" s="147">
        <f>SUBTOTAL(109,Klisz_Eigenes_Klimaschutzszenario_Handlungsfelder[2024])</f>
        <v>0</v>
      </c>
      <c r="O769" s="147">
        <f>SUBTOTAL(109,Klisz_Eigenes_Klimaschutzszenario_Handlungsfelder[2025])</f>
        <v>0</v>
      </c>
      <c r="P769" s="147">
        <f>SUBTOTAL(109,Klisz_Eigenes_Klimaschutzszenario_Handlungsfelder[2026])</f>
        <v>0</v>
      </c>
      <c r="Q769" s="147">
        <f>SUBTOTAL(109,Klisz_Eigenes_Klimaschutzszenario_Handlungsfelder[2027])</f>
        <v>0</v>
      </c>
      <c r="R769" s="147">
        <f>SUBTOTAL(109,Klisz_Eigenes_Klimaschutzszenario_Handlungsfelder[2028])</f>
        <v>0</v>
      </c>
      <c r="S769" s="147">
        <f>SUBTOTAL(109,Klisz_Eigenes_Klimaschutzszenario_Handlungsfelder[2029])</f>
        <v>0</v>
      </c>
      <c r="T769" s="147">
        <f>SUBTOTAL(109,Klisz_Eigenes_Klimaschutzszenario_Handlungsfelder[2030])</f>
        <v>0</v>
      </c>
      <c r="U769" s="147">
        <f>SUBTOTAL(109,Klisz_Eigenes_Klimaschutzszenario_Handlungsfelder[2035])</f>
        <v>0</v>
      </c>
      <c r="V769" s="147">
        <f>SUBTOTAL(109,Klisz_Eigenes_Klimaschutzszenario_Handlungsfelder[2040])</f>
        <v>0</v>
      </c>
      <c r="W769" s="147">
        <f>SUBTOTAL(109,Klisz_Eigenes_Klimaschutzszenario_Handlungsfelder[2045])</f>
        <v>0</v>
      </c>
      <c r="X769" s="147">
        <f>SUBTOTAL(109,Klisz_Eigenes_Klimaschutzszenario_Handlungsfelder[2050])</f>
        <v>0</v>
      </c>
    </row>
    <row r="771" spans="3:24">
      <c r="C771" t="s">
        <v>375</v>
      </c>
      <c r="D771" t="s">
        <v>2</v>
      </c>
      <c r="E771" t="s">
        <v>3</v>
      </c>
      <c r="F771" t="s">
        <v>4</v>
      </c>
      <c r="G771" t="s">
        <v>5</v>
      </c>
      <c r="H771" t="s">
        <v>6</v>
      </c>
      <c r="I771" t="s">
        <v>7</v>
      </c>
      <c r="J771" t="s">
        <v>8</v>
      </c>
      <c r="K771" t="s">
        <v>9</v>
      </c>
      <c r="L771" t="s">
        <v>10</v>
      </c>
      <c r="M771" t="s">
        <v>11</v>
      </c>
      <c r="N771" t="s">
        <v>12</v>
      </c>
      <c r="O771" t="s">
        <v>13</v>
      </c>
      <c r="P771" t="s">
        <v>14</v>
      </c>
      <c r="Q771" t="s">
        <v>216</v>
      </c>
      <c r="R771" t="s">
        <v>217</v>
      </c>
      <c r="S771" t="s">
        <v>218</v>
      </c>
      <c r="T771" t="s">
        <v>15</v>
      </c>
      <c r="U771" t="s">
        <v>16</v>
      </c>
      <c r="V771" t="s">
        <v>17</v>
      </c>
      <c r="W771" t="s">
        <v>18</v>
      </c>
      <c r="X771" t="s">
        <v>19</v>
      </c>
    </row>
    <row r="772" spans="3:24" ht="16.5">
      <c r="C772" t="s">
        <v>206</v>
      </c>
      <c r="D772" t="s">
        <v>208</v>
      </c>
      <c r="E772" t="str">
        <f>IF(ISERROR(Startseite!G$75+Startseite!G$74), "Personenanzahl fehlt", IF(Startseite!G$74+Startseite!G$75=0, "Personenanzahl fehlt", Klisz_Eigenes_Klimaschutzszenario_Handlungsfelder[[#Totals],[2015]]/(Startseite!G$74+Startseite!G$75)))</f>
        <v>Personenanzahl fehlt</v>
      </c>
      <c r="F772" t="str">
        <f>IF(ISERROR(Startseite!H$75+Startseite!H$74), "Personenanzahl fehlt", IF(Startseite!H$74+Startseite!H$75=0, "Personenanzahl fehlt", Klisz_Eigenes_Klimaschutzszenario_Handlungsfelder[[#Totals],[2016]]/(Startseite!H$74+Startseite!H$75)))</f>
        <v>Personenanzahl fehlt</v>
      </c>
      <c r="G772" t="str">
        <f>IF(ISERROR(Startseite!I$75+Startseite!I$74), "Personenanzahl fehlt", IF(Startseite!I$74+Startseite!I$75=0, "Personenanzahl fehlt", Klisz_Eigenes_Klimaschutzszenario_Handlungsfelder[[#Totals],[2017]]/(Startseite!I$74+Startseite!I$75)))</f>
        <v>Personenanzahl fehlt</v>
      </c>
      <c r="H772" t="str">
        <f>IF(ISERROR(Startseite!J$75+Startseite!J$74), "Personenanzahl fehlt", IF(Startseite!J$74+Startseite!J$75=0, "Personenanzahl fehlt", Klisz_Eigenes_Klimaschutzszenario_Handlungsfelder[[#Totals],[2018]]/(Startseite!J$74+Startseite!J$75)))</f>
        <v>Personenanzahl fehlt</v>
      </c>
      <c r="I772" t="str">
        <f>IF(ISERROR(Startseite!K$75+Startseite!K$74), "Personenanzahl fehlt", IF(Startseite!K$74+Startseite!K$75=0, "Personenanzahl fehlt", Klisz_Eigenes_Klimaschutzszenario_Handlungsfelder[[#Totals],[2019]]/(Startseite!K$74+Startseite!K$75)))</f>
        <v>Personenanzahl fehlt</v>
      </c>
      <c r="J772" t="str">
        <f>IF(ISERROR(Startseite!L$75+Startseite!L$74), "Personenanzahl fehlt", IF(Startseite!L$74+Startseite!L$75=0, "Personenanzahl fehlt", Klisz_Eigenes_Klimaschutzszenario_Handlungsfelder[[#Totals],[2020]]/(Startseite!L$74+Startseite!L$75)))</f>
        <v>Personenanzahl fehlt</v>
      </c>
      <c r="K772" t="str">
        <f>IF(ISERROR(Startseite!M$75+Startseite!M$74), "Personenanzahl fehlt", IF(Startseite!M$74+Startseite!M$75=0, "Personenanzahl fehlt", Klisz_Eigenes_Klimaschutzszenario_Handlungsfelder[[#Totals],[2021]]/(Startseite!M$74+Startseite!M$75)))</f>
        <v>Personenanzahl fehlt</v>
      </c>
      <c r="L772" t="str">
        <f>IF(ISERROR(Startseite!N$75+Startseite!N$74), "Personenanzahl fehlt", IF(Startseite!N$74+Startseite!N$75=0, "Personenanzahl fehlt", Klisz_Eigenes_Klimaschutzszenario_Handlungsfelder[[#Totals],[2022]]/(Startseite!N$74+Startseite!N$75)))</f>
        <v>Personenanzahl fehlt</v>
      </c>
      <c r="M772" t="str">
        <f>IF(ISERROR(Startseite!O$75+Startseite!O$74), "Personenanzahl fehlt", IF(Startseite!O$74+Startseite!O$75=0, "Personenanzahl fehlt", Klisz_Eigenes_Klimaschutzszenario_Handlungsfelder[[#Totals],[2023]]/(Startseite!O$74+Startseite!O$75)))</f>
        <v>Personenanzahl fehlt</v>
      </c>
      <c r="N772" t="str">
        <f>IF(ISERROR(Startseite!P$75+Startseite!P$74), "Personenanzahl fehlt", IF(Startseite!P$74+Startseite!P$75=0, "Personenanzahl fehlt", Klisz_Eigenes_Klimaschutzszenario_Handlungsfelder[[#Totals],[2024]]/(Startseite!P$74+Startseite!P$75)))</f>
        <v>Personenanzahl fehlt</v>
      </c>
      <c r="O772" t="str">
        <f>IF(ISERROR(Startseite!Q$75+Startseite!Q$74), "Personenanzahl fehlt", IF(Startseite!Q$74+Startseite!Q$75=0, "Personenanzahl fehlt", Klisz_Eigenes_Klimaschutzszenario_Handlungsfelder[[#Totals],[2025]]/(Startseite!Q$74+Startseite!Q$75)))</f>
        <v>Personenanzahl fehlt</v>
      </c>
      <c r="P772" t="str">
        <f>IF(ISERROR(Startseite!R$75+Startseite!R$74), "Personenanzahl fehlt", IF(Startseite!R$74+Startseite!R$75=0, "Personenanzahl fehlt", Klisz_Eigenes_Klimaschutzszenario_Handlungsfelder[[#Totals],[2026]]/(Startseite!R$74+Startseite!R$75)))</f>
        <v>Personenanzahl fehlt</v>
      </c>
      <c r="Q772" t="str">
        <f>IF(ISERROR(Startseite!S$75+Startseite!S$74), "Personenanzahl fehlt", IF(Startseite!S$74+Startseite!S$75=0, "Personenanzahl fehlt", Klisz_Eigenes_Klimaschutzszenario_Handlungsfelder[[#Totals],[2027]]/(Startseite!S$74+Startseite!S$75)))</f>
        <v>Personenanzahl fehlt</v>
      </c>
      <c r="R772" t="str">
        <f>IF(ISERROR(Startseite!T$75+Startseite!T$74), "Personenanzahl fehlt", IF(Startseite!T$74+Startseite!T$75=0, "Personenanzahl fehlt", Klisz_Eigenes_Klimaschutzszenario_Handlungsfelder[[#Totals],[2028]]/(Startseite!T$74+Startseite!T$75)))</f>
        <v>Personenanzahl fehlt</v>
      </c>
      <c r="S772" t="str">
        <f>IF(ISERROR(Startseite!U$75+Startseite!U$74), "Personenanzahl fehlt", IF(Startseite!U$74+Startseite!U$75=0, "Personenanzahl fehlt", Klisz_Eigenes_Klimaschutzszenario_Handlungsfelder[[#Totals],[2029]]/(Startseite!U$74+Startseite!U$75)))</f>
        <v>Personenanzahl fehlt</v>
      </c>
      <c r="T772" t="str">
        <f>IF(ISERROR(Startseite!V$75+Startseite!V$74), "Personenanzahl fehlt", IF(Startseite!V$74+Startseite!V$75=0, "Personenanzahl fehlt", Klisz_Eigenes_Klimaschutzszenario_Handlungsfelder[[#Totals],[2030]]/(Startseite!V$74+Startseite!V$75)))</f>
        <v>Personenanzahl fehlt</v>
      </c>
      <c r="U772" t="str">
        <f>IF(ISERROR(Startseite!W$75+Startseite!W$74), "Personenanzahl fehlt", IF(Startseite!W$74+Startseite!W$75=0, "Personenanzahl fehlt", Klisz_Eigenes_Klimaschutzszenario_Handlungsfelder[[#Totals],[2035]]/(Startseite!W$74+Startseite!W$75)))</f>
        <v>Personenanzahl fehlt</v>
      </c>
      <c r="V772" t="str">
        <f>IF(ISERROR(Startseite!X$75+Startseite!X$74), "Personenanzahl fehlt", IF(Startseite!X$74+Startseite!X$75=0, "Personenanzahl fehlt", Klisz_Eigenes_Klimaschutzszenario_Handlungsfelder[[#Totals],[2040]]/(Startseite!X$74+Startseite!X$75)))</f>
        <v>Personenanzahl fehlt</v>
      </c>
      <c r="W772" t="str">
        <f>IF(ISERROR(Startseite!Y$75+Startseite!Y$74), "Personenanzahl fehlt", IF(Startseite!Y$74+Startseite!Y$75=0, "Personenanzahl fehlt", Klisz_Eigenes_Klimaschutzszenario_Handlungsfelder[[#Totals],[2045]]/(Startseite!Y$74+Startseite!Y$75)))</f>
        <v>Personenanzahl fehlt</v>
      </c>
      <c r="X772" t="str">
        <f>IF(ISERROR(Startseite!Z$75+Startseite!Z$74), "Personenanzahl fehlt", IF(Startseite!Z$74+Startseite!Z$75=0, "Personenanzahl fehlt", Klisz_Eigenes_Klimaschutzszenario_Handlungsfelder[[#Totals],[2050]]/(Startseite!Z$74+Startseite!Z$75)))</f>
        <v>Personenanzahl fehlt</v>
      </c>
    </row>
    <row r="773" spans="3:24" ht="16.5">
      <c r="C773" t="s">
        <v>207</v>
      </c>
      <c r="D773" t="s">
        <v>209</v>
      </c>
      <c r="E773" t="str">
        <f>IF(ISERROR(Klisz_Eigenes_Klimaschutzszenario_Handlungsfelder[[#Totals],[2015]]/Startseite!G$72), "Fläche fehlt", IF(Startseite!G$72&lt;&gt;0, Klisz_Eigenes_Klimaschutzszenario_Handlungsfelder[[#Totals],[2015]]/Startseite!G$72, "Fläche fehlt"))</f>
        <v>Fläche fehlt</v>
      </c>
      <c r="F773" t="str">
        <f>IF(ISERROR(Klisz_Eigenes_Klimaschutzszenario_Handlungsfelder[[#Totals],[2016]]/Startseite!H$72), "Fläche fehlt", IF(Startseite!H$72&lt;&gt;0, Klisz_Eigenes_Klimaschutzszenario_Handlungsfelder[[#Totals],[2016]]/Startseite!H$72, "Fläche fehlt"))</f>
        <v>Fläche fehlt</v>
      </c>
      <c r="G773" t="str">
        <f>IF(ISERROR(Klisz_Eigenes_Klimaschutzszenario_Handlungsfelder[[#Totals],[2017]]/Startseite!I$72), "Fläche fehlt", IF(Startseite!I$72&lt;&gt;0, Klisz_Eigenes_Klimaschutzszenario_Handlungsfelder[[#Totals],[2017]]/Startseite!I$72, "Fläche fehlt"))</f>
        <v>Fläche fehlt</v>
      </c>
      <c r="H773" t="str">
        <f>IF(ISERROR(Klisz_Eigenes_Klimaschutzszenario_Handlungsfelder[[#Totals],[2018]]/Startseite!J$72), "Fläche fehlt", IF(Startseite!J$72&lt;&gt;0, Klisz_Eigenes_Klimaschutzszenario_Handlungsfelder[[#Totals],[2018]]/Startseite!J$72, "Fläche fehlt"))</f>
        <v>Fläche fehlt</v>
      </c>
      <c r="I773" t="str">
        <f>IF(ISERROR(Klisz_Eigenes_Klimaschutzszenario_Handlungsfelder[[#Totals],[2019]]/Startseite!K$72), "Fläche fehlt", IF(Startseite!K$72&lt;&gt;0, Klisz_Eigenes_Klimaschutzszenario_Handlungsfelder[[#Totals],[2019]]/Startseite!K$72, "Fläche fehlt"))</f>
        <v>Fläche fehlt</v>
      </c>
      <c r="J773" t="str">
        <f>IF(ISERROR(Klisz_Eigenes_Klimaschutzszenario_Handlungsfelder[[#Totals],[2020]]/Startseite!L$72), "Fläche fehlt", IF(Startseite!L$72&lt;&gt;0, Klisz_Eigenes_Klimaschutzszenario_Handlungsfelder[[#Totals],[2020]]/Startseite!L$72, "Fläche fehlt"))</f>
        <v>Fläche fehlt</v>
      </c>
      <c r="K773" t="str">
        <f>IF(ISERROR(Klisz_Eigenes_Klimaschutzszenario_Handlungsfelder[[#Totals],[2021]]/Startseite!M$72), "Fläche fehlt", IF(Startseite!M$72&lt;&gt;0, Klisz_Eigenes_Klimaschutzszenario_Handlungsfelder[[#Totals],[2021]]/Startseite!M$72, "Fläche fehlt"))</f>
        <v>Fläche fehlt</v>
      </c>
      <c r="L773" t="str">
        <f>IF(ISERROR(Klisz_Eigenes_Klimaschutzszenario_Handlungsfelder[[#Totals],[2022]]/Startseite!N$72), "Fläche fehlt", IF(Startseite!N$72&lt;&gt;0, Klisz_Eigenes_Klimaschutzszenario_Handlungsfelder[[#Totals],[2022]]/Startseite!N$72, "Fläche fehlt"))</f>
        <v>Fläche fehlt</v>
      </c>
      <c r="M773" t="str">
        <f>IF(ISERROR(Klisz_Eigenes_Klimaschutzszenario_Handlungsfelder[[#Totals],[2023]]/Startseite!O$72), "Fläche fehlt", IF(Startseite!O$72&lt;&gt;0, Klisz_Eigenes_Klimaschutzszenario_Handlungsfelder[[#Totals],[2023]]/Startseite!O$72, "Fläche fehlt"))</f>
        <v>Fläche fehlt</v>
      </c>
      <c r="N773" t="str">
        <f>IF(ISERROR(Klisz_Eigenes_Klimaschutzszenario_Handlungsfelder[[#Totals],[2024]]/Startseite!P$72), "Fläche fehlt", IF(Startseite!P$72&lt;&gt;0, Klisz_Eigenes_Klimaschutzszenario_Handlungsfelder[[#Totals],[2024]]/Startseite!P$72, "Fläche fehlt"))</f>
        <v>Fläche fehlt</v>
      </c>
      <c r="O773" t="str">
        <f>IF(ISERROR(Klisz_Eigenes_Klimaschutzszenario_Handlungsfelder[[#Totals],[2025]]/Startseite!Q$72), "Fläche fehlt", IF(Startseite!Q$72&lt;&gt;0, Klisz_Eigenes_Klimaschutzszenario_Handlungsfelder[[#Totals],[2025]]/Startseite!Q$72, "Fläche fehlt"))</f>
        <v>Fläche fehlt</v>
      </c>
      <c r="P773" t="str">
        <f>IF(ISERROR(Klisz_Eigenes_Klimaschutzszenario_Handlungsfelder[[#Totals],[2026]]/Startseite!R$72), "Fläche fehlt", IF(Startseite!R$72&lt;&gt;0, Klisz_Eigenes_Klimaschutzszenario_Handlungsfelder[[#Totals],[2026]]/Startseite!R$72, "Fläche fehlt"))</f>
        <v>Fläche fehlt</v>
      </c>
      <c r="Q773" t="str">
        <f>IF(ISERROR(Klisz_Eigenes_Klimaschutzszenario_Handlungsfelder[[#Totals],[2027]]/Startseite!S$72), "Fläche fehlt", IF(Startseite!S$72&lt;&gt;0, Klisz_Eigenes_Klimaschutzszenario_Handlungsfelder[[#Totals],[2027]]/Startseite!S$72, "Fläche fehlt"))</f>
        <v>Fläche fehlt</v>
      </c>
      <c r="R773" t="str">
        <f>IF(ISERROR(Klisz_Eigenes_Klimaschutzszenario_Handlungsfelder[[#Totals],[2028]]/Startseite!T$72), "Fläche fehlt", IF(Startseite!T$72&lt;&gt;0, Klisz_Eigenes_Klimaschutzszenario_Handlungsfelder[[#Totals],[2028]]/Startseite!T$72, "Fläche fehlt"))</f>
        <v>Fläche fehlt</v>
      </c>
      <c r="S773" t="str">
        <f>IF(ISERROR(Klisz_Eigenes_Klimaschutzszenario_Handlungsfelder[[#Totals],[2029]]/Startseite!U$72), "Fläche fehlt", IF(Startseite!U$72&lt;&gt;0, Klisz_Eigenes_Klimaschutzszenario_Handlungsfelder[[#Totals],[2029]]/Startseite!U$72, "Fläche fehlt"))</f>
        <v>Fläche fehlt</v>
      </c>
      <c r="T773" t="str">
        <f>IF(ISERROR(Klisz_Eigenes_Klimaschutzszenario_Handlungsfelder[[#Totals],[2030]]/Startseite!V$72), "Fläche fehlt", IF(Startseite!V$72&lt;&gt;0, Klisz_Eigenes_Klimaschutzszenario_Handlungsfelder[[#Totals],[2030]]/Startseite!V$72, "Fläche fehlt"))</f>
        <v>Fläche fehlt</v>
      </c>
      <c r="U773" t="str">
        <f>IF(ISERROR(Klisz_Eigenes_Klimaschutzszenario_Handlungsfelder[[#Totals],[2035]]/Startseite!W$72), "Fläche fehlt", IF(Startseite!W$72&lt;&gt;0, Klisz_Eigenes_Klimaschutzszenario_Handlungsfelder[[#Totals],[2035]]/Startseite!W$72, "Fläche fehlt"))</f>
        <v>Fläche fehlt</v>
      </c>
      <c r="V773" t="str">
        <f>IF(ISERROR(Klisz_Eigenes_Klimaschutzszenario_Handlungsfelder[[#Totals],[2040]]/Startseite!X$72), "Fläche fehlt", IF(Startseite!X$72&lt;&gt;0, Klisz_Eigenes_Klimaschutzszenario_Handlungsfelder[[#Totals],[2040]]/Startseite!X$72, "Fläche fehlt"))</f>
        <v>Fläche fehlt</v>
      </c>
      <c r="W773" t="str">
        <f>IF(ISERROR(Klisz_Eigenes_Klimaschutzszenario_Handlungsfelder[[#Totals],[2045]]/Startseite!Y$72), "Fläche fehlt", IF(Startseite!Y$72&lt;&gt;0, Klisz_Eigenes_Klimaschutzszenario_Handlungsfelder[[#Totals],[2045]]/Startseite!Y$72, "Fläche fehlt"))</f>
        <v>Fläche fehlt</v>
      </c>
      <c r="X773" t="str">
        <f>IF(ISERROR(Klisz_Eigenes_Klimaschutzszenario_Handlungsfelder[[#Totals],[2050]]/Startseite!Z$72), "Fläche fehlt", IF(Startseite!Z$72&lt;&gt;0, Klisz_Eigenes_Klimaschutzszenario_Handlungsfelder[[#Totals],[2050]]/Startseite!Z$72, "Fläche fehlt"))</f>
        <v>Fläche fehlt</v>
      </c>
    </row>
  </sheetData>
  <conditionalFormatting sqref="F528:Y688">
    <cfRule type="cellIs" dxfId="217" priority="14" operator="equal">
      <formula>0</formula>
    </cfRule>
  </conditionalFormatting>
  <conditionalFormatting sqref="Z195 F349:Z508 D17:Z17 B17:C178 B182:Z182 B183:C343 B347:Z347 B349:C508 F196:Z343 F18:Z178 F183:Z194">
    <cfRule type="cellIs" dxfId="216" priority="22" operator="equal">
      <formula>"x"</formula>
    </cfRule>
  </conditionalFormatting>
  <conditionalFormatting sqref="F349:Y508 F196:Y343 F18:Y178 F183:Y194">
    <cfRule type="cellIs" dxfId="215" priority="24" operator="equal">
      <formula>0</formula>
    </cfRule>
  </conditionalFormatting>
  <conditionalFormatting sqref="F349:Y508 F18:Y178">
    <cfRule type="cellIs" dxfId="214" priority="23" operator="equal">
      <formula>"n.e."</formula>
    </cfRule>
  </conditionalFormatting>
  <conditionalFormatting sqref="F183:Y343">
    <cfRule type="cellIs" dxfId="213" priority="9" operator="equal">
      <formula>"n.e."</formula>
    </cfRule>
  </conditionalFormatting>
  <conditionalFormatting sqref="F195:Y195">
    <cfRule type="cellIs" dxfId="212" priority="8" operator="equal">
      <formula>"x"</formula>
    </cfRule>
    <cfRule type="cellIs" dxfId="211" priority="10" operator="equal">
      <formula>0</formula>
    </cfRule>
  </conditionalFormatting>
  <conditionalFormatting sqref="B348:C348 F348:Z348">
    <cfRule type="cellIs" dxfId="210" priority="1" operator="equal">
      <formula>"x"</formula>
    </cfRule>
  </conditionalFormatting>
  <conditionalFormatting sqref="F348:Y348">
    <cfRule type="cellIs" dxfId="209" priority="3" operator="equal">
      <formula>0</formula>
    </cfRule>
  </conditionalFormatting>
  <conditionalFormatting sqref="F348:Y348">
    <cfRule type="cellIs" dxfId="208" priority="2" operator="equal">
      <formula>"n.e."</formula>
    </cfRule>
  </conditionalFormatting>
  <hyperlinks>
    <hyperlink ref="B5" location="'Klisz-Emissionen'!B16" display="      1.1 Klimaschutzszenario Bundesmix" xr:uid="{9269C0D5-7FC0-42A9-B9BD-FEAC2D88C705}"/>
    <hyperlink ref="B6" location="'Klisz-Emissionen'!B181" display="      1.2 Klimaschutzszenario Bundesmix (KS80)" xr:uid="{9E67FF4E-09E3-4950-B10D-E250D69F4F95}"/>
    <hyperlink ref="B7" location="'Klisz-Emissionen'!B346" display="      1.3 Klimaschutzszenario Regiomix" xr:uid="{B9F3EFD7-0025-4323-BB60-3209BC4FA301}"/>
    <hyperlink ref="B8" location="'Klisz-Emissionen'!B511" display="      1.4 Eigenes Klimaszenario" xr:uid="{5F2BA7E6-D34F-48D7-BB3C-FB8D10EEF7F2}"/>
    <hyperlink ref="B10" location="'Klisz-Emissionen'!B692" display="      2.1 Klimaschutzszenario Bundesmix" xr:uid="{E171BC95-5110-4836-A807-ACFB0AFD8DD6}"/>
    <hyperlink ref="B11" location="'Klisz-Emissionen'!B713" display="      2.2 KlimaschutzszenarioBundesmix (KS80)" xr:uid="{FF7523AE-E8AD-4529-9565-8A641BA50F9F}"/>
    <hyperlink ref="B12" location="'Klisz-Emissionen'!B734" display="      2.3 Klimaschutzszenario Regiomix" xr:uid="{EEABB713-C1D8-41ED-85C4-452A2A9A3D31}"/>
    <hyperlink ref="B13" location="'Klisz-Emissionen'!B755" display="      2.4 Eigenes Klimaschutzszenario" xr:uid="{C4B9AB25-A56B-4F6E-B37D-31EB75D72239}"/>
    <hyperlink ref="J1" r:id="rId1" tooltip="Kontakt zur Autorin" display="Kontakt zur Autorin" xr:uid="{630C5D57-7F14-4CB3-AFDC-6050A32F7A1E}"/>
    <hyperlink ref="B1" location="Startseite!B44" tooltip="Zurück zur Einleitung" display="      Zur Navigation" xr:uid="{1CF674AC-848D-4CE9-B365-D91FBBA2946A}"/>
  </hyperlinks>
  <pageMargins left="0.7" right="0.7" top="0.78740157499999996" bottom="0.78740157499999996" header="0.3" footer="0.3"/>
  <pageSetup paperSize="9" orientation="portrait" r:id="rId2"/>
  <ignoredErrors>
    <ignoredError sqref="D348" calculatedColumn="1"/>
  </ignoredErrors>
  <drawing r:id="rId3"/>
  <tableParts count="1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2335-3C07-4426-9232-1510BBFA3826}">
  <sheetPr>
    <tabColor rgb="FF92D050"/>
  </sheetPr>
  <dimension ref="B1:AA178"/>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baseColWidth="10" defaultRowHeight="14.5"/>
  <cols>
    <col min="1" max="1" width="2.54296875" customWidth="1"/>
    <col min="2" max="2" width="8.7265625" customWidth="1"/>
    <col min="3" max="3" width="27.7265625" customWidth="1"/>
    <col min="4" max="4" width="38.7265625" customWidth="1"/>
    <col min="5" max="5" width="9.1796875" customWidth="1"/>
    <col min="6" max="25" width="9.81640625" customWidth="1"/>
    <col min="26" max="26" width="22.81640625" customWidth="1"/>
  </cols>
  <sheetData>
    <row r="1" spans="2:15">
      <c r="B1" s="4" t="s">
        <v>556</v>
      </c>
      <c r="E1" s="25" t="s">
        <v>565</v>
      </c>
      <c r="F1" s="5"/>
      <c r="G1" s="5"/>
      <c r="H1" s="5"/>
      <c r="I1" s="5"/>
      <c r="J1" s="3" t="s">
        <v>489</v>
      </c>
      <c r="K1" s="5"/>
      <c r="L1" s="5"/>
      <c r="M1" s="5"/>
      <c r="N1" s="5"/>
      <c r="O1" s="5"/>
    </row>
    <row r="2" spans="2:15">
      <c r="B2" s="4"/>
      <c r="C2" s="5"/>
      <c r="D2" s="3"/>
      <c r="E2" s="3"/>
      <c r="F2" s="5"/>
      <c r="G2" s="5"/>
      <c r="H2" s="5"/>
      <c r="I2" s="5"/>
      <c r="J2" s="5"/>
      <c r="K2" s="5"/>
      <c r="L2" s="5"/>
      <c r="M2" s="5"/>
      <c r="N2" s="5"/>
      <c r="O2" s="5"/>
    </row>
    <row r="3" spans="2:15" ht="18.5">
      <c r="B3" s="24" t="s">
        <v>373</v>
      </c>
      <c r="C3" s="5"/>
      <c r="D3" s="5"/>
      <c r="E3" s="5"/>
      <c r="F3" s="5"/>
      <c r="G3" s="5"/>
      <c r="H3" s="5"/>
      <c r="I3" s="5"/>
      <c r="J3" s="5"/>
      <c r="K3" s="5"/>
      <c r="L3" s="5"/>
      <c r="M3" s="5"/>
      <c r="N3" s="5"/>
      <c r="O3" s="5"/>
    </row>
    <row r="4" spans="2:15" ht="56.15" customHeight="1">
      <c r="B4" s="5"/>
      <c r="C4" s="5"/>
      <c r="D4" s="5"/>
      <c r="E4" s="5"/>
      <c r="F4" s="5"/>
      <c r="G4" s="5"/>
      <c r="H4" s="5"/>
      <c r="I4" s="5"/>
      <c r="J4" s="5"/>
      <c r="K4" s="5"/>
      <c r="L4" s="5"/>
      <c r="M4" s="5"/>
      <c r="N4" s="5"/>
      <c r="O4" s="5"/>
    </row>
    <row r="5" spans="2:15" ht="61.5" customHeight="1">
      <c r="H5" s="25"/>
      <c r="N5" s="5"/>
      <c r="O5" s="5"/>
    </row>
    <row r="6" spans="2:15">
      <c r="H6" s="25"/>
      <c r="N6" s="5"/>
      <c r="O6" s="5"/>
    </row>
    <row r="7" spans="2:15">
      <c r="H7" s="25"/>
      <c r="N7" s="5"/>
      <c r="O7" s="5"/>
    </row>
    <row r="8" spans="2:15">
      <c r="H8" s="25"/>
      <c r="N8" s="5"/>
      <c r="O8" s="5"/>
    </row>
    <row r="9" spans="2:15">
      <c r="H9" s="25" t="s">
        <v>631</v>
      </c>
      <c r="N9" s="5"/>
      <c r="O9" s="5"/>
    </row>
    <row r="10" spans="2:15" ht="15.5">
      <c r="B10" s="6" t="s">
        <v>27</v>
      </c>
      <c r="I10" s="5"/>
      <c r="K10" s="5"/>
      <c r="L10" s="5"/>
      <c r="M10" s="5"/>
    </row>
    <row r="11" spans="2:15" ht="15.5">
      <c r="B11" s="129" t="s">
        <v>312</v>
      </c>
      <c r="C11" s="107"/>
      <c r="M11" s="5"/>
      <c r="O11" s="5"/>
    </row>
    <row r="12" spans="2:15" ht="15" thickBot="1">
      <c r="B12" s="98" t="s">
        <v>370</v>
      </c>
      <c r="C12" s="98"/>
      <c r="M12" s="5"/>
      <c r="O12" s="5"/>
    </row>
    <row r="13" spans="2:15" ht="15.5" thickTop="1" thickBot="1">
      <c r="B13" s="190" t="s">
        <v>221</v>
      </c>
      <c r="C13" s="39"/>
      <c r="D13" s="29"/>
      <c r="E13" s="264" t="s">
        <v>568</v>
      </c>
      <c r="F13" s="265"/>
      <c r="G13" s="265"/>
      <c r="H13" s="188"/>
      <c r="I13" s="187"/>
      <c r="M13" s="5"/>
      <c r="O13" s="5"/>
    </row>
    <row r="14" spans="2:15" ht="15.5" thickTop="1" thickBot="1">
      <c r="B14" s="191" t="s">
        <v>220</v>
      </c>
      <c r="C14" s="40"/>
      <c r="D14" s="30"/>
      <c r="E14" s="282" t="s">
        <v>35</v>
      </c>
      <c r="F14" s="283"/>
      <c r="G14" s="283"/>
      <c r="H14" s="188"/>
      <c r="I14" s="187"/>
      <c r="K14" s="13"/>
      <c r="M14" s="5"/>
      <c r="O14" s="5"/>
    </row>
    <row r="15" spans="2:15" ht="15.5" thickTop="1" thickBot="1">
      <c r="B15" s="44" t="s">
        <v>219</v>
      </c>
      <c r="E15" s="282" t="s">
        <v>215</v>
      </c>
      <c r="F15" s="283"/>
      <c r="G15" s="283"/>
      <c r="H15" s="188"/>
      <c r="I15" s="187"/>
      <c r="K15" s="13"/>
      <c r="L15" s="5"/>
      <c r="M15" s="5"/>
      <c r="O15" s="5"/>
    </row>
    <row r="16" spans="2:15" ht="15" thickTop="1">
      <c r="E16" s="202"/>
      <c r="F16" s="202"/>
      <c r="G16" s="202"/>
      <c r="K16" s="20"/>
      <c r="O16" s="5"/>
    </row>
    <row r="17" spans="2:27">
      <c r="B17" t="s">
        <v>38</v>
      </c>
      <c r="C17" t="s">
        <v>28</v>
      </c>
      <c r="D17" t="s">
        <v>435</v>
      </c>
      <c r="E17" t="s">
        <v>2</v>
      </c>
      <c r="F17" t="s">
        <v>3</v>
      </c>
      <c r="G17" t="s">
        <v>4</v>
      </c>
      <c r="H17" t="s">
        <v>5</v>
      </c>
      <c r="I17" t="s">
        <v>6</v>
      </c>
      <c r="J17" t="s">
        <v>7</v>
      </c>
      <c r="K17" t="s">
        <v>8</v>
      </c>
      <c r="L17" t="s">
        <v>9</v>
      </c>
      <c r="M17" t="s">
        <v>10</v>
      </c>
      <c r="N17" t="s">
        <v>11</v>
      </c>
      <c r="O17" t="s">
        <v>12</v>
      </c>
      <c r="P17" t="s">
        <v>13</v>
      </c>
      <c r="Q17" t="s">
        <v>14</v>
      </c>
      <c r="R17" t="s">
        <v>216</v>
      </c>
      <c r="S17" t="s">
        <v>217</v>
      </c>
      <c r="T17" t="s">
        <v>218</v>
      </c>
      <c r="U17" t="s">
        <v>15</v>
      </c>
      <c r="V17" t="s">
        <v>16</v>
      </c>
      <c r="W17" t="s">
        <v>17</v>
      </c>
      <c r="X17" t="s">
        <v>18</v>
      </c>
      <c r="Y17" t="s">
        <v>19</v>
      </c>
      <c r="Z17" t="s">
        <v>45</v>
      </c>
      <c r="AA17" t="s">
        <v>33</v>
      </c>
    </row>
    <row r="18" spans="2:27">
      <c r="B18" s="14">
        <v>1</v>
      </c>
      <c r="C18" s="14" t="s">
        <v>198</v>
      </c>
      <c r="D18" s="10" t="s">
        <v>519</v>
      </c>
      <c r="E18" t="s">
        <v>42</v>
      </c>
      <c r="F18" s="110"/>
      <c r="G18" s="110"/>
      <c r="H18" s="110"/>
      <c r="I18" s="110"/>
      <c r="J18" s="110"/>
      <c r="K18" s="110"/>
      <c r="L18" s="110"/>
      <c r="M18" s="110" t="str">
        <f>IF(Refsz_Verbräuche[[#Headers],[2022]]=Startseite!$D$68,IF(OR(SUMIF($F18:Refsz_Verbräuche[[#This Row],[2021]],"&gt;0")&gt;0,), AVERAGEIF($F18:Refsz_Verbräuche[[#This Row],[2021]],"&lt;&gt;"""), ""),IF(Startseite!$D$68=(Refsz_Verbräuche[[#Headers],[2022]]-1),Refsz_Verbräuche[[#This Row],[2021]],IF(Startseite!$D$68&lt;Refsz_Verbräuche[[#Headers],[2022]],Refsz_Verbräuche[[#This Row],[2021]],"")))</f>
        <v/>
      </c>
      <c r="N18" s="110" t="str">
        <f>IF(Refsz_Verbräuche[[#Headers],[2023]]=Startseite!$D$68,IF(OR(SUMIF($F18:Refsz_Verbräuche[[#This Row],[2022]],"&gt;0")&gt;0,), AVERAGEIF($F18:Refsz_Verbräuche[[#This Row],[2022]],"&lt;&gt;"""), ""),IF(Startseite!$D$68=(Refsz_Verbräuche[[#Headers],[2023]]-1),Refsz_Verbräuche[[#This Row],[2022]],IF(Startseite!$D$68&lt;Refsz_Verbräuche[[#Headers],[2023]],Refsz_Verbräuche[[#This Row],[2022]],"")))</f>
        <v/>
      </c>
      <c r="O18" s="110" t="str">
        <f>IF(Refsz_Verbräuche[[#Headers],[2024]]=Startseite!$D$68,IF(OR(SUMIF($F18:Refsz_Verbräuche[[#This Row],[2023]],"&gt;0")&gt;0,), AVERAGEIF($F18:Refsz_Verbräuche[[#This Row],[2023]],"&lt;&gt;"""), ""),IF(Startseite!$D$68=(Refsz_Verbräuche[[#Headers],[2024]]-1),Refsz_Verbräuche[[#This Row],[2023]],IF(Startseite!$D$68&lt;Refsz_Verbräuche[[#Headers],[2024]],Refsz_Verbräuche[[#This Row],[2023]],"")))</f>
        <v/>
      </c>
      <c r="P18" s="110" t="str">
        <f>IF(Refsz_Verbräuche[[#Headers],[2025]]=Startseite!$D$68,IF(OR(SUMIF($F18:Refsz_Verbräuche[[#This Row],[2024]],"&gt;0")&gt;0,), AVERAGEIF($F18:Refsz_Verbräuche[[#This Row],[2024]],"&lt;&gt;"""), ""),IF(Startseite!$D$68=(Refsz_Verbräuche[[#Headers],[2025]]-1),Refsz_Verbräuche[[#This Row],[2024]],IF(Startseite!$D$68&lt;Refsz_Verbräuche[[#Headers],[2025]],Refsz_Verbräuche[[#This Row],[2024]],"")))</f>
        <v/>
      </c>
      <c r="Q18" s="110" t="str">
        <f>IF(Refsz_Verbräuche[[#Headers],[2026]]=Startseite!$D$68,IF(OR(SUMIF($F18:Refsz_Verbräuche[[#This Row],[2025]],"&gt;0")&gt;0,), AVERAGEIF($F18:Refsz_Verbräuche[[#This Row],[2025]],"&lt;&gt;"""), ""),IF(Startseite!$D$68=(Refsz_Verbräuche[[#Headers],[2026]]-1),Refsz_Verbräuche[[#This Row],[2025]],IF(Startseite!$D$68&lt;Refsz_Verbräuche[[#Headers],[2026]],Refsz_Verbräuche[[#This Row],[2025]],"")))</f>
        <v/>
      </c>
      <c r="R18" s="110" t="str">
        <f>IF(Refsz_Verbräuche[[#Headers],[2027]]=Startseite!$D$68,IF(OR(SUMIF($F18:Refsz_Verbräuche[[#This Row],[2026]],"&gt;0")&gt;0,), AVERAGEIF($F18:Refsz_Verbräuche[[#This Row],[2026]],"&lt;&gt;"""), ""),IF(Startseite!$D$68=(Refsz_Verbräuche[[#Headers],[2027]]-1),Refsz_Verbräuche[[#This Row],[2026]],IF(Startseite!$D$68&lt;Refsz_Verbräuche[[#Headers],[2027]],Refsz_Verbräuche[[#This Row],[2026]],"")))</f>
        <v/>
      </c>
      <c r="S18" s="110" t="str">
        <f>IF(Refsz_Verbräuche[[#Headers],[2028]]=Startseite!$D$68,IF(OR(SUMIF($F18:Refsz_Verbräuche[[#This Row],[2027]],"&gt;0")&gt;0,), AVERAGEIF($F18:Refsz_Verbräuche[[#This Row],[2027]],"&lt;&gt;"""), ""),IF(Startseite!$D$68=(Refsz_Verbräuche[[#Headers],[2028]]-1),Refsz_Verbräuche[[#This Row],[2027]],IF(Startseite!$D$68&lt;Refsz_Verbräuche[[#Headers],[2028]],Refsz_Verbräuche[[#This Row],[2027]],"")))</f>
        <v/>
      </c>
      <c r="T18" s="110" t="str">
        <f>IF(Refsz_Verbräuche[[#Headers],[2029]]=Startseite!$D$68,IF(OR(SUMIF($F18:Refsz_Verbräuche[[#This Row],[2028]],"&gt;0")&gt;0,), AVERAGEIF($F18:Refsz_Verbräuche[[#This Row],[2028]],"&lt;&gt;"""), ""),IF(Startseite!$D$68=(Refsz_Verbräuche[[#Headers],[2029]]-1),Refsz_Verbräuche[[#This Row],[2028]],IF(Startseite!$D$68&lt;Refsz_Verbräuche[[#Headers],[2029]],Refsz_Verbräuche[[#This Row],[2028]],"")))</f>
        <v/>
      </c>
      <c r="U18" s="110" t="str">
        <f>IF(Refsz_Verbräuche[[#Headers],[2030]]=Startseite!$D$68,IF(OR(SUMIF($F18:Refsz_Verbräuche[[#This Row],[2029]],"&gt;0")&gt;0,), AVERAGEIF($F18:Refsz_Verbräuche[[#This Row],[2029]],"&lt;&gt;"""), ""),IF(Startseite!$D$68=(Refsz_Verbräuche[[#Headers],[2030]]-1),Refsz_Verbräuche[[#This Row],[2029]],IF(Startseite!$D$68&lt;Refsz_Verbräuche[[#Headers],[2030]],Refsz_Verbräuche[[#This Row],[2029]],"")))</f>
        <v/>
      </c>
      <c r="V18" s="110" t="str">
        <f>IF(Refsz_Verbräuche[[#Headers],[2035]]=Startseite!$D$68,IF(OR(SUMIF($F18:Refsz_Verbräuche[[#This Row],[2030]],"&gt;0")&gt;0,), AVERAGEIF($F18:Refsz_Verbräuche[[#This Row],[2030]],"&lt;&gt;"""), ""),IF(Startseite!$D$68=(Refsz_Verbräuche[[#Headers],[2035]]-1),Refsz_Verbräuche[[#This Row],[2030]],IF(Startseite!$D$68&lt;Refsz_Verbräuche[[#Headers],[2035]],Refsz_Verbräuche[[#This Row],[2030]],"")))</f>
        <v/>
      </c>
      <c r="W18" s="110" t="str">
        <f>IF(Refsz_Verbräuche[[#Headers],[2040]]=Startseite!$D$68,IF(OR(SUMIF($F18:Refsz_Verbräuche[[#This Row],[2035]],"&gt;0")&gt;0,), AVERAGEIF($F18:Refsz_Verbräuche[[#This Row],[2035]],"&lt;&gt;"""), ""),IF(Startseite!$D$68=(Refsz_Verbräuche[[#Headers],[2040]]-1),Refsz_Verbräuche[[#This Row],[2035]],IF(Startseite!$D$68&lt;Refsz_Verbräuche[[#Headers],[2040]],Refsz_Verbräuche[[#This Row],[2035]],"")))</f>
        <v/>
      </c>
      <c r="X18" s="110" t="str">
        <f>IF(Refsz_Verbräuche[[#Headers],[2045]]=Startseite!$D$68,IF(OR(SUMIF($F18:Refsz_Verbräuche[[#This Row],[2040]],"&gt;0")&gt;0,), AVERAGEIF($F18:Refsz_Verbräuche[[#This Row],[2040]],"&lt;&gt;"""), ""),IF(Startseite!$D$68=(Refsz_Verbräuche[[#Headers],[2045]]-1),Refsz_Verbräuche[[#This Row],[2040]],IF(Startseite!$D$68&lt;Refsz_Verbräuche[[#Headers],[2045]],Refsz_Verbräuche[[#This Row],[2040]],"")))</f>
        <v/>
      </c>
      <c r="Y18" s="110" t="str">
        <f>IF(Refsz_Verbräuche[[#Headers],[2050]]=Startseite!$D$68,IF(OR(SUMIF($F18:Refsz_Verbräuche[[#This Row],[2045]],"&gt;0")&gt;0,), AVERAGEIF($F18:Refsz_Verbräuche[[#This Row],[2045]],"&lt;&gt;"""), ""),IF(Startseite!$D$68=(Refsz_Verbräuche[[#Headers],[2050]]-1),Refsz_Verbräuche[[#This Row],[2045]],IF(Startseite!$D$68&lt;Refsz_Verbräuche[[#Headers],[2050]],Refsz_Verbräuche[[#This Row],[2045]],"")))</f>
        <v/>
      </c>
      <c r="AA18" s="14"/>
    </row>
    <row r="19" spans="2:27" hidden="1">
      <c r="B19" s="14">
        <v>2</v>
      </c>
      <c r="C19" s="14" t="s">
        <v>198</v>
      </c>
      <c r="D19" s="9" t="s">
        <v>520</v>
      </c>
      <c r="E19" s="45" t="s">
        <v>222</v>
      </c>
      <c r="F19" s="14"/>
      <c r="G19" s="14"/>
      <c r="H19" s="14"/>
      <c r="I19" s="14"/>
      <c r="J19" s="14"/>
      <c r="K19" s="14"/>
      <c r="L19" s="14"/>
      <c r="M19" s="110" t="str">
        <f>IF(Refsz_Verbräuche[[#Headers],[2022]]=Startseite!$D$68,IF(OR(SUMIF($F19:Refsz_Verbräuche[[#This Row],[2021]],"&gt;0")&gt;0,), AVERAGEIF($F19:Refsz_Verbräuche[[#This Row],[2021]],"&lt;&gt;"""), ""),IF(Startseite!$D$68=(Refsz_Verbräuche[[#Headers],[2022]]-1),Refsz_Verbräuche[[#This Row],[2021]],IF(Startseite!$D$68&lt;Refsz_Verbräuche[[#Headers],[2022]],Refsz_Verbräuche[[#This Row],[2021]],"")))</f>
        <v/>
      </c>
      <c r="N19" s="172" t="str">
        <f>IF(Refsz_Verbräuche[[#Headers],[2023]]=Startseite!$D$68,IF(OR(SUMIF($F19:Refsz_Verbräuche[[#This Row],[2022]],"&gt;0")&gt;0,), AVERAGEIF($F19:Refsz_Verbräuche[[#This Row],[2022]],"&lt;&gt;"""), ""),IF(Startseite!$D$68=(Refsz_Verbräuche[[#Headers],[2023]]-1),Refsz_Verbräuche[[#This Row],[2022]],IF(Startseite!$D$68&lt;Refsz_Verbräuche[[#Headers],[2023]],Refsz_Verbräuche[[#This Row],[2022]],"")))</f>
        <v/>
      </c>
      <c r="O19" s="172" t="str">
        <f>IF(Refsz_Verbräuche[[#Headers],[2024]]=Startseite!$D$68,IF(OR(SUMIF($F19:Refsz_Verbräuche[[#This Row],[2023]],"&gt;0")&gt;0,), AVERAGEIF($F19:Refsz_Verbräuche[[#This Row],[2023]],"&lt;&gt;"""), ""),IF(Startseite!$D$68=(Refsz_Verbräuche[[#Headers],[2024]]-1),Refsz_Verbräuche[[#This Row],[2023]],IF(Startseite!$D$68&lt;Refsz_Verbräuche[[#Headers],[2024]],Refsz_Verbräuche[[#This Row],[2023]],"")))</f>
        <v/>
      </c>
      <c r="P19" s="172" t="str">
        <f>IF(Refsz_Verbräuche[[#Headers],[2025]]=Startseite!$D$68,IF(OR(SUMIF($F19:Refsz_Verbräuche[[#This Row],[2024]],"&gt;0")&gt;0,), AVERAGEIF($F19:Refsz_Verbräuche[[#This Row],[2024]],"&lt;&gt;"""), ""),IF(Startseite!$D$68=(Refsz_Verbräuche[[#Headers],[2025]]-1),Refsz_Verbräuche[[#This Row],[2024]],IF(Startseite!$D$68&lt;Refsz_Verbräuche[[#Headers],[2025]],Refsz_Verbräuche[[#This Row],[2024]],"")))</f>
        <v/>
      </c>
      <c r="Q19" s="172" t="str">
        <f>IF(Refsz_Verbräuche[[#Headers],[2026]]=Startseite!$D$68,IF(OR(SUMIF($F19:Refsz_Verbräuche[[#This Row],[2025]],"&gt;0")&gt;0,), AVERAGEIF($F19:Refsz_Verbräuche[[#This Row],[2025]],"&lt;&gt;"""), ""),IF(Startseite!$D$68=(Refsz_Verbräuche[[#Headers],[2026]]-1),Refsz_Verbräuche[[#This Row],[2025]],IF(Startseite!$D$68&lt;Refsz_Verbräuche[[#Headers],[2026]],Refsz_Verbräuche[[#This Row],[2025]],"")))</f>
        <v/>
      </c>
      <c r="R19" s="172" t="str">
        <f>IF(Refsz_Verbräuche[[#Headers],[2027]]=Startseite!$D$68,IF(OR(SUMIF($F19:Refsz_Verbräuche[[#This Row],[2026]],"&gt;0")&gt;0,), AVERAGEIF($F19:Refsz_Verbräuche[[#This Row],[2026]],"&lt;&gt;"""), ""),IF(Startseite!$D$68=(Refsz_Verbräuche[[#Headers],[2027]]-1),Refsz_Verbräuche[[#This Row],[2026]],IF(Startseite!$D$68&lt;Refsz_Verbräuche[[#Headers],[2027]],Refsz_Verbräuche[[#This Row],[2026]],"")))</f>
        <v/>
      </c>
      <c r="S19" s="172" t="str">
        <f>IF(Refsz_Verbräuche[[#Headers],[2028]]=Startseite!$D$68,IF(OR(SUMIF($F19:Refsz_Verbräuche[[#This Row],[2027]],"&gt;0")&gt;0,), AVERAGEIF($F19:Refsz_Verbräuche[[#This Row],[2027]],"&lt;&gt;"""), ""),IF(Startseite!$D$68=(Refsz_Verbräuche[[#Headers],[2028]]-1),Refsz_Verbräuche[[#This Row],[2027]],IF(Startseite!$D$68&lt;Refsz_Verbräuche[[#Headers],[2028]],Refsz_Verbräuche[[#This Row],[2027]],"")))</f>
        <v/>
      </c>
      <c r="T19" s="172" t="str">
        <f>IF(Refsz_Verbräuche[[#Headers],[2029]]=Startseite!$D$68,IF(OR(SUMIF($F19:Refsz_Verbräuche[[#This Row],[2028]],"&gt;0")&gt;0,), AVERAGEIF($F19:Refsz_Verbräuche[[#This Row],[2028]],"&lt;&gt;"""), ""),IF(Startseite!$D$68=(Refsz_Verbräuche[[#Headers],[2029]]-1),Refsz_Verbräuche[[#This Row],[2028]],IF(Startseite!$D$68&lt;Refsz_Verbräuche[[#Headers],[2029]],Refsz_Verbräuche[[#This Row],[2028]],"")))</f>
        <v/>
      </c>
      <c r="U19" s="172" t="str">
        <f>IF(Refsz_Verbräuche[[#Headers],[2030]]=Startseite!$D$68,IF(OR(SUMIF($F19:Refsz_Verbräuche[[#This Row],[2029]],"&gt;0")&gt;0,), AVERAGEIF($F19:Refsz_Verbräuche[[#This Row],[2029]],"&lt;&gt;"""), ""),IF(Startseite!$D$68=(Refsz_Verbräuche[[#Headers],[2030]]-1),Refsz_Verbräuche[[#This Row],[2029]],IF(Startseite!$D$68&lt;Refsz_Verbräuche[[#Headers],[2030]],Refsz_Verbräuche[[#This Row],[2029]],"")))</f>
        <v/>
      </c>
      <c r="V19" s="172" t="str">
        <f>IF(Refsz_Verbräuche[[#Headers],[2035]]=Startseite!$D$68,IF(OR(SUMIF($F19:Refsz_Verbräuche[[#This Row],[2030]],"&gt;0")&gt;0,), AVERAGEIF($F19:Refsz_Verbräuche[[#This Row],[2030]],"&lt;&gt;"""), ""),IF(Startseite!$D$68=(Refsz_Verbräuche[[#Headers],[2035]]-1),Refsz_Verbräuche[[#This Row],[2030]],IF(Startseite!$D$68&lt;Refsz_Verbräuche[[#Headers],[2035]],Refsz_Verbräuche[[#This Row],[2030]],"")))</f>
        <v/>
      </c>
      <c r="W19" s="172" t="str">
        <f>IF(Refsz_Verbräuche[[#Headers],[2040]]=Startseite!$D$68,IF(OR(SUMIF($F19:Refsz_Verbräuche[[#This Row],[2035]],"&gt;0")&gt;0,), AVERAGEIF($F19:Refsz_Verbräuche[[#This Row],[2035]],"&lt;&gt;"""), ""),IF(Startseite!$D$68=(Refsz_Verbräuche[[#Headers],[2040]]-1),Refsz_Verbräuche[[#This Row],[2035]],IF(Startseite!$D$68&lt;Refsz_Verbräuche[[#Headers],[2040]],Refsz_Verbräuche[[#This Row],[2035]],"")))</f>
        <v/>
      </c>
      <c r="X19" s="172" t="str">
        <f>IF(Refsz_Verbräuche[[#Headers],[2045]]=Startseite!$D$68,IF(OR(SUMIF($F19:Refsz_Verbräuche[[#This Row],[2040]],"&gt;0")&gt;0,), AVERAGEIF($F19:Refsz_Verbräuche[[#This Row],[2040]],"&lt;&gt;"""), ""),IF(Startseite!$D$68=(Refsz_Verbräuche[[#Headers],[2045]]-1),Refsz_Verbräuche[[#This Row],[2040]],IF(Startseite!$D$68&lt;Refsz_Verbräuche[[#Headers],[2045]],Refsz_Verbräuche[[#This Row],[2040]],"")))</f>
        <v/>
      </c>
      <c r="Y19" s="172" t="str">
        <f>IF(Refsz_Verbräuche[[#Headers],[2050]]=Startseite!$D$68,IF(OR(SUMIF($F19:Refsz_Verbräuche[[#This Row],[2045]],"&gt;0")&gt;0,), AVERAGEIF($F19:Refsz_Verbräuche[[#This Row],[2045]],"&lt;&gt;"""), ""),IF(Startseite!$D$68=(Refsz_Verbräuche[[#Headers],[2050]]-1),Refsz_Verbräuche[[#This Row],[2045]],IF(Startseite!$D$68&lt;Refsz_Verbräuche[[#Headers],[2050]],Refsz_Verbräuche[[#This Row],[2045]],"")))</f>
        <v/>
      </c>
      <c r="AA19" s="14"/>
    </row>
    <row r="20" spans="2:27">
      <c r="B20" s="14">
        <v>3</v>
      </c>
      <c r="C20" s="14" t="s">
        <v>198</v>
      </c>
      <c r="D20" s="42" t="str">
        <f>_xlfn.CONCAT("Individueller Strommix ",'Strommix &amp; BHKW'!B22)</f>
        <v>Individueller Strommix Einrichtung 1</v>
      </c>
      <c r="E20" t="s">
        <v>42</v>
      </c>
      <c r="F20" s="110"/>
      <c r="G20" s="110"/>
      <c r="H20" s="110"/>
      <c r="I20" s="110"/>
      <c r="J20" s="110"/>
      <c r="K20" s="110"/>
      <c r="L20" s="110"/>
      <c r="M20" s="110" t="str">
        <f>IF(Refsz_Verbräuche[[#Headers],[2022]]=Startseite!$D$68,IF(OR(SUMIF($F20:Refsz_Verbräuche[[#This Row],[2021]],"&gt;0")&gt;0,), AVERAGEIF($F20:Refsz_Verbräuche[[#This Row],[2021]],"&lt;&gt;"""), ""),IF(Startseite!$D$68=(Refsz_Verbräuche[[#Headers],[2022]]-1),Refsz_Verbräuche[[#This Row],[2021]],IF(Startseite!$D$68&lt;Refsz_Verbräuche[[#Headers],[2022]],Refsz_Verbräuche[[#This Row],[2021]],"")))</f>
        <v/>
      </c>
      <c r="N20" s="110" t="str">
        <f>IF(Refsz_Verbräuche[[#Headers],[2023]]=Startseite!$D$68,IF(OR(SUMIF($F20:Refsz_Verbräuche[[#This Row],[2022]],"&gt;0")&gt;0,), AVERAGEIF($F20:Refsz_Verbräuche[[#This Row],[2022]],"&lt;&gt;"""), ""),IF(Startseite!$D$68=(Refsz_Verbräuche[[#Headers],[2023]]-1),Refsz_Verbräuche[[#This Row],[2022]],IF(Startseite!$D$68&lt;Refsz_Verbräuche[[#Headers],[2023]],Refsz_Verbräuche[[#This Row],[2022]],"")))</f>
        <v/>
      </c>
      <c r="O20" s="110" t="str">
        <f>IF(Refsz_Verbräuche[[#Headers],[2024]]=Startseite!$D$68,IF(OR(SUMIF($F20:Refsz_Verbräuche[[#This Row],[2023]],"&gt;0")&gt;0,), AVERAGEIF($F20:Refsz_Verbräuche[[#This Row],[2023]],"&lt;&gt;"""), ""),IF(Startseite!$D$68=(Refsz_Verbräuche[[#Headers],[2024]]-1),Refsz_Verbräuche[[#This Row],[2023]],IF(Startseite!$D$68&lt;Refsz_Verbräuche[[#Headers],[2024]],Refsz_Verbräuche[[#This Row],[2023]],"")))</f>
        <v/>
      </c>
      <c r="P20" s="110" t="str">
        <f>IF(Refsz_Verbräuche[[#Headers],[2025]]=Startseite!$D$68,IF(OR(SUMIF($F20:Refsz_Verbräuche[[#This Row],[2024]],"&gt;0")&gt;0,), AVERAGEIF($F20:Refsz_Verbräuche[[#This Row],[2024]],"&lt;&gt;"""), ""),IF(Startseite!$D$68=(Refsz_Verbräuche[[#Headers],[2025]]-1),Refsz_Verbräuche[[#This Row],[2024]],IF(Startseite!$D$68&lt;Refsz_Verbräuche[[#Headers],[2025]],Refsz_Verbräuche[[#This Row],[2024]],"")))</f>
        <v/>
      </c>
      <c r="Q20" s="110" t="str">
        <f>IF(Refsz_Verbräuche[[#Headers],[2026]]=Startseite!$D$68,IF(OR(SUMIF($F20:Refsz_Verbräuche[[#This Row],[2025]],"&gt;0")&gt;0,), AVERAGEIF($F20:Refsz_Verbräuche[[#This Row],[2025]],"&lt;&gt;"""), ""),IF(Startseite!$D$68=(Refsz_Verbräuche[[#Headers],[2026]]-1),Refsz_Verbräuche[[#This Row],[2025]],IF(Startseite!$D$68&lt;Refsz_Verbräuche[[#Headers],[2026]],Refsz_Verbräuche[[#This Row],[2025]],"")))</f>
        <v/>
      </c>
      <c r="R20" s="110" t="str">
        <f>IF(Refsz_Verbräuche[[#Headers],[2027]]=Startseite!$D$68,IF(OR(SUMIF($F20:Refsz_Verbräuche[[#This Row],[2026]],"&gt;0")&gt;0,), AVERAGEIF($F20:Refsz_Verbräuche[[#This Row],[2026]],"&lt;&gt;"""), ""),IF(Startseite!$D$68=(Refsz_Verbräuche[[#Headers],[2027]]-1),Refsz_Verbräuche[[#This Row],[2026]],IF(Startseite!$D$68&lt;Refsz_Verbräuche[[#Headers],[2027]],Refsz_Verbräuche[[#This Row],[2026]],"")))</f>
        <v/>
      </c>
      <c r="S20" s="110" t="str">
        <f>IF(Refsz_Verbräuche[[#Headers],[2028]]=Startseite!$D$68,IF(OR(SUMIF($F20:Refsz_Verbräuche[[#This Row],[2027]],"&gt;0")&gt;0,), AVERAGEIF($F20:Refsz_Verbräuche[[#This Row],[2027]],"&lt;&gt;"""), ""),IF(Startseite!$D$68=(Refsz_Verbräuche[[#Headers],[2028]]-1),Refsz_Verbräuche[[#This Row],[2027]],IF(Startseite!$D$68&lt;Refsz_Verbräuche[[#Headers],[2028]],Refsz_Verbräuche[[#This Row],[2027]],"")))</f>
        <v/>
      </c>
      <c r="T20" s="110" t="str">
        <f>IF(Refsz_Verbräuche[[#Headers],[2029]]=Startseite!$D$68,IF(OR(SUMIF($F20:Refsz_Verbräuche[[#This Row],[2028]],"&gt;0")&gt;0,), AVERAGEIF($F20:Refsz_Verbräuche[[#This Row],[2028]],"&lt;&gt;"""), ""),IF(Startseite!$D$68=(Refsz_Verbräuche[[#Headers],[2029]]-1),Refsz_Verbräuche[[#This Row],[2028]],IF(Startseite!$D$68&lt;Refsz_Verbräuche[[#Headers],[2029]],Refsz_Verbräuche[[#This Row],[2028]],"")))</f>
        <v/>
      </c>
      <c r="U20" s="110" t="str">
        <f>IF(Refsz_Verbräuche[[#Headers],[2030]]=Startseite!$D$68,IF(OR(SUMIF($F20:Refsz_Verbräuche[[#This Row],[2029]],"&gt;0")&gt;0,), AVERAGEIF($F20:Refsz_Verbräuche[[#This Row],[2029]],"&lt;&gt;"""), ""),IF(Startseite!$D$68=(Refsz_Verbräuche[[#Headers],[2030]]-1),Refsz_Verbräuche[[#This Row],[2029]],IF(Startseite!$D$68&lt;Refsz_Verbräuche[[#Headers],[2030]],Refsz_Verbräuche[[#This Row],[2029]],"")))</f>
        <v/>
      </c>
      <c r="V20" s="110" t="str">
        <f>IF(Refsz_Verbräuche[[#Headers],[2035]]=Startseite!$D$68,IF(OR(SUMIF($F20:Refsz_Verbräuche[[#This Row],[2030]],"&gt;0")&gt;0,), AVERAGEIF($F20:Refsz_Verbräuche[[#This Row],[2030]],"&lt;&gt;"""), ""),IF(Startseite!$D$68=(Refsz_Verbräuche[[#Headers],[2035]]-1),Refsz_Verbräuche[[#This Row],[2030]],IF(Startseite!$D$68&lt;Refsz_Verbräuche[[#Headers],[2035]],Refsz_Verbräuche[[#This Row],[2030]],"")))</f>
        <v/>
      </c>
      <c r="W20" s="110" t="str">
        <f>IF(Refsz_Verbräuche[[#Headers],[2040]]=Startseite!$D$68,IF(OR(SUMIF($F20:Refsz_Verbräuche[[#This Row],[2035]],"&gt;0")&gt;0,), AVERAGEIF($F20:Refsz_Verbräuche[[#This Row],[2035]],"&lt;&gt;"""), ""),IF(Startseite!$D$68=(Refsz_Verbräuche[[#Headers],[2040]]-1),Refsz_Verbräuche[[#This Row],[2035]],IF(Startseite!$D$68&lt;Refsz_Verbräuche[[#Headers],[2040]],Refsz_Verbräuche[[#This Row],[2035]],"")))</f>
        <v/>
      </c>
      <c r="X20" s="110" t="str">
        <f>IF(Refsz_Verbräuche[[#Headers],[2045]]=Startseite!$D$68,IF(OR(SUMIF($F20:Refsz_Verbräuche[[#This Row],[2040]],"&gt;0")&gt;0,), AVERAGEIF($F20:Refsz_Verbräuche[[#This Row],[2040]],"&lt;&gt;"""), ""),IF(Startseite!$D$68=(Refsz_Verbräuche[[#Headers],[2045]]-1),Refsz_Verbräuche[[#This Row],[2040]],IF(Startseite!$D$68&lt;Refsz_Verbräuche[[#Headers],[2045]],Refsz_Verbräuche[[#This Row],[2040]],"")))</f>
        <v/>
      </c>
      <c r="Y20" s="110" t="str">
        <f>IF(Refsz_Verbräuche[[#Headers],[2050]]=Startseite!$D$68,IF(OR(SUMIF($F20:Refsz_Verbräuche[[#This Row],[2045]],"&gt;0")&gt;0,), AVERAGEIF($F20:Refsz_Verbräuche[[#This Row],[2045]],"&lt;&gt;"""), ""),IF(Startseite!$D$68=(Refsz_Verbräuche[[#Headers],[2050]]-1),Refsz_Verbräuche[[#This Row],[2045]],IF(Startseite!$D$68&lt;Refsz_Verbräuche[[#Headers],[2050]],Refsz_Verbräuche[[#This Row],[2045]],"")))</f>
        <v/>
      </c>
      <c r="AA20" s="14"/>
    </row>
    <row r="21" spans="2:27">
      <c r="B21" s="14">
        <v>4</v>
      </c>
      <c r="C21" s="14" t="s">
        <v>198</v>
      </c>
      <c r="D21" s="42" t="str">
        <f>_xlfn.CONCAT("Individueller Strommix ",'Strommix &amp; BHKW'!B23)</f>
        <v>Individueller Strommix Einrichtung 2</v>
      </c>
      <c r="E21" t="s">
        <v>42</v>
      </c>
      <c r="F21" s="110"/>
      <c r="G21" s="110"/>
      <c r="H21" s="110"/>
      <c r="I21" s="110"/>
      <c r="J21" s="110"/>
      <c r="K21" s="110"/>
      <c r="L21" s="110"/>
      <c r="M21" s="110" t="str">
        <f>IF(Refsz_Verbräuche[[#Headers],[2022]]=Startseite!$D$68,IF(OR(SUMIF($F21:Refsz_Verbräuche[[#This Row],[2021]],"&gt;0")&gt;0,), AVERAGEIF($F21:Refsz_Verbräuche[[#This Row],[2021]],"&lt;&gt;"""), ""),IF(Startseite!$D$68=(Refsz_Verbräuche[[#Headers],[2022]]-1),Refsz_Verbräuche[[#This Row],[2021]],IF(Startseite!$D$68&lt;Refsz_Verbräuche[[#Headers],[2022]],Refsz_Verbräuche[[#This Row],[2021]],"")))</f>
        <v/>
      </c>
      <c r="N21" s="110" t="str">
        <f>IF(Refsz_Verbräuche[[#Headers],[2023]]=Startseite!$D$68,IF(OR(SUMIF($F21:Refsz_Verbräuche[[#This Row],[2022]],"&gt;0")&gt;0,), AVERAGEIF($F21:Refsz_Verbräuche[[#This Row],[2022]],"&lt;&gt;"""), ""),IF(Startseite!$D$68=(Refsz_Verbräuche[[#Headers],[2023]]-1),Refsz_Verbräuche[[#This Row],[2022]],IF(Startseite!$D$68&lt;Refsz_Verbräuche[[#Headers],[2023]],Refsz_Verbräuche[[#This Row],[2022]],"")))</f>
        <v/>
      </c>
      <c r="O21" s="110" t="str">
        <f>IF(Refsz_Verbräuche[[#Headers],[2024]]=Startseite!$D$68,IF(OR(SUMIF($F21:Refsz_Verbräuche[[#This Row],[2023]],"&gt;0")&gt;0,), AVERAGEIF($F21:Refsz_Verbräuche[[#This Row],[2023]],"&lt;&gt;"""), ""),IF(Startseite!$D$68=(Refsz_Verbräuche[[#Headers],[2024]]-1),Refsz_Verbräuche[[#This Row],[2023]],IF(Startseite!$D$68&lt;Refsz_Verbräuche[[#Headers],[2024]],Refsz_Verbräuche[[#This Row],[2023]],"")))</f>
        <v/>
      </c>
      <c r="P21" s="110" t="str">
        <f>IF(Refsz_Verbräuche[[#Headers],[2025]]=Startseite!$D$68,IF(OR(SUMIF($F21:Refsz_Verbräuche[[#This Row],[2024]],"&gt;0")&gt;0,), AVERAGEIF($F21:Refsz_Verbräuche[[#This Row],[2024]],"&lt;&gt;"""), ""),IF(Startseite!$D$68=(Refsz_Verbräuche[[#Headers],[2025]]-1),Refsz_Verbräuche[[#This Row],[2024]],IF(Startseite!$D$68&lt;Refsz_Verbräuche[[#Headers],[2025]],Refsz_Verbräuche[[#This Row],[2024]],"")))</f>
        <v/>
      </c>
      <c r="Q21" s="110" t="str">
        <f>IF(Refsz_Verbräuche[[#Headers],[2026]]=Startseite!$D$68,IF(OR(SUMIF($F21:Refsz_Verbräuche[[#This Row],[2025]],"&gt;0")&gt;0,), AVERAGEIF($F21:Refsz_Verbräuche[[#This Row],[2025]],"&lt;&gt;"""), ""),IF(Startseite!$D$68=(Refsz_Verbräuche[[#Headers],[2026]]-1),Refsz_Verbräuche[[#This Row],[2025]],IF(Startseite!$D$68&lt;Refsz_Verbräuche[[#Headers],[2026]],Refsz_Verbräuche[[#This Row],[2025]],"")))</f>
        <v/>
      </c>
      <c r="R21" s="110" t="str">
        <f>IF(Refsz_Verbräuche[[#Headers],[2027]]=Startseite!$D$68,IF(OR(SUMIF($F21:Refsz_Verbräuche[[#This Row],[2026]],"&gt;0")&gt;0,), AVERAGEIF($F21:Refsz_Verbräuche[[#This Row],[2026]],"&lt;&gt;"""), ""),IF(Startseite!$D$68=(Refsz_Verbräuche[[#Headers],[2027]]-1),Refsz_Verbräuche[[#This Row],[2026]],IF(Startseite!$D$68&lt;Refsz_Verbräuche[[#Headers],[2027]],Refsz_Verbräuche[[#This Row],[2026]],"")))</f>
        <v/>
      </c>
      <c r="S21" s="110" t="str">
        <f>IF(Refsz_Verbräuche[[#Headers],[2028]]=Startseite!$D$68,IF(OR(SUMIF($F21:Refsz_Verbräuche[[#This Row],[2027]],"&gt;0")&gt;0,), AVERAGEIF($F21:Refsz_Verbräuche[[#This Row],[2027]],"&lt;&gt;"""), ""),IF(Startseite!$D$68=(Refsz_Verbräuche[[#Headers],[2028]]-1),Refsz_Verbräuche[[#This Row],[2027]],IF(Startseite!$D$68&lt;Refsz_Verbräuche[[#Headers],[2028]],Refsz_Verbräuche[[#This Row],[2027]],"")))</f>
        <v/>
      </c>
      <c r="T21" s="110" t="str">
        <f>IF(Refsz_Verbräuche[[#Headers],[2029]]=Startseite!$D$68,IF(OR(SUMIF($F21:Refsz_Verbräuche[[#This Row],[2028]],"&gt;0")&gt;0,), AVERAGEIF($F21:Refsz_Verbräuche[[#This Row],[2028]],"&lt;&gt;"""), ""),IF(Startseite!$D$68=(Refsz_Verbräuche[[#Headers],[2029]]-1),Refsz_Verbräuche[[#This Row],[2028]],IF(Startseite!$D$68&lt;Refsz_Verbräuche[[#Headers],[2029]],Refsz_Verbräuche[[#This Row],[2028]],"")))</f>
        <v/>
      </c>
      <c r="U21" s="110" t="str">
        <f>IF(Refsz_Verbräuche[[#Headers],[2030]]=Startseite!$D$68,IF(OR(SUMIF($F21:Refsz_Verbräuche[[#This Row],[2029]],"&gt;0")&gt;0,), AVERAGEIF($F21:Refsz_Verbräuche[[#This Row],[2029]],"&lt;&gt;"""), ""),IF(Startseite!$D$68=(Refsz_Verbräuche[[#Headers],[2030]]-1),Refsz_Verbräuche[[#This Row],[2029]],IF(Startseite!$D$68&lt;Refsz_Verbräuche[[#Headers],[2030]],Refsz_Verbräuche[[#This Row],[2029]],"")))</f>
        <v/>
      </c>
      <c r="V21" s="110" t="str">
        <f>IF(Refsz_Verbräuche[[#Headers],[2035]]=Startseite!$D$68,IF(OR(SUMIF($F21:Refsz_Verbräuche[[#This Row],[2030]],"&gt;0")&gt;0,), AVERAGEIF($F21:Refsz_Verbräuche[[#This Row],[2030]],"&lt;&gt;"""), ""),IF(Startseite!$D$68=(Refsz_Verbräuche[[#Headers],[2035]]-1),Refsz_Verbräuche[[#This Row],[2030]],IF(Startseite!$D$68&lt;Refsz_Verbräuche[[#Headers],[2035]],Refsz_Verbräuche[[#This Row],[2030]],"")))</f>
        <v/>
      </c>
      <c r="W21" s="110" t="str">
        <f>IF(Refsz_Verbräuche[[#Headers],[2040]]=Startseite!$D$68,IF(OR(SUMIF($F21:Refsz_Verbräuche[[#This Row],[2035]],"&gt;0")&gt;0,), AVERAGEIF($F21:Refsz_Verbräuche[[#This Row],[2035]],"&lt;&gt;"""), ""),IF(Startseite!$D$68=(Refsz_Verbräuche[[#Headers],[2040]]-1),Refsz_Verbräuche[[#This Row],[2035]],IF(Startseite!$D$68&lt;Refsz_Verbräuche[[#Headers],[2040]],Refsz_Verbräuche[[#This Row],[2035]],"")))</f>
        <v/>
      </c>
      <c r="X21" s="110" t="str">
        <f>IF(Refsz_Verbräuche[[#Headers],[2045]]=Startseite!$D$68,IF(OR(SUMIF($F21:Refsz_Verbräuche[[#This Row],[2040]],"&gt;0")&gt;0,), AVERAGEIF($F21:Refsz_Verbräuche[[#This Row],[2040]],"&lt;&gt;"""), ""),IF(Startseite!$D$68=(Refsz_Verbräuche[[#Headers],[2045]]-1),Refsz_Verbräuche[[#This Row],[2040]],IF(Startseite!$D$68&lt;Refsz_Verbräuche[[#Headers],[2045]],Refsz_Verbräuche[[#This Row],[2040]],"")))</f>
        <v/>
      </c>
      <c r="Y21" s="110" t="str">
        <f>IF(Refsz_Verbräuche[[#Headers],[2050]]=Startseite!$D$68,IF(OR(SUMIF($F21:Refsz_Verbräuche[[#This Row],[2045]],"&gt;0")&gt;0,), AVERAGEIF($F21:Refsz_Verbräuche[[#This Row],[2045]],"&lt;&gt;"""), ""),IF(Startseite!$D$68=(Refsz_Verbräuche[[#Headers],[2050]]-1),Refsz_Verbräuche[[#This Row],[2045]],IF(Startseite!$D$68&lt;Refsz_Verbräuche[[#Headers],[2050]],Refsz_Verbräuche[[#This Row],[2045]],"")))</f>
        <v/>
      </c>
      <c r="AA21" s="14"/>
    </row>
    <row r="22" spans="2:27">
      <c r="B22" s="14">
        <v>5</v>
      </c>
      <c r="C22" s="14" t="s">
        <v>198</v>
      </c>
      <c r="D22" s="42" t="str">
        <f>_xlfn.CONCAT("Individueller Strommix ",'Strommix &amp; BHKW'!B24)</f>
        <v>Individueller Strommix Einrichtung 3</v>
      </c>
      <c r="E22" t="s">
        <v>42</v>
      </c>
      <c r="F22" s="110"/>
      <c r="G22" s="110"/>
      <c r="H22" s="110"/>
      <c r="I22" s="110"/>
      <c r="J22" s="110"/>
      <c r="K22" s="110"/>
      <c r="L22" s="110"/>
      <c r="M22" s="110" t="str">
        <f>IF(Refsz_Verbräuche[[#Headers],[2022]]=Startseite!$D$68,IF(OR(SUMIF($F22:Refsz_Verbräuche[[#This Row],[2021]],"&gt;0")&gt;0,), AVERAGEIF($F22:Refsz_Verbräuche[[#This Row],[2021]],"&lt;&gt;"""), ""),IF(Startseite!$D$68=(Refsz_Verbräuche[[#Headers],[2022]]-1),Refsz_Verbräuche[[#This Row],[2021]],IF(Startseite!$D$68&lt;Refsz_Verbräuche[[#Headers],[2022]],Refsz_Verbräuche[[#This Row],[2021]],"")))</f>
        <v/>
      </c>
      <c r="N22" s="110" t="str">
        <f>IF(Refsz_Verbräuche[[#Headers],[2023]]=Startseite!$D$68,IF(OR(SUMIF($F22:Refsz_Verbräuche[[#This Row],[2022]],"&gt;0")&gt;0,), AVERAGEIF($F22:Refsz_Verbräuche[[#This Row],[2022]],"&lt;&gt;"""), ""),IF(Startseite!$D$68=(Refsz_Verbräuche[[#Headers],[2023]]-1),Refsz_Verbräuche[[#This Row],[2022]],IF(Startseite!$D$68&lt;Refsz_Verbräuche[[#Headers],[2023]],Refsz_Verbräuche[[#This Row],[2022]],"")))</f>
        <v/>
      </c>
      <c r="O22" s="110" t="str">
        <f>IF(Refsz_Verbräuche[[#Headers],[2024]]=Startseite!$D$68,IF(OR(SUMIF($F22:Refsz_Verbräuche[[#This Row],[2023]],"&gt;0")&gt;0,), AVERAGEIF($F22:Refsz_Verbräuche[[#This Row],[2023]],"&lt;&gt;"""), ""),IF(Startseite!$D$68=(Refsz_Verbräuche[[#Headers],[2024]]-1),Refsz_Verbräuche[[#This Row],[2023]],IF(Startseite!$D$68&lt;Refsz_Verbräuche[[#Headers],[2024]],Refsz_Verbräuche[[#This Row],[2023]],"")))</f>
        <v/>
      </c>
      <c r="P22" s="110" t="str">
        <f>IF(Refsz_Verbräuche[[#Headers],[2025]]=Startseite!$D$68,IF(OR(SUMIF($F22:Refsz_Verbräuche[[#This Row],[2024]],"&gt;0")&gt;0,), AVERAGEIF($F22:Refsz_Verbräuche[[#This Row],[2024]],"&lt;&gt;"""), ""),IF(Startseite!$D$68=(Refsz_Verbräuche[[#Headers],[2025]]-1),Refsz_Verbräuche[[#This Row],[2024]],IF(Startseite!$D$68&lt;Refsz_Verbräuche[[#Headers],[2025]],Refsz_Verbräuche[[#This Row],[2024]],"")))</f>
        <v/>
      </c>
      <c r="Q22" s="110" t="str">
        <f>IF(Refsz_Verbräuche[[#Headers],[2026]]=Startseite!$D$68,IF(OR(SUMIF($F22:Refsz_Verbräuche[[#This Row],[2025]],"&gt;0")&gt;0,), AVERAGEIF($F22:Refsz_Verbräuche[[#This Row],[2025]],"&lt;&gt;"""), ""),IF(Startseite!$D$68=(Refsz_Verbräuche[[#Headers],[2026]]-1),Refsz_Verbräuche[[#This Row],[2025]],IF(Startseite!$D$68&lt;Refsz_Verbräuche[[#Headers],[2026]],Refsz_Verbräuche[[#This Row],[2025]],"")))</f>
        <v/>
      </c>
      <c r="R22" s="110" t="str">
        <f>IF(Refsz_Verbräuche[[#Headers],[2027]]=Startseite!$D$68,IF(OR(SUMIF($F22:Refsz_Verbräuche[[#This Row],[2026]],"&gt;0")&gt;0,), AVERAGEIF($F22:Refsz_Verbräuche[[#This Row],[2026]],"&lt;&gt;"""), ""),IF(Startseite!$D$68=(Refsz_Verbräuche[[#Headers],[2027]]-1),Refsz_Verbräuche[[#This Row],[2026]],IF(Startseite!$D$68&lt;Refsz_Verbräuche[[#Headers],[2027]],Refsz_Verbräuche[[#This Row],[2026]],"")))</f>
        <v/>
      </c>
      <c r="S22" s="110" t="str">
        <f>IF(Refsz_Verbräuche[[#Headers],[2028]]=Startseite!$D$68,IF(OR(SUMIF($F22:Refsz_Verbräuche[[#This Row],[2027]],"&gt;0")&gt;0,), AVERAGEIF($F22:Refsz_Verbräuche[[#This Row],[2027]],"&lt;&gt;"""), ""),IF(Startseite!$D$68=(Refsz_Verbräuche[[#Headers],[2028]]-1),Refsz_Verbräuche[[#This Row],[2027]],IF(Startseite!$D$68&lt;Refsz_Verbräuche[[#Headers],[2028]],Refsz_Verbräuche[[#This Row],[2027]],"")))</f>
        <v/>
      </c>
      <c r="T22" s="110" t="str">
        <f>IF(Refsz_Verbräuche[[#Headers],[2029]]=Startseite!$D$68,IF(OR(SUMIF($F22:Refsz_Verbräuche[[#This Row],[2028]],"&gt;0")&gt;0,), AVERAGEIF($F22:Refsz_Verbräuche[[#This Row],[2028]],"&lt;&gt;"""), ""),IF(Startseite!$D$68=(Refsz_Verbräuche[[#Headers],[2029]]-1),Refsz_Verbräuche[[#This Row],[2028]],IF(Startseite!$D$68&lt;Refsz_Verbräuche[[#Headers],[2029]],Refsz_Verbräuche[[#This Row],[2028]],"")))</f>
        <v/>
      </c>
      <c r="U22" s="110" t="str">
        <f>IF(Refsz_Verbräuche[[#Headers],[2030]]=Startseite!$D$68,IF(OR(SUMIF($F22:Refsz_Verbräuche[[#This Row],[2029]],"&gt;0")&gt;0,), AVERAGEIF($F22:Refsz_Verbräuche[[#This Row],[2029]],"&lt;&gt;"""), ""),IF(Startseite!$D$68=(Refsz_Verbräuche[[#Headers],[2030]]-1),Refsz_Verbräuche[[#This Row],[2029]],IF(Startseite!$D$68&lt;Refsz_Verbräuche[[#Headers],[2030]],Refsz_Verbräuche[[#This Row],[2029]],"")))</f>
        <v/>
      </c>
      <c r="V22" s="110" t="str">
        <f>IF(Refsz_Verbräuche[[#Headers],[2035]]=Startseite!$D$68,IF(OR(SUMIF($F22:Refsz_Verbräuche[[#This Row],[2030]],"&gt;0")&gt;0,), AVERAGEIF($F22:Refsz_Verbräuche[[#This Row],[2030]],"&lt;&gt;"""), ""),IF(Startseite!$D$68=(Refsz_Verbräuche[[#Headers],[2035]]-1),Refsz_Verbräuche[[#This Row],[2030]],IF(Startseite!$D$68&lt;Refsz_Verbräuche[[#Headers],[2035]],Refsz_Verbräuche[[#This Row],[2030]],"")))</f>
        <v/>
      </c>
      <c r="W22" s="110" t="str">
        <f>IF(Refsz_Verbräuche[[#Headers],[2040]]=Startseite!$D$68,IF(OR(SUMIF($F22:Refsz_Verbräuche[[#This Row],[2035]],"&gt;0")&gt;0,), AVERAGEIF($F22:Refsz_Verbräuche[[#This Row],[2035]],"&lt;&gt;"""), ""),IF(Startseite!$D$68=(Refsz_Verbräuche[[#Headers],[2040]]-1),Refsz_Verbräuche[[#This Row],[2035]],IF(Startseite!$D$68&lt;Refsz_Verbräuche[[#Headers],[2040]],Refsz_Verbräuche[[#This Row],[2035]],"")))</f>
        <v/>
      </c>
      <c r="X22" s="110" t="str">
        <f>IF(Refsz_Verbräuche[[#Headers],[2045]]=Startseite!$D$68,IF(OR(SUMIF($F22:Refsz_Verbräuche[[#This Row],[2040]],"&gt;0")&gt;0,), AVERAGEIF($F22:Refsz_Verbräuche[[#This Row],[2040]],"&lt;&gt;"""), ""),IF(Startseite!$D$68=(Refsz_Verbräuche[[#Headers],[2045]]-1),Refsz_Verbräuche[[#This Row],[2040]],IF(Startseite!$D$68&lt;Refsz_Verbräuche[[#Headers],[2045]],Refsz_Verbräuche[[#This Row],[2040]],"")))</f>
        <v/>
      </c>
      <c r="Y22" s="110" t="str">
        <f>IF(Refsz_Verbräuche[[#Headers],[2050]]=Startseite!$D$68,IF(OR(SUMIF($F22:Refsz_Verbräuche[[#This Row],[2045]],"&gt;0")&gt;0,), AVERAGEIF($F22:Refsz_Verbräuche[[#This Row],[2045]],"&lt;&gt;"""), ""),IF(Startseite!$D$68=(Refsz_Verbräuche[[#Headers],[2050]]-1),Refsz_Verbräuche[[#This Row],[2045]],IF(Startseite!$D$68&lt;Refsz_Verbräuche[[#Headers],[2050]],Refsz_Verbräuche[[#This Row],[2045]],"")))</f>
        <v/>
      </c>
      <c r="AA22" s="14"/>
    </row>
    <row r="23" spans="2:27">
      <c r="B23" s="14">
        <v>6</v>
      </c>
      <c r="C23" s="14" t="s">
        <v>198</v>
      </c>
      <c r="D23" s="42" t="str">
        <f>_xlfn.CONCAT("Individueller Strommix ",'Strommix &amp; BHKW'!B25)</f>
        <v>Individueller Strommix Einrichtung 4</v>
      </c>
      <c r="E23" t="s">
        <v>42</v>
      </c>
      <c r="F23" s="110"/>
      <c r="G23" s="110"/>
      <c r="H23" s="110"/>
      <c r="I23" s="110"/>
      <c r="J23" s="110"/>
      <c r="K23" s="110"/>
      <c r="L23" s="110"/>
      <c r="M23" s="110" t="str">
        <f>IF(Refsz_Verbräuche[[#Headers],[2022]]=Startseite!$D$68,IF(OR(SUMIF($F23:Refsz_Verbräuche[[#This Row],[2021]],"&gt;0")&gt;0,), AVERAGEIF($F23:Refsz_Verbräuche[[#This Row],[2021]],"&lt;&gt;"""), ""),IF(Startseite!$D$68=(Refsz_Verbräuche[[#Headers],[2022]]-1),Refsz_Verbräuche[[#This Row],[2021]],IF(Startseite!$D$68&lt;Refsz_Verbräuche[[#Headers],[2022]],Refsz_Verbräuche[[#This Row],[2021]],"")))</f>
        <v/>
      </c>
      <c r="N23" s="110" t="str">
        <f>IF(Refsz_Verbräuche[[#Headers],[2023]]=Startseite!$D$68,IF(OR(SUMIF($F23:Refsz_Verbräuche[[#This Row],[2022]],"&gt;0")&gt;0,), AVERAGEIF($F23:Refsz_Verbräuche[[#This Row],[2022]],"&lt;&gt;"""), ""),IF(Startseite!$D$68=(Refsz_Verbräuche[[#Headers],[2023]]-1),Refsz_Verbräuche[[#This Row],[2022]],IF(Startseite!$D$68&lt;Refsz_Verbräuche[[#Headers],[2023]],Refsz_Verbräuche[[#This Row],[2022]],"")))</f>
        <v/>
      </c>
      <c r="O23" s="110" t="str">
        <f>IF(Refsz_Verbräuche[[#Headers],[2024]]=Startseite!$D$68,IF(OR(SUMIF($F23:Refsz_Verbräuche[[#This Row],[2023]],"&gt;0")&gt;0,), AVERAGEIF($F23:Refsz_Verbräuche[[#This Row],[2023]],"&lt;&gt;"""), ""),IF(Startseite!$D$68=(Refsz_Verbräuche[[#Headers],[2024]]-1),Refsz_Verbräuche[[#This Row],[2023]],IF(Startseite!$D$68&lt;Refsz_Verbräuche[[#Headers],[2024]],Refsz_Verbräuche[[#This Row],[2023]],"")))</f>
        <v/>
      </c>
      <c r="P23" s="110" t="str">
        <f>IF(Refsz_Verbräuche[[#Headers],[2025]]=Startseite!$D$68,IF(OR(SUMIF($F23:Refsz_Verbräuche[[#This Row],[2024]],"&gt;0")&gt;0,), AVERAGEIF($F23:Refsz_Verbräuche[[#This Row],[2024]],"&lt;&gt;"""), ""),IF(Startseite!$D$68=(Refsz_Verbräuche[[#Headers],[2025]]-1),Refsz_Verbräuche[[#This Row],[2024]],IF(Startseite!$D$68&lt;Refsz_Verbräuche[[#Headers],[2025]],Refsz_Verbräuche[[#This Row],[2024]],"")))</f>
        <v/>
      </c>
      <c r="Q23" s="110" t="str">
        <f>IF(Refsz_Verbräuche[[#Headers],[2026]]=Startseite!$D$68,IF(OR(SUMIF($F23:Refsz_Verbräuche[[#This Row],[2025]],"&gt;0")&gt;0,), AVERAGEIF($F23:Refsz_Verbräuche[[#This Row],[2025]],"&lt;&gt;"""), ""),IF(Startseite!$D$68=(Refsz_Verbräuche[[#Headers],[2026]]-1),Refsz_Verbräuche[[#This Row],[2025]],IF(Startseite!$D$68&lt;Refsz_Verbräuche[[#Headers],[2026]],Refsz_Verbräuche[[#This Row],[2025]],"")))</f>
        <v/>
      </c>
      <c r="R23" s="110" t="str">
        <f>IF(Refsz_Verbräuche[[#Headers],[2027]]=Startseite!$D$68,IF(OR(SUMIF($F23:Refsz_Verbräuche[[#This Row],[2026]],"&gt;0")&gt;0,), AVERAGEIF($F23:Refsz_Verbräuche[[#This Row],[2026]],"&lt;&gt;"""), ""),IF(Startseite!$D$68=(Refsz_Verbräuche[[#Headers],[2027]]-1),Refsz_Verbräuche[[#This Row],[2026]],IF(Startseite!$D$68&lt;Refsz_Verbräuche[[#Headers],[2027]],Refsz_Verbräuche[[#This Row],[2026]],"")))</f>
        <v/>
      </c>
      <c r="S23" s="110" t="str">
        <f>IF(Refsz_Verbräuche[[#Headers],[2028]]=Startseite!$D$68,IF(OR(SUMIF($F23:Refsz_Verbräuche[[#This Row],[2027]],"&gt;0")&gt;0,), AVERAGEIF($F23:Refsz_Verbräuche[[#This Row],[2027]],"&lt;&gt;"""), ""),IF(Startseite!$D$68=(Refsz_Verbräuche[[#Headers],[2028]]-1),Refsz_Verbräuche[[#This Row],[2027]],IF(Startseite!$D$68&lt;Refsz_Verbräuche[[#Headers],[2028]],Refsz_Verbräuche[[#This Row],[2027]],"")))</f>
        <v/>
      </c>
      <c r="T23" s="110" t="str">
        <f>IF(Refsz_Verbräuche[[#Headers],[2029]]=Startseite!$D$68,IF(OR(SUMIF($F23:Refsz_Verbräuche[[#This Row],[2028]],"&gt;0")&gt;0,), AVERAGEIF($F23:Refsz_Verbräuche[[#This Row],[2028]],"&lt;&gt;"""), ""),IF(Startseite!$D$68=(Refsz_Verbräuche[[#Headers],[2029]]-1),Refsz_Verbräuche[[#This Row],[2028]],IF(Startseite!$D$68&lt;Refsz_Verbräuche[[#Headers],[2029]],Refsz_Verbräuche[[#This Row],[2028]],"")))</f>
        <v/>
      </c>
      <c r="U23" s="110" t="str">
        <f>IF(Refsz_Verbräuche[[#Headers],[2030]]=Startseite!$D$68,IF(OR(SUMIF($F23:Refsz_Verbräuche[[#This Row],[2029]],"&gt;0")&gt;0,), AVERAGEIF($F23:Refsz_Verbräuche[[#This Row],[2029]],"&lt;&gt;"""), ""),IF(Startseite!$D$68=(Refsz_Verbräuche[[#Headers],[2030]]-1),Refsz_Verbräuche[[#This Row],[2029]],IF(Startseite!$D$68&lt;Refsz_Verbräuche[[#Headers],[2030]],Refsz_Verbräuche[[#This Row],[2029]],"")))</f>
        <v/>
      </c>
      <c r="V23" s="110" t="str">
        <f>IF(Refsz_Verbräuche[[#Headers],[2035]]=Startseite!$D$68,IF(OR(SUMIF($F23:Refsz_Verbräuche[[#This Row],[2030]],"&gt;0")&gt;0,), AVERAGEIF($F23:Refsz_Verbräuche[[#This Row],[2030]],"&lt;&gt;"""), ""),IF(Startseite!$D$68=(Refsz_Verbräuche[[#Headers],[2035]]-1),Refsz_Verbräuche[[#This Row],[2030]],IF(Startseite!$D$68&lt;Refsz_Verbräuche[[#Headers],[2035]],Refsz_Verbräuche[[#This Row],[2030]],"")))</f>
        <v/>
      </c>
      <c r="W23" s="110" t="str">
        <f>IF(Refsz_Verbräuche[[#Headers],[2040]]=Startseite!$D$68,IF(OR(SUMIF($F23:Refsz_Verbräuche[[#This Row],[2035]],"&gt;0")&gt;0,), AVERAGEIF($F23:Refsz_Verbräuche[[#This Row],[2035]],"&lt;&gt;"""), ""),IF(Startseite!$D$68=(Refsz_Verbräuche[[#Headers],[2040]]-1),Refsz_Verbräuche[[#This Row],[2035]],IF(Startseite!$D$68&lt;Refsz_Verbräuche[[#Headers],[2040]],Refsz_Verbräuche[[#This Row],[2035]],"")))</f>
        <v/>
      </c>
      <c r="X23" s="110" t="str">
        <f>IF(Refsz_Verbräuche[[#Headers],[2045]]=Startseite!$D$68,IF(OR(SUMIF($F23:Refsz_Verbräuche[[#This Row],[2040]],"&gt;0")&gt;0,), AVERAGEIF($F23:Refsz_Verbräuche[[#This Row],[2040]],"&lt;&gt;"""), ""),IF(Startseite!$D$68=(Refsz_Verbräuche[[#Headers],[2045]]-1),Refsz_Verbräuche[[#This Row],[2040]],IF(Startseite!$D$68&lt;Refsz_Verbräuche[[#Headers],[2045]],Refsz_Verbräuche[[#This Row],[2040]],"")))</f>
        <v/>
      </c>
      <c r="Y23" s="110" t="str">
        <f>IF(Refsz_Verbräuche[[#Headers],[2050]]=Startseite!$D$68,IF(OR(SUMIF($F23:Refsz_Verbräuche[[#This Row],[2045]],"&gt;0")&gt;0,), AVERAGEIF($F23:Refsz_Verbräuche[[#This Row],[2045]],"&lt;&gt;"""), ""),IF(Startseite!$D$68=(Refsz_Verbräuche[[#Headers],[2050]]-1),Refsz_Verbräuche[[#This Row],[2045]],IF(Startseite!$D$68&lt;Refsz_Verbräuche[[#Headers],[2050]],Refsz_Verbräuche[[#This Row],[2045]],"")))</f>
        <v/>
      </c>
      <c r="AA23" s="14"/>
    </row>
    <row r="24" spans="2:27">
      <c r="B24" s="14">
        <v>7</v>
      </c>
      <c r="C24" s="14" t="s">
        <v>198</v>
      </c>
      <c r="D24" s="42" t="str">
        <f>_xlfn.CONCAT("Individueller Strommix ",'Strommix &amp; BHKW'!B26)</f>
        <v>Individueller Strommix Einrichtung 5</v>
      </c>
      <c r="E24" t="s">
        <v>42</v>
      </c>
      <c r="F24" s="110"/>
      <c r="G24" s="110"/>
      <c r="H24" s="110"/>
      <c r="I24" s="110"/>
      <c r="J24" s="110"/>
      <c r="K24" s="110"/>
      <c r="L24" s="110"/>
      <c r="M24" s="110" t="str">
        <f>IF(Refsz_Verbräuche[[#Headers],[2022]]=Startseite!$D$68,IF(OR(SUMIF($F24:Refsz_Verbräuche[[#This Row],[2021]],"&gt;0")&gt;0,), AVERAGEIF($F24:Refsz_Verbräuche[[#This Row],[2021]],"&lt;&gt;"""), ""),IF(Startseite!$D$68=(Refsz_Verbräuche[[#Headers],[2022]]-1),Refsz_Verbräuche[[#This Row],[2021]],IF(Startseite!$D$68&lt;Refsz_Verbräuche[[#Headers],[2022]],Refsz_Verbräuche[[#This Row],[2021]],"")))</f>
        <v/>
      </c>
      <c r="N24" s="110" t="str">
        <f>IF(Refsz_Verbräuche[[#Headers],[2023]]=Startseite!$D$68,IF(OR(SUMIF($F24:Refsz_Verbräuche[[#This Row],[2022]],"&gt;0")&gt;0,), AVERAGEIF($F24:Refsz_Verbräuche[[#This Row],[2022]],"&lt;&gt;"""), ""),IF(Startseite!$D$68=(Refsz_Verbräuche[[#Headers],[2023]]-1),Refsz_Verbräuche[[#This Row],[2022]],IF(Startseite!$D$68&lt;Refsz_Verbräuche[[#Headers],[2023]],Refsz_Verbräuche[[#This Row],[2022]],"")))</f>
        <v/>
      </c>
      <c r="O24" s="110" t="str">
        <f>IF(Refsz_Verbräuche[[#Headers],[2024]]=Startseite!$D$68,IF(OR(SUMIF($F24:Refsz_Verbräuche[[#This Row],[2023]],"&gt;0")&gt;0,), AVERAGEIF($F24:Refsz_Verbräuche[[#This Row],[2023]],"&lt;&gt;"""), ""),IF(Startseite!$D$68=(Refsz_Verbräuche[[#Headers],[2024]]-1),Refsz_Verbräuche[[#This Row],[2023]],IF(Startseite!$D$68&lt;Refsz_Verbräuche[[#Headers],[2024]],Refsz_Verbräuche[[#This Row],[2023]],"")))</f>
        <v/>
      </c>
      <c r="P24" s="110" t="str">
        <f>IF(Refsz_Verbräuche[[#Headers],[2025]]=Startseite!$D$68,IF(OR(SUMIF($F24:Refsz_Verbräuche[[#This Row],[2024]],"&gt;0")&gt;0,), AVERAGEIF($F24:Refsz_Verbräuche[[#This Row],[2024]],"&lt;&gt;"""), ""),IF(Startseite!$D$68=(Refsz_Verbräuche[[#Headers],[2025]]-1),Refsz_Verbräuche[[#This Row],[2024]],IF(Startseite!$D$68&lt;Refsz_Verbräuche[[#Headers],[2025]],Refsz_Verbräuche[[#This Row],[2024]],"")))</f>
        <v/>
      </c>
      <c r="Q24" s="110" t="str">
        <f>IF(Refsz_Verbräuche[[#Headers],[2026]]=Startseite!$D$68,IF(OR(SUMIF($F24:Refsz_Verbräuche[[#This Row],[2025]],"&gt;0")&gt;0,), AVERAGEIF($F24:Refsz_Verbräuche[[#This Row],[2025]],"&lt;&gt;"""), ""),IF(Startseite!$D$68=(Refsz_Verbräuche[[#Headers],[2026]]-1),Refsz_Verbräuche[[#This Row],[2025]],IF(Startseite!$D$68&lt;Refsz_Verbräuche[[#Headers],[2026]],Refsz_Verbräuche[[#This Row],[2025]],"")))</f>
        <v/>
      </c>
      <c r="R24" s="110" t="str">
        <f>IF(Refsz_Verbräuche[[#Headers],[2027]]=Startseite!$D$68,IF(OR(SUMIF($F24:Refsz_Verbräuche[[#This Row],[2026]],"&gt;0")&gt;0,), AVERAGEIF($F24:Refsz_Verbräuche[[#This Row],[2026]],"&lt;&gt;"""), ""),IF(Startseite!$D$68=(Refsz_Verbräuche[[#Headers],[2027]]-1),Refsz_Verbräuche[[#This Row],[2026]],IF(Startseite!$D$68&lt;Refsz_Verbräuche[[#Headers],[2027]],Refsz_Verbräuche[[#This Row],[2026]],"")))</f>
        <v/>
      </c>
      <c r="S24" s="110" t="str">
        <f>IF(Refsz_Verbräuche[[#Headers],[2028]]=Startseite!$D$68,IF(OR(SUMIF($F24:Refsz_Verbräuche[[#This Row],[2027]],"&gt;0")&gt;0,), AVERAGEIF($F24:Refsz_Verbräuche[[#This Row],[2027]],"&lt;&gt;"""), ""),IF(Startseite!$D$68=(Refsz_Verbräuche[[#Headers],[2028]]-1),Refsz_Verbräuche[[#This Row],[2027]],IF(Startseite!$D$68&lt;Refsz_Verbräuche[[#Headers],[2028]],Refsz_Verbräuche[[#This Row],[2027]],"")))</f>
        <v/>
      </c>
      <c r="T24" s="110" t="str">
        <f>IF(Refsz_Verbräuche[[#Headers],[2029]]=Startseite!$D$68,IF(OR(SUMIF($F24:Refsz_Verbräuche[[#This Row],[2028]],"&gt;0")&gt;0,), AVERAGEIF($F24:Refsz_Verbräuche[[#This Row],[2028]],"&lt;&gt;"""), ""),IF(Startseite!$D$68=(Refsz_Verbräuche[[#Headers],[2029]]-1),Refsz_Verbräuche[[#This Row],[2028]],IF(Startseite!$D$68&lt;Refsz_Verbräuche[[#Headers],[2029]],Refsz_Verbräuche[[#This Row],[2028]],"")))</f>
        <v/>
      </c>
      <c r="U24" s="110" t="str">
        <f>IF(Refsz_Verbräuche[[#Headers],[2030]]=Startseite!$D$68,IF(OR(SUMIF($F24:Refsz_Verbräuche[[#This Row],[2029]],"&gt;0")&gt;0,), AVERAGEIF($F24:Refsz_Verbräuche[[#This Row],[2029]],"&lt;&gt;"""), ""),IF(Startseite!$D$68=(Refsz_Verbräuche[[#Headers],[2030]]-1),Refsz_Verbräuche[[#This Row],[2029]],IF(Startseite!$D$68&lt;Refsz_Verbräuche[[#Headers],[2030]],Refsz_Verbräuche[[#This Row],[2029]],"")))</f>
        <v/>
      </c>
      <c r="V24" s="110" t="str">
        <f>IF(Refsz_Verbräuche[[#Headers],[2035]]=Startseite!$D$68,IF(OR(SUMIF($F24:Refsz_Verbräuche[[#This Row],[2030]],"&gt;0")&gt;0,), AVERAGEIF($F24:Refsz_Verbräuche[[#This Row],[2030]],"&lt;&gt;"""), ""),IF(Startseite!$D$68=(Refsz_Verbräuche[[#Headers],[2035]]-1),Refsz_Verbräuche[[#This Row],[2030]],IF(Startseite!$D$68&lt;Refsz_Verbräuche[[#Headers],[2035]],Refsz_Verbräuche[[#This Row],[2030]],"")))</f>
        <v/>
      </c>
      <c r="W24" s="110" t="str">
        <f>IF(Refsz_Verbräuche[[#Headers],[2040]]=Startseite!$D$68,IF(OR(SUMIF($F24:Refsz_Verbräuche[[#This Row],[2035]],"&gt;0")&gt;0,), AVERAGEIF($F24:Refsz_Verbräuche[[#This Row],[2035]],"&lt;&gt;"""), ""),IF(Startseite!$D$68=(Refsz_Verbräuche[[#Headers],[2040]]-1),Refsz_Verbräuche[[#This Row],[2035]],IF(Startseite!$D$68&lt;Refsz_Verbräuche[[#Headers],[2040]],Refsz_Verbräuche[[#This Row],[2035]],"")))</f>
        <v/>
      </c>
      <c r="X24" s="110" t="str">
        <f>IF(Refsz_Verbräuche[[#Headers],[2045]]=Startseite!$D$68,IF(OR(SUMIF($F24:Refsz_Verbräuche[[#This Row],[2040]],"&gt;0")&gt;0,), AVERAGEIF($F24:Refsz_Verbräuche[[#This Row],[2040]],"&lt;&gt;"""), ""),IF(Startseite!$D$68=(Refsz_Verbräuche[[#Headers],[2045]]-1),Refsz_Verbräuche[[#This Row],[2040]],IF(Startseite!$D$68&lt;Refsz_Verbräuche[[#Headers],[2045]],Refsz_Verbräuche[[#This Row],[2040]],"")))</f>
        <v/>
      </c>
      <c r="Y24" s="110" t="str">
        <f>IF(Refsz_Verbräuche[[#Headers],[2050]]=Startseite!$D$68,IF(OR(SUMIF($F24:Refsz_Verbräuche[[#This Row],[2045]],"&gt;0")&gt;0,), AVERAGEIF($F24:Refsz_Verbräuche[[#This Row],[2045]],"&lt;&gt;"""), ""),IF(Startseite!$D$68=(Refsz_Verbräuche[[#Headers],[2050]]-1),Refsz_Verbräuche[[#This Row],[2045]],IF(Startseite!$D$68&lt;Refsz_Verbräuche[[#Headers],[2050]],Refsz_Verbräuche[[#This Row],[2045]],"")))</f>
        <v/>
      </c>
      <c r="AA24" s="14"/>
    </row>
    <row r="25" spans="2:27">
      <c r="B25" s="14">
        <v>8</v>
      </c>
      <c r="C25" s="14" t="s">
        <v>198</v>
      </c>
      <c r="D25" s="42" t="str">
        <f>_xlfn.CONCAT("Individueller Strommix ",'Strommix &amp; BHKW'!B27)</f>
        <v>Individueller Strommix Einrichtung 6</v>
      </c>
      <c r="E25" t="s">
        <v>42</v>
      </c>
      <c r="F25" s="110"/>
      <c r="G25" s="110"/>
      <c r="H25" s="110"/>
      <c r="I25" s="110"/>
      <c r="J25" s="110"/>
      <c r="K25" s="110"/>
      <c r="L25" s="110"/>
      <c r="M25" s="110" t="str">
        <f>IF(Refsz_Verbräuche[[#Headers],[2022]]=Startseite!$D$68,IF(OR(SUMIF($F25:Refsz_Verbräuche[[#This Row],[2021]],"&gt;0")&gt;0,), AVERAGEIF($F25:Refsz_Verbräuche[[#This Row],[2021]],"&lt;&gt;"""), ""),IF(Startseite!$D$68=(Refsz_Verbräuche[[#Headers],[2022]]-1),Refsz_Verbräuche[[#This Row],[2021]],IF(Startseite!$D$68&lt;Refsz_Verbräuche[[#Headers],[2022]],Refsz_Verbräuche[[#This Row],[2021]],"")))</f>
        <v/>
      </c>
      <c r="N25" s="110" t="str">
        <f>IF(Refsz_Verbräuche[[#Headers],[2023]]=Startseite!$D$68,IF(OR(SUMIF($F25:Refsz_Verbräuche[[#This Row],[2022]],"&gt;0")&gt;0,), AVERAGEIF($F25:Refsz_Verbräuche[[#This Row],[2022]],"&lt;&gt;"""), ""),IF(Startseite!$D$68=(Refsz_Verbräuche[[#Headers],[2023]]-1),Refsz_Verbräuche[[#This Row],[2022]],IF(Startseite!$D$68&lt;Refsz_Verbräuche[[#Headers],[2023]],Refsz_Verbräuche[[#This Row],[2022]],"")))</f>
        <v/>
      </c>
      <c r="O25" s="110" t="str">
        <f>IF(Refsz_Verbräuche[[#Headers],[2024]]=Startseite!$D$68,IF(OR(SUMIF($F25:Refsz_Verbräuche[[#This Row],[2023]],"&gt;0")&gt;0,), AVERAGEIF($F25:Refsz_Verbräuche[[#This Row],[2023]],"&lt;&gt;"""), ""),IF(Startseite!$D$68=(Refsz_Verbräuche[[#Headers],[2024]]-1),Refsz_Verbräuche[[#This Row],[2023]],IF(Startseite!$D$68&lt;Refsz_Verbräuche[[#Headers],[2024]],Refsz_Verbräuche[[#This Row],[2023]],"")))</f>
        <v/>
      </c>
      <c r="P25" s="110" t="str">
        <f>IF(Refsz_Verbräuche[[#Headers],[2025]]=Startseite!$D$68,IF(OR(SUMIF($F25:Refsz_Verbräuche[[#This Row],[2024]],"&gt;0")&gt;0,), AVERAGEIF($F25:Refsz_Verbräuche[[#This Row],[2024]],"&lt;&gt;"""), ""),IF(Startseite!$D$68=(Refsz_Verbräuche[[#Headers],[2025]]-1),Refsz_Verbräuche[[#This Row],[2024]],IF(Startseite!$D$68&lt;Refsz_Verbräuche[[#Headers],[2025]],Refsz_Verbräuche[[#This Row],[2024]],"")))</f>
        <v/>
      </c>
      <c r="Q25" s="110" t="str">
        <f>IF(Refsz_Verbräuche[[#Headers],[2026]]=Startseite!$D$68,IF(OR(SUMIF($F25:Refsz_Verbräuche[[#This Row],[2025]],"&gt;0")&gt;0,), AVERAGEIF($F25:Refsz_Verbräuche[[#This Row],[2025]],"&lt;&gt;"""), ""),IF(Startseite!$D$68=(Refsz_Verbräuche[[#Headers],[2026]]-1),Refsz_Verbräuche[[#This Row],[2025]],IF(Startseite!$D$68&lt;Refsz_Verbräuche[[#Headers],[2026]],Refsz_Verbräuche[[#This Row],[2025]],"")))</f>
        <v/>
      </c>
      <c r="R25" s="110" t="str">
        <f>IF(Refsz_Verbräuche[[#Headers],[2027]]=Startseite!$D$68,IF(OR(SUMIF($F25:Refsz_Verbräuche[[#This Row],[2026]],"&gt;0")&gt;0,), AVERAGEIF($F25:Refsz_Verbräuche[[#This Row],[2026]],"&lt;&gt;"""), ""),IF(Startseite!$D$68=(Refsz_Verbräuche[[#Headers],[2027]]-1),Refsz_Verbräuche[[#This Row],[2026]],IF(Startseite!$D$68&lt;Refsz_Verbräuche[[#Headers],[2027]],Refsz_Verbräuche[[#This Row],[2026]],"")))</f>
        <v/>
      </c>
      <c r="S25" s="110" t="str">
        <f>IF(Refsz_Verbräuche[[#Headers],[2028]]=Startseite!$D$68,IF(OR(SUMIF($F25:Refsz_Verbräuche[[#This Row],[2027]],"&gt;0")&gt;0,), AVERAGEIF($F25:Refsz_Verbräuche[[#This Row],[2027]],"&lt;&gt;"""), ""),IF(Startseite!$D$68=(Refsz_Verbräuche[[#Headers],[2028]]-1),Refsz_Verbräuche[[#This Row],[2027]],IF(Startseite!$D$68&lt;Refsz_Verbräuche[[#Headers],[2028]],Refsz_Verbräuche[[#This Row],[2027]],"")))</f>
        <v/>
      </c>
      <c r="T25" s="110" t="str">
        <f>IF(Refsz_Verbräuche[[#Headers],[2029]]=Startseite!$D$68,IF(OR(SUMIF($F25:Refsz_Verbräuche[[#This Row],[2028]],"&gt;0")&gt;0,), AVERAGEIF($F25:Refsz_Verbräuche[[#This Row],[2028]],"&lt;&gt;"""), ""),IF(Startseite!$D$68=(Refsz_Verbräuche[[#Headers],[2029]]-1),Refsz_Verbräuche[[#This Row],[2028]],IF(Startseite!$D$68&lt;Refsz_Verbräuche[[#Headers],[2029]],Refsz_Verbräuche[[#This Row],[2028]],"")))</f>
        <v/>
      </c>
      <c r="U25" s="110" t="str">
        <f>IF(Refsz_Verbräuche[[#Headers],[2030]]=Startseite!$D$68,IF(OR(SUMIF($F25:Refsz_Verbräuche[[#This Row],[2029]],"&gt;0")&gt;0,), AVERAGEIF($F25:Refsz_Verbräuche[[#This Row],[2029]],"&lt;&gt;"""), ""),IF(Startseite!$D$68=(Refsz_Verbräuche[[#Headers],[2030]]-1),Refsz_Verbräuche[[#This Row],[2029]],IF(Startseite!$D$68&lt;Refsz_Verbräuche[[#Headers],[2030]],Refsz_Verbräuche[[#This Row],[2029]],"")))</f>
        <v/>
      </c>
      <c r="V25" s="110" t="str">
        <f>IF(Refsz_Verbräuche[[#Headers],[2035]]=Startseite!$D$68,IF(OR(SUMIF($F25:Refsz_Verbräuche[[#This Row],[2030]],"&gt;0")&gt;0,), AVERAGEIF($F25:Refsz_Verbräuche[[#This Row],[2030]],"&lt;&gt;"""), ""),IF(Startseite!$D$68=(Refsz_Verbräuche[[#Headers],[2035]]-1),Refsz_Verbräuche[[#This Row],[2030]],IF(Startseite!$D$68&lt;Refsz_Verbräuche[[#Headers],[2035]],Refsz_Verbräuche[[#This Row],[2030]],"")))</f>
        <v/>
      </c>
      <c r="W25" s="110" t="str">
        <f>IF(Refsz_Verbräuche[[#Headers],[2040]]=Startseite!$D$68,IF(OR(SUMIF($F25:Refsz_Verbräuche[[#This Row],[2035]],"&gt;0")&gt;0,), AVERAGEIF($F25:Refsz_Verbräuche[[#This Row],[2035]],"&lt;&gt;"""), ""),IF(Startseite!$D$68=(Refsz_Verbräuche[[#Headers],[2040]]-1),Refsz_Verbräuche[[#This Row],[2035]],IF(Startseite!$D$68&lt;Refsz_Verbräuche[[#Headers],[2040]],Refsz_Verbräuche[[#This Row],[2035]],"")))</f>
        <v/>
      </c>
      <c r="X25" s="110" t="str">
        <f>IF(Refsz_Verbräuche[[#Headers],[2045]]=Startseite!$D$68,IF(OR(SUMIF($F25:Refsz_Verbräuche[[#This Row],[2040]],"&gt;0")&gt;0,), AVERAGEIF($F25:Refsz_Verbräuche[[#This Row],[2040]],"&lt;&gt;"""), ""),IF(Startseite!$D$68=(Refsz_Verbräuche[[#Headers],[2045]]-1),Refsz_Verbräuche[[#This Row],[2040]],IF(Startseite!$D$68&lt;Refsz_Verbräuche[[#Headers],[2045]],Refsz_Verbräuche[[#This Row],[2040]],"")))</f>
        <v/>
      </c>
      <c r="Y25" s="110" t="str">
        <f>IF(Refsz_Verbräuche[[#Headers],[2050]]=Startseite!$D$68,IF(OR(SUMIF($F25:Refsz_Verbräuche[[#This Row],[2045]],"&gt;0")&gt;0,), AVERAGEIF($F25:Refsz_Verbräuche[[#This Row],[2045]],"&lt;&gt;"""), ""),IF(Startseite!$D$68=(Refsz_Verbräuche[[#Headers],[2050]]-1),Refsz_Verbräuche[[#This Row],[2045]],IF(Startseite!$D$68&lt;Refsz_Verbräuche[[#Headers],[2050]],Refsz_Verbräuche[[#This Row],[2045]],"")))</f>
        <v/>
      </c>
      <c r="AA25" s="14"/>
    </row>
    <row r="26" spans="2:27" hidden="1">
      <c r="B26" s="14">
        <v>9</v>
      </c>
      <c r="C26" s="14" t="s">
        <v>198</v>
      </c>
      <c r="D26" s="42" t="s">
        <v>521</v>
      </c>
      <c r="E26" s="45" t="s">
        <v>222</v>
      </c>
      <c r="F26" s="172"/>
      <c r="G26" s="172"/>
      <c r="H26" s="172"/>
      <c r="I26" s="172"/>
      <c r="J26" s="172"/>
      <c r="K26" s="172"/>
      <c r="L26" s="172"/>
      <c r="M26" s="172" t="str">
        <f>IF(Refsz_Verbräuche[[#Headers],[2022]]=Startseite!$D$68,IF(OR(SUMIF($F26:Refsz_Verbräuche[[#This Row],[2021]],"&gt;0")&gt;0,), AVERAGEIF($F26:Refsz_Verbräuche[[#This Row],[2021]],"&lt;&gt;"""), ""),IF(Startseite!$D$68=(Refsz_Verbräuche[[#Headers],[2022]]-1),Refsz_Verbräuche[[#This Row],[2021]],IF(Startseite!$D$68&lt;Refsz_Verbräuche[[#Headers],[2022]],Refsz_Verbräuche[[#This Row],[2021]],"")))</f>
        <v/>
      </c>
      <c r="N26" s="172" t="str">
        <f>IF(Refsz_Verbräuche[[#Headers],[2023]]=Startseite!$D$68,IF(OR(SUMIF($F26:Refsz_Verbräuche[[#This Row],[2022]],"&gt;0")&gt;0,), AVERAGEIF($F26:Refsz_Verbräuche[[#This Row],[2022]],"&lt;&gt;"""), ""),IF(Startseite!$D$68=(Refsz_Verbräuche[[#Headers],[2023]]-1),Refsz_Verbräuche[[#This Row],[2022]],IF(Startseite!$D$68&lt;Refsz_Verbräuche[[#Headers],[2023]],Refsz_Verbräuche[[#This Row],[2022]],"")))</f>
        <v/>
      </c>
      <c r="O26" s="172" t="str">
        <f>IF(Refsz_Verbräuche[[#Headers],[2024]]=Startseite!$D$68,IF(OR(SUMIF($F26:Refsz_Verbräuche[[#This Row],[2023]],"&gt;0")&gt;0,), AVERAGEIF($F26:Refsz_Verbräuche[[#This Row],[2023]],"&lt;&gt;"""), ""),IF(Startseite!$D$68=(Refsz_Verbräuche[[#Headers],[2024]]-1),Refsz_Verbräuche[[#This Row],[2023]],IF(Startseite!$D$68&lt;Refsz_Verbräuche[[#Headers],[2024]],Refsz_Verbräuche[[#This Row],[2023]],"")))</f>
        <v/>
      </c>
      <c r="P26" s="172" t="str">
        <f>IF(Refsz_Verbräuche[[#Headers],[2025]]=Startseite!$D$68,IF(OR(SUMIF($F26:Refsz_Verbräuche[[#This Row],[2024]],"&gt;0")&gt;0,), AVERAGEIF($F26:Refsz_Verbräuche[[#This Row],[2024]],"&lt;&gt;"""), ""),IF(Startseite!$D$68=(Refsz_Verbräuche[[#Headers],[2025]]-1),Refsz_Verbräuche[[#This Row],[2024]],IF(Startseite!$D$68&lt;Refsz_Verbräuche[[#Headers],[2025]],Refsz_Verbräuche[[#This Row],[2024]],"")))</f>
        <v/>
      </c>
      <c r="Q26" s="172" t="str">
        <f>IF(Refsz_Verbräuche[[#Headers],[2026]]=Startseite!$D$68,IF(OR(SUMIF($F26:Refsz_Verbräuche[[#This Row],[2025]],"&gt;0")&gt;0,), AVERAGEIF($F26:Refsz_Verbräuche[[#This Row],[2025]],"&lt;&gt;"""), ""),IF(Startseite!$D$68=(Refsz_Verbräuche[[#Headers],[2026]]-1),Refsz_Verbräuche[[#This Row],[2025]],IF(Startseite!$D$68&lt;Refsz_Verbräuche[[#Headers],[2026]],Refsz_Verbräuche[[#This Row],[2025]],"")))</f>
        <v/>
      </c>
      <c r="R26" s="172" t="str">
        <f>IF(Refsz_Verbräuche[[#Headers],[2027]]=Startseite!$D$68,IF(OR(SUMIF($F26:Refsz_Verbräuche[[#This Row],[2026]],"&gt;0")&gt;0,), AVERAGEIF($F26:Refsz_Verbräuche[[#This Row],[2026]],"&lt;&gt;"""), ""),IF(Startseite!$D$68=(Refsz_Verbräuche[[#Headers],[2027]]-1),Refsz_Verbräuche[[#This Row],[2026]],IF(Startseite!$D$68&lt;Refsz_Verbräuche[[#Headers],[2027]],Refsz_Verbräuche[[#This Row],[2026]],"")))</f>
        <v/>
      </c>
      <c r="S26" s="172" t="str">
        <f>IF(Refsz_Verbräuche[[#Headers],[2028]]=Startseite!$D$68,IF(OR(SUMIF($F26:Refsz_Verbräuche[[#This Row],[2027]],"&gt;0")&gt;0,), AVERAGEIF($F26:Refsz_Verbräuche[[#This Row],[2027]],"&lt;&gt;"""), ""),IF(Startseite!$D$68=(Refsz_Verbräuche[[#Headers],[2028]]-1),Refsz_Verbräuche[[#This Row],[2027]],IF(Startseite!$D$68&lt;Refsz_Verbräuche[[#Headers],[2028]],Refsz_Verbräuche[[#This Row],[2027]],"")))</f>
        <v/>
      </c>
      <c r="T26" s="172" t="str">
        <f>IF(Refsz_Verbräuche[[#Headers],[2029]]=Startseite!$D$68,IF(OR(SUMIF($F26:Refsz_Verbräuche[[#This Row],[2028]],"&gt;0")&gt;0,), AVERAGEIF($F26:Refsz_Verbräuche[[#This Row],[2028]],"&lt;&gt;"""), ""),IF(Startseite!$D$68=(Refsz_Verbräuche[[#Headers],[2029]]-1),Refsz_Verbräuche[[#This Row],[2028]],IF(Startseite!$D$68&lt;Refsz_Verbräuche[[#Headers],[2029]],Refsz_Verbräuche[[#This Row],[2028]],"")))</f>
        <v/>
      </c>
      <c r="U26" s="172" t="str">
        <f>IF(Refsz_Verbräuche[[#Headers],[2030]]=Startseite!$D$68,IF(OR(SUMIF($F26:Refsz_Verbräuche[[#This Row],[2029]],"&gt;0")&gt;0,), AVERAGEIF($F26:Refsz_Verbräuche[[#This Row],[2029]],"&lt;&gt;"""), ""),IF(Startseite!$D$68=(Refsz_Verbräuche[[#Headers],[2030]]-1),Refsz_Verbräuche[[#This Row],[2029]],IF(Startseite!$D$68&lt;Refsz_Verbräuche[[#Headers],[2030]],Refsz_Verbräuche[[#This Row],[2029]],"")))</f>
        <v/>
      </c>
      <c r="V26" s="172" t="str">
        <f>IF(Refsz_Verbräuche[[#Headers],[2035]]=Startseite!$D$68,IF(OR(SUMIF($F26:Refsz_Verbräuche[[#This Row],[2030]],"&gt;0")&gt;0,), AVERAGEIF($F26:Refsz_Verbräuche[[#This Row],[2030]],"&lt;&gt;"""), ""),IF(Startseite!$D$68=(Refsz_Verbräuche[[#Headers],[2035]]-1),Refsz_Verbräuche[[#This Row],[2030]],IF(Startseite!$D$68&lt;Refsz_Verbräuche[[#Headers],[2035]],Refsz_Verbräuche[[#This Row],[2030]],"")))</f>
        <v/>
      </c>
      <c r="W26" s="172" t="str">
        <f>IF(Refsz_Verbräuche[[#Headers],[2040]]=Startseite!$D$68,IF(OR(SUMIF($F26:Refsz_Verbräuche[[#This Row],[2035]],"&gt;0")&gt;0,), AVERAGEIF($F26:Refsz_Verbräuche[[#This Row],[2035]],"&lt;&gt;"""), ""),IF(Startseite!$D$68=(Refsz_Verbräuche[[#Headers],[2040]]-1),Refsz_Verbräuche[[#This Row],[2035]],IF(Startseite!$D$68&lt;Refsz_Verbräuche[[#Headers],[2040]],Refsz_Verbräuche[[#This Row],[2035]],"")))</f>
        <v/>
      </c>
      <c r="X26" s="172" t="str">
        <f>IF(Refsz_Verbräuche[[#Headers],[2045]]=Startseite!$D$68,IF(OR(SUMIF($F26:Refsz_Verbräuche[[#This Row],[2040]],"&gt;0")&gt;0,), AVERAGEIF($F26:Refsz_Verbräuche[[#This Row],[2040]],"&lt;&gt;"""), ""),IF(Startseite!$D$68=(Refsz_Verbräuche[[#Headers],[2045]]-1),Refsz_Verbräuche[[#This Row],[2040]],IF(Startseite!$D$68&lt;Refsz_Verbräuche[[#Headers],[2045]],Refsz_Verbräuche[[#This Row],[2040]],"")))</f>
        <v/>
      </c>
      <c r="Y26" s="172" t="str">
        <f>IF(Refsz_Verbräuche[[#Headers],[2050]]=Startseite!$D$68,IF(OR(SUMIF($F26:Refsz_Verbräuche[[#This Row],[2045]],"&gt;0")&gt;0,), AVERAGEIF($F26:Refsz_Verbräuche[[#This Row],[2045]],"&lt;&gt;"""), ""),IF(Startseite!$D$68=(Refsz_Verbräuche[[#Headers],[2050]]-1),Refsz_Verbräuche[[#This Row],[2045]],IF(Startseite!$D$68&lt;Refsz_Verbräuche[[#Headers],[2050]],Refsz_Verbräuche[[#This Row],[2045]],"")))</f>
        <v/>
      </c>
      <c r="AA26" s="14"/>
    </row>
    <row r="27" spans="2:27">
      <c r="B27" s="14">
        <v>10</v>
      </c>
      <c r="C27" s="14" t="s">
        <v>198</v>
      </c>
      <c r="D27" s="10" t="s">
        <v>522</v>
      </c>
      <c r="E27" t="s">
        <v>42</v>
      </c>
      <c r="F27" s="110"/>
      <c r="G27" s="110"/>
      <c r="H27" s="110"/>
      <c r="I27" s="110"/>
      <c r="J27" s="110"/>
      <c r="K27" s="110"/>
      <c r="L27" s="110"/>
      <c r="M27" s="110" t="str">
        <f>IF(Refsz_Verbräuche[[#Headers],[2022]]=Startseite!$D$68,IF(OR(SUMIF($F27:Refsz_Verbräuche[[#This Row],[2021]],"&gt;0")&gt;0,), AVERAGEIF($F27:Refsz_Verbräuche[[#This Row],[2021]],"&lt;&gt;"""), ""),IF(Startseite!$D$68=(Refsz_Verbräuche[[#Headers],[2022]]-1),Refsz_Verbräuche[[#This Row],[2021]],IF(Startseite!$D$68&lt;Refsz_Verbräuche[[#Headers],[2022]],Refsz_Verbräuche[[#This Row],[2021]],"")))</f>
        <v/>
      </c>
      <c r="N27" s="110" t="str">
        <f>IF(Refsz_Verbräuche[[#Headers],[2023]]=Startseite!$D$68,IF(OR(SUMIF($F27:Refsz_Verbräuche[[#This Row],[2022]],"&gt;0")&gt;0,), AVERAGEIF($F27:Refsz_Verbräuche[[#This Row],[2022]],"&lt;&gt;"""), ""),IF(Startseite!$D$68=(Refsz_Verbräuche[[#Headers],[2023]]-1),Refsz_Verbräuche[[#This Row],[2022]],IF(Startseite!$D$68&lt;Refsz_Verbräuche[[#Headers],[2023]],Refsz_Verbräuche[[#This Row],[2022]],"")))</f>
        <v/>
      </c>
      <c r="O27" s="110" t="str">
        <f>IF(Refsz_Verbräuche[[#Headers],[2024]]=Startseite!$D$68,IF(OR(SUMIF($F27:Refsz_Verbräuche[[#This Row],[2023]],"&gt;0")&gt;0,), AVERAGEIF($F27:Refsz_Verbräuche[[#This Row],[2023]],"&lt;&gt;"""), ""),IF(Startseite!$D$68=(Refsz_Verbräuche[[#Headers],[2024]]-1),Refsz_Verbräuche[[#This Row],[2023]],IF(Startseite!$D$68&lt;Refsz_Verbräuche[[#Headers],[2024]],Refsz_Verbräuche[[#This Row],[2023]],"")))</f>
        <v/>
      </c>
      <c r="P27" s="110" t="str">
        <f>IF(Refsz_Verbräuche[[#Headers],[2025]]=Startseite!$D$68,IF(OR(SUMIF($F27:Refsz_Verbräuche[[#This Row],[2024]],"&gt;0")&gt;0,), AVERAGEIF($F27:Refsz_Verbräuche[[#This Row],[2024]],"&lt;&gt;"""), ""),IF(Startseite!$D$68=(Refsz_Verbräuche[[#Headers],[2025]]-1),Refsz_Verbräuche[[#This Row],[2024]],IF(Startseite!$D$68&lt;Refsz_Verbräuche[[#Headers],[2025]],Refsz_Verbräuche[[#This Row],[2024]],"")))</f>
        <v/>
      </c>
      <c r="Q27" s="110" t="str">
        <f>IF(Refsz_Verbräuche[[#Headers],[2026]]=Startseite!$D$68,IF(OR(SUMIF($F27:Refsz_Verbräuche[[#This Row],[2025]],"&gt;0")&gt;0,), AVERAGEIF($F27:Refsz_Verbräuche[[#This Row],[2025]],"&lt;&gt;"""), ""),IF(Startseite!$D$68=(Refsz_Verbräuche[[#Headers],[2026]]-1),Refsz_Verbräuche[[#This Row],[2025]],IF(Startseite!$D$68&lt;Refsz_Verbräuche[[#Headers],[2026]],Refsz_Verbräuche[[#This Row],[2025]],"")))</f>
        <v/>
      </c>
      <c r="R27" s="110" t="str">
        <f>IF(Refsz_Verbräuche[[#Headers],[2027]]=Startseite!$D$68,IF(OR(SUMIF($F27:Refsz_Verbräuche[[#This Row],[2026]],"&gt;0")&gt;0,), AVERAGEIF($F27:Refsz_Verbräuche[[#This Row],[2026]],"&lt;&gt;"""), ""),IF(Startseite!$D$68=(Refsz_Verbräuche[[#Headers],[2027]]-1),Refsz_Verbräuche[[#This Row],[2026]],IF(Startseite!$D$68&lt;Refsz_Verbräuche[[#Headers],[2027]],Refsz_Verbräuche[[#This Row],[2026]],"")))</f>
        <v/>
      </c>
      <c r="S27" s="110" t="str">
        <f>IF(Refsz_Verbräuche[[#Headers],[2028]]=Startseite!$D$68,IF(OR(SUMIF($F27:Refsz_Verbräuche[[#This Row],[2027]],"&gt;0")&gt;0,), AVERAGEIF($F27:Refsz_Verbräuche[[#This Row],[2027]],"&lt;&gt;"""), ""),IF(Startseite!$D$68=(Refsz_Verbräuche[[#Headers],[2028]]-1),Refsz_Verbräuche[[#This Row],[2027]],IF(Startseite!$D$68&lt;Refsz_Verbräuche[[#Headers],[2028]],Refsz_Verbräuche[[#This Row],[2027]],"")))</f>
        <v/>
      </c>
      <c r="T27" s="110" t="str">
        <f>IF(Refsz_Verbräuche[[#Headers],[2029]]=Startseite!$D$68,IF(OR(SUMIF($F27:Refsz_Verbräuche[[#This Row],[2028]],"&gt;0")&gt;0,), AVERAGEIF($F27:Refsz_Verbräuche[[#This Row],[2028]],"&lt;&gt;"""), ""),IF(Startseite!$D$68=(Refsz_Verbräuche[[#Headers],[2029]]-1),Refsz_Verbräuche[[#This Row],[2028]],IF(Startseite!$D$68&lt;Refsz_Verbräuche[[#Headers],[2029]],Refsz_Verbräuche[[#This Row],[2028]],"")))</f>
        <v/>
      </c>
      <c r="U27" s="110" t="str">
        <f>IF(Refsz_Verbräuche[[#Headers],[2030]]=Startseite!$D$68,IF(OR(SUMIF($F27:Refsz_Verbräuche[[#This Row],[2029]],"&gt;0")&gt;0,), AVERAGEIF($F27:Refsz_Verbräuche[[#This Row],[2029]],"&lt;&gt;"""), ""),IF(Startseite!$D$68=(Refsz_Verbräuche[[#Headers],[2030]]-1),Refsz_Verbräuche[[#This Row],[2029]],IF(Startseite!$D$68&lt;Refsz_Verbräuche[[#Headers],[2030]],Refsz_Verbräuche[[#This Row],[2029]],"")))</f>
        <v/>
      </c>
      <c r="V27" s="110" t="str">
        <f>IF(Refsz_Verbräuche[[#Headers],[2035]]=Startseite!$D$68,IF(OR(SUMIF($F27:Refsz_Verbräuche[[#This Row],[2030]],"&gt;0")&gt;0,), AVERAGEIF($F27:Refsz_Verbräuche[[#This Row],[2030]],"&lt;&gt;"""), ""),IF(Startseite!$D$68=(Refsz_Verbräuche[[#Headers],[2035]]-1),Refsz_Verbräuche[[#This Row],[2030]],IF(Startseite!$D$68&lt;Refsz_Verbräuche[[#Headers],[2035]],Refsz_Verbräuche[[#This Row],[2030]],"")))</f>
        <v/>
      </c>
      <c r="W27" s="110" t="str">
        <f>IF(Refsz_Verbräuche[[#Headers],[2040]]=Startseite!$D$68,IF(OR(SUMIF($F27:Refsz_Verbräuche[[#This Row],[2035]],"&gt;0")&gt;0,), AVERAGEIF($F27:Refsz_Verbräuche[[#This Row],[2035]],"&lt;&gt;"""), ""),IF(Startseite!$D$68=(Refsz_Verbräuche[[#Headers],[2040]]-1),Refsz_Verbräuche[[#This Row],[2035]],IF(Startseite!$D$68&lt;Refsz_Verbräuche[[#Headers],[2040]],Refsz_Verbräuche[[#This Row],[2035]],"")))</f>
        <v/>
      </c>
      <c r="X27" s="110" t="str">
        <f>IF(Refsz_Verbräuche[[#Headers],[2045]]=Startseite!$D$68,IF(OR(SUMIF($F27:Refsz_Verbräuche[[#This Row],[2040]],"&gt;0")&gt;0,), AVERAGEIF($F27:Refsz_Verbräuche[[#This Row],[2040]],"&lt;&gt;"""), ""),IF(Startseite!$D$68=(Refsz_Verbräuche[[#Headers],[2045]]-1),Refsz_Verbräuche[[#This Row],[2040]],IF(Startseite!$D$68&lt;Refsz_Verbräuche[[#Headers],[2045]],Refsz_Verbräuche[[#This Row],[2040]],"")))</f>
        <v/>
      </c>
      <c r="Y27" s="110" t="str">
        <f>IF(Refsz_Verbräuche[[#Headers],[2050]]=Startseite!$D$68,IF(OR(SUMIF($F27:Refsz_Verbräuche[[#This Row],[2045]],"&gt;0")&gt;0,), AVERAGEIF($F27:Refsz_Verbräuche[[#This Row],[2045]],"&lt;&gt;"""), ""),IF(Startseite!$D$68=(Refsz_Verbräuche[[#Headers],[2050]]-1),Refsz_Verbräuche[[#This Row],[2045]],IF(Startseite!$D$68&lt;Refsz_Verbräuche[[#Headers],[2050]],Refsz_Verbräuche[[#This Row],[2045]],"")))</f>
        <v/>
      </c>
      <c r="AA27" s="14"/>
    </row>
    <row r="28" spans="2:27">
      <c r="B28" s="14">
        <v>11</v>
      </c>
      <c r="C28" s="14" t="s">
        <v>198</v>
      </c>
      <c r="D28" s="10" t="s">
        <v>523</v>
      </c>
      <c r="E28" t="s">
        <v>42</v>
      </c>
      <c r="F28" s="110"/>
      <c r="G28" s="110"/>
      <c r="H28" s="110"/>
      <c r="I28" s="110"/>
      <c r="J28" s="110"/>
      <c r="K28" s="110"/>
      <c r="L28" s="110"/>
      <c r="M28" s="110" t="str">
        <f>IF(Refsz_Verbräuche[[#Headers],[2022]]=Startseite!$D$68,IF(OR(SUMIF($F28:Refsz_Verbräuche[[#This Row],[2021]],"&gt;0")&gt;0,), AVERAGEIF($F28:Refsz_Verbräuche[[#This Row],[2021]],"&lt;&gt;"""), ""),IF(Startseite!$D$68=(Refsz_Verbräuche[[#Headers],[2022]]-1),Refsz_Verbräuche[[#This Row],[2021]],IF(Startseite!$D$68&lt;Refsz_Verbräuche[[#Headers],[2022]],Refsz_Verbräuche[[#This Row],[2021]],"")))</f>
        <v/>
      </c>
      <c r="N28" s="110" t="str">
        <f>IF(Refsz_Verbräuche[[#Headers],[2023]]=Startseite!$D$68,IF(OR(SUMIF($F28:Refsz_Verbräuche[[#This Row],[2022]],"&gt;0")&gt;0,), AVERAGEIF($F28:Refsz_Verbräuche[[#This Row],[2022]],"&lt;&gt;"""), ""),IF(Startseite!$D$68=(Refsz_Verbräuche[[#Headers],[2023]]-1),Refsz_Verbräuche[[#This Row],[2022]],IF(Startseite!$D$68&lt;Refsz_Verbräuche[[#Headers],[2023]],Refsz_Verbräuche[[#This Row],[2022]],"")))</f>
        <v/>
      </c>
      <c r="O28" s="110" t="str">
        <f>IF(Refsz_Verbräuche[[#Headers],[2024]]=Startseite!$D$68,IF(OR(SUMIF($F28:Refsz_Verbräuche[[#This Row],[2023]],"&gt;0")&gt;0,), AVERAGEIF($F28:Refsz_Verbräuche[[#This Row],[2023]],"&lt;&gt;"""), ""),IF(Startseite!$D$68=(Refsz_Verbräuche[[#Headers],[2024]]-1),Refsz_Verbräuche[[#This Row],[2023]],IF(Startseite!$D$68&lt;Refsz_Verbräuche[[#Headers],[2024]],Refsz_Verbräuche[[#This Row],[2023]],"")))</f>
        <v/>
      </c>
      <c r="P28" s="110" t="str">
        <f>IF(Refsz_Verbräuche[[#Headers],[2025]]=Startseite!$D$68,IF(OR(SUMIF($F28:Refsz_Verbräuche[[#This Row],[2024]],"&gt;0")&gt;0,), AVERAGEIF($F28:Refsz_Verbräuche[[#This Row],[2024]],"&lt;&gt;"""), ""),IF(Startseite!$D$68=(Refsz_Verbräuche[[#Headers],[2025]]-1),Refsz_Verbräuche[[#This Row],[2024]],IF(Startseite!$D$68&lt;Refsz_Verbräuche[[#Headers],[2025]],Refsz_Verbräuche[[#This Row],[2024]],"")))</f>
        <v/>
      </c>
      <c r="Q28" s="110" t="str">
        <f>IF(Refsz_Verbräuche[[#Headers],[2026]]=Startseite!$D$68,IF(OR(SUMIF($F28:Refsz_Verbräuche[[#This Row],[2025]],"&gt;0")&gt;0,), AVERAGEIF($F28:Refsz_Verbräuche[[#This Row],[2025]],"&lt;&gt;"""), ""),IF(Startseite!$D$68=(Refsz_Verbräuche[[#Headers],[2026]]-1),Refsz_Verbräuche[[#This Row],[2025]],IF(Startseite!$D$68&lt;Refsz_Verbräuche[[#Headers],[2026]],Refsz_Verbräuche[[#This Row],[2025]],"")))</f>
        <v/>
      </c>
      <c r="R28" s="110" t="str">
        <f>IF(Refsz_Verbräuche[[#Headers],[2027]]=Startseite!$D$68,IF(OR(SUMIF($F28:Refsz_Verbräuche[[#This Row],[2026]],"&gt;0")&gt;0,), AVERAGEIF($F28:Refsz_Verbräuche[[#This Row],[2026]],"&lt;&gt;"""), ""),IF(Startseite!$D$68=(Refsz_Verbräuche[[#Headers],[2027]]-1),Refsz_Verbräuche[[#This Row],[2026]],IF(Startseite!$D$68&lt;Refsz_Verbräuche[[#Headers],[2027]],Refsz_Verbräuche[[#This Row],[2026]],"")))</f>
        <v/>
      </c>
      <c r="S28" s="110" t="str">
        <f>IF(Refsz_Verbräuche[[#Headers],[2028]]=Startseite!$D$68,IF(OR(SUMIF($F28:Refsz_Verbräuche[[#This Row],[2027]],"&gt;0")&gt;0,), AVERAGEIF($F28:Refsz_Verbräuche[[#This Row],[2027]],"&lt;&gt;"""), ""),IF(Startseite!$D$68=(Refsz_Verbräuche[[#Headers],[2028]]-1),Refsz_Verbräuche[[#This Row],[2027]],IF(Startseite!$D$68&lt;Refsz_Verbräuche[[#Headers],[2028]],Refsz_Verbräuche[[#This Row],[2027]],"")))</f>
        <v/>
      </c>
      <c r="T28" s="110" t="str">
        <f>IF(Refsz_Verbräuche[[#Headers],[2029]]=Startseite!$D$68,IF(OR(SUMIF($F28:Refsz_Verbräuche[[#This Row],[2028]],"&gt;0")&gt;0,), AVERAGEIF($F28:Refsz_Verbräuche[[#This Row],[2028]],"&lt;&gt;"""), ""),IF(Startseite!$D$68=(Refsz_Verbräuche[[#Headers],[2029]]-1),Refsz_Verbräuche[[#This Row],[2028]],IF(Startseite!$D$68&lt;Refsz_Verbräuche[[#Headers],[2029]],Refsz_Verbräuche[[#This Row],[2028]],"")))</f>
        <v/>
      </c>
      <c r="U28" s="110" t="str">
        <f>IF(Refsz_Verbräuche[[#Headers],[2030]]=Startseite!$D$68,IF(OR(SUMIF($F28:Refsz_Verbräuche[[#This Row],[2029]],"&gt;0")&gt;0,), AVERAGEIF($F28:Refsz_Verbräuche[[#This Row],[2029]],"&lt;&gt;"""), ""),IF(Startseite!$D$68=(Refsz_Verbräuche[[#Headers],[2030]]-1),Refsz_Verbräuche[[#This Row],[2029]],IF(Startseite!$D$68&lt;Refsz_Verbräuche[[#Headers],[2030]],Refsz_Verbräuche[[#This Row],[2029]],"")))</f>
        <v/>
      </c>
      <c r="V28" s="110" t="str">
        <f>IF(Refsz_Verbräuche[[#Headers],[2035]]=Startseite!$D$68,IF(OR(SUMIF($F28:Refsz_Verbräuche[[#This Row],[2030]],"&gt;0")&gt;0,), AVERAGEIF($F28:Refsz_Verbräuche[[#This Row],[2030]],"&lt;&gt;"""), ""),IF(Startseite!$D$68=(Refsz_Verbräuche[[#Headers],[2035]]-1),Refsz_Verbräuche[[#This Row],[2030]],IF(Startseite!$D$68&lt;Refsz_Verbräuche[[#Headers],[2035]],Refsz_Verbräuche[[#This Row],[2030]],"")))</f>
        <v/>
      </c>
      <c r="W28" s="110" t="str">
        <f>IF(Refsz_Verbräuche[[#Headers],[2040]]=Startseite!$D$68,IF(OR(SUMIF($F28:Refsz_Verbräuche[[#This Row],[2035]],"&gt;0")&gt;0,), AVERAGEIF($F28:Refsz_Verbräuche[[#This Row],[2035]],"&lt;&gt;"""), ""),IF(Startseite!$D$68=(Refsz_Verbräuche[[#Headers],[2040]]-1),Refsz_Verbräuche[[#This Row],[2035]],IF(Startseite!$D$68&lt;Refsz_Verbräuche[[#Headers],[2040]],Refsz_Verbräuche[[#This Row],[2035]],"")))</f>
        <v/>
      </c>
      <c r="X28" s="110" t="str">
        <f>IF(Refsz_Verbräuche[[#Headers],[2045]]=Startseite!$D$68,IF(OR(SUMIF($F28:Refsz_Verbräuche[[#This Row],[2040]],"&gt;0")&gt;0,), AVERAGEIF($F28:Refsz_Verbräuche[[#This Row],[2040]],"&lt;&gt;"""), ""),IF(Startseite!$D$68=(Refsz_Verbräuche[[#Headers],[2045]]-1),Refsz_Verbräuche[[#This Row],[2040]],IF(Startseite!$D$68&lt;Refsz_Verbräuche[[#Headers],[2045]],Refsz_Verbräuche[[#This Row],[2040]],"")))</f>
        <v/>
      </c>
      <c r="Y28" s="110" t="str">
        <f>IF(Refsz_Verbräuche[[#Headers],[2050]]=Startseite!$D$68,IF(OR(SUMIF($F28:Refsz_Verbräuche[[#This Row],[2045]],"&gt;0")&gt;0,), AVERAGEIF($F28:Refsz_Verbräuche[[#This Row],[2045]],"&lt;&gt;"""), ""),IF(Startseite!$D$68=(Refsz_Verbräuche[[#Headers],[2050]]-1),Refsz_Verbräuche[[#This Row],[2045]],IF(Startseite!$D$68&lt;Refsz_Verbräuche[[#Headers],[2050]],Refsz_Verbräuche[[#This Row],[2045]],"")))</f>
        <v/>
      </c>
      <c r="AA28" s="14"/>
    </row>
    <row r="29" spans="2:27">
      <c r="B29" s="14">
        <v>12</v>
      </c>
      <c r="C29" s="14" t="s">
        <v>199</v>
      </c>
      <c r="D29" s="10" t="s">
        <v>130</v>
      </c>
      <c r="E29" t="s">
        <v>42</v>
      </c>
      <c r="F29" s="110"/>
      <c r="G29" s="110"/>
      <c r="H29" s="110"/>
      <c r="I29" s="110"/>
      <c r="J29" s="110"/>
      <c r="K29" s="110"/>
      <c r="L29" s="110"/>
      <c r="M29" s="110" t="str">
        <f>IF(Refsz_Verbräuche[[#Headers],[2022]]=Startseite!$D$68,IF(OR(SUMIF($F29:Refsz_Verbräuche[[#This Row],[2021]],"&gt;0")&gt;0,), AVERAGEIF($F29:Refsz_Verbräuche[[#This Row],[2021]],"&lt;&gt;"""), ""),IF(Startseite!$D$68=(Refsz_Verbräuche[[#Headers],[2022]]-1),Refsz_Verbräuche[[#This Row],[2021]],IF(Startseite!$D$68&lt;Refsz_Verbräuche[[#Headers],[2022]],Refsz_Verbräuche[[#This Row],[2021]],"")))</f>
        <v/>
      </c>
      <c r="N29" s="110" t="str">
        <f>IF(Refsz_Verbräuche[[#Headers],[2023]]=Startseite!$D$68,IF(OR(SUMIF($F29:Refsz_Verbräuche[[#This Row],[2022]],"&gt;0")&gt;0,), AVERAGEIF($F29:Refsz_Verbräuche[[#This Row],[2022]],"&lt;&gt;"""), ""),IF(Startseite!$D$68=(Refsz_Verbräuche[[#Headers],[2023]]-1),Refsz_Verbräuche[[#This Row],[2022]],IF(Startseite!$D$68&lt;Refsz_Verbräuche[[#Headers],[2023]],Refsz_Verbräuche[[#This Row],[2022]],"")))</f>
        <v/>
      </c>
      <c r="O29" s="110" t="str">
        <f>IF(Refsz_Verbräuche[[#Headers],[2024]]=Startseite!$D$68,IF(OR(SUMIF($F29:Refsz_Verbräuche[[#This Row],[2023]],"&gt;0")&gt;0,), AVERAGEIF($F29:Refsz_Verbräuche[[#This Row],[2023]],"&lt;&gt;"""), ""),IF(Startseite!$D$68=(Refsz_Verbräuche[[#Headers],[2024]]-1),Refsz_Verbräuche[[#This Row],[2023]],IF(Startseite!$D$68&lt;Refsz_Verbräuche[[#Headers],[2024]],Refsz_Verbräuche[[#This Row],[2023]],"")))</f>
        <v/>
      </c>
      <c r="P29" s="110" t="str">
        <f>IF(Refsz_Verbräuche[[#Headers],[2025]]=Startseite!$D$68,IF(OR(SUMIF($F29:Refsz_Verbräuche[[#This Row],[2024]],"&gt;0")&gt;0,), AVERAGEIF($F29:Refsz_Verbräuche[[#This Row],[2024]],"&lt;&gt;"""), ""),IF(Startseite!$D$68=(Refsz_Verbräuche[[#Headers],[2025]]-1),Refsz_Verbräuche[[#This Row],[2024]],IF(Startseite!$D$68&lt;Refsz_Verbräuche[[#Headers],[2025]],Refsz_Verbräuche[[#This Row],[2024]],"")))</f>
        <v/>
      </c>
      <c r="Q29" s="110" t="str">
        <f>IF(Refsz_Verbräuche[[#Headers],[2026]]=Startseite!$D$68,IF(OR(SUMIF($F29:Refsz_Verbräuche[[#This Row],[2025]],"&gt;0")&gt;0,), AVERAGEIF($F29:Refsz_Verbräuche[[#This Row],[2025]],"&lt;&gt;"""), ""),IF(Startseite!$D$68=(Refsz_Verbräuche[[#Headers],[2026]]-1),Refsz_Verbräuche[[#This Row],[2025]],IF(Startseite!$D$68&lt;Refsz_Verbräuche[[#Headers],[2026]],Refsz_Verbräuche[[#This Row],[2025]],"")))</f>
        <v/>
      </c>
      <c r="R29" s="110" t="str">
        <f>IF(Refsz_Verbräuche[[#Headers],[2027]]=Startseite!$D$68,IF(OR(SUMIF($F29:Refsz_Verbräuche[[#This Row],[2026]],"&gt;0")&gt;0,), AVERAGEIF($F29:Refsz_Verbräuche[[#This Row],[2026]],"&lt;&gt;"""), ""),IF(Startseite!$D$68=(Refsz_Verbräuche[[#Headers],[2027]]-1),Refsz_Verbräuche[[#This Row],[2026]],IF(Startseite!$D$68&lt;Refsz_Verbräuche[[#Headers],[2027]],Refsz_Verbräuche[[#This Row],[2026]],"")))</f>
        <v/>
      </c>
      <c r="S29" s="110" t="str">
        <f>IF(Refsz_Verbräuche[[#Headers],[2028]]=Startseite!$D$68,IF(OR(SUMIF($F29:Refsz_Verbräuche[[#This Row],[2027]],"&gt;0")&gt;0,), AVERAGEIF($F29:Refsz_Verbräuche[[#This Row],[2027]],"&lt;&gt;"""), ""),IF(Startseite!$D$68=(Refsz_Verbräuche[[#Headers],[2028]]-1),Refsz_Verbräuche[[#This Row],[2027]],IF(Startseite!$D$68&lt;Refsz_Verbräuche[[#Headers],[2028]],Refsz_Verbräuche[[#This Row],[2027]],"")))</f>
        <v/>
      </c>
      <c r="T29" s="110" t="str">
        <f>IF(Refsz_Verbräuche[[#Headers],[2029]]=Startseite!$D$68,IF(OR(SUMIF($F29:Refsz_Verbräuche[[#This Row],[2028]],"&gt;0")&gt;0,), AVERAGEIF($F29:Refsz_Verbräuche[[#This Row],[2028]],"&lt;&gt;"""), ""),IF(Startseite!$D$68=(Refsz_Verbräuche[[#Headers],[2029]]-1),Refsz_Verbräuche[[#This Row],[2028]],IF(Startseite!$D$68&lt;Refsz_Verbräuche[[#Headers],[2029]],Refsz_Verbräuche[[#This Row],[2028]],"")))</f>
        <v/>
      </c>
      <c r="U29" s="110" t="str">
        <f>IF(Refsz_Verbräuche[[#Headers],[2030]]=Startseite!$D$68,IF(OR(SUMIF($F29:Refsz_Verbräuche[[#This Row],[2029]],"&gt;0")&gt;0,), AVERAGEIF($F29:Refsz_Verbräuche[[#This Row],[2029]],"&lt;&gt;"""), ""),IF(Startseite!$D$68=(Refsz_Verbräuche[[#Headers],[2030]]-1),Refsz_Verbräuche[[#This Row],[2029]],IF(Startseite!$D$68&lt;Refsz_Verbräuche[[#Headers],[2030]],Refsz_Verbräuche[[#This Row],[2029]],"")))</f>
        <v/>
      </c>
      <c r="V29" s="110" t="str">
        <f>IF(Refsz_Verbräuche[[#Headers],[2035]]=Startseite!$D$68,IF(OR(SUMIF($F29:Refsz_Verbräuche[[#This Row],[2030]],"&gt;0")&gt;0,), AVERAGEIF($F29:Refsz_Verbräuche[[#This Row],[2030]],"&lt;&gt;"""), ""),IF(Startseite!$D$68=(Refsz_Verbräuche[[#Headers],[2035]]-1),Refsz_Verbräuche[[#This Row],[2030]],IF(Startseite!$D$68&lt;Refsz_Verbräuche[[#Headers],[2035]],Refsz_Verbräuche[[#This Row],[2030]],"")))</f>
        <v/>
      </c>
      <c r="W29" s="110" t="str">
        <f>IF(Refsz_Verbräuche[[#Headers],[2040]]=Startseite!$D$68,IF(OR(SUMIF($F29:Refsz_Verbräuche[[#This Row],[2035]],"&gt;0")&gt;0,), AVERAGEIF($F29:Refsz_Verbräuche[[#This Row],[2035]],"&lt;&gt;"""), ""),IF(Startseite!$D$68=(Refsz_Verbräuche[[#Headers],[2040]]-1),Refsz_Verbräuche[[#This Row],[2035]],IF(Startseite!$D$68&lt;Refsz_Verbräuche[[#Headers],[2040]],Refsz_Verbräuche[[#This Row],[2035]],"")))</f>
        <v/>
      </c>
      <c r="X29" s="110" t="str">
        <f>IF(Refsz_Verbräuche[[#Headers],[2045]]=Startseite!$D$68,IF(OR(SUMIF($F29:Refsz_Verbräuche[[#This Row],[2040]],"&gt;0")&gt;0,), AVERAGEIF($F29:Refsz_Verbräuche[[#This Row],[2040]],"&lt;&gt;"""), ""),IF(Startseite!$D$68=(Refsz_Verbräuche[[#Headers],[2045]]-1),Refsz_Verbräuche[[#This Row],[2040]],IF(Startseite!$D$68&lt;Refsz_Verbräuche[[#Headers],[2045]],Refsz_Verbräuche[[#This Row],[2040]],"")))</f>
        <v/>
      </c>
      <c r="Y29" s="110" t="str">
        <f>IF(Refsz_Verbräuche[[#Headers],[2050]]=Startseite!$D$68,IF(OR(SUMIF($F29:Refsz_Verbräuche[[#This Row],[2045]],"&gt;0")&gt;0,), AVERAGEIF($F29:Refsz_Verbräuche[[#This Row],[2045]],"&lt;&gt;"""), ""),IF(Startseite!$D$68=(Refsz_Verbräuche[[#Headers],[2050]]-1),Refsz_Verbräuche[[#This Row],[2045]],IF(Startseite!$D$68&lt;Refsz_Verbräuche[[#Headers],[2050]],Refsz_Verbräuche[[#This Row],[2045]],"")))</f>
        <v/>
      </c>
      <c r="AA29" s="14"/>
    </row>
    <row r="30" spans="2:27" hidden="1">
      <c r="B30" s="14">
        <v>13</v>
      </c>
      <c r="C30" s="14" t="s">
        <v>199</v>
      </c>
      <c r="D30" s="42" t="s">
        <v>521</v>
      </c>
      <c r="E30" s="45" t="s">
        <v>222</v>
      </c>
      <c r="F30" s="14"/>
      <c r="G30" s="14"/>
      <c r="H30" s="14"/>
      <c r="I30" s="14"/>
      <c r="J30" s="14"/>
      <c r="K30" s="14"/>
      <c r="L30" s="14"/>
      <c r="M30" s="110" t="str">
        <f>IF(Refsz_Verbräuche[[#Headers],[2022]]=Startseite!$D$68,IF(OR(SUMIF($F30:Refsz_Verbräuche[[#This Row],[2021]],"&gt;0")&gt;0,), AVERAGEIF($F30:Refsz_Verbräuche[[#This Row],[2021]],"&lt;&gt;"""), ""),IF(Startseite!$D$68=(Refsz_Verbräuche[[#Headers],[2022]]-1),Refsz_Verbräuche[[#This Row],[2021]],IF(Startseite!$D$68&lt;Refsz_Verbräuche[[#Headers],[2022]],Refsz_Verbräuche[[#This Row],[2021]],"")))</f>
        <v/>
      </c>
      <c r="N30" s="110" t="str">
        <f>IF(Refsz_Verbräuche[[#Headers],[2023]]=Startseite!$D$68,IF(OR(SUMIF($F30:Refsz_Verbräuche[[#This Row],[2022]],"&gt;0")&gt;0,), AVERAGEIF($F30:Refsz_Verbräuche[[#This Row],[2022]],"&lt;&gt;"""), ""),IF(Startseite!$D$68=(Refsz_Verbräuche[[#Headers],[2023]]-1),Refsz_Verbräuche[[#This Row],[2022]],IF(Startseite!$D$68&lt;Refsz_Verbräuche[[#Headers],[2023]],Refsz_Verbräuche[[#This Row],[2022]],"")))</f>
        <v/>
      </c>
      <c r="O30" s="172" t="str">
        <f>IF(Refsz_Verbräuche[[#Headers],[2024]]=Startseite!$D$68,IF(OR(SUMIF($F30:Refsz_Verbräuche[[#This Row],[2023]],"&gt;0")&gt;0,), AVERAGEIF($F30:Refsz_Verbräuche[[#This Row],[2023]],"&lt;&gt;"""), ""),IF(Startseite!$D$68=(Refsz_Verbräuche[[#Headers],[2024]]-1),Refsz_Verbräuche[[#This Row],[2023]],IF(Startseite!$D$68&lt;Refsz_Verbräuche[[#Headers],[2024]],Refsz_Verbräuche[[#This Row],[2023]],"")))</f>
        <v/>
      </c>
      <c r="P30" s="172" t="str">
        <f>IF(Refsz_Verbräuche[[#Headers],[2025]]=Startseite!$D$68,IF(OR(SUMIF($F30:Refsz_Verbräuche[[#This Row],[2024]],"&gt;0")&gt;0,), AVERAGEIF($F30:Refsz_Verbräuche[[#This Row],[2024]],"&lt;&gt;"""), ""),IF(Startseite!$D$68=(Refsz_Verbräuche[[#Headers],[2025]]-1),Refsz_Verbräuche[[#This Row],[2024]],IF(Startseite!$D$68&lt;Refsz_Verbräuche[[#Headers],[2025]],Refsz_Verbräuche[[#This Row],[2024]],"")))</f>
        <v/>
      </c>
      <c r="Q30" s="172" t="str">
        <f>IF(Refsz_Verbräuche[[#Headers],[2026]]=Startseite!$D$68,IF(OR(SUMIF($F30:Refsz_Verbräuche[[#This Row],[2025]],"&gt;0")&gt;0,), AVERAGEIF($F30:Refsz_Verbräuche[[#This Row],[2025]],"&lt;&gt;"""), ""),IF(Startseite!$D$68=(Refsz_Verbräuche[[#Headers],[2026]]-1),Refsz_Verbräuche[[#This Row],[2025]],IF(Startseite!$D$68&lt;Refsz_Verbräuche[[#Headers],[2026]],Refsz_Verbräuche[[#This Row],[2025]],"")))</f>
        <v/>
      </c>
      <c r="R30" s="172" t="str">
        <f>IF(Refsz_Verbräuche[[#Headers],[2027]]=Startseite!$D$68,IF(OR(SUMIF($F30:Refsz_Verbräuche[[#This Row],[2026]],"&gt;0")&gt;0,), AVERAGEIF($F30:Refsz_Verbräuche[[#This Row],[2026]],"&lt;&gt;"""), ""),IF(Startseite!$D$68=(Refsz_Verbräuche[[#Headers],[2027]]-1),Refsz_Verbräuche[[#This Row],[2026]],IF(Startseite!$D$68&lt;Refsz_Verbräuche[[#Headers],[2027]],Refsz_Verbräuche[[#This Row],[2026]],"")))</f>
        <v/>
      </c>
      <c r="S30" s="172" t="str">
        <f>IF(Refsz_Verbräuche[[#Headers],[2028]]=Startseite!$D$68,IF(OR(SUMIF($F30:Refsz_Verbräuche[[#This Row],[2027]],"&gt;0")&gt;0,), AVERAGEIF($F30:Refsz_Verbräuche[[#This Row],[2027]],"&lt;&gt;"""), ""),IF(Startseite!$D$68=(Refsz_Verbräuche[[#Headers],[2028]]-1),Refsz_Verbräuche[[#This Row],[2027]],IF(Startseite!$D$68&lt;Refsz_Verbräuche[[#Headers],[2028]],Refsz_Verbräuche[[#This Row],[2027]],"")))</f>
        <v/>
      </c>
      <c r="T30" s="172" t="str">
        <f>IF(Refsz_Verbräuche[[#Headers],[2029]]=Startseite!$D$68,IF(OR(SUMIF($F30:Refsz_Verbräuche[[#This Row],[2028]],"&gt;0")&gt;0,), AVERAGEIF($F30:Refsz_Verbräuche[[#This Row],[2028]],"&lt;&gt;"""), ""),IF(Startseite!$D$68=(Refsz_Verbräuche[[#Headers],[2029]]-1),Refsz_Verbräuche[[#This Row],[2028]],IF(Startseite!$D$68&lt;Refsz_Verbräuche[[#Headers],[2029]],Refsz_Verbräuche[[#This Row],[2028]],"")))</f>
        <v/>
      </c>
      <c r="U30" s="172" t="str">
        <f>IF(Refsz_Verbräuche[[#Headers],[2030]]=Startseite!$D$68,IF(OR(SUMIF($F30:Refsz_Verbräuche[[#This Row],[2029]],"&gt;0")&gt;0,), AVERAGEIF($F30:Refsz_Verbräuche[[#This Row],[2029]],"&lt;&gt;"""), ""),IF(Startseite!$D$68=(Refsz_Verbräuche[[#Headers],[2030]]-1),Refsz_Verbräuche[[#This Row],[2029]],IF(Startseite!$D$68&lt;Refsz_Verbräuche[[#Headers],[2030]],Refsz_Verbräuche[[#This Row],[2029]],"")))</f>
        <v/>
      </c>
      <c r="V30" s="172" t="str">
        <f>IF(Refsz_Verbräuche[[#Headers],[2035]]=Startseite!$D$68,IF(OR(SUMIF($F30:Refsz_Verbräuche[[#This Row],[2030]],"&gt;0")&gt;0,), AVERAGEIF($F30:Refsz_Verbräuche[[#This Row],[2030]],"&lt;&gt;"""), ""),IF(Startseite!$D$68=(Refsz_Verbräuche[[#Headers],[2035]]-1),Refsz_Verbräuche[[#This Row],[2030]],IF(Startseite!$D$68&lt;Refsz_Verbräuche[[#Headers],[2035]],Refsz_Verbräuche[[#This Row],[2030]],"")))</f>
        <v/>
      </c>
      <c r="W30" s="172" t="str">
        <f>IF(Refsz_Verbräuche[[#Headers],[2040]]=Startseite!$D$68,IF(OR(SUMIF($F30:Refsz_Verbräuche[[#This Row],[2035]],"&gt;0")&gt;0,), AVERAGEIF($F30:Refsz_Verbräuche[[#This Row],[2035]],"&lt;&gt;"""), ""),IF(Startseite!$D$68=(Refsz_Verbräuche[[#Headers],[2040]]-1),Refsz_Verbräuche[[#This Row],[2035]],IF(Startseite!$D$68&lt;Refsz_Verbräuche[[#Headers],[2040]],Refsz_Verbräuche[[#This Row],[2035]],"")))</f>
        <v/>
      </c>
      <c r="X30" s="172" t="str">
        <f>IF(Refsz_Verbräuche[[#Headers],[2045]]=Startseite!$D$68,IF(OR(SUMIF($F30:Refsz_Verbräuche[[#This Row],[2040]],"&gt;0")&gt;0,), AVERAGEIF($F30:Refsz_Verbräuche[[#This Row],[2040]],"&lt;&gt;"""), ""),IF(Startseite!$D$68=(Refsz_Verbräuche[[#Headers],[2045]]-1),Refsz_Verbräuche[[#This Row],[2040]],IF(Startseite!$D$68&lt;Refsz_Verbräuche[[#Headers],[2045]],Refsz_Verbräuche[[#This Row],[2040]],"")))</f>
        <v/>
      </c>
      <c r="Y30" s="172" t="str">
        <f>IF(Refsz_Verbräuche[[#Headers],[2050]]=Startseite!$D$68,IF(OR(SUMIF($F30:Refsz_Verbräuche[[#This Row],[2045]],"&gt;0")&gt;0,), AVERAGEIF($F30:Refsz_Verbräuche[[#This Row],[2045]],"&lt;&gt;"""), ""),IF(Startseite!$D$68=(Refsz_Verbräuche[[#Headers],[2050]]-1),Refsz_Verbräuche[[#This Row],[2045]],IF(Startseite!$D$68&lt;Refsz_Verbräuche[[#Headers],[2050]],Refsz_Verbräuche[[#This Row],[2045]],"")))</f>
        <v/>
      </c>
      <c r="AA30" s="14"/>
    </row>
    <row r="31" spans="2:27">
      <c r="B31" s="14">
        <v>14</v>
      </c>
      <c r="C31" s="14" t="s">
        <v>199</v>
      </c>
      <c r="D31" s="10" t="s">
        <v>260</v>
      </c>
      <c r="E31" t="s">
        <v>42</v>
      </c>
      <c r="F31" s="110"/>
      <c r="G31" s="110"/>
      <c r="H31" s="110"/>
      <c r="I31" s="110"/>
      <c r="J31" s="110"/>
      <c r="K31" s="110"/>
      <c r="L31" s="110"/>
      <c r="M31" s="110" t="str">
        <f>IF(Refsz_Verbräuche[[#Headers],[2022]]=Startseite!$D$68,IF(OR(SUMIF($F31:Refsz_Verbräuche[[#This Row],[2021]],"&gt;0")&gt;0,), AVERAGEIF($F31:Refsz_Verbräuche[[#This Row],[2021]],"&lt;&gt;"""), ""),IF(Startseite!$D$68=(Refsz_Verbräuche[[#Headers],[2022]]-1),Refsz_Verbräuche[[#This Row],[2021]],IF(Startseite!$D$68&lt;Refsz_Verbräuche[[#Headers],[2022]],Refsz_Verbräuche[[#This Row],[2021]],"")))</f>
        <v/>
      </c>
      <c r="N31" s="110" t="str">
        <f>IF(Refsz_Verbräuche[[#Headers],[2023]]=Startseite!$D$68,IF(OR(SUMIF($F31:Refsz_Verbräuche[[#This Row],[2022]],"&gt;0")&gt;0,), AVERAGEIF($F31:Refsz_Verbräuche[[#This Row],[2022]],"&lt;&gt;"""), ""),IF(Startseite!$D$68=(Refsz_Verbräuche[[#Headers],[2023]]-1),Refsz_Verbräuche[[#This Row],[2022]],IF(Startseite!$D$68&lt;Refsz_Verbräuche[[#Headers],[2023]],Refsz_Verbräuche[[#This Row],[2022]],"")))</f>
        <v/>
      </c>
      <c r="O31" s="110" t="str">
        <f>IF(Refsz_Verbräuche[[#Headers],[2024]]=Startseite!$D$68,IF(OR(SUMIF($F31:Refsz_Verbräuche[[#This Row],[2023]],"&gt;0")&gt;0,), AVERAGEIF($F31:Refsz_Verbräuche[[#This Row],[2023]],"&lt;&gt;"""), ""),IF(Startseite!$D$68=(Refsz_Verbräuche[[#Headers],[2024]]-1),Refsz_Verbräuche[[#This Row],[2023]],IF(Startseite!$D$68&lt;Refsz_Verbräuche[[#Headers],[2024]],Refsz_Verbräuche[[#This Row],[2023]],"")))</f>
        <v/>
      </c>
      <c r="P31" s="110" t="str">
        <f>IF(Refsz_Verbräuche[[#Headers],[2025]]=Startseite!$D$68,IF(OR(SUMIF($F31:Refsz_Verbräuche[[#This Row],[2024]],"&gt;0")&gt;0,), AVERAGEIF($F31:Refsz_Verbräuche[[#This Row],[2024]],"&lt;&gt;"""), ""),IF(Startseite!$D$68=(Refsz_Verbräuche[[#Headers],[2025]]-1),Refsz_Verbräuche[[#This Row],[2024]],IF(Startseite!$D$68&lt;Refsz_Verbräuche[[#Headers],[2025]],Refsz_Verbräuche[[#This Row],[2024]],"")))</f>
        <v/>
      </c>
      <c r="Q31" s="110" t="str">
        <f>IF(Refsz_Verbräuche[[#Headers],[2026]]=Startseite!$D$68,IF(OR(SUMIF($F31:Refsz_Verbräuche[[#This Row],[2025]],"&gt;0")&gt;0,), AVERAGEIF($F31:Refsz_Verbräuche[[#This Row],[2025]],"&lt;&gt;"""), ""),IF(Startseite!$D$68=(Refsz_Verbräuche[[#Headers],[2026]]-1),Refsz_Verbräuche[[#This Row],[2025]],IF(Startseite!$D$68&lt;Refsz_Verbräuche[[#Headers],[2026]],Refsz_Verbräuche[[#This Row],[2025]],"")))</f>
        <v/>
      </c>
      <c r="R31" s="110" t="str">
        <f>IF(Refsz_Verbräuche[[#Headers],[2027]]=Startseite!$D$68,IF(OR(SUMIF($F31:Refsz_Verbräuche[[#This Row],[2026]],"&gt;0")&gt;0,), AVERAGEIF($F31:Refsz_Verbräuche[[#This Row],[2026]],"&lt;&gt;"""), ""),IF(Startseite!$D$68=(Refsz_Verbräuche[[#Headers],[2027]]-1),Refsz_Verbräuche[[#This Row],[2026]],IF(Startseite!$D$68&lt;Refsz_Verbräuche[[#Headers],[2027]],Refsz_Verbräuche[[#This Row],[2026]],"")))</f>
        <v/>
      </c>
      <c r="S31" s="110" t="str">
        <f>IF(Refsz_Verbräuche[[#Headers],[2028]]=Startseite!$D$68,IF(OR(SUMIF($F31:Refsz_Verbräuche[[#This Row],[2027]],"&gt;0")&gt;0,), AVERAGEIF($F31:Refsz_Verbräuche[[#This Row],[2027]],"&lt;&gt;"""), ""),IF(Startseite!$D$68=(Refsz_Verbräuche[[#Headers],[2028]]-1),Refsz_Verbräuche[[#This Row],[2027]],IF(Startseite!$D$68&lt;Refsz_Verbräuche[[#Headers],[2028]],Refsz_Verbräuche[[#This Row],[2027]],"")))</f>
        <v/>
      </c>
      <c r="T31" s="110" t="str">
        <f>IF(Refsz_Verbräuche[[#Headers],[2029]]=Startseite!$D$68,IF(OR(SUMIF($F31:Refsz_Verbräuche[[#This Row],[2028]],"&gt;0")&gt;0,), AVERAGEIF($F31:Refsz_Verbräuche[[#This Row],[2028]],"&lt;&gt;"""), ""),IF(Startseite!$D$68=(Refsz_Verbräuche[[#Headers],[2029]]-1),Refsz_Verbräuche[[#This Row],[2028]],IF(Startseite!$D$68&lt;Refsz_Verbräuche[[#Headers],[2029]],Refsz_Verbräuche[[#This Row],[2028]],"")))</f>
        <v/>
      </c>
      <c r="U31" s="110" t="str">
        <f>IF(Refsz_Verbräuche[[#Headers],[2030]]=Startseite!$D$68,IF(OR(SUMIF($F31:Refsz_Verbräuche[[#This Row],[2029]],"&gt;0")&gt;0,), AVERAGEIF($F31:Refsz_Verbräuche[[#This Row],[2029]],"&lt;&gt;"""), ""),IF(Startseite!$D$68=(Refsz_Verbräuche[[#Headers],[2030]]-1),Refsz_Verbräuche[[#This Row],[2029]],IF(Startseite!$D$68&lt;Refsz_Verbräuche[[#Headers],[2030]],Refsz_Verbräuche[[#This Row],[2029]],"")))</f>
        <v/>
      </c>
      <c r="V31" s="110" t="str">
        <f>IF(Refsz_Verbräuche[[#Headers],[2035]]=Startseite!$D$68,IF(OR(SUMIF($F31:Refsz_Verbräuche[[#This Row],[2030]],"&gt;0")&gt;0,), AVERAGEIF($F31:Refsz_Verbräuche[[#This Row],[2030]],"&lt;&gt;"""), ""),IF(Startseite!$D$68=(Refsz_Verbräuche[[#Headers],[2035]]-1),Refsz_Verbräuche[[#This Row],[2030]],IF(Startseite!$D$68&lt;Refsz_Verbräuche[[#Headers],[2035]],Refsz_Verbräuche[[#This Row],[2030]],"")))</f>
        <v/>
      </c>
      <c r="W31" s="110" t="str">
        <f>IF(Refsz_Verbräuche[[#Headers],[2040]]=Startseite!$D$68,IF(OR(SUMIF($F31:Refsz_Verbräuche[[#This Row],[2035]],"&gt;0")&gt;0,), AVERAGEIF($F31:Refsz_Verbräuche[[#This Row],[2035]],"&lt;&gt;"""), ""),IF(Startseite!$D$68=(Refsz_Verbräuche[[#Headers],[2040]]-1),Refsz_Verbräuche[[#This Row],[2035]],IF(Startseite!$D$68&lt;Refsz_Verbräuche[[#Headers],[2040]],Refsz_Verbräuche[[#This Row],[2035]],"")))</f>
        <v/>
      </c>
      <c r="X31" s="110" t="str">
        <f>IF(Refsz_Verbräuche[[#Headers],[2045]]=Startseite!$D$68,IF(OR(SUMIF($F31:Refsz_Verbräuche[[#This Row],[2040]],"&gt;0")&gt;0,), AVERAGEIF($F31:Refsz_Verbräuche[[#This Row],[2040]],"&lt;&gt;"""), ""),IF(Startseite!$D$68=(Refsz_Verbräuche[[#Headers],[2045]]-1),Refsz_Verbräuche[[#This Row],[2040]],IF(Startseite!$D$68&lt;Refsz_Verbräuche[[#Headers],[2045]],Refsz_Verbräuche[[#This Row],[2040]],"")))</f>
        <v/>
      </c>
      <c r="Y31" s="110" t="str">
        <f>IF(Refsz_Verbräuche[[#Headers],[2050]]=Startseite!$D$68,IF(OR(SUMIF($F31:Refsz_Verbräuche[[#This Row],[2045]],"&gt;0")&gt;0,), AVERAGEIF($F31:Refsz_Verbräuche[[#This Row],[2045]],"&lt;&gt;"""), ""),IF(Startseite!$D$68=(Refsz_Verbräuche[[#Headers],[2050]]-1),Refsz_Verbräuche[[#This Row],[2045]],IF(Startseite!$D$68&lt;Refsz_Verbräuche[[#Headers],[2050]],Refsz_Verbräuche[[#This Row],[2045]],"")))</f>
        <v/>
      </c>
      <c r="AA31" s="14"/>
    </row>
    <row r="32" spans="2:27">
      <c r="B32" s="14">
        <v>15</v>
      </c>
      <c r="C32" s="14" t="s">
        <v>199</v>
      </c>
      <c r="D32" s="43" t="s">
        <v>524</v>
      </c>
      <c r="E32" t="s">
        <v>42</v>
      </c>
      <c r="F32" s="110"/>
      <c r="G32" s="110"/>
      <c r="H32" s="110"/>
      <c r="I32" s="110"/>
      <c r="J32" s="110"/>
      <c r="K32" s="110"/>
      <c r="L32" s="110"/>
      <c r="M32" s="110" t="str">
        <f>IF(Refsz_Verbräuche[[#Headers],[2022]]=Startseite!$D$68,IF(OR(SUMIF($F32:Refsz_Verbräuche[[#This Row],[2021]],"&gt;0")&gt;0,), AVERAGEIF($F32:Refsz_Verbräuche[[#This Row],[2021]],"&lt;&gt;"""), ""),IF(Startseite!$D$68=(Refsz_Verbräuche[[#Headers],[2022]]-1),Refsz_Verbräuche[[#This Row],[2021]],IF(Startseite!$D$68&lt;Refsz_Verbräuche[[#Headers],[2022]],Refsz_Verbräuche[[#This Row],[2021]],"")))</f>
        <v/>
      </c>
      <c r="N32" s="110" t="str">
        <f>IF(Refsz_Verbräuche[[#Headers],[2023]]=Startseite!$D$68,IF(OR(SUMIF($F32:Refsz_Verbräuche[[#This Row],[2022]],"&gt;0")&gt;0,), AVERAGEIF($F32:Refsz_Verbräuche[[#This Row],[2022]],"&lt;&gt;"""), ""),IF(Startseite!$D$68=(Refsz_Verbräuche[[#Headers],[2023]]-1),Refsz_Verbräuche[[#This Row],[2022]],IF(Startseite!$D$68&lt;Refsz_Verbräuche[[#Headers],[2023]],Refsz_Verbräuche[[#This Row],[2022]],"")))</f>
        <v/>
      </c>
      <c r="O32" s="110" t="str">
        <f>IF(Refsz_Verbräuche[[#Headers],[2024]]=Startseite!$D$68,IF(OR(SUMIF($F32:Refsz_Verbräuche[[#This Row],[2023]],"&gt;0")&gt;0,), AVERAGEIF($F32:Refsz_Verbräuche[[#This Row],[2023]],"&lt;&gt;"""), ""),IF(Startseite!$D$68=(Refsz_Verbräuche[[#Headers],[2024]]-1),Refsz_Verbräuche[[#This Row],[2023]],IF(Startseite!$D$68&lt;Refsz_Verbräuche[[#Headers],[2024]],Refsz_Verbräuche[[#This Row],[2023]],"")))</f>
        <v/>
      </c>
      <c r="P32" s="110" t="str">
        <f>IF(Refsz_Verbräuche[[#Headers],[2025]]=Startseite!$D$68,IF(OR(SUMIF($F32:Refsz_Verbräuche[[#This Row],[2024]],"&gt;0")&gt;0,), AVERAGEIF($F32:Refsz_Verbräuche[[#This Row],[2024]],"&lt;&gt;"""), ""),IF(Startseite!$D$68=(Refsz_Verbräuche[[#Headers],[2025]]-1),Refsz_Verbräuche[[#This Row],[2024]],IF(Startseite!$D$68&lt;Refsz_Verbräuche[[#Headers],[2025]],Refsz_Verbräuche[[#This Row],[2024]],"")))</f>
        <v/>
      </c>
      <c r="Q32" s="110" t="str">
        <f>IF(Refsz_Verbräuche[[#Headers],[2026]]=Startseite!$D$68,IF(OR(SUMIF($F32:Refsz_Verbräuche[[#This Row],[2025]],"&gt;0")&gt;0,), AVERAGEIF($F32:Refsz_Verbräuche[[#This Row],[2025]],"&lt;&gt;"""), ""),IF(Startseite!$D$68=(Refsz_Verbräuche[[#Headers],[2026]]-1),Refsz_Verbräuche[[#This Row],[2025]],IF(Startseite!$D$68&lt;Refsz_Verbräuche[[#Headers],[2026]],Refsz_Verbräuche[[#This Row],[2025]],"")))</f>
        <v/>
      </c>
      <c r="R32" s="110" t="str">
        <f>IF(Refsz_Verbräuche[[#Headers],[2027]]=Startseite!$D$68,IF(OR(SUMIF($F32:Refsz_Verbräuche[[#This Row],[2026]],"&gt;0")&gt;0,), AVERAGEIF($F32:Refsz_Verbräuche[[#This Row],[2026]],"&lt;&gt;"""), ""),IF(Startseite!$D$68=(Refsz_Verbräuche[[#Headers],[2027]]-1),Refsz_Verbräuche[[#This Row],[2026]],IF(Startseite!$D$68&lt;Refsz_Verbräuche[[#Headers],[2027]],Refsz_Verbräuche[[#This Row],[2026]],"")))</f>
        <v/>
      </c>
      <c r="S32" s="110" t="str">
        <f>IF(Refsz_Verbräuche[[#Headers],[2028]]=Startseite!$D$68,IF(OR(SUMIF($F32:Refsz_Verbräuche[[#This Row],[2027]],"&gt;0")&gt;0,), AVERAGEIF($F32:Refsz_Verbräuche[[#This Row],[2027]],"&lt;&gt;"""), ""),IF(Startseite!$D$68=(Refsz_Verbräuche[[#Headers],[2028]]-1),Refsz_Verbräuche[[#This Row],[2027]],IF(Startseite!$D$68&lt;Refsz_Verbräuche[[#Headers],[2028]],Refsz_Verbräuche[[#This Row],[2027]],"")))</f>
        <v/>
      </c>
      <c r="T32" s="110" t="str">
        <f>IF(Refsz_Verbräuche[[#Headers],[2029]]=Startseite!$D$68,IF(OR(SUMIF($F32:Refsz_Verbräuche[[#This Row],[2028]],"&gt;0")&gt;0,), AVERAGEIF($F32:Refsz_Verbräuche[[#This Row],[2028]],"&lt;&gt;"""), ""),IF(Startseite!$D$68=(Refsz_Verbräuche[[#Headers],[2029]]-1),Refsz_Verbräuche[[#This Row],[2028]],IF(Startseite!$D$68&lt;Refsz_Verbräuche[[#Headers],[2029]],Refsz_Verbräuche[[#This Row],[2028]],"")))</f>
        <v/>
      </c>
      <c r="U32" s="110" t="str">
        <f>IF(Refsz_Verbräuche[[#Headers],[2030]]=Startseite!$D$68,IF(OR(SUMIF($F32:Refsz_Verbräuche[[#This Row],[2029]],"&gt;0")&gt;0,), AVERAGEIF($F32:Refsz_Verbräuche[[#This Row],[2029]],"&lt;&gt;"""), ""),IF(Startseite!$D$68=(Refsz_Verbräuche[[#Headers],[2030]]-1),Refsz_Verbräuche[[#This Row],[2029]],IF(Startseite!$D$68&lt;Refsz_Verbräuche[[#Headers],[2030]],Refsz_Verbräuche[[#This Row],[2029]],"")))</f>
        <v/>
      </c>
      <c r="V32" s="110" t="str">
        <f>IF(Refsz_Verbräuche[[#Headers],[2035]]=Startseite!$D$68,IF(OR(SUMIF($F32:Refsz_Verbräuche[[#This Row],[2030]],"&gt;0")&gt;0,), AVERAGEIF($F32:Refsz_Verbräuche[[#This Row],[2030]],"&lt;&gt;"""), ""),IF(Startseite!$D$68=(Refsz_Verbräuche[[#Headers],[2035]]-1),Refsz_Verbräuche[[#This Row],[2030]],IF(Startseite!$D$68&lt;Refsz_Verbräuche[[#Headers],[2035]],Refsz_Verbräuche[[#This Row],[2030]],"")))</f>
        <v/>
      </c>
      <c r="W32" s="110" t="str">
        <f>IF(Refsz_Verbräuche[[#Headers],[2040]]=Startseite!$D$68,IF(OR(SUMIF($F32:Refsz_Verbräuche[[#This Row],[2035]],"&gt;0")&gt;0,), AVERAGEIF($F32:Refsz_Verbräuche[[#This Row],[2035]],"&lt;&gt;"""), ""),IF(Startseite!$D$68=(Refsz_Verbräuche[[#Headers],[2040]]-1),Refsz_Verbräuche[[#This Row],[2035]],IF(Startseite!$D$68&lt;Refsz_Verbräuche[[#Headers],[2040]],Refsz_Verbräuche[[#This Row],[2035]],"")))</f>
        <v/>
      </c>
      <c r="X32" s="110" t="str">
        <f>IF(Refsz_Verbräuche[[#Headers],[2045]]=Startseite!$D$68,IF(OR(SUMIF($F32:Refsz_Verbräuche[[#This Row],[2040]],"&gt;0")&gt;0,), AVERAGEIF($F32:Refsz_Verbräuche[[#This Row],[2040]],"&lt;&gt;"""), ""),IF(Startseite!$D$68=(Refsz_Verbräuche[[#Headers],[2045]]-1),Refsz_Verbräuche[[#This Row],[2040]],IF(Startseite!$D$68&lt;Refsz_Verbräuche[[#Headers],[2045]],Refsz_Verbräuche[[#This Row],[2040]],"")))</f>
        <v/>
      </c>
      <c r="Y32" s="110" t="str">
        <f>IF(Refsz_Verbräuche[[#Headers],[2050]]=Startseite!$D$68,IF(OR(SUMIF($F32:Refsz_Verbräuche[[#This Row],[2045]],"&gt;0")&gt;0,), AVERAGEIF($F32:Refsz_Verbräuche[[#This Row],[2045]],"&lt;&gt;"""), ""),IF(Startseite!$D$68=(Refsz_Verbräuche[[#Headers],[2050]]-1),Refsz_Verbräuche[[#This Row],[2045]],IF(Startseite!$D$68&lt;Refsz_Verbräuche[[#Headers],[2050]],Refsz_Verbräuche[[#This Row],[2045]],"")))</f>
        <v/>
      </c>
      <c r="AA32" s="14"/>
    </row>
    <row r="33" spans="2:27">
      <c r="B33" s="14">
        <v>16</v>
      </c>
      <c r="C33" s="14" t="s">
        <v>199</v>
      </c>
      <c r="D33" s="10" t="s">
        <v>525</v>
      </c>
      <c r="E33" t="s">
        <v>42</v>
      </c>
      <c r="F33" s="110"/>
      <c r="G33" s="110"/>
      <c r="H33" s="110"/>
      <c r="I33" s="110"/>
      <c r="J33" s="110"/>
      <c r="K33" s="110"/>
      <c r="L33" s="110"/>
      <c r="M33" s="110" t="str">
        <f>IF(Refsz_Verbräuche[[#Headers],[2022]]=Startseite!$D$68,IF(OR(SUMIF($F33:Refsz_Verbräuche[[#This Row],[2021]],"&gt;0")&gt;0,), AVERAGEIF($F33:Refsz_Verbräuche[[#This Row],[2021]],"&lt;&gt;"""), ""),IF(Startseite!$D$68=(Refsz_Verbräuche[[#Headers],[2022]]-1),Refsz_Verbräuche[[#This Row],[2021]],IF(Startseite!$D$68&lt;Refsz_Verbräuche[[#Headers],[2022]],Refsz_Verbräuche[[#This Row],[2021]],"")))</f>
        <v/>
      </c>
      <c r="N33" s="110" t="str">
        <f>IF(Refsz_Verbräuche[[#Headers],[2023]]=Startseite!$D$68,IF(OR(SUMIF($F33:Refsz_Verbräuche[[#This Row],[2022]],"&gt;0")&gt;0,), AVERAGEIF($F33:Refsz_Verbräuche[[#This Row],[2022]],"&lt;&gt;"""), ""),IF(Startseite!$D$68=(Refsz_Verbräuche[[#Headers],[2023]]-1),Refsz_Verbräuche[[#This Row],[2022]],IF(Startseite!$D$68&lt;Refsz_Verbräuche[[#Headers],[2023]],Refsz_Verbräuche[[#This Row],[2022]],"")))</f>
        <v/>
      </c>
      <c r="O33" s="110" t="str">
        <f>IF(Refsz_Verbräuche[[#Headers],[2024]]=Startseite!$D$68,IF(OR(SUMIF($F33:Refsz_Verbräuche[[#This Row],[2023]],"&gt;0")&gt;0,), AVERAGEIF($F33:Refsz_Verbräuche[[#This Row],[2023]],"&lt;&gt;"""), ""),IF(Startseite!$D$68=(Refsz_Verbräuche[[#Headers],[2024]]-1),Refsz_Verbräuche[[#This Row],[2023]],IF(Startseite!$D$68&lt;Refsz_Verbräuche[[#Headers],[2024]],Refsz_Verbräuche[[#This Row],[2023]],"")))</f>
        <v/>
      </c>
      <c r="P33" s="110" t="str">
        <f>IF(Refsz_Verbräuche[[#Headers],[2025]]=Startseite!$D$68,IF(OR(SUMIF($F33:Refsz_Verbräuche[[#This Row],[2024]],"&gt;0")&gt;0,), AVERAGEIF($F33:Refsz_Verbräuche[[#This Row],[2024]],"&lt;&gt;"""), ""),IF(Startseite!$D$68=(Refsz_Verbräuche[[#Headers],[2025]]-1),Refsz_Verbräuche[[#This Row],[2024]],IF(Startseite!$D$68&lt;Refsz_Verbräuche[[#Headers],[2025]],Refsz_Verbräuche[[#This Row],[2024]],"")))</f>
        <v/>
      </c>
      <c r="Q33" s="110" t="str">
        <f>IF(Refsz_Verbräuche[[#Headers],[2026]]=Startseite!$D$68,IF(OR(SUMIF($F33:Refsz_Verbräuche[[#This Row],[2025]],"&gt;0")&gt;0,), AVERAGEIF($F33:Refsz_Verbräuche[[#This Row],[2025]],"&lt;&gt;"""), ""),IF(Startseite!$D$68=(Refsz_Verbräuche[[#Headers],[2026]]-1),Refsz_Verbräuche[[#This Row],[2025]],IF(Startseite!$D$68&lt;Refsz_Verbräuche[[#Headers],[2026]],Refsz_Verbräuche[[#This Row],[2025]],"")))</f>
        <v/>
      </c>
      <c r="R33" s="110" t="str">
        <f>IF(Refsz_Verbräuche[[#Headers],[2027]]=Startseite!$D$68,IF(OR(SUMIF($F33:Refsz_Verbräuche[[#This Row],[2026]],"&gt;0")&gt;0,), AVERAGEIF($F33:Refsz_Verbräuche[[#This Row],[2026]],"&lt;&gt;"""), ""),IF(Startseite!$D$68=(Refsz_Verbräuche[[#Headers],[2027]]-1),Refsz_Verbräuche[[#This Row],[2026]],IF(Startseite!$D$68&lt;Refsz_Verbräuche[[#Headers],[2027]],Refsz_Verbräuche[[#This Row],[2026]],"")))</f>
        <v/>
      </c>
      <c r="S33" s="110" t="str">
        <f>IF(Refsz_Verbräuche[[#Headers],[2028]]=Startseite!$D$68,IF(OR(SUMIF($F33:Refsz_Verbräuche[[#This Row],[2027]],"&gt;0")&gt;0,), AVERAGEIF($F33:Refsz_Verbräuche[[#This Row],[2027]],"&lt;&gt;"""), ""),IF(Startseite!$D$68=(Refsz_Verbräuche[[#Headers],[2028]]-1),Refsz_Verbräuche[[#This Row],[2027]],IF(Startseite!$D$68&lt;Refsz_Verbräuche[[#Headers],[2028]],Refsz_Verbräuche[[#This Row],[2027]],"")))</f>
        <v/>
      </c>
      <c r="T33" s="110" t="str">
        <f>IF(Refsz_Verbräuche[[#Headers],[2029]]=Startseite!$D$68,IF(OR(SUMIF($F33:Refsz_Verbräuche[[#This Row],[2028]],"&gt;0")&gt;0,), AVERAGEIF($F33:Refsz_Verbräuche[[#This Row],[2028]],"&lt;&gt;"""), ""),IF(Startseite!$D$68=(Refsz_Verbräuche[[#Headers],[2029]]-1),Refsz_Verbräuche[[#This Row],[2028]],IF(Startseite!$D$68&lt;Refsz_Verbräuche[[#Headers],[2029]],Refsz_Verbräuche[[#This Row],[2028]],"")))</f>
        <v/>
      </c>
      <c r="U33" s="110" t="str">
        <f>IF(Refsz_Verbräuche[[#Headers],[2030]]=Startseite!$D$68,IF(OR(SUMIF($F33:Refsz_Verbräuche[[#This Row],[2029]],"&gt;0")&gt;0,), AVERAGEIF($F33:Refsz_Verbräuche[[#This Row],[2029]],"&lt;&gt;"""), ""),IF(Startseite!$D$68=(Refsz_Verbräuche[[#Headers],[2030]]-1),Refsz_Verbräuche[[#This Row],[2029]],IF(Startseite!$D$68&lt;Refsz_Verbräuche[[#Headers],[2030]],Refsz_Verbräuche[[#This Row],[2029]],"")))</f>
        <v/>
      </c>
      <c r="V33" s="110" t="str">
        <f>IF(Refsz_Verbräuche[[#Headers],[2035]]=Startseite!$D$68,IF(OR(SUMIF($F33:Refsz_Verbräuche[[#This Row],[2030]],"&gt;0")&gt;0,), AVERAGEIF($F33:Refsz_Verbräuche[[#This Row],[2030]],"&lt;&gt;"""), ""),IF(Startseite!$D$68=(Refsz_Verbräuche[[#Headers],[2035]]-1),Refsz_Verbräuche[[#This Row],[2030]],IF(Startseite!$D$68&lt;Refsz_Verbräuche[[#Headers],[2035]],Refsz_Verbräuche[[#This Row],[2030]],"")))</f>
        <v/>
      </c>
      <c r="W33" s="110" t="str">
        <f>IF(Refsz_Verbräuche[[#Headers],[2040]]=Startseite!$D$68,IF(OR(SUMIF($F33:Refsz_Verbräuche[[#This Row],[2035]],"&gt;0")&gt;0,), AVERAGEIF($F33:Refsz_Verbräuche[[#This Row],[2035]],"&lt;&gt;"""), ""),IF(Startseite!$D$68=(Refsz_Verbräuche[[#Headers],[2040]]-1),Refsz_Verbräuche[[#This Row],[2035]],IF(Startseite!$D$68&lt;Refsz_Verbräuche[[#Headers],[2040]],Refsz_Verbräuche[[#This Row],[2035]],"")))</f>
        <v/>
      </c>
      <c r="X33" s="110" t="str">
        <f>IF(Refsz_Verbräuche[[#Headers],[2045]]=Startseite!$D$68,IF(OR(SUMIF($F33:Refsz_Verbräuche[[#This Row],[2040]],"&gt;0")&gt;0,), AVERAGEIF($F33:Refsz_Verbräuche[[#This Row],[2040]],"&lt;&gt;"""), ""),IF(Startseite!$D$68=(Refsz_Verbräuche[[#Headers],[2045]]-1),Refsz_Verbräuche[[#This Row],[2040]],IF(Startseite!$D$68&lt;Refsz_Verbräuche[[#Headers],[2045]],Refsz_Verbräuche[[#This Row],[2040]],"")))</f>
        <v/>
      </c>
      <c r="Y33" s="110" t="str">
        <f>IF(Refsz_Verbräuche[[#Headers],[2050]]=Startseite!$D$68,IF(OR(SUMIF($F33:Refsz_Verbräuche[[#This Row],[2045]],"&gt;0")&gt;0,), AVERAGEIF($F33:Refsz_Verbräuche[[#This Row],[2045]],"&lt;&gt;"""), ""),IF(Startseite!$D$68=(Refsz_Verbräuche[[#Headers],[2050]]-1),Refsz_Verbräuche[[#This Row],[2045]],IF(Startseite!$D$68&lt;Refsz_Verbräuche[[#Headers],[2050]],Refsz_Verbräuche[[#This Row],[2045]],"")))</f>
        <v/>
      </c>
      <c r="AA33" s="14"/>
    </row>
    <row r="34" spans="2:27">
      <c r="B34" s="14">
        <v>17</v>
      </c>
      <c r="C34" s="14" t="s">
        <v>199</v>
      </c>
      <c r="D34" s="10" t="s">
        <v>526</v>
      </c>
      <c r="E34" t="s">
        <v>42</v>
      </c>
      <c r="F34" s="110"/>
      <c r="G34" s="110"/>
      <c r="H34" s="110"/>
      <c r="I34" s="110"/>
      <c r="J34" s="110"/>
      <c r="K34" s="110"/>
      <c r="L34" s="110"/>
      <c r="M34" s="110" t="str">
        <f>IF(Refsz_Verbräuche[[#Headers],[2022]]=Startseite!$D$68,IF(OR(SUMIF($F34:Refsz_Verbräuche[[#This Row],[2021]],"&gt;0")&gt;0,), AVERAGEIF($F34:Refsz_Verbräuche[[#This Row],[2021]],"&lt;&gt;"""), ""),IF(Startseite!$D$68=(Refsz_Verbräuche[[#Headers],[2022]]-1),Refsz_Verbräuche[[#This Row],[2021]],IF(Startseite!$D$68&lt;Refsz_Verbräuche[[#Headers],[2022]],Refsz_Verbräuche[[#This Row],[2021]],"")))</f>
        <v/>
      </c>
      <c r="N34" s="110" t="str">
        <f>IF(Refsz_Verbräuche[[#Headers],[2023]]=Startseite!$D$68,IF(OR(SUMIF($F34:Refsz_Verbräuche[[#This Row],[2022]],"&gt;0")&gt;0,), AVERAGEIF($F34:Refsz_Verbräuche[[#This Row],[2022]],"&lt;&gt;"""), ""),IF(Startseite!$D$68=(Refsz_Verbräuche[[#Headers],[2023]]-1),Refsz_Verbräuche[[#This Row],[2022]],IF(Startseite!$D$68&lt;Refsz_Verbräuche[[#Headers],[2023]],Refsz_Verbräuche[[#This Row],[2022]],"")))</f>
        <v/>
      </c>
      <c r="O34" s="110" t="str">
        <f>IF(Refsz_Verbräuche[[#Headers],[2024]]=Startseite!$D$68,IF(OR(SUMIF($F34:Refsz_Verbräuche[[#This Row],[2023]],"&gt;0")&gt;0,), AVERAGEIF($F34:Refsz_Verbräuche[[#This Row],[2023]],"&lt;&gt;"""), ""),IF(Startseite!$D$68=(Refsz_Verbräuche[[#Headers],[2024]]-1),Refsz_Verbräuche[[#This Row],[2023]],IF(Startseite!$D$68&lt;Refsz_Verbräuche[[#Headers],[2024]],Refsz_Verbräuche[[#This Row],[2023]],"")))</f>
        <v/>
      </c>
      <c r="P34" s="110" t="str">
        <f>IF(Refsz_Verbräuche[[#Headers],[2025]]=Startseite!$D$68,IF(OR(SUMIF($F34:Refsz_Verbräuche[[#This Row],[2024]],"&gt;0")&gt;0,), AVERAGEIF($F34:Refsz_Verbräuche[[#This Row],[2024]],"&lt;&gt;"""), ""),IF(Startseite!$D$68=(Refsz_Verbräuche[[#Headers],[2025]]-1),Refsz_Verbräuche[[#This Row],[2024]],IF(Startseite!$D$68&lt;Refsz_Verbräuche[[#Headers],[2025]],Refsz_Verbräuche[[#This Row],[2024]],"")))</f>
        <v/>
      </c>
      <c r="Q34" s="110" t="str">
        <f>IF(Refsz_Verbräuche[[#Headers],[2026]]=Startseite!$D$68,IF(OR(SUMIF($F34:Refsz_Verbräuche[[#This Row],[2025]],"&gt;0")&gt;0,), AVERAGEIF($F34:Refsz_Verbräuche[[#This Row],[2025]],"&lt;&gt;"""), ""),IF(Startseite!$D$68=(Refsz_Verbräuche[[#Headers],[2026]]-1),Refsz_Verbräuche[[#This Row],[2025]],IF(Startseite!$D$68&lt;Refsz_Verbräuche[[#Headers],[2026]],Refsz_Verbräuche[[#This Row],[2025]],"")))</f>
        <v/>
      </c>
      <c r="R34" s="110" t="str">
        <f>IF(Refsz_Verbräuche[[#Headers],[2027]]=Startseite!$D$68,IF(OR(SUMIF($F34:Refsz_Verbräuche[[#This Row],[2026]],"&gt;0")&gt;0,), AVERAGEIF($F34:Refsz_Verbräuche[[#This Row],[2026]],"&lt;&gt;"""), ""),IF(Startseite!$D$68=(Refsz_Verbräuche[[#Headers],[2027]]-1),Refsz_Verbräuche[[#This Row],[2026]],IF(Startseite!$D$68&lt;Refsz_Verbräuche[[#Headers],[2027]],Refsz_Verbräuche[[#This Row],[2026]],"")))</f>
        <v/>
      </c>
      <c r="S34" s="110" t="str">
        <f>IF(Refsz_Verbräuche[[#Headers],[2028]]=Startseite!$D$68,IF(OR(SUMIF($F34:Refsz_Verbräuche[[#This Row],[2027]],"&gt;0")&gt;0,), AVERAGEIF($F34:Refsz_Verbräuche[[#This Row],[2027]],"&lt;&gt;"""), ""),IF(Startseite!$D$68=(Refsz_Verbräuche[[#Headers],[2028]]-1),Refsz_Verbräuche[[#This Row],[2027]],IF(Startseite!$D$68&lt;Refsz_Verbräuche[[#Headers],[2028]],Refsz_Verbräuche[[#This Row],[2027]],"")))</f>
        <v/>
      </c>
      <c r="T34" s="110" t="str">
        <f>IF(Refsz_Verbräuche[[#Headers],[2029]]=Startseite!$D$68,IF(OR(SUMIF($F34:Refsz_Verbräuche[[#This Row],[2028]],"&gt;0")&gt;0,), AVERAGEIF($F34:Refsz_Verbräuche[[#This Row],[2028]],"&lt;&gt;"""), ""),IF(Startseite!$D$68=(Refsz_Verbräuche[[#Headers],[2029]]-1),Refsz_Verbräuche[[#This Row],[2028]],IF(Startseite!$D$68&lt;Refsz_Verbräuche[[#Headers],[2029]],Refsz_Verbräuche[[#This Row],[2028]],"")))</f>
        <v/>
      </c>
      <c r="U34" s="110" t="str">
        <f>IF(Refsz_Verbräuche[[#Headers],[2030]]=Startseite!$D$68,IF(OR(SUMIF($F34:Refsz_Verbräuche[[#This Row],[2029]],"&gt;0")&gt;0,), AVERAGEIF($F34:Refsz_Verbräuche[[#This Row],[2029]],"&lt;&gt;"""), ""),IF(Startseite!$D$68=(Refsz_Verbräuche[[#Headers],[2030]]-1),Refsz_Verbräuche[[#This Row],[2029]],IF(Startseite!$D$68&lt;Refsz_Verbräuche[[#Headers],[2030]],Refsz_Verbräuche[[#This Row],[2029]],"")))</f>
        <v/>
      </c>
      <c r="V34" s="110" t="str">
        <f>IF(Refsz_Verbräuche[[#Headers],[2035]]=Startseite!$D$68,IF(OR(SUMIF($F34:Refsz_Verbräuche[[#This Row],[2030]],"&gt;0")&gt;0,), AVERAGEIF($F34:Refsz_Verbräuche[[#This Row],[2030]],"&lt;&gt;"""), ""),IF(Startseite!$D$68=(Refsz_Verbräuche[[#Headers],[2035]]-1),Refsz_Verbräuche[[#This Row],[2030]],IF(Startseite!$D$68&lt;Refsz_Verbräuche[[#Headers],[2035]],Refsz_Verbräuche[[#This Row],[2030]],"")))</f>
        <v/>
      </c>
      <c r="W34" s="110" t="str">
        <f>IF(Refsz_Verbräuche[[#Headers],[2040]]=Startseite!$D$68,IF(OR(SUMIF($F34:Refsz_Verbräuche[[#This Row],[2035]],"&gt;0")&gt;0,), AVERAGEIF($F34:Refsz_Verbräuche[[#This Row],[2035]],"&lt;&gt;"""), ""),IF(Startseite!$D$68=(Refsz_Verbräuche[[#Headers],[2040]]-1),Refsz_Verbräuche[[#This Row],[2035]],IF(Startseite!$D$68&lt;Refsz_Verbräuche[[#Headers],[2040]],Refsz_Verbräuche[[#This Row],[2035]],"")))</f>
        <v/>
      </c>
      <c r="X34" s="110" t="str">
        <f>IF(Refsz_Verbräuche[[#Headers],[2045]]=Startseite!$D$68,IF(OR(SUMIF($F34:Refsz_Verbräuche[[#This Row],[2040]],"&gt;0")&gt;0,), AVERAGEIF($F34:Refsz_Verbräuche[[#This Row],[2040]],"&lt;&gt;"""), ""),IF(Startseite!$D$68=(Refsz_Verbräuche[[#Headers],[2045]]-1),Refsz_Verbräuche[[#This Row],[2040]],IF(Startseite!$D$68&lt;Refsz_Verbräuche[[#Headers],[2045]],Refsz_Verbräuche[[#This Row],[2040]],"")))</f>
        <v/>
      </c>
      <c r="Y34" s="110" t="str">
        <f>IF(Refsz_Verbräuche[[#Headers],[2050]]=Startseite!$D$68,IF(OR(SUMIF($F34:Refsz_Verbräuche[[#This Row],[2045]],"&gt;0")&gt;0,), AVERAGEIF($F34:Refsz_Verbräuche[[#This Row],[2045]],"&lt;&gt;"""), ""),IF(Startseite!$D$68=(Refsz_Verbräuche[[#Headers],[2050]]-1),Refsz_Verbräuche[[#This Row],[2045]],IF(Startseite!$D$68&lt;Refsz_Verbräuche[[#Headers],[2050]],Refsz_Verbräuche[[#This Row],[2045]],"")))</f>
        <v/>
      </c>
      <c r="AA34" s="14"/>
    </row>
    <row r="35" spans="2:27">
      <c r="B35" s="14">
        <v>18</v>
      </c>
      <c r="C35" s="14" t="s">
        <v>199</v>
      </c>
      <c r="D35" s="10" t="s">
        <v>527</v>
      </c>
      <c r="E35" t="s">
        <v>42</v>
      </c>
      <c r="F35" s="110"/>
      <c r="G35" s="110"/>
      <c r="H35" s="110"/>
      <c r="I35" s="110"/>
      <c r="J35" s="110"/>
      <c r="K35" s="110"/>
      <c r="L35" s="110"/>
      <c r="M35" s="110" t="str">
        <f>IF(Refsz_Verbräuche[[#Headers],[2022]]=Startseite!$D$68,IF(OR(SUMIF($F35:Refsz_Verbräuche[[#This Row],[2021]],"&gt;0")&gt;0,), AVERAGEIF($F35:Refsz_Verbräuche[[#This Row],[2021]],"&lt;&gt;"""), ""),IF(Startseite!$D$68=(Refsz_Verbräuche[[#Headers],[2022]]-1),Refsz_Verbräuche[[#This Row],[2021]],IF(Startseite!$D$68&lt;Refsz_Verbräuche[[#Headers],[2022]],Refsz_Verbräuche[[#This Row],[2021]],"")))</f>
        <v/>
      </c>
      <c r="N35" s="110" t="str">
        <f>IF(Refsz_Verbräuche[[#Headers],[2023]]=Startseite!$D$68,IF(OR(SUMIF($F35:Refsz_Verbräuche[[#This Row],[2022]],"&gt;0")&gt;0,), AVERAGEIF($F35:Refsz_Verbräuche[[#This Row],[2022]],"&lt;&gt;"""), ""),IF(Startseite!$D$68=(Refsz_Verbräuche[[#Headers],[2023]]-1),Refsz_Verbräuche[[#This Row],[2022]],IF(Startseite!$D$68&lt;Refsz_Verbräuche[[#Headers],[2023]],Refsz_Verbräuche[[#This Row],[2022]],"")))</f>
        <v/>
      </c>
      <c r="O35" s="110" t="str">
        <f>IF(Refsz_Verbräuche[[#Headers],[2024]]=Startseite!$D$68,IF(OR(SUMIF($F35:Refsz_Verbräuche[[#This Row],[2023]],"&gt;0")&gt;0,), AVERAGEIF($F35:Refsz_Verbräuche[[#This Row],[2023]],"&lt;&gt;"""), ""),IF(Startseite!$D$68=(Refsz_Verbräuche[[#Headers],[2024]]-1),Refsz_Verbräuche[[#This Row],[2023]],IF(Startseite!$D$68&lt;Refsz_Verbräuche[[#Headers],[2024]],Refsz_Verbräuche[[#This Row],[2023]],"")))</f>
        <v/>
      </c>
      <c r="P35" s="110" t="str">
        <f>IF(Refsz_Verbräuche[[#Headers],[2025]]=Startseite!$D$68,IF(OR(SUMIF($F35:Refsz_Verbräuche[[#This Row],[2024]],"&gt;0")&gt;0,), AVERAGEIF($F35:Refsz_Verbräuche[[#This Row],[2024]],"&lt;&gt;"""), ""),IF(Startseite!$D$68=(Refsz_Verbräuche[[#Headers],[2025]]-1),Refsz_Verbräuche[[#This Row],[2024]],IF(Startseite!$D$68&lt;Refsz_Verbräuche[[#Headers],[2025]],Refsz_Verbräuche[[#This Row],[2024]],"")))</f>
        <v/>
      </c>
      <c r="Q35" s="110" t="str">
        <f>IF(Refsz_Verbräuche[[#Headers],[2026]]=Startseite!$D$68,IF(OR(SUMIF($F35:Refsz_Verbräuche[[#This Row],[2025]],"&gt;0")&gt;0,), AVERAGEIF($F35:Refsz_Verbräuche[[#This Row],[2025]],"&lt;&gt;"""), ""),IF(Startseite!$D$68=(Refsz_Verbräuche[[#Headers],[2026]]-1),Refsz_Verbräuche[[#This Row],[2025]],IF(Startseite!$D$68&lt;Refsz_Verbräuche[[#Headers],[2026]],Refsz_Verbräuche[[#This Row],[2025]],"")))</f>
        <v/>
      </c>
      <c r="R35" s="110" t="str">
        <f>IF(Refsz_Verbräuche[[#Headers],[2027]]=Startseite!$D$68,IF(OR(SUMIF($F35:Refsz_Verbräuche[[#This Row],[2026]],"&gt;0")&gt;0,), AVERAGEIF($F35:Refsz_Verbräuche[[#This Row],[2026]],"&lt;&gt;"""), ""),IF(Startseite!$D$68=(Refsz_Verbräuche[[#Headers],[2027]]-1),Refsz_Verbräuche[[#This Row],[2026]],IF(Startseite!$D$68&lt;Refsz_Verbräuche[[#Headers],[2027]],Refsz_Verbräuche[[#This Row],[2026]],"")))</f>
        <v/>
      </c>
      <c r="S35" s="110" t="str">
        <f>IF(Refsz_Verbräuche[[#Headers],[2028]]=Startseite!$D$68,IF(OR(SUMIF($F35:Refsz_Verbräuche[[#This Row],[2027]],"&gt;0")&gt;0,), AVERAGEIF($F35:Refsz_Verbräuche[[#This Row],[2027]],"&lt;&gt;"""), ""),IF(Startseite!$D$68=(Refsz_Verbräuche[[#Headers],[2028]]-1),Refsz_Verbräuche[[#This Row],[2027]],IF(Startseite!$D$68&lt;Refsz_Verbräuche[[#Headers],[2028]],Refsz_Verbräuche[[#This Row],[2027]],"")))</f>
        <v/>
      </c>
      <c r="T35" s="110" t="str">
        <f>IF(Refsz_Verbräuche[[#Headers],[2029]]=Startseite!$D$68,IF(OR(SUMIF($F35:Refsz_Verbräuche[[#This Row],[2028]],"&gt;0")&gt;0,), AVERAGEIF($F35:Refsz_Verbräuche[[#This Row],[2028]],"&lt;&gt;"""), ""),IF(Startseite!$D$68=(Refsz_Verbräuche[[#Headers],[2029]]-1),Refsz_Verbräuche[[#This Row],[2028]],IF(Startseite!$D$68&lt;Refsz_Verbräuche[[#Headers],[2029]],Refsz_Verbräuche[[#This Row],[2028]],"")))</f>
        <v/>
      </c>
      <c r="U35" s="110" t="str">
        <f>IF(Refsz_Verbräuche[[#Headers],[2030]]=Startseite!$D$68,IF(OR(SUMIF($F35:Refsz_Verbräuche[[#This Row],[2029]],"&gt;0")&gt;0,), AVERAGEIF($F35:Refsz_Verbräuche[[#This Row],[2029]],"&lt;&gt;"""), ""),IF(Startseite!$D$68=(Refsz_Verbräuche[[#Headers],[2030]]-1),Refsz_Verbräuche[[#This Row],[2029]],IF(Startseite!$D$68&lt;Refsz_Verbräuche[[#Headers],[2030]],Refsz_Verbräuche[[#This Row],[2029]],"")))</f>
        <v/>
      </c>
      <c r="V35" s="110" t="str">
        <f>IF(Refsz_Verbräuche[[#Headers],[2035]]=Startseite!$D$68,IF(OR(SUMIF($F35:Refsz_Verbräuche[[#This Row],[2030]],"&gt;0")&gt;0,), AVERAGEIF($F35:Refsz_Verbräuche[[#This Row],[2030]],"&lt;&gt;"""), ""),IF(Startseite!$D$68=(Refsz_Verbräuche[[#Headers],[2035]]-1),Refsz_Verbräuche[[#This Row],[2030]],IF(Startseite!$D$68&lt;Refsz_Verbräuche[[#Headers],[2035]],Refsz_Verbräuche[[#This Row],[2030]],"")))</f>
        <v/>
      </c>
      <c r="W35" s="110" t="str">
        <f>IF(Refsz_Verbräuche[[#Headers],[2040]]=Startseite!$D$68,IF(OR(SUMIF($F35:Refsz_Verbräuche[[#This Row],[2035]],"&gt;0")&gt;0,), AVERAGEIF($F35:Refsz_Verbräuche[[#This Row],[2035]],"&lt;&gt;"""), ""),IF(Startseite!$D$68=(Refsz_Verbräuche[[#Headers],[2040]]-1),Refsz_Verbräuche[[#This Row],[2035]],IF(Startseite!$D$68&lt;Refsz_Verbräuche[[#Headers],[2040]],Refsz_Verbräuche[[#This Row],[2035]],"")))</f>
        <v/>
      </c>
      <c r="X35" s="110" t="str">
        <f>IF(Refsz_Verbräuche[[#Headers],[2045]]=Startseite!$D$68,IF(OR(SUMIF($F35:Refsz_Verbräuche[[#This Row],[2040]],"&gt;0")&gt;0,), AVERAGEIF($F35:Refsz_Verbräuche[[#This Row],[2040]],"&lt;&gt;"""), ""),IF(Startseite!$D$68=(Refsz_Verbräuche[[#Headers],[2045]]-1),Refsz_Verbräuche[[#This Row],[2040]],IF(Startseite!$D$68&lt;Refsz_Verbräuche[[#Headers],[2045]],Refsz_Verbräuche[[#This Row],[2040]],"")))</f>
        <v/>
      </c>
      <c r="Y35" s="110" t="str">
        <f>IF(Refsz_Verbräuche[[#Headers],[2050]]=Startseite!$D$68,IF(OR(SUMIF($F35:Refsz_Verbräuche[[#This Row],[2045]],"&gt;0")&gt;0,), AVERAGEIF($F35:Refsz_Verbräuche[[#This Row],[2045]],"&lt;&gt;"""), ""),IF(Startseite!$D$68=(Refsz_Verbräuche[[#Headers],[2050]]-1),Refsz_Verbräuche[[#This Row],[2045]],IF(Startseite!$D$68&lt;Refsz_Verbräuche[[#Headers],[2050]],Refsz_Verbräuche[[#This Row],[2045]],"")))</f>
        <v/>
      </c>
      <c r="AA35" s="14"/>
    </row>
    <row r="36" spans="2:27">
      <c r="B36" s="14">
        <v>19</v>
      </c>
      <c r="C36" s="14" t="s">
        <v>199</v>
      </c>
      <c r="D36" s="10" t="s">
        <v>528</v>
      </c>
      <c r="E36" t="s">
        <v>42</v>
      </c>
      <c r="F36" s="110"/>
      <c r="G36" s="110"/>
      <c r="H36" s="110"/>
      <c r="I36" s="110"/>
      <c r="J36" s="110"/>
      <c r="K36" s="110"/>
      <c r="L36" s="110"/>
      <c r="M36" s="110" t="str">
        <f>IF(Refsz_Verbräuche[[#Headers],[2022]]=Startseite!$D$68,IF(OR(SUMIF($F36:Refsz_Verbräuche[[#This Row],[2021]],"&gt;0")&gt;0,), AVERAGEIF($F36:Refsz_Verbräuche[[#This Row],[2021]],"&lt;&gt;"""), ""),IF(Startseite!$D$68=(Refsz_Verbräuche[[#Headers],[2022]]-1),Refsz_Verbräuche[[#This Row],[2021]],IF(Startseite!$D$68&lt;Refsz_Verbräuche[[#Headers],[2022]],Refsz_Verbräuche[[#This Row],[2021]],"")))</f>
        <v/>
      </c>
      <c r="N36" s="110" t="str">
        <f>IF(Refsz_Verbräuche[[#Headers],[2023]]=Startseite!$D$68,IF(OR(SUMIF($F36:Refsz_Verbräuche[[#This Row],[2022]],"&gt;0")&gt;0,), AVERAGEIF($F36:Refsz_Verbräuche[[#This Row],[2022]],"&lt;&gt;"""), ""),IF(Startseite!$D$68=(Refsz_Verbräuche[[#Headers],[2023]]-1),Refsz_Verbräuche[[#This Row],[2022]],IF(Startseite!$D$68&lt;Refsz_Verbräuche[[#Headers],[2023]],Refsz_Verbräuche[[#This Row],[2022]],"")))</f>
        <v/>
      </c>
      <c r="O36" s="110" t="str">
        <f>IF(Refsz_Verbräuche[[#Headers],[2024]]=Startseite!$D$68,IF(OR(SUMIF($F36:Refsz_Verbräuche[[#This Row],[2023]],"&gt;0")&gt;0,), AVERAGEIF($F36:Refsz_Verbräuche[[#This Row],[2023]],"&lt;&gt;"""), ""),IF(Startseite!$D$68=(Refsz_Verbräuche[[#Headers],[2024]]-1),Refsz_Verbräuche[[#This Row],[2023]],IF(Startseite!$D$68&lt;Refsz_Verbräuche[[#Headers],[2024]],Refsz_Verbräuche[[#This Row],[2023]],"")))</f>
        <v/>
      </c>
      <c r="P36" s="110" t="str">
        <f>IF(Refsz_Verbräuche[[#Headers],[2025]]=Startseite!$D$68,IF(OR(SUMIF($F36:Refsz_Verbräuche[[#This Row],[2024]],"&gt;0")&gt;0,), AVERAGEIF($F36:Refsz_Verbräuche[[#This Row],[2024]],"&lt;&gt;"""), ""),IF(Startseite!$D$68=(Refsz_Verbräuche[[#Headers],[2025]]-1),Refsz_Verbräuche[[#This Row],[2024]],IF(Startseite!$D$68&lt;Refsz_Verbräuche[[#Headers],[2025]],Refsz_Verbräuche[[#This Row],[2024]],"")))</f>
        <v/>
      </c>
      <c r="Q36" s="110" t="str">
        <f>IF(Refsz_Verbräuche[[#Headers],[2026]]=Startseite!$D$68,IF(OR(SUMIF($F36:Refsz_Verbräuche[[#This Row],[2025]],"&gt;0")&gt;0,), AVERAGEIF($F36:Refsz_Verbräuche[[#This Row],[2025]],"&lt;&gt;"""), ""),IF(Startseite!$D$68=(Refsz_Verbräuche[[#Headers],[2026]]-1),Refsz_Verbräuche[[#This Row],[2025]],IF(Startseite!$D$68&lt;Refsz_Verbräuche[[#Headers],[2026]],Refsz_Verbräuche[[#This Row],[2025]],"")))</f>
        <v/>
      </c>
      <c r="R36" s="110" t="str">
        <f>IF(Refsz_Verbräuche[[#Headers],[2027]]=Startseite!$D$68,IF(OR(SUMIF($F36:Refsz_Verbräuche[[#This Row],[2026]],"&gt;0")&gt;0,), AVERAGEIF($F36:Refsz_Verbräuche[[#This Row],[2026]],"&lt;&gt;"""), ""),IF(Startseite!$D$68=(Refsz_Verbräuche[[#Headers],[2027]]-1),Refsz_Verbräuche[[#This Row],[2026]],IF(Startseite!$D$68&lt;Refsz_Verbräuche[[#Headers],[2027]],Refsz_Verbräuche[[#This Row],[2026]],"")))</f>
        <v/>
      </c>
      <c r="S36" s="110" t="str">
        <f>IF(Refsz_Verbräuche[[#Headers],[2028]]=Startseite!$D$68,IF(OR(SUMIF($F36:Refsz_Verbräuche[[#This Row],[2027]],"&gt;0")&gt;0,), AVERAGEIF($F36:Refsz_Verbräuche[[#This Row],[2027]],"&lt;&gt;"""), ""),IF(Startseite!$D$68=(Refsz_Verbräuche[[#Headers],[2028]]-1),Refsz_Verbräuche[[#This Row],[2027]],IF(Startseite!$D$68&lt;Refsz_Verbräuche[[#Headers],[2028]],Refsz_Verbräuche[[#This Row],[2027]],"")))</f>
        <v/>
      </c>
      <c r="T36" s="110" t="str">
        <f>IF(Refsz_Verbräuche[[#Headers],[2029]]=Startseite!$D$68,IF(OR(SUMIF($F36:Refsz_Verbräuche[[#This Row],[2028]],"&gt;0")&gt;0,), AVERAGEIF($F36:Refsz_Verbräuche[[#This Row],[2028]],"&lt;&gt;"""), ""),IF(Startseite!$D$68=(Refsz_Verbräuche[[#Headers],[2029]]-1),Refsz_Verbräuche[[#This Row],[2028]],IF(Startseite!$D$68&lt;Refsz_Verbräuche[[#Headers],[2029]],Refsz_Verbräuche[[#This Row],[2028]],"")))</f>
        <v/>
      </c>
      <c r="U36" s="110" t="str">
        <f>IF(Refsz_Verbräuche[[#Headers],[2030]]=Startseite!$D$68,IF(OR(SUMIF($F36:Refsz_Verbräuche[[#This Row],[2029]],"&gt;0")&gt;0,), AVERAGEIF($F36:Refsz_Verbräuche[[#This Row],[2029]],"&lt;&gt;"""), ""),IF(Startseite!$D$68=(Refsz_Verbräuche[[#Headers],[2030]]-1),Refsz_Verbräuche[[#This Row],[2029]],IF(Startseite!$D$68&lt;Refsz_Verbräuche[[#Headers],[2030]],Refsz_Verbräuche[[#This Row],[2029]],"")))</f>
        <v/>
      </c>
      <c r="V36" s="110" t="str">
        <f>IF(Refsz_Verbräuche[[#Headers],[2035]]=Startseite!$D$68,IF(OR(SUMIF($F36:Refsz_Verbräuche[[#This Row],[2030]],"&gt;0")&gt;0,), AVERAGEIF($F36:Refsz_Verbräuche[[#This Row],[2030]],"&lt;&gt;"""), ""),IF(Startseite!$D$68=(Refsz_Verbräuche[[#Headers],[2035]]-1),Refsz_Verbräuche[[#This Row],[2030]],IF(Startseite!$D$68&lt;Refsz_Verbräuche[[#Headers],[2035]],Refsz_Verbräuche[[#This Row],[2030]],"")))</f>
        <v/>
      </c>
      <c r="W36" s="110" t="str">
        <f>IF(Refsz_Verbräuche[[#Headers],[2040]]=Startseite!$D$68,IF(OR(SUMIF($F36:Refsz_Verbräuche[[#This Row],[2035]],"&gt;0")&gt;0,), AVERAGEIF($F36:Refsz_Verbräuche[[#This Row],[2035]],"&lt;&gt;"""), ""),IF(Startseite!$D$68=(Refsz_Verbräuche[[#Headers],[2040]]-1),Refsz_Verbräuche[[#This Row],[2035]],IF(Startseite!$D$68&lt;Refsz_Verbräuche[[#Headers],[2040]],Refsz_Verbräuche[[#This Row],[2035]],"")))</f>
        <v/>
      </c>
      <c r="X36" s="110" t="str">
        <f>IF(Refsz_Verbräuche[[#Headers],[2045]]=Startseite!$D$68,IF(OR(SUMIF($F36:Refsz_Verbräuche[[#This Row],[2040]],"&gt;0")&gt;0,), AVERAGEIF($F36:Refsz_Verbräuche[[#This Row],[2040]],"&lt;&gt;"""), ""),IF(Startseite!$D$68=(Refsz_Verbräuche[[#Headers],[2045]]-1),Refsz_Verbräuche[[#This Row],[2040]],IF(Startseite!$D$68&lt;Refsz_Verbräuche[[#Headers],[2045]],Refsz_Verbräuche[[#This Row],[2040]],"")))</f>
        <v/>
      </c>
      <c r="Y36" s="110" t="str">
        <f>IF(Refsz_Verbräuche[[#Headers],[2050]]=Startseite!$D$68,IF(OR(SUMIF($F36:Refsz_Verbräuche[[#This Row],[2045]],"&gt;0")&gt;0,), AVERAGEIF($F36:Refsz_Verbräuche[[#This Row],[2045]],"&lt;&gt;"""), ""),IF(Startseite!$D$68=(Refsz_Verbräuche[[#Headers],[2050]]-1),Refsz_Verbräuche[[#This Row],[2045]],IF(Startseite!$D$68&lt;Refsz_Verbräuche[[#Headers],[2050]],Refsz_Verbräuche[[#This Row],[2045]],"")))</f>
        <v/>
      </c>
      <c r="AA36" s="14"/>
    </row>
    <row r="37" spans="2:27">
      <c r="B37" s="14">
        <v>20</v>
      </c>
      <c r="C37" s="14" t="s">
        <v>199</v>
      </c>
      <c r="D37" s="10" t="s">
        <v>529</v>
      </c>
      <c r="E37" t="s">
        <v>42</v>
      </c>
      <c r="F37" s="110"/>
      <c r="G37" s="110"/>
      <c r="H37" s="110"/>
      <c r="I37" s="110"/>
      <c r="J37" s="110"/>
      <c r="K37" s="110"/>
      <c r="L37" s="110"/>
      <c r="M37" s="110" t="str">
        <f>IF(Refsz_Verbräuche[[#Headers],[2022]]=Startseite!$D$68,IF(OR(SUMIF($F37:Refsz_Verbräuche[[#This Row],[2021]],"&gt;0")&gt;0,), AVERAGEIF($F37:Refsz_Verbräuche[[#This Row],[2021]],"&lt;&gt;"""), ""),IF(Startseite!$D$68=(Refsz_Verbräuche[[#Headers],[2022]]-1),Refsz_Verbräuche[[#This Row],[2021]],IF(Startseite!$D$68&lt;Refsz_Verbräuche[[#Headers],[2022]],Refsz_Verbräuche[[#This Row],[2021]],"")))</f>
        <v/>
      </c>
      <c r="N37" s="110" t="str">
        <f>IF(Refsz_Verbräuche[[#Headers],[2023]]=Startseite!$D$68,IF(OR(SUMIF($F37:Refsz_Verbräuche[[#This Row],[2022]],"&gt;0")&gt;0,), AVERAGEIF($F37:Refsz_Verbräuche[[#This Row],[2022]],"&lt;&gt;"""), ""),IF(Startseite!$D$68=(Refsz_Verbräuche[[#Headers],[2023]]-1),Refsz_Verbräuche[[#This Row],[2022]],IF(Startseite!$D$68&lt;Refsz_Verbräuche[[#Headers],[2023]],Refsz_Verbräuche[[#This Row],[2022]],"")))</f>
        <v/>
      </c>
      <c r="O37" s="110" t="str">
        <f>IF(Refsz_Verbräuche[[#Headers],[2024]]=Startseite!$D$68,IF(OR(SUMIF($F37:Refsz_Verbräuche[[#This Row],[2023]],"&gt;0")&gt;0,), AVERAGEIF($F37:Refsz_Verbräuche[[#This Row],[2023]],"&lt;&gt;"""), ""),IF(Startseite!$D$68=(Refsz_Verbräuche[[#Headers],[2024]]-1),Refsz_Verbräuche[[#This Row],[2023]],IF(Startseite!$D$68&lt;Refsz_Verbräuche[[#Headers],[2024]],Refsz_Verbräuche[[#This Row],[2023]],"")))</f>
        <v/>
      </c>
      <c r="P37" s="110" t="str">
        <f>IF(Refsz_Verbräuche[[#Headers],[2025]]=Startseite!$D$68,IF(OR(SUMIF($F37:Refsz_Verbräuche[[#This Row],[2024]],"&gt;0")&gt;0,), AVERAGEIF($F37:Refsz_Verbräuche[[#This Row],[2024]],"&lt;&gt;"""), ""),IF(Startseite!$D$68=(Refsz_Verbräuche[[#Headers],[2025]]-1),Refsz_Verbräuche[[#This Row],[2024]],IF(Startseite!$D$68&lt;Refsz_Verbräuche[[#Headers],[2025]],Refsz_Verbräuche[[#This Row],[2024]],"")))</f>
        <v/>
      </c>
      <c r="Q37" s="110" t="str">
        <f>IF(Refsz_Verbräuche[[#Headers],[2026]]=Startseite!$D$68,IF(OR(SUMIF($F37:Refsz_Verbräuche[[#This Row],[2025]],"&gt;0")&gt;0,), AVERAGEIF($F37:Refsz_Verbräuche[[#This Row],[2025]],"&lt;&gt;"""), ""),IF(Startseite!$D$68=(Refsz_Verbräuche[[#Headers],[2026]]-1),Refsz_Verbräuche[[#This Row],[2025]],IF(Startseite!$D$68&lt;Refsz_Verbräuche[[#Headers],[2026]],Refsz_Verbräuche[[#This Row],[2025]],"")))</f>
        <v/>
      </c>
      <c r="R37" s="110" t="str">
        <f>IF(Refsz_Verbräuche[[#Headers],[2027]]=Startseite!$D$68,IF(OR(SUMIF($F37:Refsz_Verbräuche[[#This Row],[2026]],"&gt;0")&gt;0,), AVERAGEIF($F37:Refsz_Verbräuche[[#This Row],[2026]],"&lt;&gt;"""), ""),IF(Startseite!$D$68=(Refsz_Verbräuche[[#Headers],[2027]]-1),Refsz_Verbräuche[[#This Row],[2026]],IF(Startseite!$D$68&lt;Refsz_Verbräuche[[#Headers],[2027]],Refsz_Verbräuche[[#This Row],[2026]],"")))</f>
        <v/>
      </c>
      <c r="S37" s="110" t="str">
        <f>IF(Refsz_Verbräuche[[#Headers],[2028]]=Startseite!$D$68,IF(OR(SUMIF($F37:Refsz_Verbräuche[[#This Row],[2027]],"&gt;0")&gt;0,), AVERAGEIF($F37:Refsz_Verbräuche[[#This Row],[2027]],"&lt;&gt;"""), ""),IF(Startseite!$D$68=(Refsz_Verbräuche[[#Headers],[2028]]-1),Refsz_Verbräuche[[#This Row],[2027]],IF(Startseite!$D$68&lt;Refsz_Verbräuche[[#Headers],[2028]],Refsz_Verbräuche[[#This Row],[2027]],"")))</f>
        <v/>
      </c>
      <c r="T37" s="110" t="str">
        <f>IF(Refsz_Verbräuche[[#Headers],[2029]]=Startseite!$D$68,IF(OR(SUMIF($F37:Refsz_Verbräuche[[#This Row],[2028]],"&gt;0")&gt;0,), AVERAGEIF($F37:Refsz_Verbräuche[[#This Row],[2028]],"&lt;&gt;"""), ""),IF(Startseite!$D$68=(Refsz_Verbräuche[[#Headers],[2029]]-1),Refsz_Verbräuche[[#This Row],[2028]],IF(Startseite!$D$68&lt;Refsz_Verbräuche[[#Headers],[2029]],Refsz_Verbräuche[[#This Row],[2028]],"")))</f>
        <v/>
      </c>
      <c r="U37" s="110" t="str">
        <f>IF(Refsz_Verbräuche[[#Headers],[2030]]=Startseite!$D$68,IF(OR(SUMIF($F37:Refsz_Verbräuche[[#This Row],[2029]],"&gt;0")&gt;0,), AVERAGEIF($F37:Refsz_Verbräuche[[#This Row],[2029]],"&lt;&gt;"""), ""),IF(Startseite!$D$68=(Refsz_Verbräuche[[#Headers],[2030]]-1),Refsz_Verbräuche[[#This Row],[2029]],IF(Startseite!$D$68&lt;Refsz_Verbräuche[[#Headers],[2030]],Refsz_Verbräuche[[#This Row],[2029]],"")))</f>
        <v/>
      </c>
      <c r="V37" s="110" t="str">
        <f>IF(Refsz_Verbräuche[[#Headers],[2035]]=Startseite!$D$68,IF(OR(SUMIF($F37:Refsz_Verbräuche[[#This Row],[2030]],"&gt;0")&gt;0,), AVERAGEIF($F37:Refsz_Verbräuche[[#This Row],[2030]],"&lt;&gt;"""), ""),IF(Startseite!$D$68=(Refsz_Verbräuche[[#Headers],[2035]]-1),Refsz_Verbräuche[[#This Row],[2030]],IF(Startseite!$D$68&lt;Refsz_Verbräuche[[#Headers],[2035]],Refsz_Verbräuche[[#This Row],[2030]],"")))</f>
        <v/>
      </c>
      <c r="W37" s="110" t="str">
        <f>IF(Refsz_Verbräuche[[#Headers],[2040]]=Startseite!$D$68,IF(OR(SUMIF($F37:Refsz_Verbräuche[[#This Row],[2035]],"&gt;0")&gt;0,), AVERAGEIF($F37:Refsz_Verbräuche[[#This Row],[2035]],"&lt;&gt;"""), ""),IF(Startseite!$D$68=(Refsz_Verbräuche[[#Headers],[2040]]-1),Refsz_Verbräuche[[#This Row],[2035]],IF(Startseite!$D$68&lt;Refsz_Verbräuche[[#Headers],[2040]],Refsz_Verbräuche[[#This Row],[2035]],"")))</f>
        <v/>
      </c>
      <c r="X37" s="110" t="str">
        <f>IF(Refsz_Verbräuche[[#Headers],[2045]]=Startseite!$D$68,IF(OR(SUMIF($F37:Refsz_Verbräuche[[#This Row],[2040]],"&gt;0")&gt;0,), AVERAGEIF($F37:Refsz_Verbräuche[[#This Row],[2040]],"&lt;&gt;"""), ""),IF(Startseite!$D$68=(Refsz_Verbräuche[[#Headers],[2045]]-1),Refsz_Verbräuche[[#This Row],[2040]],IF(Startseite!$D$68&lt;Refsz_Verbräuche[[#Headers],[2045]],Refsz_Verbräuche[[#This Row],[2040]],"")))</f>
        <v/>
      </c>
      <c r="Y37" s="110" t="str">
        <f>IF(Refsz_Verbräuche[[#Headers],[2050]]=Startseite!$D$68,IF(OR(SUMIF($F37:Refsz_Verbräuche[[#This Row],[2045]],"&gt;0")&gt;0,), AVERAGEIF($F37:Refsz_Verbräuche[[#This Row],[2045]],"&lt;&gt;"""), ""),IF(Startseite!$D$68=(Refsz_Verbräuche[[#Headers],[2050]]-1),Refsz_Verbräuche[[#This Row],[2045]],IF(Startseite!$D$68&lt;Refsz_Verbräuche[[#Headers],[2050]],Refsz_Verbräuche[[#This Row],[2045]],"")))</f>
        <v/>
      </c>
      <c r="AA37" s="14"/>
    </row>
    <row r="38" spans="2:27">
      <c r="B38" s="14">
        <v>21</v>
      </c>
      <c r="C38" s="14" t="s">
        <v>199</v>
      </c>
      <c r="D38" s="10" t="s">
        <v>257</v>
      </c>
      <c r="E38" t="s">
        <v>42</v>
      </c>
      <c r="F38" s="110"/>
      <c r="G38" s="110"/>
      <c r="H38" s="110"/>
      <c r="I38" s="110"/>
      <c r="J38" s="110"/>
      <c r="K38" s="110"/>
      <c r="L38" s="110"/>
      <c r="M38" s="110" t="str">
        <f>IF(Refsz_Verbräuche[[#Headers],[2022]]=Startseite!$D$68,IF(OR(SUMIF($F38:Refsz_Verbräuche[[#This Row],[2021]],"&gt;0")&gt;0,), AVERAGEIF($F38:Refsz_Verbräuche[[#This Row],[2021]],"&lt;&gt;"""), ""),IF(Startseite!$D$68=(Refsz_Verbräuche[[#Headers],[2022]]-1),Refsz_Verbräuche[[#This Row],[2021]],IF(Startseite!$D$68&lt;Refsz_Verbräuche[[#Headers],[2022]],Refsz_Verbräuche[[#This Row],[2021]],"")))</f>
        <v/>
      </c>
      <c r="N38" s="110" t="str">
        <f>IF(Refsz_Verbräuche[[#Headers],[2023]]=Startseite!$D$68,IF(OR(SUMIF($F38:Refsz_Verbräuche[[#This Row],[2022]],"&gt;0")&gt;0,), AVERAGEIF($F38:Refsz_Verbräuche[[#This Row],[2022]],"&lt;&gt;"""), ""),IF(Startseite!$D$68=(Refsz_Verbräuche[[#Headers],[2023]]-1),Refsz_Verbräuche[[#This Row],[2022]],IF(Startseite!$D$68&lt;Refsz_Verbräuche[[#Headers],[2023]],Refsz_Verbräuche[[#This Row],[2022]],"")))</f>
        <v/>
      </c>
      <c r="O38" s="110" t="str">
        <f>IF(Refsz_Verbräuche[[#Headers],[2024]]=Startseite!$D$68,IF(OR(SUMIF($F38:Refsz_Verbräuche[[#This Row],[2023]],"&gt;0")&gt;0,), AVERAGEIF($F38:Refsz_Verbräuche[[#This Row],[2023]],"&lt;&gt;"""), ""),IF(Startseite!$D$68=(Refsz_Verbräuche[[#Headers],[2024]]-1),Refsz_Verbräuche[[#This Row],[2023]],IF(Startseite!$D$68&lt;Refsz_Verbräuche[[#Headers],[2024]],Refsz_Verbräuche[[#This Row],[2023]],"")))</f>
        <v/>
      </c>
      <c r="P38" s="110" t="str">
        <f>IF(Refsz_Verbräuche[[#Headers],[2025]]=Startseite!$D$68,IF(OR(SUMIF($F38:Refsz_Verbräuche[[#This Row],[2024]],"&gt;0")&gt;0,), AVERAGEIF($F38:Refsz_Verbräuche[[#This Row],[2024]],"&lt;&gt;"""), ""),IF(Startseite!$D$68=(Refsz_Verbräuche[[#Headers],[2025]]-1),Refsz_Verbräuche[[#This Row],[2024]],IF(Startseite!$D$68&lt;Refsz_Verbräuche[[#Headers],[2025]],Refsz_Verbräuche[[#This Row],[2024]],"")))</f>
        <v/>
      </c>
      <c r="Q38" s="110" t="str">
        <f>IF(Refsz_Verbräuche[[#Headers],[2026]]=Startseite!$D$68,IF(OR(SUMIF($F38:Refsz_Verbräuche[[#This Row],[2025]],"&gt;0")&gt;0,), AVERAGEIF($F38:Refsz_Verbräuche[[#This Row],[2025]],"&lt;&gt;"""), ""),IF(Startseite!$D$68=(Refsz_Verbräuche[[#Headers],[2026]]-1),Refsz_Verbräuche[[#This Row],[2025]],IF(Startseite!$D$68&lt;Refsz_Verbräuche[[#Headers],[2026]],Refsz_Verbräuche[[#This Row],[2025]],"")))</f>
        <v/>
      </c>
      <c r="R38" s="110" t="str">
        <f>IF(Refsz_Verbräuche[[#Headers],[2027]]=Startseite!$D$68,IF(OR(SUMIF($F38:Refsz_Verbräuche[[#This Row],[2026]],"&gt;0")&gt;0,), AVERAGEIF($F38:Refsz_Verbräuche[[#This Row],[2026]],"&lt;&gt;"""), ""),IF(Startseite!$D$68=(Refsz_Verbräuche[[#Headers],[2027]]-1),Refsz_Verbräuche[[#This Row],[2026]],IF(Startseite!$D$68&lt;Refsz_Verbräuche[[#Headers],[2027]],Refsz_Verbräuche[[#This Row],[2026]],"")))</f>
        <v/>
      </c>
      <c r="S38" s="110" t="str">
        <f>IF(Refsz_Verbräuche[[#Headers],[2028]]=Startseite!$D$68,IF(OR(SUMIF($F38:Refsz_Verbräuche[[#This Row],[2027]],"&gt;0")&gt;0,), AVERAGEIF($F38:Refsz_Verbräuche[[#This Row],[2027]],"&lt;&gt;"""), ""),IF(Startseite!$D$68=(Refsz_Verbräuche[[#Headers],[2028]]-1),Refsz_Verbräuche[[#This Row],[2027]],IF(Startseite!$D$68&lt;Refsz_Verbräuche[[#Headers],[2028]],Refsz_Verbräuche[[#This Row],[2027]],"")))</f>
        <v/>
      </c>
      <c r="T38" s="110" t="str">
        <f>IF(Refsz_Verbräuche[[#Headers],[2029]]=Startseite!$D$68,IF(OR(SUMIF($F38:Refsz_Verbräuche[[#This Row],[2028]],"&gt;0")&gt;0,), AVERAGEIF($F38:Refsz_Verbräuche[[#This Row],[2028]],"&lt;&gt;"""), ""),IF(Startseite!$D$68=(Refsz_Verbräuche[[#Headers],[2029]]-1),Refsz_Verbräuche[[#This Row],[2028]],IF(Startseite!$D$68&lt;Refsz_Verbräuche[[#Headers],[2029]],Refsz_Verbräuche[[#This Row],[2028]],"")))</f>
        <v/>
      </c>
      <c r="U38" s="110" t="str">
        <f>IF(Refsz_Verbräuche[[#Headers],[2030]]=Startseite!$D$68,IF(OR(SUMIF($F38:Refsz_Verbräuche[[#This Row],[2029]],"&gt;0")&gt;0,), AVERAGEIF($F38:Refsz_Verbräuche[[#This Row],[2029]],"&lt;&gt;"""), ""),IF(Startseite!$D$68=(Refsz_Verbräuche[[#Headers],[2030]]-1),Refsz_Verbräuche[[#This Row],[2029]],IF(Startseite!$D$68&lt;Refsz_Verbräuche[[#Headers],[2030]],Refsz_Verbräuche[[#This Row],[2029]],"")))</f>
        <v/>
      </c>
      <c r="V38" s="110" t="str">
        <f>IF(Refsz_Verbräuche[[#Headers],[2035]]=Startseite!$D$68,IF(OR(SUMIF($F38:Refsz_Verbräuche[[#This Row],[2030]],"&gt;0")&gt;0,), AVERAGEIF($F38:Refsz_Verbräuche[[#This Row],[2030]],"&lt;&gt;"""), ""),IF(Startseite!$D$68=(Refsz_Verbräuche[[#Headers],[2035]]-1),Refsz_Verbräuche[[#This Row],[2030]],IF(Startseite!$D$68&lt;Refsz_Verbräuche[[#Headers],[2035]],Refsz_Verbräuche[[#This Row],[2030]],"")))</f>
        <v/>
      </c>
      <c r="W38" s="110" t="str">
        <f>IF(Refsz_Verbräuche[[#Headers],[2040]]=Startseite!$D$68,IF(OR(SUMIF($F38:Refsz_Verbräuche[[#This Row],[2035]],"&gt;0")&gt;0,), AVERAGEIF($F38:Refsz_Verbräuche[[#This Row],[2035]],"&lt;&gt;"""), ""),IF(Startseite!$D$68=(Refsz_Verbräuche[[#Headers],[2040]]-1),Refsz_Verbräuche[[#This Row],[2035]],IF(Startseite!$D$68&lt;Refsz_Verbräuche[[#Headers],[2040]],Refsz_Verbräuche[[#This Row],[2035]],"")))</f>
        <v/>
      </c>
      <c r="X38" s="110" t="str">
        <f>IF(Refsz_Verbräuche[[#Headers],[2045]]=Startseite!$D$68,IF(OR(SUMIF($F38:Refsz_Verbräuche[[#This Row],[2040]],"&gt;0")&gt;0,), AVERAGEIF($F38:Refsz_Verbräuche[[#This Row],[2040]],"&lt;&gt;"""), ""),IF(Startseite!$D$68=(Refsz_Verbräuche[[#Headers],[2045]]-1),Refsz_Verbräuche[[#This Row],[2040]],IF(Startseite!$D$68&lt;Refsz_Verbräuche[[#Headers],[2045]],Refsz_Verbräuche[[#This Row],[2040]],"")))</f>
        <v/>
      </c>
      <c r="Y38" s="110" t="str">
        <f>IF(Refsz_Verbräuche[[#Headers],[2050]]=Startseite!$D$68,IF(OR(SUMIF($F38:Refsz_Verbräuche[[#This Row],[2045]],"&gt;0")&gt;0,), AVERAGEIF($F38:Refsz_Verbräuche[[#This Row],[2045]],"&lt;&gt;"""), ""),IF(Startseite!$D$68=(Refsz_Verbräuche[[#Headers],[2050]]-1),Refsz_Verbräuche[[#This Row],[2045]],IF(Startseite!$D$68&lt;Refsz_Verbräuche[[#Headers],[2050]],Refsz_Verbräuche[[#This Row],[2045]],"")))</f>
        <v/>
      </c>
      <c r="AA38" s="14"/>
    </row>
    <row r="39" spans="2:27">
      <c r="B39" s="14">
        <v>22</v>
      </c>
      <c r="C39" s="14" t="s">
        <v>199</v>
      </c>
      <c r="D39" s="100" t="s">
        <v>530</v>
      </c>
      <c r="E39" t="s">
        <v>42</v>
      </c>
      <c r="F39" s="110"/>
      <c r="G39" s="110"/>
      <c r="H39" s="110"/>
      <c r="I39" s="110"/>
      <c r="J39" s="110"/>
      <c r="K39" s="110"/>
      <c r="L39" s="110"/>
      <c r="M39" s="110" t="str">
        <f>IF(Refsz_Verbräuche[[#Headers],[2022]]=Startseite!$D$68,IF(OR(SUMIF($F39:Refsz_Verbräuche[[#This Row],[2021]],"&gt;0")&gt;0,), AVERAGEIF($F39:Refsz_Verbräuche[[#This Row],[2021]],"&lt;&gt;"""), ""),IF(Startseite!$D$68=(Refsz_Verbräuche[[#Headers],[2022]]-1),Refsz_Verbräuche[[#This Row],[2021]],IF(Startseite!$D$68&lt;Refsz_Verbräuche[[#Headers],[2022]],Refsz_Verbräuche[[#This Row],[2021]],"")))</f>
        <v/>
      </c>
      <c r="N39" s="110" t="str">
        <f>IF(Refsz_Verbräuche[[#Headers],[2023]]=Startseite!$D$68,IF(OR(SUMIF($F39:Refsz_Verbräuche[[#This Row],[2022]],"&gt;0")&gt;0,), AVERAGEIF($F39:Refsz_Verbräuche[[#This Row],[2022]],"&lt;&gt;"""), ""),IF(Startseite!$D$68=(Refsz_Verbräuche[[#Headers],[2023]]-1),Refsz_Verbräuche[[#This Row],[2022]],IF(Startseite!$D$68&lt;Refsz_Verbräuche[[#Headers],[2023]],Refsz_Verbräuche[[#This Row],[2022]],"")))</f>
        <v/>
      </c>
      <c r="O39" s="110" t="str">
        <f>IF(Refsz_Verbräuche[[#Headers],[2024]]=Startseite!$D$68,IF(OR(SUMIF($F39:Refsz_Verbräuche[[#This Row],[2023]],"&gt;0")&gt;0,), AVERAGEIF($F39:Refsz_Verbräuche[[#This Row],[2023]],"&lt;&gt;"""), ""),IF(Startseite!$D$68=(Refsz_Verbräuche[[#Headers],[2024]]-1),Refsz_Verbräuche[[#This Row],[2023]],IF(Startseite!$D$68&lt;Refsz_Verbräuche[[#Headers],[2024]],Refsz_Verbräuche[[#This Row],[2023]],"")))</f>
        <v/>
      </c>
      <c r="P39" s="110" t="str">
        <f>IF(Refsz_Verbräuche[[#Headers],[2025]]=Startseite!$D$68,IF(OR(SUMIF($F39:Refsz_Verbräuche[[#This Row],[2024]],"&gt;0")&gt;0,), AVERAGEIF($F39:Refsz_Verbräuche[[#This Row],[2024]],"&lt;&gt;"""), ""),IF(Startseite!$D$68=(Refsz_Verbräuche[[#Headers],[2025]]-1),Refsz_Verbräuche[[#This Row],[2024]],IF(Startseite!$D$68&lt;Refsz_Verbräuche[[#Headers],[2025]],Refsz_Verbräuche[[#This Row],[2024]],"")))</f>
        <v/>
      </c>
      <c r="Q39" s="110" t="str">
        <f>IF(Refsz_Verbräuche[[#Headers],[2026]]=Startseite!$D$68,IF(OR(SUMIF($F39:Refsz_Verbräuche[[#This Row],[2025]],"&gt;0")&gt;0,), AVERAGEIF($F39:Refsz_Verbräuche[[#This Row],[2025]],"&lt;&gt;"""), ""),IF(Startseite!$D$68=(Refsz_Verbräuche[[#Headers],[2026]]-1),Refsz_Verbräuche[[#This Row],[2025]],IF(Startseite!$D$68&lt;Refsz_Verbräuche[[#Headers],[2026]],Refsz_Verbräuche[[#This Row],[2025]],"")))</f>
        <v/>
      </c>
      <c r="R39" s="110" t="str">
        <f>IF(Refsz_Verbräuche[[#Headers],[2027]]=Startseite!$D$68,IF(OR(SUMIF($F39:Refsz_Verbräuche[[#This Row],[2026]],"&gt;0")&gt;0,), AVERAGEIF($F39:Refsz_Verbräuche[[#This Row],[2026]],"&lt;&gt;"""), ""),IF(Startseite!$D$68=(Refsz_Verbräuche[[#Headers],[2027]]-1),Refsz_Verbräuche[[#This Row],[2026]],IF(Startseite!$D$68&lt;Refsz_Verbräuche[[#Headers],[2027]],Refsz_Verbräuche[[#This Row],[2026]],"")))</f>
        <v/>
      </c>
      <c r="S39" s="110" t="str">
        <f>IF(Refsz_Verbräuche[[#Headers],[2028]]=Startseite!$D$68,IF(OR(SUMIF($F39:Refsz_Verbräuche[[#This Row],[2027]],"&gt;0")&gt;0,), AVERAGEIF($F39:Refsz_Verbräuche[[#This Row],[2027]],"&lt;&gt;"""), ""),IF(Startseite!$D$68=(Refsz_Verbräuche[[#Headers],[2028]]-1),Refsz_Verbräuche[[#This Row],[2027]],IF(Startseite!$D$68&lt;Refsz_Verbräuche[[#Headers],[2028]],Refsz_Verbräuche[[#This Row],[2027]],"")))</f>
        <v/>
      </c>
      <c r="T39" s="110" t="str">
        <f>IF(Refsz_Verbräuche[[#Headers],[2029]]=Startseite!$D$68,IF(OR(SUMIF($F39:Refsz_Verbräuche[[#This Row],[2028]],"&gt;0")&gt;0,), AVERAGEIF($F39:Refsz_Verbräuche[[#This Row],[2028]],"&lt;&gt;"""), ""),IF(Startseite!$D$68=(Refsz_Verbräuche[[#Headers],[2029]]-1),Refsz_Verbräuche[[#This Row],[2028]],IF(Startseite!$D$68&lt;Refsz_Verbräuche[[#Headers],[2029]],Refsz_Verbräuche[[#This Row],[2028]],"")))</f>
        <v/>
      </c>
      <c r="U39" s="110" t="str">
        <f>IF(Refsz_Verbräuche[[#Headers],[2030]]=Startseite!$D$68,IF(OR(SUMIF($F39:Refsz_Verbräuche[[#This Row],[2029]],"&gt;0")&gt;0,), AVERAGEIF($F39:Refsz_Verbräuche[[#This Row],[2029]],"&lt;&gt;"""), ""),IF(Startseite!$D$68=(Refsz_Verbräuche[[#Headers],[2030]]-1),Refsz_Verbräuche[[#This Row],[2029]],IF(Startseite!$D$68&lt;Refsz_Verbräuche[[#Headers],[2030]],Refsz_Verbräuche[[#This Row],[2029]],"")))</f>
        <v/>
      </c>
      <c r="V39" s="110" t="str">
        <f>IF(Refsz_Verbräuche[[#Headers],[2035]]=Startseite!$D$68,IF(OR(SUMIF($F39:Refsz_Verbräuche[[#This Row],[2030]],"&gt;0")&gt;0,), AVERAGEIF($F39:Refsz_Verbräuche[[#This Row],[2030]],"&lt;&gt;"""), ""),IF(Startseite!$D$68=(Refsz_Verbräuche[[#Headers],[2035]]-1),Refsz_Verbräuche[[#This Row],[2030]],IF(Startseite!$D$68&lt;Refsz_Verbräuche[[#Headers],[2035]],Refsz_Verbräuche[[#This Row],[2030]],"")))</f>
        <v/>
      </c>
      <c r="W39" s="110" t="str">
        <f>IF(Refsz_Verbräuche[[#Headers],[2040]]=Startseite!$D$68,IF(OR(SUMIF($F39:Refsz_Verbräuche[[#This Row],[2035]],"&gt;0")&gt;0,), AVERAGEIF($F39:Refsz_Verbräuche[[#This Row],[2035]],"&lt;&gt;"""), ""),IF(Startseite!$D$68=(Refsz_Verbräuche[[#Headers],[2040]]-1),Refsz_Verbräuche[[#This Row],[2035]],IF(Startseite!$D$68&lt;Refsz_Verbräuche[[#Headers],[2040]],Refsz_Verbräuche[[#This Row],[2035]],"")))</f>
        <v/>
      </c>
      <c r="X39" s="110" t="str">
        <f>IF(Refsz_Verbräuche[[#Headers],[2045]]=Startseite!$D$68,IF(OR(SUMIF($F39:Refsz_Verbräuche[[#This Row],[2040]],"&gt;0")&gt;0,), AVERAGEIF($F39:Refsz_Verbräuche[[#This Row],[2040]],"&lt;&gt;"""), ""),IF(Startseite!$D$68=(Refsz_Verbräuche[[#Headers],[2045]]-1),Refsz_Verbräuche[[#This Row],[2040]],IF(Startseite!$D$68&lt;Refsz_Verbräuche[[#Headers],[2045]],Refsz_Verbräuche[[#This Row],[2040]],"")))</f>
        <v/>
      </c>
      <c r="Y39" s="110" t="str">
        <f>IF(Refsz_Verbräuche[[#Headers],[2050]]=Startseite!$D$68,IF(OR(SUMIF($F39:Refsz_Verbräuche[[#This Row],[2045]],"&gt;0")&gt;0,), AVERAGEIF($F39:Refsz_Verbräuche[[#This Row],[2045]],"&lt;&gt;"""), ""),IF(Startseite!$D$68=(Refsz_Verbräuche[[#Headers],[2050]]-1),Refsz_Verbräuche[[#This Row],[2045]],IF(Startseite!$D$68&lt;Refsz_Verbräuche[[#Headers],[2050]],Refsz_Verbräuche[[#This Row],[2045]],"")))</f>
        <v/>
      </c>
      <c r="AA39" s="14"/>
    </row>
    <row r="40" spans="2:27">
      <c r="B40" s="14">
        <v>23</v>
      </c>
      <c r="C40" s="14" t="s">
        <v>199</v>
      </c>
      <c r="D40" s="10" t="s">
        <v>531</v>
      </c>
      <c r="E40" t="s">
        <v>42</v>
      </c>
      <c r="F40" s="110"/>
      <c r="G40" s="110"/>
      <c r="H40" s="110"/>
      <c r="I40" s="110"/>
      <c r="J40" s="110"/>
      <c r="K40" s="110"/>
      <c r="L40" s="110"/>
      <c r="M40" s="110" t="str">
        <f>IF(Refsz_Verbräuche[[#Headers],[2022]]=Startseite!$D$68,IF(OR(SUMIF($F40:Refsz_Verbräuche[[#This Row],[2021]],"&gt;0")&gt;0,), AVERAGEIF($F40:Refsz_Verbräuche[[#This Row],[2021]],"&lt;&gt;"""), ""),IF(Startseite!$D$68=(Refsz_Verbräuche[[#Headers],[2022]]-1),Refsz_Verbräuche[[#This Row],[2021]],IF(Startseite!$D$68&lt;Refsz_Verbräuche[[#Headers],[2022]],Refsz_Verbräuche[[#This Row],[2021]],"")))</f>
        <v/>
      </c>
      <c r="N40" s="110" t="str">
        <f>IF(Refsz_Verbräuche[[#Headers],[2023]]=Startseite!$D$68,IF(OR(SUMIF($F40:Refsz_Verbräuche[[#This Row],[2022]],"&gt;0")&gt;0,), AVERAGEIF($F40:Refsz_Verbräuche[[#This Row],[2022]],"&lt;&gt;"""), ""),IF(Startseite!$D$68=(Refsz_Verbräuche[[#Headers],[2023]]-1),Refsz_Verbräuche[[#This Row],[2022]],IF(Startseite!$D$68&lt;Refsz_Verbräuche[[#Headers],[2023]],Refsz_Verbräuche[[#This Row],[2022]],"")))</f>
        <v/>
      </c>
      <c r="O40" s="110" t="str">
        <f>IF(Refsz_Verbräuche[[#Headers],[2024]]=Startseite!$D$68,IF(OR(SUMIF($F40:Refsz_Verbräuche[[#This Row],[2023]],"&gt;0")&gt;0,), AVERAGEIF($F40:Refsz_Verbräuche[[#This Row],[2023]],"&lt;&gt;"""), ""),IF(Startseite!$D$68=(Refsz_Verbräuche[[#Headers],[2024]]-1),Refsz_Verbräuche[[#This Row],[2023]],IF(Startseite!$D$68&lt;Refsz_Verbräuche[[#Headers],[2024]],Refsz_Verbräuche[[#This Row],[2023]],"")))</f>
        <v/>
      </c>
      <c r="P40" s="110" t="str">
        <f>IF(Refsz_Verbräuche[[#Headers],[2025]]=Startseite!$D$68,IF(OR(SUMIF($F40:Refsz_Verbräuche[[#This Row],[2024]],"&gt;0")&gt;0,), AVERAGEIF($F40:Refsz_Verbräuche[[#This Row],[2024]],"&lt;&gt;"""), ""),IF(Startseite!$D$68=(Refsz_Verbräuche[[#Headers],[2025]]-1),Refsz_Verbräuche[[#This Row],[2024]],IF(Startseite!$D$68&lt;Refsz_Verbräuche[[#Headers],[2025]],Refsz_Verbräuche[[#This Row],[2024]],"")))</f>
        <v/>
      </c>
      <c r="Q40" s="110" t="str">
        <f>IF(Refsz_Verbräuche[[#Headers],[2026]]=Startseite!$D$68,IF(OR(SUMIF($F40:Refsz_Verbräuche[[#This Row],[2025]],"&gt;0")&gt;0,), AVERAGEIF($F40:Refsz_Verbräuche[[#This Row],[2025]],"&lt;&gt;"""), ""),IF(Startseite!$D$68=(Refsz_Verbräuche[[#Headers],[2026]]-1),Refsz_Verbräuche[[#This Row],[2025]],IF(Startseite!$D$68&lt;Refsz_Verbräuche[[#Headers],[2026]],Refsz_Verbräuche[[#This Row],[2025]],"")))</f>
        <v/>
      </c>
      <c r="R40" s="110" t="str">
        <f>IF(Refsz_Verbräuche[[#Headers],[2027]]=Startseite!$D$68,IF(OR(SUMIF($F40:Refsz_Verbräuche[[#This Row],[2026]],"&gt;0")&gt;0,), AVERAGEIF($F40:Refsz_Verbräuche[[#This Row],[2026]],"&lt;&gt;"""), ""),IF(Startseite!$D$68=(Refsz_Verbräuche[[#Headers],[2027]]-1),Refsz_Verbräuche[[#This Row],[2026]],IF(Startseite!$D$68&lt;Refsz_Verbräuche[[#Headers],[2027]],Refsz_Verbräuche[[#This Row],[2026]],"")))</f>
        <v/>
      </c>
      <c r="S40" s="110" t="str">
        <f>IF(Refsz_Verbräuche[[#Headers],[2028]]=Startseite!$D$68,IF(OR(SUMIF($F40:Refsz_Verbräuche[[#This Row],[2027]],"&gt;0")&gt;0,), AVERAGEIF($F40:Refsz_Verbräuche[[#This Row],[2027]],"&lt;&gt;"""), ""),IF(Startseite!$D$68=(Refsz_Verbräuche[[#Headers],[2028]]-1),Refsz_Verbräuche[[#This Row],[2027]],IF(Startseite!$D$68&lt;Refsz_Verbräuche[[#Headers],[2028]],Refsz_Verbräuche[[#This Row],[2027]],"")))</f>
        <v/>
      </c>
      <c r="T40" s="110" t="str">
        <f>IF(Refsz_Verbräuche[[#Headers],[2029]]=Startseite!$D$68,IF(OR(SUMIF($F40:Refsz_Verbräuche[[#This Row],[2028]],"&gt;0")&gt;0,), AVERAGEIF($F40:Refsz_Verbräuche[[#This Row],[2028]],"&lt;&gt;"""), ""),IF(Startseite!$D$68=(Refsz_Verbräuche[[#Headers],[2029]]-1),Refsz_Verbräuche[[#This Row],[2028]],IF(Startseite!$D$68&lt;Refsz_Verbräuche[[#Headers],[2029]],Refsz_Verbräuche[[#This Row],[2028]],"")))</f>
        <v/>
      </c>
      <c r="U40" s="110" t="str">
        <f>IF(Refsz_Verbräuche[[#Headers],[2030]]=Startseite!$D$68,IF(OR(SUMIF($F40:Refsz_Verbräuche[[#This Row],[2029]],"&gt;0")&gt;0,), AVERAGEIF($F40:Refsz_Verbräuche[[#This Row],[2029]],"&lt;&gt;"""), ""),IF(Startseite!$D$68=(Refsz_Verbräuche[[#Headers],[2030]]-1),Refsz_Verbräuche[[#This Row],[2029]],IF(Startseite!$D$68&lt;Refsz_Verbräuche[[#Headers],[2030]],Refsz_Verbräuche[[#This Row],[2029]],"")))</f>
        <v/>
      </c>
      <c r="V40" s="110" t="str">
        <f>IF(Refsz_Verbräuche[[#Headers],[2035]]=Startseite!$D$68,IF(OR(SUMIF($F40:Refsz_Verbräuche[[#This Row],[2030]],"&gt;0")&gt;0,), AVERAGEIF($F40:Refsz_Verbräuche[[#This Row],[2030]],"&lt;&gt;"""), ""),IF(Startseite!$D$68=(Refsz_Verbräuche[[#Headers],[2035]]-1),Refsz_Verbräuche[[#This Row],[2030]],IF(Startseite!$D$68&lt;Refsz_Verbräuche[[#Headers],[2035]],Refsz_Verbräuche[[#This Row],[2030]],"")))</f>
        <v/>
      </c>
      <c r="W40" s="110" t="str">
        <f>IF(Refsz_Verbräuche[[#Headers],[2040]]=Startseite!$D$68,IF(OR(SUMIF($F40:Refsz_Verbräuche[[#This Row],[2035]],"&gt;0")&gt;0,), AVERAGEIF($F40:Refsz_Verbräuche[[#This Row],[2035]],"&lt;&gt;"""), ""),IF(Startseite!$D$68=(Refsz_Verbräuche[[#Headers],[2040]]-1),Refsz_Verbräuche[[#This Row],[2035]],IF(Startseite!$D$68&lt;Refsz_Verbräuche[[#Headers],[2040]],Refsz_Verbräuche[[#This Row],[2035]],"")))</f>
        <v/>
      </c>
      <c r="X40" s="110" t="str">
        <f>IF(Refsz_Verbräuche[[#Headers],[2045]]=Startseite!$D$68,IF(OR(SUMIF($F40:Refsz_Verbräuche[[#This Row],[2040]],"&gt;0")&gt;0,), AVERAGEIF($F40:Refsz_Verbräuche[[#This Row],[2040]],"&lt;&gt;"""), ""),IF(Startseite!$D$68=(Refsz_Verbräuche[[#Headers],[2045]]-1),Refsz_Verbräuche[[#This Row],[2040]],IF(Startseite!$D$68&lt;Refsz_Verbräuche[[#Headers],[2045]],Refsz_Verbräuche[[#This Row],[2040]],"")))</f>
        <v/>
      </c>
      <c r="Y40" s="110" t="str">
        <f>IF(Refsz_Verbräuche[[#Headers],[2050]]=Startseite!$D$68,IF(OR(SUMIF($F40:Refsz_Verbräuche[[#This Row],[2045]],"&gt;0")&gt;0,), AVERAGEIF($F40:Refsz_Verbräuche[[#This Row],[2045]],"&lt;&gt;"""), ""),IF(Startseite!$D$68=(Refsz_Verbräuche[[#Headers],[2050]]-1),Refsz_Verbräuche[[#This Row],[2045]],IF(Startseite!$D$68&lt;Refsz_Verbräuche[[#Headers],[2050]],Refsz_Verbräuche[[#This Row],[2045]],"")))</f>
        <v/>
      </c>
      <c r="AA40" s="14"/>
    </row>
    <row r="41" spans="2:27">
      <c r="B41" s="14">
        <v>24</v>
      </c>
      <c r="C41" s="14" t="s">
        <v>199</v>
      </c>
      <c r="D41" s="10" t="s">
        <v>532</v>
      </c>
      <c r="E41" t="s">
        <v>42</v>
      </c>
      <c r="F41" s="110"/>
      <c r="G41" s="110"/>
      <c r="H41" s="110"/>
      <c r="I41" s="110"/>
      <c r="J41" s="110"/>
      <c r="K41" s="110"/>
      <c r="L41" s="110"/>
      <c r="M41" s="110" t="str">
        <f>IF(Refsz_Verbräuche[[#Headers],[2022]]=Startseite!$D$68,IF(OR(SUMIF($F41:Refsz_Verbräuche[[#This Row],[2021]],"&gt;0")&gt;0,), AVERAGEIF($F41:Refsz_Verbräuche[[#This Row],[2021]],"&lt;&gt;"""), ""),IF(Startseite!$D$68=(Refsz_Verbräuche[[#Headers],[2022]]-1),Refsz_Verbräuche[[#This Row],[2021]],IF(Startseite!$D$68&lt;Refsz_Verbräuche[[#Headers],[2022]],Refsz_Verbräuche[[#This Row],[2021]],"")))</f>
        <v/>
      </c>
      <c r="N41" s="110" t="str">
        <f>IF(Refsz_Verbräuche[[#Headers],[2023]]=Startseite!$D$68,IF(OR(SUMIF($F41:Refsz_Verbräuche[[#This Row],[2022]],"&gt;0")&gt;0,), AVERAGEIF($F41:Refsz_Verbräuche[[#This Row],[2022]],"&lt;&gt;"""), ""),IF(Startseite!$D$68=(Refsz_Verbräuche[[#Headers],[2023]]-1),Refsz_Verbräuche[[#This Row],[2022]],IF(Startseite!$D$68&lt;Refsz_Verbräuche[[#Headers],[2023]],Refsz_Verbräuche[[#This Row],[2022]],"")))</f>
        <v/>
      </c>
      <c r="O41" s="110" t="str">
        <f>IF(Refsz_Verbräuche[[#Headers],[2024]]=Startseite!$D$68,IF(OR(SUMIF($F41:Refsz_Verbräuche[[#This Row],[2023]],"&gt;0")&gt;0,), AVERAGEIF($F41:Refsz_Verbräuche[[#This Row],[2023]],"&lt;&gt;"""), ""),IF(Startseite!$D$68=(Refsz_Verbräuche[[#Headers],[2024]]-1),Refsz_Verbräuche[[#This Row],[2023]],IF(Startseite!$D$68&lt;Refsz_Verbräuche[[#Headers],[2024]],Refsz_Verbräuche[[#This Row],[2023]],"")))</f>
        <v/>
      </c>
      <c r="P41" s="110" t="str">
        <f>IF(Refsz_Verbräuche[[#Headers],[2025]]=Startseite!$D$68,IF(OR(SUMIF($F41:Refsz_Verbräuche[[#This Row],[2024]],"&gt;0")&gt;0,), AVERAGEIF($F41:Refsz_Verbräuche[[#This Row],[2024]],"&lt;&gt;"""), ""),IF(Startseite!$D$68=(Refsz_Verbräuche[[#Headers],[2025]]-1),Refsz_Verbräuche[[#This Row],[2024]],IF(Startseite!$D$68&lt;Refsz_Verbräuche[[#Headers],[2025]],Refsz_Verbräuche[[#This Row],[2024]],"")))</f>
        <v/>
      </c>
      <c r="Q41" s="110" t="str">
        <f>IF(Refsz_Verbräuche[[#Headers],[2026]]=Startseite!$D$68,IF(OR(SUMIF($F41:Refsz_Verbräuche[[#This Row],[2025]],"&gt;0")&gt;0,), AVERAGEIF($F41:Refsz_Verbräuche[[#This Row],[2025]],"&lt;&gt;"""), ""),IF(Startseite!$D$68=(Refsz_Verbräuche[[#Headers],[2026]]-1),Refsz_Verbräuche[[#This Row],[2025]],IF(Startseite!$D$68&lt;Refsz_Verbräuche[[#Headers],[2026]],Refsz_Verbräuche[[#This Row],[2025]],"")))</f>
        <v/>
      </c>
      <c r="R41" s="110" t="str">
        <f>IF(Refsz_Verbräuche[[#Headers],[2027]]=Startseite!$D$68,IF(OR(SUMIF($F41:Refsz_Verbräuche[[#This Row],[2026]],"&gt;0")&gt;0,), AVERAGEIF($F41:Refsz_Verbräuche[[#This Row],[2026]],"&lt;&gt;"""), ""),IF(Startseite!$D$68=(Refsz_Verbräuche[[#Headers],[2027]]-1),Refsz_Verbräuche[[#This Row],[2026]],IF(Startseite!$D$68&lt;Refsz_Verbräuche[[#Headers],[2027]],Refsz_Verbräuche[[#This Row],[2026]],"")))</f>
        <v/>
      </c>
      <c r="S41" s="110" t="str">
        <f>IF(Refsz_Verbräuche[[#Headers],[2028]]=Startseite!$D$68,IF(OR(SUMIF($F41:Refsz_Verbräuche[[#This Row],[2027]],"&gt;0")&gt;0,), AVERAGEIF($F41:Refsz_Verbräuche[[#This Row],[2027]],"&lt;&gt;"""), ""),IF(Startseite!$D$68=(Refsz_Verbräuche[[#Headers],[2028]]-1),Refsz_Verbräuche[[#This Row],[2027]],IF(Startseite!$D$68&lt;Refsz_Verbräuche[[#Headers],[2028]],Refsz_Verbräuche[[#This Row],[2027]],"")))</f>
        <v/>
      </c>
      <c r="T41" s="110" t="str">
        <f>IF(Refsz_Verbräuche[[#Headers],[2029]]=Startseite!$D$68,IF(OR(SUMIF($F41:Refsz_Verbräuche[[#This Row],[2028]],"&gt;0")&gt;0,), AVERAGEIF($F41:Refsz_Verbräuche[[#This Row],[2028]],"&lt;&gt;"""), ""),IF(Startseite!$D$68=(Refsz_Verbräuche[[#Headers],[2029]]-1),Refsz_Verbräuche[[#This Row],[2028]],IF(Startseite!$D$68&lt;Refsz_Verbräuche[[#Headers],[2029]],Refsz_Verbräuche[[#This Row],[2028]],"")))</f>
        <v/>
      </c>
      <c r="U41" s="110" t="str">
        <f>IF(Refsz_Verbräuche[[#Headers],[2030]]=Startseite!$D$68,IF(OR(SUMIF($F41:Refsz_Verbräuche[[#This Row],[2029]],"&gt;0")&gt;0,), AVERAGEIF($F41:Refsz_Verbräuche[[#This Row],[2029]],"&lt;&gt;"""), ""),IF(Startseite!$D$68=(Refsz_Verbräuche[[#Headers],[2030]]-1),Refsz_Verbräuche[[#This Row],[2029]],IF(Startseite!$D$68&lt;Refsz_Verbräuche[[#Headers],[2030]],Refsz_Verbräuche[[#This Row],[2029]],"")))</f>
        <v/>
      </c>
      <c r="V41" s="110" t="str">
        <f>IF(Refsz_Verbräuche[[#Headers],[2035]]=Startseite!$D$68,IF(OR(SUMIF($F41:Refsz_Verbräuche[[#This Row],[2030]],"&gt;0")&gt;0,), AVERAGEIF($F41:Refsz_Verbräuche[[#This Row],[2030]],"&lt;&gt;"""), ""),IF(Startseite!$D$68=(Refsz_Verbräuche[[#Headers],[2035]]-1),Refsz_Verbräuche[[#This Row],[2030]],IF(Startseite!$D$68&lt;Refsz_Verbräuche[[#Headers],[2035]],Refsz_Verbräuche[[#This Row],[2030]],"")))</f>
        <v/>
      </c>
      <c r="W41" s="110" t="str">
        <f>IF(Refsz_Verbräuche[[#Headers],[2040]]=Startseite!$D$68,IF(OR(SUMIF($F41:Refsz_Verbräuche[[#This Row],[2035]],"&gt;0")&gt;0,), AVERAGEIF($F41:Refsz_Verbräuche[[#This Row],[2035]],"&lt;&gt;"""), ""),IF(Startseite!$D$68=(Refsz_Verbräuche[[#Headers],[2040]]-1),Refsz_Verbräuche[[#This Row],[2035]],IF(Startseite!$D$68&lt;Refsz_Verbräuche[[#Headers],[2040]],Refsz_Verbräuche[[#This Row],[2035]],"")))</f>
        <v/>
      </c>
      <c r="X41" s="110" t="str">
        <f>IF(Refsz_Verbräuche[[#Headers],[2045]]=Startseite!$D$68,IF(OR(SUMIF($F41:Refsz_Verbräuche[[#This Row],[2040]],"&gt;0")&gt;0,), AVERAGEIF($F41:Refsz_Verbräuche[[#This Row],[2040]],"&lt;&gt;"""), ""),IF(Startseite!$D$68=(Refsz_Verbräuche[[#Headers],[2045]]-1),Refsz_Verbräuche[[#This Row],[2040]],IF(Startseite!$D$68&lt;Refsz_Verbräuche[[#Headers],[2045]],Refsz_Verbräuche[[#This Row],[2040]],"")))</f>
        <v/>
      </c>
      <c r="Y41" s="110" t="str">
        <f>IF(Refsz_Verbräuche[[#Headers],[2050]]=Startseite!$D$68,IF(OR(SUMIF($F41:Refsz_Verbräuche[[#This Row],[2045]],"&gt;0")&gt;0,), AVERAGEIF($F41:Refsz_Verbräuche[[#This Row],[2045]],"&lt;&gt;"""), ""),IF(Startseite!$D$68=(Refsz_Verbräuche[[#Headers],[2050]]-1),Refsz_Verbräuche[[#This Row],[2045]],IF(Startseite!$D$68&lt;Refsz_Verbräuche[[#Headers],[2050]],Refsz_Verbräuche[[#This Row],[2045]],"")))</f>
        <v/>
      </c>
      <c r="AA41" s="14"/>
    </row>
    <row r="42" spans="2:27">
      <c r="B42" s="14">
        <v>25</v>
      </c>
      <c r="C42" s="14" t="s">
        <v>199</v>
      </c>
      <c r="D42" s="43" t="s">
        <v>623</v>
      </c>
      <c r="E42" t="s">
        <v>42</v>
      </c>
      <c r="F42" s="110"/>
      <c r="G42" s="110"/>
      <c r="H42" s="110"/>
      <c r="I42" s="110"/>
      <c r="J42" s="110"/>
      <c r="K42" s="110"/>
      <c r="L42" s="110"/>
      <c r="M42" s="110" t="str">
        <f>IF(Refsz_Verbräuche[[#Headers],[2022]]=Startseite!$D$68,IF(OR(SUMIF($F42:Refsz_Verbräuche[[#This Row],[2021]],"&gt;0")&gt;0,), AVERAGEIF($F42:Refsz_Verbräuche[[#This Row],[2021]],"&lt;&gt;"""), ""),IF(Startseite!$D$68=(Refsz_Verbräuche[[#Headers],[2022]]-1),Refsz_Verbräuche[[#This Row],[2021]],IF(Startseite!$D$68&lt;Refsz_Verbräuche[[#Headers],[2022]],Refsz_Verbräuche[[#This Row],[2021]],"")))</f>
        <v/>
      </c>
      <c r="N42" s="110" t="str">
        <f>IF(Refsz_Verbräuche[[#Headers],[2023]]=Startseite!$D$68,IF(OR(SUMIF($F42:Refsz_Verbräuche[[#This Row],[2022]],"&gt;0")&gt;0,), AVERAGEIF($F42:Refsz_Verbräuche[[#This Row],[2022]],"&lt;&gt;"""), ""),IF(Startseite!$D$68=(Refsz_Verbräuche[[#Headers],[2023]]-1),Refsz_Verbräuche[[#This Row],[2022]],IF(Startseite!$D$68&lt;Refsz_Verbräuche[[#Headers],[2023]],Refsz_Verbräuche[[#This Row],[2022]],"")))</f>
        <v/>
      </c>
      <c r="O42" s="110" t="str">
        <f>IF(Refsz_Verbräuche[[#Headers],[2024]]=Startseite!$D$68,IF(OR(SUMIF($F42:Refsz_Verbräuche[[#This Row],[2023]],"&gt;0")&gt;0,), AVERAGEIF($F42:Refsz_Verbräuche[[#This Row],[2023]],"&lt;&gt;"""), ""),IF(Startseite!$D$68=(Refsz_Verbräuche[[#Headers],[2024]]-1),Refsz_Verbräuche[[#This Row],[2023]],IF(Startseite!$D$68&lt;Refsz_Verbräuche[[#Headers],[2024]],Refsz_Verbräuche[[#This Row],[2023]],"")))</f>
        <v/>
      </c>
      <c r="P42" s="110" t="str">
        <f>IF(Refsz_Verbräuche[[#Headers],[2025]]=Startseite!$D$68,IF(OR(SUMIF($F42:Refsz_Verbräuche[[#This Row],[2024]],"&gt;0")&gt;0,), AVERAGEIF($F42:Refsz_Verbräuche[[#This Row],[2024]],"&lt;&gt;"""), ""),IF(Startseite!$D$68=(Refsz_Verbräuche[[#Headers],[2025]]-1),Refsz_Verbräuche[[#This Row],[2024]],IF(Startseite!$D$68&lt;Refsz_Verbräuche[[#Headers],[2025]],Refsz_Verbräuche[[#This Row],[2024]],"")))</f>
        <v/>
      </c>
      <c r="Q42" s="110" t="str">
        <f>IF(Refsz_Verbräuche[[#Headers],[2026]]=Startseite!$D$68,IF(OR(SUMIF($F42:Refsz_Verbräuche[[#This Row],[2025]],"&gt;0")&gt;0,), AVERAGEIF($F42:Refsz_Verbräuche[[#This Row],[2025]],"&lt;&gt;"""), ""),IF(Startseite!$D$68=(Refsz_Verbräuche[[#Headers],[2026]]-1),Refsz_Verbräuche[[#This Row],[2025]],IF(Startseite!$D$68&lt;Refsz_Verbräuche[[#Headers],[2026]],Refsz_Verbräuche[[#This Row],[2025]],"")))</f>
        <v/>
      </c>
      <c r="R42" s="110" t="str">
        <f>IF(Refsz_Verbräuche[[#Headers],[2027]]=Startseite!$D$68,IF(OR(SUMIF($F42:Refsz_Verbräuche[[#This Row],[2026]],"&gt;0")&gt;0,), AVERAGEIF($F42:Refsz_Verbräuche[[#This Row],[2026]],"&lt;&gt;"""), ""),IF(Startseite!$D$68=(Refsz_Verbräuche[[#Headers],[2027]]-1),Refsz_Verbräuche[[#This Row],[2026]],IF(Startseite!$D$68&lt;Refsz_Verbräuche[[#Headers],[2027]],Refsz_Verbräuche[[#This Row],[2026]],"")))</f>
        <v/>
      </c>
      <c r="S42" s="110" t="str">
        <f>IF(Refsz_Verbräuche[[#Headers],[2028]]=Startseite!$D$68,IF(OR(SUMIF($F42:Refsz_Verbräuche[[#This Row],[2027]],"&gt;0")&gt;0,), AVERAGEIF($F42:Refsz_Verbräuche[[#This Row],[2027]],"&lt;&gt;"""), ""),IF(Startseite!$D$68=(Refsz_Verbräuche[[#Headers],[2028]]-1),Refsz_Verbräuche[[#This Row],[2027]],IF(Startseite!$D$68&lt;Refsz_Verbräuche[[#Headers],[2028]],Refsz_Verbräuche[[#This Row],[2027]],"")))</f>
        <v/>
      </c>
      <c r="T42" s="110" t="str">
        <f>IF(Refsz_Verbräuche[[#Headers],[2029]]=Startseite!$D$68,IF(OR(SUMIF($F42:Refsz_Verbräuche[[#This Row],[2028]],"&gt;0")&gt;0,), AVERAGEIF($F42:Refsz_Verbräuche[[#This Row],[2028]],"&lt;&gt;"""), ""),IF(Startseite!$D$68=(Refsz_Verbräuche[[#Headers],[2029]]-1),Refsz_Verbräuche[[#This Row],[2028]],IF(Startseite!$D$68&lt;Refsz_Verbräuche[[#Headers],[2029]],Refsz_Verbräuche[[#This Row],[2028]],"")))</f>
        <v/>
      </c>
      <c r="U42" s="110" t="str">
        <f>IF(Refsz_Verbräuche[[#Headers],[2030]]=Startseite!$D$68,IF(OR(SUMIF($F42:Refsz_Verbräuche[[#This Row],[2029]],"&gt;0")&gt;0,), AVERAGEIF($F42:Refsz_Verbräuche[[#This Row],[2029]],"&lt;&gt;"""), ""),IF(Startseite!$D$68=(Refsz_Verbräuche[[#Headers],[2030]]-1),Refsz_Verbräuche[[#This Row],[2029]],IF(Startseite!$D$68&lt;Refsz_Verbräuche[[#Headers],[2030]],Refsz_Verbräuche[[#This Row],[2029]],"")))</f>
        <v/>
      </c>
      <c r="V42" s="110" t="str">
        <f>IF(Refsz_Verbräuche[[#Headers],[2035]]=Startseite!$D$68,IF(OR(SUMIF($F42:Refsz_Verbräuche[[#This Row],[2030]],"&gt;0")&gt;0,), AVERAGEIF($F42:Refsz_Verbräuche[[#This Row],[2030]],"&lt;&gt;"""), ""),IF(Startseite!$D$68=(Refsz_Verbräuche[[#Headers],[2035]]-1),Refsz_Verbräuche[[#This Row],[2030]],IF(Startseite!$D$68&lt;Refsz_Verbräuche[[#Headers],[2035]],Refsz_Verbräuche[[#This Row],[2030]],"")))</f>
        <v/>
      </c>
      <c r="W42" s="110" t="str">
        <f>IF(Refsz_Verbräuche[[#Headers],[2040]]=Startseite!$D$68,IF(OR(SUMIF($F42:Refsz_Verbräuche[[#This Row],[2035]],"&gt;0")&gt;0,), AVERAGEIF($F42:Refsz_Verbräuche[[#This Row],[2035]],"&lt;&gt;"""), ""),IF(Startseite!$D$68=(Refsz_Verbräuche[[#Headers],[2040]]-1),Refsz_Verbräuche[[#This Row],[2035]],IF(Startseite!$D$68&lt;Refsz_Verbräuche[[#Headers],[2040]],Refsz_Verbräuche[[#This Row],[2035]],"")))</f>
        <v/>
      </c>
      <c r="X42" s="110" t="str">
        <f>IF(Refsz_Verbräuche[[#Headers],[2045]]=Startseite!$D$68,IF(OR(SUMIF($F42:Refsz_Verbräuche[[#This Row],[2040]],"&gt;0")&gt;0,), AVERAGEIF($F42:Refsz_Verbräuche[[#This Row],[2040]],"&lt;&gt;"""), ""),IF(Startseite!$D$68=(Refsz_Verbräuche[[#Headers],[2045]]-1),Refsz_Verbräuche[[#This Row],[2040]],IF(Startseite!$D$68&lt;Refsz_Verbräuche[[#Headers],[2045]],Refsz_Verbräuche[[#This Row],[2040]],"")))</f>
        <v/>
      </c>
      <c r="Y42" s="110" t="str">
        <f>IF(Refsz_Verbräuche[[#Headers],[2050]]=Startseite!$D$68,IF(OR(SUMIF($F42:Refsz_Verbräuche[[#This Row],[2045]],"&gt;0")&gt;0,), AVERAGEIF($F42:Refsz_Verbräuche[[#This Row],[2045]],"&lt;&gt;"""), ""),IF(Startseite!$D$68=(Refsz_Verbräuche[[#Headers],[2050]]-1),Refsz_Verbräuche[[#This Row],[2045]],IF(Startseite!$D$68&lt;Refsz_Verbräuche[[#Headers],[2050]],Refsz_Verbräuche[[#This Row],[2045]],"")))</f>
        <v/>
      </c>
      <c r="Z42" t="s">
        <v>196</v>
      </c>
      <c r="AA42" s="14">
        <v>4</v>
      </c>
    </row>
    <row r="43" spans="2:27">
      <c r="B43" s="14">
        <v>26</v>
      </c>
      <c r="C43" s="14" t="s">
        <v>200</v>
      </c>
      <c r="D43" s="10" t="s">
        <v>494</v>
      </c>
      <c r="E43" t="s">
        <v>44</v>
      </c>
      <c r="F43" s="110"/>
      <c r="G43" s="110"/>
      <c r="H43" s="110"/>
      <c r="I43" s="110"/>
      <c r="J43" s="110"/>
      <c r="K43" s="110"/>
      <c r="L43" s="110"/>
      <c r="M43" s="110" t="str">
        <f>IF(Refsz_Verbräuche[[#Headers],[2022]]=Startseite!$D$68,IF(OR(SUMIF($F43:Refsz_Verbräuche[[#This Row],[2021]],"&gt;0")&gt;0,), AVERAGEIF($F43:Refsz_Verbräuche[[#This Row],[2021]],"&lt;&gt;"""), ""),IF(Startseite!$D$68=(Refsz_Verbräuche[[#Headers],[2022]]-1),Refsz_Verbräuche[[#This Row],[2021]],IF(Startseite!$D$68&lt;Refsz_Verbräuche[[#Headers],[2022]],Refsz_Verbräuche[[#This Row],[2021]],"")))</f>
        <v/>
      </c>
      <c r="N43" s="110" t="str">
        <f>IF(Refsz_Verbräuche[[#Headers],[2023]]=Startseite!$D$68,IF(OR(SUMIF($F43:Refsz_Verbräuche[[#This Row],[2022]],"&gt;0")&gt;0,), AVERAGEIF($F43:Refsz_Verbräuche[[#This Row],[2022]],"&lt;&gt;"""), ""),IF(Startseite!$D$68=(Refsz_Verbräuche[[#Headers],[2023]]-1),Refsz_Verbräuche[[#This Row],[2022]],IF(Startseite!$D$68&lt;Refsz_Verbräuche[[#Headers],[2023]],Refsz_Verbräuche[[#This Row],[2022]],"")))</f>
        <v/>
      </c>
      <c r="O43" s="110" t="str">
        <f>IF(Refsz_Verbräuche[[#Headers],[2024]]=Startseite!$D$68,IF(OR(SUMIF($F43:Refsz_Verbräuche[[#This Row],[2023]],"&gt;0")&gt;0,), AVERAGEIF($F43:Refsz_Verbräuche[[#This Row],[2023]],"&lt;&gt;"""), ""),IF(Startseite!$D$68=(Refsz_Verbräuche[[#Headers],[2024]]-1),Refsz_Verbräuche[[#This Row],[2023]],IF(Startseite!$D$68&lt;Refsz_Verbräuche[[#Headers],[2024]],Refsz_Verbräuche[[#This Row],[2023]],"")))</f>
        <v/>
      </c>
      <c r="P43" s="110" t="str">
        <f>IF(Refsz_Verbräuche[[#Headers],[2025]]=Startseite!$D$68,IF(OR(SUMIF($F43:Refsz_Verbräuche[[#This Row],[2024]],"&gt;0")&gt;0,), AVERAGEIF($F43:Refsz_Verbräuche[[#This Row],[2024]],"&lt;&gt;"""), ""),IF(Startseite!$D$68=(Refsz_Verbräuche[[#Headers],[2025]]-1),Refsz_Verbräuche[[#This Row],[2024]],IF(Startseite!$D$68&lt;Refsz_Verbräuche[[#Headers],[2025]],Refsz_Verbräuche[[#This Row],[2024]],"")))</f>
        <v/>
      </c>
      <c r="Q43" s="110" t="str">
        <f>IF(Refsz_Verbräuche[[#Headers],[2026]]=Startseite!$D$68,IF(OR(SUMIF($F43:Refsz_Verbräuche[[#This Row],[2025]],"&gt;0")&gt;0,), AVERAGEIF($F43:Refsz_Verbräuche[[#This Row],[2025]],"&lt;&gt;"""), ""),IF(Startseite!$D$68=(Refsz_Verbräuche[[#Headers],[2026]]-1),Refsz_Verbräuche[[#This Row],[2025]],IF(Startseite!$D$68&lt;Refsz_Verbräuche[[#Headers],[2026]],Refsz_Verbräuche[[#This Row],[2025]],"")))</f>
        <v/>
      </c>
      <c r="R43" s="110" t="str">
        <f>IF(Refsz_Verbräuche[[#Headers],[2027]]=Startseite!$D$68,IF(OR(SUMIF($F43:Refsz_Verbräuche[[#This Row],[2026]],"&gt;0")&gt;0,), AVERAGEIF($F43:Refsz_Verbräuche[[#This Row],[2026]],"&lt;&gt;"""), ""),IF(Startseite!$D$68=(Refsz_Verbräuche[[#Headers],[2027]]-1),Refsz_Verbräuche[[#This Row],[2026]],IF(Startseite!$D$68&lt;Refsz_Verbräuche[[#Headers],[2027]],Refsz_Verbräuche[[#This Row],[2026]],"")))</f>
        <v/>
      </c>
      <c r="S43" s="110" t="str">
        <f>IF(Refsz_Verbräuche[[#Headers],[2028]]=Startseite!$D$68,IF(OR(SUMIF($F43:Refsz_Verbräuche[[#This Row],[2027]],"&gt;0")&gt;0,), AVERAGEIF($F43:Refsz_Verbräuche[[#This Row],[2027]],"&lt;&gt;"""), ""),IF(Startseite!$D$68=(Refsz_Verbräuche[[#Headers],[2028]]-1),Refsz_Verbräuche[[#This Row],[2027]],IF(Startseite!$D$68&lt;Refsz_Verbräuche[[#Headers],[2028]],Refsz_Verbräuche[[#This Row],[2027]],"")))</f>
        <v/>
      </c>
      <c r="T43" s="110" t="str">
        <f>IF(Refsz_Verbräuche[[#Headers],[2029]]=Startseite!$D$68,IF(OR(SUMIF($F43:Refsz_Verbräuche[[#This Row],[2028]],"&gt;0")&gt;0,), AVERAGEIF($F43:Refsz_Verbräuche[[#This Row],[2028]],"&lt;&gt;"""), ""),IF(Startseite!$D$68=(Refsz_Verbräuche[[#Headers],[2029]]-1),Refsz_Verbräuche[[#This Row],[2028]],IF(Startseite!$D$68&lt;Refsz_Verbräuche[[#Headers],[2029]],Refsz_Verbräuche[[#This Row],[2028]],"")))</f>
        <v/>
      </c>
      <c r="U43" s="110" t="str">
        <f>IF(Refsz_Verbräuche[[#Headers],[2030]]=Startseite!$D$68,IF(OR(SUMIF($F43:Refsz_Verbräuche[[#This Row],[2029]],"&gt;0")&gt;0,), AVERAGEIF($F43:Refsz_Verbräuche[[#This Row],[2029]],"&lt;&gt;"""), ""),IF(Startseite!$D$68=(Refsz_Verbräuche[[#Headers],[2030]]-1),Refsz_Verbräuche[[#This Row],[2029]],IF(Startseite!$D$68&lt;Refsz_Verbräuche[[#Headers],[2030]],Refsz_Verbräuche[[#This Row],[2029]],"")))</f>
        <v/>
      </c>
      <c r="V43" s="110" t="str">
        <f>IF(Refsz_Verbräuche[[#Headers],[2035]]=Startseite!$D$68,IF(OR(SUMIF($F43:Refsz_Verbräuche[[#This Row],[2030]],"&gt;0")&gt;0,), AVERAGEIF($F43:Refsz_Verbräuche[[#This Row],[2030]],"&lt;&gt;"""), ""),IF(Startseite!$D$68=(Refsz_Verbräuche[[#Headers],[2035]]-1),Refsz_Verbräuche[[#This Row],[2030]],IF(Startseite!$D$68&lt;Refsz_Verbräuche[[#Headers],[2035]],Refsz_Verbräuche[[#This Row],[2030]],"")))</f>
        <v/>
      </c>
      <c r="W43" s="110" t="str">
        <f>IF(Refsz_Verbräuche[[#Headers],[2040]]=Startseite!$D$68,IF(OR(SUMIF($F43:Refsz_Verbräuche[[#This Row],[2035]],"&gt;0")&gt;0,), AVERAGEIF($F43:Refsz_Verbräuche[[#This Row],[2035]],"&lt;&gt;"""), ""),IF(Startseite!$D$68=(Refsz_Verbräuche[[#Headers],[2040]]-1),Refsz_Verbräuche[[#This Row],[2035]],IF(Startseite!$D$68&lt;Refsz_Verbräuche[[#Headers],[2040]],Refsz_Verbräuche[[#This Row],[2035]],"")))</f>
        <v/>
      </c>
      <c r="X43" s="110" t="str">
        <f>IF(Refsz_Verbräuche[[#Headers],[2045]]=Startseite!$D$68,IF(OR(SUMIF($F43:Refsz_Verbräuche[[#This Row],[2040]],"&gt;0")&gt;0,), AVERAGEIF($F43:Refsz_Verbräuche[[#This Row],[2040]],"&lt;&gt;"""), ""),IF(Startseite!$D$68=(Refsz_Verbräuche[[#Headers],[2045]]-1),Refsz_Verbräuche[[#This Row],[2040]],IF(Startseite!$D$68&lt;Refsz_Verbräuche[[#Headers],[2045]],Refsz_Verbräuche[[#This Row],[2040]],"")))</f>
        <v/>
      </c>
      <c r="Y43" s="110" t="str">
        <f>IF(Refsz_Verbräuche[[#Headers],[2050]]=Startseite!$D$68,IF(OR(SUMIF($F43:Refsz_Verbräuche[[#This Row],[2045]],"&gt;0")&gt;0,), AVERAGEIF($F43:Refsz_Verbräuche[[#This Row],[2045]],"&lt;&gt;"""), ""),IF(Startseite!$D$68=(Refsz_Verbräuche[[#Headers],[2050]]-1),Refsz_Verbräuche[[#This Row],[2045]],IF(Startseite!$D$68&lt;Refsz_Verbräuche[[#Headers],[2050]],Refsz_Verbräuche[[#This Row],[2045]],"")))</f>
        <v/>
      </c>
      <c r="AA43" s="14"/>
    </row>
    <row r="44" spans="2:27">
      <c r="B44" s="14">
        <v>27</v>
      </c>
      <c r="C44" s="14" t="s">
        <v>200</v>
      </c>
      <c r="D44" s="10" t="s">
        <v>495</v>
      </c>
      <c r="E44" t="s">
        <v>44</v>
      </c>
      <c r="F44" s="110"/>
      <c r="G44" s="110"/>
      <c r="H44" s="110"/>
      <c r="I44" s="110"/>
      <c r="J44" s="110"/>
      <c r="K44" s="110"/>
      <c r="L44" s="110"/>
      <c r="M44" s="110" t="str">
        <f>IF(Refsz_Verbräuche[[#Headers],[2022]]=Startseite!$D$68,IF(OR(SUMIF($F44:Refsz_Verbräuche[[#This Row],[2021]],"&gt;0")&gt;0,), AVERAGEIF($F44:Refsz_Verbräuche[[#This Row],[2021]],"&lt;&gt;"""), ""),IF(Startseite!$D$68=(Refsz_Verbräuche[[#Headers],[2022]]-1),Refsz_Verbräuche[[#This Row],[2021]],IF(Startseite!$D$68&lt;Refsz_Verbräuche[[#Headers],[2022]],Refsz_Verbräuche[[#This Row],[2021]],"")))</f>
        <v/>
      </c>
      <c r="N44" s="110" t="str">
        <f>IF(Refsz_Verbräuche[[#Headers],[2023]]=Startseite!$D$68,IF(OR(SUMIF($F44:Refsz_Verbräuche[[#This Row],[2022]],"&gt;0")&gt;0,), AVERAGEIF($F44:Refsz_Verbräuche[[#This Row],[2022]],"&lt;&gt;"""), ""),IF(Startseite!$D$68=(Refsz_Verbräuche[[#Headers],[2023]]-1),Refsz_Verbräuche[[#This Row],[2022]],IF(Startseite!$D$68&lt;Refsz_Verbräuche[[#Headers],[2023]],Refsz_Verbräuche[[#This Row],[2022]],"")))</f>
        <v/>
      </c>
      <c r="O44" s="110" t="str">
        <f>IF(Refsz_Verbräuche[[#Headers],[2024]]=Startseite!$D$68,IF(OR(SUMIF($F44:Refsz_Verbräuche[[#This Row],[2023]],"&gt;0")&gt;0,), AVERAGEIF($F44:Refsz_Verbräuche[[#This Row],[2023]],"&lt;&gt;"""), ""),IF(Startseite!$D$68=(Refsz_Verbräuche[[#Headers],[2024]]-1),Refsz_Verbräuche[[#This Row],[2023]],IF(Startseite!$D$68&lt;Refsz_Verbräuche[[#Headers],[2024]],Refsz_Verbräuche[[#This Row],[2023]],"")))</f>
        <v/>
      </c>
      <c r="P44" s="110" t="str">
        <f>IF(Refsz_Verbräuche[[#Headers],[2025]]=Startseite!$D$68,IF(OR(SUMIF($F44:Refsz_Verbräuche[[#This Row],[2024]],"&gt;0")&gt;0,), AVERAGEIF($F44:Refsz_Verbräuche[[#This Row],[2024]],"&lt;&gt;"""), ""),IF(Startseite!$D$68=(Refsz_Verbräuche[[#Headers],[2025]]-1),Refsz_Verbräuche[[#This Row],[2024]],IF(Startseite!$D$68&lt;Refsz_Verbräuche[[#Headers],[2025]],Refsz_Verbräuche[[#This Row],[2024]],"")))</f>
        <v/>
      </c>
      <c r="Q44" s="110" t="str">
        <f>IF(Refsz_Verbräuche[[#Headers],[2026]]=Startseite!$D$68,IF(OR(SUMIF($F44:Refsz_Verbräuche[[#This Row],[2025]],"&gt;0")&gt;0,), AVERAGEIF($F44:Refsz_Verbräuche[[#This Row],[2025]],"&lt;&gt;"""), ""),IF(Startseite!$D$68=(Refsz_Verbräuche[[#Headers],[2026]]-1),Refsz_Verbräuche[[#This Row],[2025]],IF(Startseite!$D$68&lt;Refsz_Verbräuche[[#Headers],[2026]],Refsz_Verbräuche[[#This Row],[2025]],"")))</f>
        <v/>
      </c>
      <c r="R44" s="110" t="str">
        <f>IF(Refsz_Verbräuche[[#Headers],[2027]]=Startseite!$D$68,IF(OR(SUMIF($F44:Refsz_Verbräuche[[#This Row],[2026]],"&gt;0")&gt;0,), AVERAGEIF($F44:Refsz_Verbräuche[[#This Row],[2026]],"&lt;&gt;"""), ""),IF(Startseite!$D$68=(Refsz_Verbräuche[[#Headers],[2027]]-1),Refsz_Verbräuche[[#This Row],[2026]],IF(Startseite!$D$68&lt;Refsz_Verbräuche[[#Headers],[2027]],Refsz_Verbräuche[[#This Row],[2026]],"")))</f>
        <v/>
      </c>
      <c r="S44" s="110" t="str">
        <f>IF(Refsz_Verbräuche[[#Headers],[2028]]=Startseite!$D$68,IF(OR(SUMIF($F44:Refsz_Verbräuche[[#This Row],[2027]],"&gt;0")&gt;0,), AVERAGEIF($F44:Refsz_Verbräuche[[#This Row],[2027]],"&lt;&gt;"""), ""),IF(Startseite!$D$68=(Refsz_Verbräuche[[#Headers],[2028]]-1),Refsz_Verbräuche[[#This Row],[2027]],IF(Startseite!$D$68&lt;Refsz_Verbräuche[[#Headers],[2028]],Refsz_Verbräuche[[#This Row],[2027]],"")))</f>
        <v/>
      </c>
      <c r="T44" s="110" t="str">
        <f>IF(Refsz_Verbräuche[[#Headers],[2029]]=Startseite!$D$68,IF(OR(SUMIF($F44:Refsz_Verbräuche[[#This Row],[2028]],"&gt;0")&gt;0,), AVERAGEIF($F44:Refsz_Verbräuche[[#This Row],[2028]],"&lt;&gt;"""), ""),IF(Startseite!$D$68=(Refsz_Verbräuche[[#Headers],[2029]]-1),Refsz_Verbräuche[[#This Row],[2028]],IF(Startseite!$D$68&lt;Refsz_Verbräuche[[#Headers],[2029]],Refsz_Verbräuche[[#This Row],[2028]],"")))</f>
        <v/>
      </c>
      <c r="U44" s="110" t="str">
        <f>IF(Refsz_Verbräuche[[#Headers],[2030]]=Startseite!$D$68,IF(OR(SUMIF($F44:Refsz_Verbräuche[[#This Row],[2029]],"&gt;0")&gt;0,), AVERAGEIF($F44:Refsz_Verbräuche[[#This Row],[2029]],"&lt;&gt;"""), ""),IF(Startseite!$D$68=(Refsz_Verbräuche[[#Headers],[2030]]-1),Refsz_Verbräuche[[#This Row],[2029]],IF(Startseite!$D$68&lt;Refsz_Verbräuche[[#Headers],[2030]],Refsz_Verbräuche[[#This Row],[2029]],"")))</f>
        <v/>
      </c>
      <c r="V44" s="110" t="str">
        <f>IF(Refsz_Verbräuche[[#Headers],[2035]]=Startseite!$D$68,IF(OR(SUMIF($F44:Refsz_Verbräuche[[#This Row],[2030]],"&gt;0")&gt;0,), AVERAGEIF($F44:Refsz_Verbräuche[[#This Row],[2030]],"&lt;&gt;"""), ""),IF(Startseite!$D$68=(Refsz_Verbräuche[[#Headers],[2035]]-1),Refsz_Verbräuche[[#This Row],[2030]],IF(Startseite!$D$68&lt;Refsz_Verbräuche[[#Headers],[2035]],Refsz_Verbräuche[[#This Row],[2030]],"")))</f>
        <v/>
      </c>
      <c r="W44" s="110" t="str">
        <f>IF(Refsz_Verbräuche[[#Headers],[2040]]=Startseite!$D$68,IF(OR(SUMIF($F44:Refsz_Verbräuche[[#This Row],[2035]],"&gt;0")&gt;0,), AVERAGEIF($F44:Refsz_Verbräuche[[#This Row],[2035]],"&lt;&gt;"""), ""),IF(Startseite!$D$68=(Refsz_Verbräuche[[#Headers],[2040]]-1),Refsz_Verbräuche[[#This Row],[2035]],IF(Startseite!$D$68&lt;Refsz_Verbräuche[[#Headers],[2040]],Refsz_Verbräuche[[#This Row],[2035]],"")))</f>
        <v/>
      </c>
      <c r="X44" s="110" t="str">
        <f>IF(Refsz_Verbräuche[[#Headers],[2045]]=Startseite!$D$68,IF(OR(SUMIF($F44:Refsz_Verbräuche[[#This Row],[2040]],"&gt;0")&gt;0,), AVERAGEIF($F44:Refsz_Verbräuche[[#This Row],[2040]],"&lt;&gt;"""), ""),IF(Startseite!$D$68=(Refsz_Verbräuche[[#Headers],[2045]]-1),Refsz_Verbräuche[[#This Row],[2040]],IF(Startseite!$D$68&lt;Refsz_Verbräuche[[#Headers],[2045]],Refsz_Verbräuche[[#This Row],[2040]],"")))</f>
        <v/>
      </c>
      <c r="Y44" s="110" t="str">
        <f>IF(Refsz_Verbräuche[[#Headers],[2050]]=Startseite!$D$68,IF(OR(SUMIF($F44:Refsz_Verbräuche[[#This Row],[2045]],"&gt;0")&gt;0,), AVERAGEIF($F44:Refsz_Verbräuche[[#This Row],[2045]],"&lt;&gt;"""), ""),IF(Startseite!$D$68=(Refsz_Verbräuche[[#Headers],[2050]]-1),Refsz_Verbräuche[[#This Row],[2045]],IF(Startseite!$D$68&lt;Refsz_Verbräuche[[#Headers],[2050]],Refsz_Verbräuche[[#This Row],[2045]],"")))</f>
        <v/>
      </c>
      <c r="AA44" s="14"/>
    </row>
    <row r="45" spans="2:27">
      <c r="B45" s="14">
        <v>28</v>
      </c>
      <c r="C45" s="14" t="s">
        <v>200</v>
      </c>
      <c r="D45" s="10" t="s">
        <v>496</v>
      </c>
      <c r="E45" t="s">
        <v>44</v>
      </c>
      <c r="F45" s="110"/>
      <c r="G45" s="110"/>
      <c r="H45" s="110"/>
      <c r="I45" s="110"/>
      <c r="J45" s="110"/>
      <c r="K45" s="110"/>
      <c r="L45" s="110"/>
      <c r="M45" s="110" t="str">
        <f>IF(Refsz_Verbräuche[[#Headers],[2022]]=Startseite!$D$68,IF(OR(SUMIF($F45:Refsz_Verbräuche[[#This Row],[2021]],"&gt;0")&gt;0,), AVERAGEIF($F45:Refsz_Verbräuche[[#This Row],[2021]],"&lt;&gt;"""), ""),IF(Startseite!$D$68=(Refsz_Verbräuche[[#Headers],[2022]]-1),Refsz_Verbräuche[[#This Row],[2021]],IF(Startseite!$D$68&lt;Refsz_Verbräuche[[#Headers],[2022]],Refsz_Verbräuche[[#This Row],[2021]],"")))</f>
        <v/>
      </c>
      <c r="N45" s="110" t="str">
        <f>IF(Refsz_Verbräuche[[#Headers],[2023]]=Startseite!$D$68,IF(OR(SUMIF($F45:Refsz_Verbräuche[[#This Row],[2022]],"&gt;0")&gt;0,), AVERAGEIF($F45:Refsz_Verbräuche[[#This Row],[2022]],"&lt;&gt;"""), ""),IF(Startseite!$D$68=(Refsz_Verbräuche[[#Headers],[2023]]-1),Refsz_Verbräuche[[#This Row],[2022]],IF(Startseite!$D$68&lt;Refsz_Verbräuche[[#Headers],[2023]],Refsz_Verbräuche[[#This Row],[2022]],"")))</f>
        <v/>
      </c>
      <c r="O45" s="110" t="str">
        <f>IF(Refsz_Verbräuche[[#Headers],[2024]]=Startseite!$D$68,IF(OR(SUMIF($F45:Refsz_Verbräuche[[#This Row],[2023]],"&gt;0")&gt;0,), AVERAGEIF($F45:Refsz_Verbräuche[[#This Row],[2023]],"&lt;&gt;"""), ""),IF(Startseite!$D$68=(Refsz_Verbräuche[[#Headers],[2024]]-1),Refsz_Verbräuche[[#This Row],[2023]],IF(Startseite!$D$68&lt;Refsz_Verbräuche[[#Headers],[2024]],Refsz_Verbräuche[[#This Row],[2023]],"")))</f>
        <v/>
      </c>
      <c r="P45" s="110" t="str">
        <f>IF(Refsz_Verbräuche[[#Headers],[2025]]=Startseite!$D$68,IF(OR(SUMIF($F45:Refsz_Verbräuche[[#This Row],[2024]],"&gt;0")&gt;0,), AVERAGEIF($F45:Refsz_Verbräuche[[#This Row],[2024]],"&lt;&gt;"""), ""),IF(Startseite!$D$68=(Refsz_Verbräuche[[#Headers],[2025]]-1),Refsz_Verbräuche[[#This Row],[2024]],IF(Startseite!$D$68&lt;Refsz_Verbräuche[[#Headers],[2025]],Refsz_Verbräuche[[#This Row],[2024]],"")))</f>
        <v/>
      </c>
      <c r="Q45" s="110" t="str">
        <f>IF(Refsz_Verbräuche[[#Headers],[2026]]=Startseite!$D$68,IF(OR(SUMIF($F45:Refsz_Verbräuche[[#This Row],[2025]],"&gt;0")&gt;0,), AVERAGEIF($F45:Refsz_Verbräuche[[#This Row],[2025]],"&lt;&gt;"""), ""),IF(Startseite!$D$68=(Refsz_Verbräuche[[#Headers],[2026]]-1),Refsz_Verbräuche[[#This Row],[2025]],IF(Startseite!$D$68&lt;Refsz_Verbräuche[[#Headers],[2026]],Refsz_Verbräuche[[#This Row],[2025]],"")))</f>
        <v/>
      </c>
      <c r="R45" s="110" t="str">
        <f>IF(Refsz_Verbräuche[[#Headers],[2027]]=Startseite!$D$68,IF(OR(SUMIF($F45:Refsz_Verbräuche[[#This Row],[2026]],"&gt;0")&gt;0,), AVERAGEIF($F45:Refsz_Verbräuche[[#This Row],[2026]],"&lt;&gt;"""), ""),IF(Startseite!$D$68=(Refsz_Verbräuche[[#Headers],[2027]]-1),Refsz_Verbräuche[[#This Row],[2026]],IF(Startseite!$D$68&lt;Refsz_Verbräuche[[#Headers],[2027]],Refsz_Verbräuche[[#This Row],[2026]],"")))</f>
        <v/>
      </c>
      <c r="S45" s="110" t="str">
        <f>IF(Refsz_Verbräuche[[#Headers],[2028]]=Startseite!$D$68,IF(OR(SUMIF($F45:Refsz_Verbräuche[[#This Row],[2027]],"&gt;0")&gt;0,), AVERAGEIF($F45:Refsz_Verbräuche[[#This Row],[2027]],"&lt;&gt;"""), ""),IF(Startseite!$D$68=(Refsz_Verbräuche[[#Headers],[2028]]-1),Refsz_Verbräuche[[#This Row],[2027]],IF(Startseite!$D$68&lt;Refsz_Verbräuche[[#Headers],[2028]],Refsz_Verbräuche[[#This Row],[2027]],"")))</f>
        <v/>
      </c>
      <c r="T45" s="110" t="str">
        <f>IF(Refsz_Verbräuche[[#Headers],[2029]]=Startseite!$D$68,IF(OR(SUMIF($F45:Refsz_Verbräuche[[#This Row],[2028]],"&gt;0")&gt;0,), AVERAGEIF($F45:Refsz_Verbräuche[[#This Row],[2028]],"&lt;&gt;"""), ""),IF(Startseite!$D$68=(Refsz_Verbräuche[[#Headers],[2029]]-1),Refsz_Verbräuche[[#This Row],[2028]],IF(Startseite!$D$68&lt;Refsz_Verbräuche[[#Headers],[2029]],Refsz_Verbräuche[[#This Row],[2028]],"")))</f>
        <v/>
      </c>
      <c r="U45" s="110" t="str">
        <f>IF(Refsz_Verbräuche[[#Headers],[2030]]=Startseite!$D$68,IF(OR(SUMIF($F45:Refsz_Verbräuche[[#This Row],[2029]],"&gt;0")&gt;0,), AVERAGEIF($F45:Refsz_Verbräuche[[#This Row],[2029]],"&lt;&gt;"""), ""),IF(Startseite!$D$68=(Refsz_Verbräuche[[#Headers],[2030]]-1),Refsz_Verbräuche[[#This Row],[2029]],IF(Startseite!$D$68&lt;Refsz_Verbräuche[[#Headers],[2030]],Refsz_Verbräuche[[#This Row],[2029]],"")))</f>
        <v/>
      </c>
      <c r="V45" s="110" t="str">
        <f>IF(Refsz_Verbräuche[[#Headers],[2035]]=Startseite!$D$68,IF(OR(SUMIF($F45:Refsz_Verbräuche[[#This Row],[2030]],"&gt;0")&gt;0,), AVERAGEIF($F45:Refsz_Verbräuche[[#This Row],[2030]],"&lt;&gt;"""), ""),IF(Startseite!$D$68=(Refsz_Verbräuche[[#Headers],[2035]]-1),Refsz_Verbräuche[[#This Row],[2030]],IF(Startseite!$D$68&lt;Refsz_Verbräuche[[#Headers],[2035]],Refsz_Verbräuche[[#This Row],[2030]],"")))</f>
        <v/>
      </c>
      <c r="W45" s="110" t="str">
        <f>IF(Refsz_Verbräuche[[#Headers],[2040]]=Startseite!$D$68,IF(OR(SUMIF($F45:Refsz_Verbräuche[[#This Row],[2035]],"&gt;0")&gt;0,), AVERAGEIF($F45:Refsz_Verbräuche[[#This Row],[2035]],"&lt;&gt;"""), ""),IF(Startseite!$D$68=(Refsz_Verbräuche[[#Headers],[2040]]-1),Refsz_Verbräuche[[#This Row],[2035]],IF(Startseite!$D$68&lt;Refsz_Verbräuche[[#Headers],[2040]],Refsz_Verbräuche[[#This Row],[2035]],"")))</f>
        <v/>
      </c>
      <c r="X45" s="110" t="str">
        <f>IF(Refsz_Verbräuche[[#Headers],[2045]]=Startseite!$D$68,IF(OR(SUMIF($F45:Refsz_Verbräuche[[#This Row],[2040]],"&gt;0")&gt;0,), AVERAGEIF($F45:Refsz_Verbräuche[[#This Row],[2040]],"&lt;&gt;"""), ""),IF(Startseite!$D$68=(Refsz_Verbräuche[[#Headers],[2045]]-1),Refsz_Verbräuche[[#This Row],[2040]],IF(Startseite!$D$68&lt;Refsz_Verbräuche[[#Headers],[2045]],Refsz_Verbräuche[[#This Row],[2040]],"")))</f>
        <v/>
      </c>
      <c r="Y45" s="110" t="str">
        <f>IF(Refsz_Verbräuche[[#Headers],[2050]]=Startseite!$D$68,IF(OR(SUMIF($F45:Refsz_Verbräuche[[#This Row],[2045]],"&gt;0")&gt;0,), AVERAGEIF($F45:Refsz_Verbräuche[[#This Row],[2045]],"&lt;&gt;"""), ""),IF(Startseite!$D$68=(Refsz_Verbräuche[[#Headers],[2050]]-1),Refsz_Verbräuche[[#This Row],[2045]],IF(Startseite!$D$68&lt;Refsz_Verbräuche[[#Headers],[2050]],Refsz_Verbräuche[[#This Row],[2045]],"")))</f>
        <v/>
      </c>
      <c r="AA45" s="14"/>
    </row>
    <row r="46" spans="2:27">
      <c r="B46" s="14">
        <v>29</v>
      </c>
      <c r="C46" s="14" t="s">
        <v>200</v>
      </c>
      <c r="D46" s="10" t="s">
        <v>497</v>
      </c>
      <c r="E46" t="s">
        <v>44</v>
      </c>
      <c r="F46" s="110"/>
      <c r="G46" s="110"/>
      <c r="H46" s="110"/>
      <c r="I46" s="110"/>
      <c r="J46" s="110"/>
      <c r="K46" s="110"/>
      <c r="L46" s="110"/>
      <c r="M46" s="110" t="str">
        <f>IF(Refsz_Verbräuche[[#Headers],[2022]]=Startseite!$D$68,IF(OR(SUMIF($F46:Refsz_Verbräuche[[#This Row],[2021]],"&gt;0")&gt;0,), AVERAGEIF($F46:Refsz_Verbräuche[[#This Row],[2021]],"&lt;&gt;"""), ""),IF(Startseite!$D$68=(Refsz_Verbräuche[[#Headers],[2022]]-1),Refsz_Verbräuche[[#This Row],[2021]],IF(Startseite!$D$68&lt;Refsz_Verbräuche[[#Headers],[2022]],Refsz_Verbräuche[[#This Row],[2021]],"")))</f>
        <v/>
      </c>
      <c r="N46" s="110" t="str">
        <f>IF(Refsz_Verbräuche[[#Headers],[2023]]=Startseite!$D$68,IF(OR(SUMIF($F46:Refsz_Verbräuche[[#This Row],[2022]],"&gt;0")&gt;0,), AVERAGEIF($F46:Refsz_Verbräuche[[#This Row],[2022]],"&lt;&gt;"""), ""),IF(Startseite!$D$68=(Refsz_Verbräuche[[#Headers],[2023]]-1),Refsz_Verbräuche[[#This Row],[2022]],IF(Startseite!$D$68&lt;Refsz_Verbräuche[[#Headers],[2023]],Refsz_Verbräuche[[#This Row],[2022]],"")))</f>
        <v/>
      </c>
      <c r="O46" s="110" t="str">
        <f>IF(Refsz_Verbräuche[[#Headers],[2024]]=Startseite!$D$68,IF(OR(SUMIF($F46:Refsz_Verbräuche[[#This Row],[2023]],"&gt;0")&gt;0,), AVERAGEIF($F46:Refsz_Verbräuche[[#This Row],[2023]],"&lt;&gt;"""), ""),IF(Startseite!$D$68=(Refsz_Verbräuche[[#Headers],[2024]]-1),Refsz_Verbräuche[[#This Row],[2023]],IF(Startseite!$D$68&lt;Refsz_Verbräuche[[#Headers],[2024]],Refsz_Verbräuche[[#This Row],[2023]],"")))</f>
        <v/>
      </c>
      <c r="P46" s="110" t="str">
        <f>IF(Refsz_Verbräuche[[#Headers],[2025]]=Startseite!$D$68,IF(OR(SUMIF($F46:Refsz_Verbräuche[[#This Row],[2024]],"&gt;0")&gt;0,), AVERAGEIF($F46:Refsz_Verbräuche[[#This Row],[2024]],"&lt;&gt;"""), ""),IF(Startseite!$D$68=(Refsz_Verbräuche[[#Headers],[2025]]-1),Refsz_Verbräuche[[#This Row],[2024]],IF(Startseite!$D$68&lt;Refsz_Verbräuche[[#Headers],[2025]],Refsz_Verbräuche[[#This Row],[2024]],"")))</f>
        <v/>
      </c>
      <c r="Q46" s="110" t="str">
        <f>IF(Refsz_Verbräuche[[#Headers],[2026]]=Startseite!$D$68,IF(OR(SUMIF($F46:Refsz_Verbräuche[[#This Row],[2025]],"&gt;0")&gt;0,), AVERAGEIF($F46:Refsz_Verbräuche[[#This Row],[2025]],"&lt;&gt;"""), ""),IF(Startseite!$D$68=(Refsz_Verbräuche[[#Headers],[2026]]-1),Refsz_Verbräuche[[#This Row],[2025]],IF(Startseite!$D$68&lt;Refsz_Verbräuche[[#Headers],[2026]],Refsz_Verbräuche[[#This Row],[2025]],"")))</f>
        <v/>
      </c>
      <c r="R46" s="110" t="str">
        <f>IF(Refsz_Verbräuche[[#Headers],[2027]]=Startseite!$D$68,IF(OR(SUMIF($F46:Refsz_Verbräuche[[#This Row],[2026]],"&gt;0")&gt;0,), AVERAGEIF($F46:Refsz_Verbräuche[[#This Row],[2026]],"&lt;&gt;"""), ""),IF(Startseite!$D$68=(Refsz_Verbräuche[[#Headers],[2027]]-1),Refsz_Verbräuche[[#This Row],[2026]],IF(Startseite!$D$68&lt;Refsz_Verbräuche[[#Headers],[2027]],Refsz_Verbräuche[[#This Row],[2026]],"")))</f>
        <v/>
      </c>
      <c r="S46" s="110" t="str">
        <f>IF(Refsz_Verbräuche[[#Headers],[2028]]=Startseite!$D$68,IF(OR(SUMIF($F46:Refsz_Verbräuche[[#This Row],[2027]],"&gt;0")&gt;0,), AVERAGEIF($F46:Refsz_Verbräuche[[#This Row],[2027]],"&lt;&gt;"""), ""),IF(Startseite!$D$68=(Refsz_Verbräuche[[#Headers],[2028]]-1),Refsz_Verbräuche[[#This Row],[2027]],IF(Startseite!$D$68&lt;Refsz_Verbräuche[[#Headers],[2028]],Refsz_Verbräuche[[#This Row],[2027]],"")))</f>
        <v/>
      </c>
      <c r="T46" s="110" t="str">
        <f>IF(Refsz_Verbräuche[[#Headers],[2029]]=Startseite!$D$68,IF(OR(SUMIF($F46:Refsz_Verbräuche[[#This Row],[2028]],"&gt;0")&gt;0,), AVERAGEIF($F46:Refsz_Verbräuche[[#This Row],[2028]],"&lt;&gt;"""), ""),IF(Startseite!$D$68=(Refsz_Verbräuche[[#Headers],[2029]]-1),Refsz_Verbräuche[[#This Row],[2028]],IF(Startseite!$D$68&lt;Refsz_Verbräuche[[#Headers],[2029]],Refsz_Verbräuche[[#This Row],[2028]],"")))</f>
        <v/>
      </c>
      <c r="U46" s="110" t="str">
        <f>IF(Refsz_Verbräuche[[#Headers],[2030]]=Startseite!$D$68,IF(OR(SUMIF($F46:Refsz_Verbräuche[[#This Row],[2029]],"&gt;0")&gt;0,), AVERAGEIF($F46:Refsz_Verbräuche[[#This Row],[2029]],"&lt;&gt;"""), ""),IF(Startseite!$D$68=(Refsz_Verbräuche[[#Headers],[2030]]-1),Refsz_Verbräuche[[#This Row],[2029]],IF(Startseite!$D$68&lt;Refsz_Verbräuche[[#Headers],[2030]],Refsz_Verbräuche[[#This Row],[2029]],"")))</f>
        <v/>
      </c>
      <c r="V46" s="110" t="str">
        <f>IF(Refsz_Verbräuche[[#Headers],[2035]]=Startseite!$D$68,IF(OR(SUMIF($F46:Refsz_Verbräuche[[#This Row],[2030]],"&gt;0")&gt;0,), AVERAGEIF($F46:Refsz_Verbräuche[[#This Row],[2030]],"&lt;&gt;"""), ""),IF(Startseite!$D$68=(Refsz_Verbräuche[[#Headers],[2035]]-1),Refsz_Verbräuche[[#This Row],[2030]],IF(Startseite!$D$68&lt;Refsz_Verbräuche[[#Headers],[2035]],Refsz_Verbräuche[[#This Row],[2030]],"")))</f>
        <v/>
      </c>
      <c r="W46" s="110" t="str">
        <f>IF(Refsz_Verbräuche[[#Headers],[2040]]=Startseite!$D$68,IF(OR(SUMIF($F46:Refsz_Verbräuche[[#This Row],[2035]],"&gt;0")&gt;0,), AVERAGEIF($F46:Refsz_Verbräuche[[#This Row],[2035]],"&lt;&gt;"""), ""),IF(Startseite!$D$68=(Refsz_Verbräuche[[#Headers],[2040]]-1),Refsz_Verbräuche[[#This Row],[2035]],IF(Startseite!$D$68&lt;Refsz_Verbräuche[[#Headers],[2040]],Refsz_Verbräuche[[#This Row],[2035]],"")))</f>
        <v/>
      </c>
      <c r="X46" s="110" t="str">
        <f>IF(Refsz_Verbräuche[[#Headers],[2045]]=Startseite!$D$68,IF(OR(SUMIF($F46:Refsz_Verbräuche[[#This Row],[2040]],"&gt;0")&gt;0,), AVERAGEIF($F46:Refsz_Verbräuche[[#This Row],[2040]],"&lt;&gt;"""), ""),IF(Startseite!$D$68=(Refsz_Verbräuche[[#Headers],[2045]]-1),Refsz_Verbräuche[[#This Row],[2040]],IF(Startseite!$D$68&lt;Refsz_Verbräuche[[#Headers],[2045]],Refsz_Verbräuche[[#This Row],[2040]],"")))</f>
        <v/>
      </c>
      <c r="Y46" s="110" t="str">
        <f>IF(Refsz_Verbräuche[[#Headers],[2050]]=Startseite!$D$68,IF(OR(SUMIF($F46:Refsz_Verbräuche[[#This Row],[2045]],"&gt;0")&gt;0,), AVERAGEIF($F46:Refsz_Verbräuche[[#This Row],[2045]],"&lt;&gt;"""), ""),IF(Startseite!$D$68=(Refsz_Verbräuche[[#Headers],[2050]]-1),Refsz_Verbräuche[[#This Row],[2045]],IF(Startseite!$D$68&lt;Refsz_Verbräuche[[#Headers],[2050]],Refsz_Verbräuche[[#This Row],[2045]],"")))</f>
        <v/>
      </c>
      <c r="AA46" s="14"/>
    </row>
    <row r="47" spans="2:27">
      <c r="B47" s="14">
        <v>30</v>
      </c>
      <c r="C47" s="14"/>
      <c r="D47" s="10"/>
      <c r="E47" s="9"/>
      <c r="F47" s="110"/>
      <c r="G47" s="110"/>
      <c r="H47" s="110"/>
      <c r="I47" s="110"/>
      <c r="J47" s="110"/>
      <c r="K47" s="110"/>
      <c r="L47" s="110"/>
      <c r="M47" s="110" t="str">
        <f>IF(Refsz_Verbräuche[[#Headers],[2022]]=Startseite!$D$68,IF(OR(SUMIF($F47:Refsz_Verbräuche[[#This Row],[2021]],"&gt;0")&gt;0,), AVERAGEIF($F47:Refsz_Verbräuche[[#This Row],[2021]],"&lt;&gt;"""), ""),IF(Startseite!$D$68=(Refsz_Verbräuche[[#Headers],[2022]]-1),Refsz_Verbräuche[[#This Row],[2021]],IF(Startseite!$D$68&lt;Refsz_Verbräuche[[#Headers],[2022]],Refsz_Verbräuche[[#This Row],[2021]],"")))</f>
        <v/>
      </c>
      <c r="N47" s="110" t="str">
        <f>IF(Refsz_Verbräuche[[#Headers],[2023]]=Startseite!$D$68,IF(OR(SUMIF($F47:Refsz_Verbräuche[[#This Row],[2022]],"&gt;0")&gt;0,), AVERAGEIF($F47:Refsz_Verbräuche[[#This Row],[2022]],"&lt;&gt;"""), ""),IF(Startseite!$D$68=(Refsz_Verbräuche[[#Headers],[2023]]-1),Refsz_Verbräuche[[#This Row],[2022]],IF(Startseite!$D$68&lt;Refsz_Verbräuche[[#Headers],[2023]],Refsz_Verbräuche[[#This Row],[2022]],"")))</f>
        <v/>
      </c>
      <c r="O47" s="110" t="str">
        <f>IF(Refsz_Verbräuche[[#Headers],[2024]]=Startseite!$D$68,IF(OR(SUMIF($F47:Refsz_Verbräuche[[#This Row],[2023]],"&gt;0")&gt;0,), AVERAGEIF($F47:Refsz_Verbräuche[[#This Row],[2023]],"&lt;&gt;"""), ""),IF(Startseite!$D$68=(Refsz_Verbräuche[[#Headers],[2024]]-1),Refsz_Verbräuche[[#This Row],[2023]],IF(Startseite!$D$68&lt;Refsz_Verbräuche[[#Headers],[2024]],Refsz_Verbräuche[[#This Row],[2023]],"")))</f>
        <v/>
      </c>
      <c r="P47" s="110" t="str">
        <f>IF(Refsz_Verbräuche[[#Headers],[2025]]=Startseite!$D$68,IF(OR(SUMIF($F47:Refsz_Verbräuche[[#This Row],[2024]],"&gt;0")&gt;0,), AVERAGEIF($F47:Refsz_Verbräuche[[#This Row],[2024]],"&lt;&gt;"""), ""),IF(Startseite!$D$68=(Refsz_Verbräuche[[#Headers],[2025]]-1),Refsz_Verbräuche[[#This Row],[2024]],IF(Startseite!$D$68&lt;Refsz_Verbräuche[[#Headers],[2025]],Refsz_Verbräuche[[#This Row],[2024]],"")))</f>
        <v/>
      </c>
      <c r="Q47" s="110" t="str">
        <f>IF(Refsz_Verbräuche[[#Headers],[2026]]=Startseite!$D$68,IF(OR(SUMIF($F47:Refsz_Verbräuche[[#This Row],[2025]],"&gt;0")&gt;0,), AVERAGEIF($F47:Refsz_Verbräuche[[#This Row],[2025]],"&lt;&gt;"""), ""),IF(Startseite!$D$68=(Refsz_Verbräuche[[#Headers],[2026]]-1),Refsz_Verbräuche[[#This Row],[2025]],IF(Startseite!$D$68&lt;Refsz_Verbräuche[[#Headers],[2026]],Refsz_Verbräuche[[#This Row],[2025]],"")))</f>
        <v/>
      </c>
      <c r="R47" s="110" t="str">
        <f>IF(Refsz_Verbräuche[[#Headers],[2027]]=Startseite!$D$68,IF(OR(SUMIF($F47:Refsz_Verbräuche[[#This Row],[2026]],"&gt;0")&gt;0,), AVERAGEIF($F47:Refsz_Verbräuche[[#This Row],[2026]],"&lt;&gt;"""), ""),IF(Startseite!$D$68=(Refsz_Verbräuche[[#Headers],[2027]]-1),Refsz_Verbräuche[[#This Row],[2026]],IF(Startseite!$D$68&lt;Refsz_Verbräuche[[#Headers],[2027]],Refsz_Verbräuche[[#This Row],[2026]],"")))</f>
        <v/>
      </c>
      <c r="S47" s="110" t="str">
        <f>IF(Refsz_Verbräuche[[#Headers],[2028]]=Startseite!$D$68,IF(OR(SUMIF($F47:Refsz_Verbräuche[[#This Row],[2027]],"&gt;0")&gt;0,), AVERAGEIF($F47:Refsz_Verbräuche[[#This Row],[2027]],"&lt;&gt;"""), ""),IF(Startseite!$D$68=(Refsz_Verbräuche[[#Headers],[2028]]-1),Refsz_Verbräuche[[#This Row],[2027]],IF(Startseite!$D$68&lt;Refsz_Verbräuche[[#Headers],[2028]],Refsz_Verbräuche[[#This Row],[2027]],"")))</f>
        <v/>
      </c>
      <c r="T47" s="110" t="str">
        <f>IF(Refsz_Verbräuche[[#Headers],[2029]]=Startseite!$D$68,IF(OR(SUMIF($F47:Refsz_Verbräuche[[#This Row],[2028]],"&gt;0")&gt;0,), AVERAGEIF($F47:Refsz_Verbräuche[[#This Row],[2028]],"&lt;&gt;"""), ""),IF(Startseite!$D$68=(Refsz_Verbräuche[[#Headers],[2029]]-1),Refsz_Verbräuche[[#This Row],[2028]],IF(Startseite!$D$68&lt;Refsz_Verbräuche[[#Headers],[2029]],Refsz_Verbräuche[[#This Row],[2028]],"")))</f>
        <v/>
      </c>
      <c r="U47" s="110" t="str">
        <f>IF(Refsz_Verbräuche[[#Headers],[2030]]=Startseite!$D$68,IF(OR(SUMIF($F47:Refsz_Verbräuche[[#This Row],[2029]],"&gt;0")&gt;0,), AVERAGEIF($F47:Refsz_Verbräuche[[#This Row],[2029]],"&lt;&gt;"""), ""),IF(Startseite!$D$68=(Refsz_Verbräuche[[#Headers],[2030]]-1),Refsz_Verbräuche[[#This Row],[2029]],IF(Startseite!$D$68&lt;Refsz_Verbräuche[[#Headers],[2030]],Refsz_Verbräuche[[#This Row],[2029]],"")))</f>
        <v/>
      </c>
      <c r="V47" s="110" t="str">
        <f>IF(Refsz_Verbräuche[[#Headers],[2035]]=Startseite!$D$68,IF(OR(SUMIF($F47:Refsz_Verbräuche[[#This Row],[2030]],"&gt;0")&gt;0,), AVERAGEIF($F47:Refsz_Verbräuche[[#This Row],[2030]],"&lt;&gt;"""), ""),IF(Startseite!$D$68=(Refsz_Verbräuche[[#Headers],[2035]]-1),Refsz_Verbräuche[[#This Row],[2030]],IF(Startseite!$D$68&lt;Refsz_Verbräuche[[#Headers],[2035]],Refsz_Verbräuche[[#This Row],[2030]],"")))</f>
        <v/>
      </c>
      <c r="W47" s="110" t="str">
        <f>IF(Refsz_Verbräuche[[#Headers],[2040]]=Startseite!$D$68,IF(OR(SUMIF($F47:Refsz_Verbräuche[[#This Row],[2035]],"&gt;0")&gt;0,), AVERAGEIF($F47:Refsz_Verbräuche[[#This Row],[2035]],"&lt;&gt;"""), ""),IF(Startseite!$D$68=(Refsz_Verbräuche[[#Headers],[2040]]-1),Refsz_Verbräuche[[#This Row],[2035]],IF(Startseite!$D$68&lt;Refsz_Verbräuche[[#Headers],[2040]],Refsz_Verbräuche[[#This Row],[2035]],"")))</f>
        <v/>
      </c>
      <c r="X47" s="110" t="str">
        <f>IF(Refsz_Verbräuche[[#Headers],[2045]]=Startseite!$D$68,IF(OR(SUMIF($F47:Refsz_Verbräuche[[#This Row],[2040]],"&gt;0")&gt;0,), AVERAGEIF($F47:Refsz_Verbräuche[[#This Row],[2040]],"&lt;&gt;"""), ""),IF(Startseite!$D$68=(Refsz_Verbräuche[[#Headers],[2045]]-1),Refsz_Verbräuche[[#This Row],[2040]],IF(Startseite!$D$68&lt;Refsz_Verbräuche[[#Headers],[2045]],Refsz_Verbräuche[[#This Row],[2040]],"")))</f>
        <v/>
      </c>
      <c r="Y47" s="110" t="str">
        <f>IF(Refsz_Verbräuche[[#Headers],[2050]]=Startseite!$D$68,IF(OR(SUMIF($F47:Refsz_Verbräuche[[#This Row],[2045]],"&gt;0")&gt;0,), AVERAGEIF($F47:Refsz_Verbräuche[[#This Row],[2045]],"&lt;&gt;"""), ""),IF(Startseite!$D$68=(Refsz_Verbräuche[[#Headers],[2050]]-1),Refsz_Verbräuche[[#This Row],[2045]],IF(Startseite!$D$68&lt;Refsz_Verbräuche[[#Headers],[2050]],Refsz_Verbräuche[[#This Row],[2045]],"")))</f>
        <v/>
      </c>
      <c r="AA47" s="14"/>
    </row>
    <row r="48" spans="2:27">
      <c r="B48" s="14">
        <v>31</v>
      </c>
      <c r="C48" s="14" t="s">
        <v>510</v>
      </c>
      <c r="D48" s="44" t="str">
        <f>_xlfn.CONCAT(Startseite!E80," (Diesel)")</f>
        <v>Fuhrpark (Diesel)</v>
      </c>
      <c r="E48" t="s">
        <v>379</v>
      </c>
      <c r="F48" s="110" t="str">
        <f>Umrechnen!D27</f>
        <v/>
      </c>
      <c r="G48" s="110" t="str">
        <f>Umrechnen!E27</f>
        <v/>
      </c>
      <c r="H48" s="110" t="str">
        <f>Umrechnen!F27</f>
        <v/>
      </c>
      <c r="I48" s="110" t="str">
        <f>Umrechnen!G27</f>
        <v/>
      </c>
      <c r="J48" s="110" t="str">
        <f>Umrechnen!H27</f>
        <v/>
      </c>
      <c r="K48" s="110" t="str">
        <f>Umrechnen!I27</f>
        <v/>
      </c>
      <c r="L48" s="110" t="str">
        <f>Umrechnen!J27</f>
        <v/>
      </c>
      <c r="M48" s="110" t="str">
        <f>IF(Refsz_Verbräuche[[#Headers],[2022]]=Startseite!$D$68,IF(OR(SUMIF($F48:Refsz_Verbräuche[[#This Row],[2021]],"&gt;0")&gt;0,), AVERAGEIF($F48:Refsz_Verbräuche[[#This Row],[2021]],"&lt;&gt;"""), ""),IF(Startseite!$D$68=(Refsz_Verbräuche[[#Headers],[2022]]-1),Refsz_Verbräuche[[#This Row],[2021]],IF(Startseite!$D$68&lt;Refsz_Verbräuche[[#Headers],[2022]],Refsz_Verbräuche[[#This Row],[2021]],Umrechnen!K27)))</f>
        <v/>
      </c>
      <c r="N48" s="110" t="str">
        <f>IF(Refsz_Verbräuche[[#Headers],[2023]]=Startseite!$D$68,IF(OR(SUMIF($F48:Refsz_Verbräuche[[#This Row],[2022]],"&gt;0")&gt;0,), AVERAGEIF($F48:Refsz_Verbräuche[[#This Row],[2022]],"&lt;&gt;"""), ""),IF(Startseite!$D$68=(Refsz_Verbräuche[[#Headers],[2023]]-1),Refsz_Verbräuche[[#This Row],[2022]],IF(Startseite!$D$68&lt;Refsz_Verbräuche[[#Headers],[2023]],Refsz_Verbräuche[[#This Row],[2022]],Umrechnen!L27)))</f>
        <v/>
      </c>
      <c r="O48" s="110" t="str">
        <f>IF(Refsz_Verbräuche[[#Headers],[2024]]=Startseite!$D$68,IF(OR(SUMIF($F48:Refsz_Verbräuche[[#This Row],[2023]],"&gt;0")&gt;0,), AVERAGEIF($F48:Refsz_Verbräuche[[#This Row],[2023]],"&lt;&gt;"""), ""),IF(Startseite!$D$68=(Refsz_Verbräuche[[#Headers],[2024]]-1),Refsz_Verbräuche[[#This Row],[2023]],IF(Startseite!$D$68&lt;Refsz_Verbräuche[[#Headers],[2024]],Refsz_Verbräuche[[#This Row],[2023]],Umrechnen!M27)))</f>
        <v/>
      </c>
      <c r="P48" s="110" t="str">
        <f>IF(Refsz_Verbräuche[[#Headers],[2025]]=Startseite!$D$68,IF(OR(SUMIF($F48:Refsz_Verbräuche[[#This Row],[2024]],"&gt;0")&gt;0,), AVERAGEIF($F48:Refsz_Verbräuche[[#This Row],[2024]],"&lt;&gt;"""), ""),IF(Startseite!$D$68=(Refsz_Verbräuche[[#Headers],[2025]]-1),Refsz_Verbräuche[[#This Row],[2024]],IF(Startseite!$D$68&lt;Refsz_Verbräuche[[#Headers],[2025]],Refsz_Verbräuche[[#This Row],[2024]],Umrechnen!N27)))</f>
        <v/>
      </c>
      <c r="Q48" s="110" t="str">
        <f>IF(Refsz_Verbräuche[[#Headers],[2026]]=Startseite!$D$68,IF(OR(SUMIF($F48:Refsz_Verbräuche[[#This Row],[2025]],"&gt;0")&gt;0,), AVERAGEIF($F48:Refsz_Verbräuche[[#This Row],[2025]],"&lt;&gt;"""), ""),IF(Startseite!$D$68=(Refsz_Verbräuche[[#Headers],[2026]]-1),Refsz_Verbräuche[[#This Row],[2025]],IF(Startseite!$D$68&lt;Refsz_Verbräuche[[#Headers],[2026]],Refsz_Verbräuche[[#This Row],[2025]],Umrechnen!O27)))</f>
        <v/>
      </c>
      <c r="R48" s="110" t="str">
        <f>IF(Refsz_Verbräuche[[#Headers],[2027]]=Startseite!$D$68,IF(OR(SUMIF($F48:Refsz_Verbräuche[[#This Row],[2026]],"&gt;0")&gt;0,), AVERAGEIF($F48:Refsz_Verbräuche[[#This Row],[2026]],"&lt;&gt;"""), ""),IF(Startseite!$D$68=(Refsz_Verbräuche[[#Headers],[2027]]-1),Refsz_Verbräuche[[#This Row],[2026]],IF(Startseite!$D$68&lt;Refsz_Verbräuche[[#Headers],[2027]],Refsz_Verbräuche[[#This Row],[2026]],Umrechnen!P27)))</f>
        <v/>
      </c>
      <c r="S48" s="110" t="str">
        <f>IF(Refsz_Verbräuche[[#Headers],[2028]]=Startseite!$D$68,IF(OR(SUMIF($F48:Refsz_Verbräuche[[#This Row],[2027]],"&gt;0")&gt;0,), AVERAGEIF($F48:Refsz_Verbräuche[[#This Row],[2027]],"&lt;&gt;"""), ""),IF(Startseite!$D$68=(Refsz_Verbräuche[[#Headers],[2028]]-1),Refsz_Verbräuche[[#This Row],[2027]],IF(Startseite!$D$68&lt;Refsz_Verbräuche[[#Headers],[2028]],Refsz_Verbräuche[[#This Row],[2027]],Umrechnen!Q27)))</f>
        <v/>
      </c>
      <c r="T48" s="110" t="str">
        <f>IF(Refsz_Verbräuche[[#Headers],[2029]]=Startseite!$D$68,IF(OR(SUMIF($F48:Refsz_Verbräuche[[#This Row],[2028]],"&gt;0")&gt;0,), AVERAGEIF($F48:Refsz_Verbräuche[[#This Row],[2028]],"&lt;&gt;"""), ""),IF(Startseite!$D$68=(Refsz_Verbräuche[[#Headers],[2029]]-1),Refsz_Verbräuche[[#This Row],[2028]],IF(Startseite!$D$68&lt;Refsz_Verbräuche[[#Headers],[2029]],Refsz_Verbräuche[[#This Row],[2028]],Umrechnen!R27)))</f>
        <v/>
      </c>
      <c r="U48" s="110" t="str">
        <f>IF(Refsz_Verbräuche[[#Headers],[2030]]=Startseite!$D$68,IF(OR(SUMIF($F48:Refsz_Verbräuche[[#This Row],[2029]],"&gt;0")&gt;0,), AVERAGEIF($F48:Refsz_Verbräuche[[#This Row],[2029]],"&lt;&gt;"""), ""),IF(Startseite!$D$68=(Refsz_Verbräuche[[#Headers],[2030]]-1),Refsz_Verbräuche[[#This Row],[2029]],IF(Startseite!$D$68&lt;Refsz_Verbräuche[[#Headers],[2030]],Refsz_Verbräuche[[#This Row],[2029]],Umrechnen!S27)))</f>
        <v/>
      </c>
      <c r="V48" s="110" t="str">
        <f>IF(Refsz_Verbräuche[[#Headers],[2035]]=Startseite!$D$68,IF(OR(SUMIF($F48:Refsz_Verbräuche[[#This Row],[2030]],"&gt;0")&gt;0,), AVERAGEIF($F48:Refsz_Verbräuche[[#This Row],[2030]],"&lt;&gt;"""), ""),IF(Startseite!$D$68=(Refsz_Verbräuche[[#Headers],[2035]]-1),Refsz_Verbräuche[[#This Row],[2030]],IF(Startseite!$D$68&lt;Refsz_Verbräuche[[#Headers],[2035]],Refsz_Verbräuche[[#This Row],[2030]],Umrechnen!T27)))</f>
        <v/>
      </c>
      <c r="W48" s="110" t="str">
        <f>IF(Refsz_Verbräuche[[#Headers],[2040]]=Startseite!$D$68,IF(OR(SUMIF($F48:Refsz_Verbräuche[[#This Row],[2035]],"&gt;0")&gt;0,), AVERAGEIF($F48:Refsz_Verbräuche[[#This Row],[2035]],"&lt;&gt;"""), ""),IF(Startseite!$D$68=(Refsz_Verbräuche[[#Headers],[2040]]-1),Refsz_Verbräuche[[#This Row],[2035]],IF(Startseite!$D$68&lt;Refsz_Verbräuche[[#Headers],[2040]],Refsz_Verbräuche[[#This Row],[2035]],Umrechnen!U27)))</f>
        <v/>
      </c>
      <c r="X48" s="110" t="str">
        <f>IF(Refsz_Verbräuche[[#Headers],[2045]]=Startseite!$D$68,IF(OR(SUMIF($F48:Refsz_Verbräuche[[#This Row],[2040]],"&gt;0")&gt;0,), AVERAGEIF($F48:Refsz_Verbräuche[[#This Row],[2040]],"&lt;&gt;"""), ""),IF(Startseite!$D$68=(Refsz_Verbräuche[[#Headers],[2045]]-1),Refsz_Verbräuche[[#This Row],[2040]],IF(Startseite!$D$68&lt;Refsz_Verbräuche[[#Headers],[2045]],Refsz_Verbräuche[[#This Row],[2040]],Umrechnen!V27)))</f>
        <v/>
      </c>
      <c r="Y48" s="110" t="str">
        <f>IF(Refsz_Verbräuche[[#Headers],[2050]]=Startseite!$D$68,IF(OR(SUMIF($F48:Refsz_Verbräuche[[#This Row],[2045]],"&gt;0")&gt;0,), AVERAGEIF($F48:Refsz_Verbräuche[[#This Row],[2045]],"&lt;&gt;"""), ""),IF(Startseite!$D$68=(Refsz_Verbräuche[[#Headers],[2050]]-1),Refsz_Verbräuche[[#This Row],[2045]],IF(Startseite!$D$68&lt;Refsz_Verbräuche[[#Headers],[2050]],Refsz_Verbräuche[[#This Row],[2045]],Umrechnen!W27)))</f>
        <v/>
      </c>
      <c r="AA48" s="14"/>
    </row>
    <row r="49" spans="2:27">
      <c r="B49" s="14">
        <v>32</v>
      </c>
      <c r="C49" s="14" t="s">
        <v>510</v>
      </c>
      <c r="D49" s="44" t="str">
        <f>_xlfn.CONCAT(Startseite!E80," (Benzin)")</f>
        <v>Fuhrpark (Benzin)</v>
      </c>
      <c r="E49" t="s">
        <v>379</v>
      </c>
      <c r="F49" s="110" t="str">
        <f>Umrechnen!D33</f>
        <v/>
      </c>
      <c r="G49" s="110" t="str">
        <f>Umrechnen!E33</f>
        <v/>
      </c>
      <c r="H49" s="110" t="str">
        <f>Umrechnen!F33</f>
        <v/>
      </c>
      <c r="I49" s="110" t="str">
        <f>Umrechnen!G33</f>
        <v/>
      </c>
      <c r="J49" s="110" t="str">
        <f>Umrechnen!H33</f>
        <v/>
      </c>
      <c r="K49" s="110" t="str">
        <f>Umrechnen!I33</f>
        <v/>
      </c>
      <c r="L49" s="110" t="str">
        <f>Umrechnen!J33</f>
        <v/>
      </c>
      <c r="M49" s="110" t="str">
        <f>IF(Refsz_Verbräuche[[#Headers],[2022]]=Startseite!$D$68,IF(OR(SUMIF($F49:Refsz_Verbräuche[[#This Row],[2021]],"&gt;0")&gt;0,), AVERAGEIF($F49:Refsz_Verbräuche[[#This Row],[2021]],"&lt;&gt;"""), ""),IF(Startseite!$D$68=(Refsz_Verbräuche[[#Headers],[2022]]-1),Refsz_Verbräuche[[#This Row],[2021]],IF(Startseite!$D$68&lt;Refsz_Verbräuche[[#Headers],[2022]],Refsz_Verbräuche[[#This Row],[2021]],Umrechnen!K33)))</f>
        <v/>
      </c>
      <c r="N49" s="110" t="str">
        <f>IF(Refsz_Verbräuche[[#Headers],[2023]]=Startseite!$D$68,IF(OR(SUMIF($F49:Refsz_Verbräuche[[#This Row],[2022]],"&gt;0")&gt;0,), AVERAGEIF($F49:Refsz_Verbräuche[[#This Row],[2022]],"&lt;&gt;"""), ""),IF(Startseite!$D$68=(Refsz_Verbräuche[[#Headers],[2023]]-1),Refsz_Verbräuche[[#This Row],[2022]],IF(Startseite!$D$68&lt;Refsz_Verbräuche[[#Headers],[2023]],Refsz_Verbräuche[[#This Row],[2022]],Umrechnen!L33)))</f>
        <v/>
      </c>
      <c r="O49" s="110" t="str">
        <f>IF(Refsz_Verbräuche[[#Headers],[2024]]=Startseite!$D$68,IF(OR(SUMIF($F49:Refsz_Verbräuche[[#This Row],[2023]],"&gt;0")&gt;0,), AVERAGEIF($F49:Refsz_Verbräuche[[#This Row],[2023]],"&lt;&gt;"""), ""),IF(Startseite!$D$68=(Refsz_Verbräuche[[#Headers],[2024]]-1),Refsz_Verbräuche[[#This Row],[2023]],IF(Startseite!$D$68&lt;Refsz_Verbräuche[[#Headers],[2024]],Refsz_Verbräuche[[#This Row],[2023]],Umrechnen!M33)))</f>
        <v/>
      </c>
      <c r="P49" s="110" t="str">
        <f>IF(Refsz_Verbräuche[[#Headers],[2025]]=Startseite!$D$68,IF(OR(SUMIF($F49:Refsz_Verbräuche[[#This Row],[2024]],"&gt;0")&gt;0,), AVERAGEIF($F49:Refsz_Verbräuche[[#This Row],[2024]],"&lt;&gt;"""), ""),IF(Startseite!$D$68=(Refsz_Verbräuche[[#Headers],[2025]]-1),Refsz_Verbräuche[[#This Row],[2024]],IF(Startseite!$D$68&lt;Refsz_Verbräuche[[#Headers],[2025]],Refsz_Verbräuche[[#This Row],[2024]],Umrechnen!N33)))</f>
        <v/>
      </c>
      <c r="Q49" s="110" t="str">
        <f>IF(Refsz_Verbräuche[[#Headers],[2026]]=Startseite!$D$68,IF(OR(SUMIF($F49:Refsz_Verbräuche[[#This Row],[2025]],"&gt;0")&gt;0,), AVERAGEIF($F49:Refsz_Verbräuche[[#This Row],[2025]],"&lt;&gt;"""), ""),IF(Startseite!$D$68=(Refsz_Verbräuche[[#Headers],[2026]]-1),Refsz_Verbräuche[[#This Row],[2025]],IF(Startseite!$D$68&lt;Refsz_Verbräuche[[#Headers],[2026]],Refsz_Verbräuche[[#This Row],[2025]],Umrechnen!O33)))</f>
        <v/>
      </c>
      <c r="R49" s="110" t="str">
        <f>IF(Refsz_Verbräuche[[#Headers],[2027]]=Startseite!$D$68,IF(OR(SUMIF($F49:Refsz_Verbräuche[[#This Row],[2026]],"&gt;0")&gt;0,), AVERAGEIF($F49:Refsz_Verbräuche[[#This Row],[2026]],"&lt;&gt;"""), ""),IF(Startseite!$D$68=(Refsz_Verbräuche[[#Headers],[2027]]-1),Refsz_Verbräuche[[#This Row],[2026]],IF(Startseite!$D$68&lt;Refsz_Verbräuche[[#Headers],[2027]],Refsz_Verbräuche[[#This Row],[2026]],Umrechnen!P33)))</f>
        <v/>
      </c>
      <c r="S49" s="110" t="str">
        <f>IF(Refsz_Verbräuche[[#Headers],[2028]]=Startseite!$D$68,IF(OR(SUMIF($F49:Refsz_Verbräuche[[#This Row],[2027]],"&gt;0")&gt;0,), AVERAGEIF($F49:Refsz_Verbräuche[[#This Row],[2027]],"&lt;&gt;"""), ""),IF(Startseite!$D$68=(Refsz_Verbräuche[[#Headers],[2028]]-1),Refsz_Verbräuche[[#This Row],[2027]],IF(Startseite!$D$68&lt;Refsz_Verbräuche[[#Headers],[2028]],Refsz_Verbräuche[[#This Row],[2027]],Umrechnen!Q33)))</f>
        <v/>
      </c>
      <c r="T49" s="110" t="str">
        <f>IF(Refsz_Verbräuche[[#Headers],[2029]]=Startseite!$D$68,IF(OR(SUMIF($F49:Refsz_Verbräuche[[#This Row],[2028]],"&gt;0")&gt;0,), AVERAGEIF($F49:Refsz_Verbräuche[[#This Row],[2028]],"&lt;&gt;"""), ""),IF(Startseite!$D$68=(Refsz_Verbräuche[[#Headers],[2029]]-1),Refsz_Verbräuche[[#This Row],[2028]],IF(Startseite!$D$68&lt;Refsz_Verbräuche[[#Headers],[2029]],Refsz_Verbräuche[[#This Row],[2028]],Umrechnen!R33)))</f>
        <v/>
      </c>
      <c r="U49" s="110" t="str">
        <f>IF(Refsz_Verbräuche[[#Headers],[2030]]=Startseite!$D$68,IF(OR(SUMIF($F49:Refsz_Verbräuche[[#This Row],[2029]],"&gt;0")&gt;0,), AVERAGEIF($F49:Refsz_Verbräuche[[#This Row],[2029]],"&lt;&gt;"""), ""),IF(Startseite!$D$68=(Refsz_Verbräuche[[#Headers],[2030]]-1),Refsz_Verbräuche[[#This Row],[2029]],IF(Startseite!$D$68&lt;Refsz_Verbräuche[[#Headers],[2030]],Refsz_Verbräuche[[#This Row],[2029]],Umrechnen!S33)))</f>
        <v/>
      </c>
      <c r="V49" s="110" t="str">
        <f>IF(Refsz_Verbräuche[[#Headers],[2035]]=Startseite!$D$68,IF(OR(SUMIF($F49:Refsz_Verbräuche[[#This Row],[2030]],"&gt;0")&gt;0,), AVERAGEIF($F49:Refsz_Verbräuche[[#This Row],[2030]],"&lt;&gt;"""), ""),IF(Startseite!$D$68=(Refsz_Verbräuche[[#Headers],[2035]]-1),Refsz_Verbräuche[[#This Row],[2030]],IF(Startseite!$D$68&lt;Refsz_Verbräuche[[#Headers],[2035]],Refsz_Verbräuche[[#This Row],[2030]],Umrechnen!T33)))</f>
        <v/>
      </c>
      <c r="W49" s="110" t="str">
        <f>IF(Refsz_Verbräuche[[#Headers],[2040]]=Startseite!$D$68,IF(OR(SUMIF($F49:Refsz_Verbräuche[[#This Row],[2035]],"&gt;0")&gt;0,), AVERAGEIF($F49:Refsz_Verbräuche[[#This Row],[2035]],"&lt;&gt;"""), ""),IF(Startseite!$D$68=(Refsz_Verbräuche[[#Headers],[2040]]-1),Refsz_Verbräuche[[#This Row],[2035]],IF(Startseite!$D$68&lt;Refsz_Verbräuche[[#Headers],[2040]],Refsz_Verbräuche[[#This Row],[2035]],Umrechnen!U33)))</f>
        <v/>
      </c>
      <c r="X49" s="110" t="str">
        <f>IF(Refsz_Verbräuche[[#Headers],[2045]]=Startseite!$D$68,IF(OR(SUMIF($F49:Refsz_Verbräuche[[#This Row],[2040]],"&gt;0")&gt;0,), AVERAGEIF($F49:Refsz_Verbräuche[[#This Row],[2040]],"&lt;&gt;"""), ""),IF(Startseite!$D$68=(Refsz_Verbräuche[[#Headers],[2045]]-1),Refsz_Verbräuche[[#This Row],[2040]],IF(Startseite!$D$68&lt;Refsz_Verbräuche[[#Headers],[2045]],Refsz_Verbräuche[[#This Row],[2040]],Umrechnen!V33)))</f>
        <v/>
      </c>
      <c r="Y49" s="110" t="str">
        <f>IF(Refsz_Verbräuche[[#Headers],[2050]]=Startseite!$D$68,IF(OR(SUMIF($F49:Refsz_Verbräuche[[#This Row],[2045]],"&gt;0")&gt;0,), AVERAGEIF($F49:Refsz_Verbräuche[[#This Row],[2045]],"&lt;&gt;"""), ""),IF(Startseite!$D$68=(Refsz_Verbräuche[[#Headers],[2050]]-1),Refsz_Verbräuche[[#This Row],[2045]],IF(Startseite!$D$68&lt;Refsz_Verbräuche[[#Headers],[2050]],Refsz_Verbräuche[[#This Row],[2045]],Umrechnen!W33)))</f>
        <v/>
      </c>
      <c r="AA49" s="14"/>
    </row>
    <row r="50" spans="2:27">
      <c r="B50" s="14">
        <v>33</v>
      </c>
      <c r="C50" s="14" t="s">
        <v>510</v>
      </c>
      <c r="D50" s="10" t="str">
        <f>_xlfn.CONCAT(Startseite!E80," (E-Auto/ BEV)")</f>
        <v>Fuhrpark (E-Auto/ BEV)</v>
      </c>
      <c r="E50" t="s">
        <v>379</v>
      </c>
      <c r="F50" s="110"/>
      <c r="G50" s="110"/>
      <c r="H50" s="110"/>
      <c r="I50" s="110"/>
      <c r="J50" s="110"/>
      <c r="K50" s="110"/>
      <c r="L50" s="110"/>
      <c r="M50" s="110" t="str">
        <f>IF(Refsz_Verbräuche[[#Headers],[2022]]=Startseite!$D$68,IF(OR(SUMIF($F50:Refsz_Verbräuche[[#This Row],[2021]],"&gt;0")&gt;0,), AVERAGEIF($F50:Refsz_Verbräuche[[#This Row],[2021]],"&lt;&gt;"""), ""),IF(Startseite!$D$68=(Refsz_Verbräuche[[#Headers],[2022]]-1),Refsz_Verbräuche[[#This Row],[2021]],IF(Startseite!$D$68&lt;Refsz_Verbräuche[[#Headers],[2022]],Refsz_Verbräuche[[#This Row],[2021]],"")))</f>
        <v/>
      </c>
      <c r="N50" s="110" t="str">
        <f>IF(Refsz_Verbräuche[[#Headers],[2023]]=Startseite!$D$68,IF(OR(SUMIF($F50:Refsz_Verbräuche[[#This Row],[2022]],"&gt;0")&gt;0,), AVERAGEIF($F50:Refsz_Verbräuche[[#This Row],[2022]],"&lt;&gt;"""), ""),IF(Startseite!$D$68=(Refsz_Verbräuche[[#Headers],[2023]]-1),Refsz_Verbräuche[[#This Row],[2022]],IF(Startseite!$D$68&lt;Refsz_Verbräuche[[#Headers],[2023]],Refsz_Verbräuche[[#This Row],[2022]],"")))</f>
        <v/>
      </c>
      <c r="O50" s="110" t="str">
        <f>IF(Refsz_Verbräuche[[#Headers],[2024]]=Startseite!$D$68,IF(OR(SUMIF($F50:Refsz_Verbräuche[[#This Row],[2023]],"&gt;0")&gt;0,), AVERAGEIF($F50:Refsz_Verbräuche[[#This Row],[2023]],"&lt;&gt;"""), ""),IF(Startseite!$D$68=(Refsz_Verbräuche[[#Headers],[2024]]-1),Refsz_Verbräuche[[#This Row],[2023]],IF(Startseite!$D$68&lt;Refsz_Verbräuche[[#Headers],[2024]],Refsz_Verbräuche[[#This Row],[2023]],"")))</f>
        <v/>
      </c>
      <c r="P50" s="110" t="str">
        <f>IF(Refsz_Verbräuche[[#Headers],[2025]]=Startseite!$D$68,IF(OR(SUMIF($F50:Refsz_Verbräuche[[#This Row],[2024]],"&gt;0")&gt;0,), AVERAGEIF($F50:Refsz_Verbräuche[[#This Row],[2024]],"&lt;&gt;"""), ""),IF(Startseite!$D$68=(Refsz_Verbräuche[[#Headers],[2025]]-1),Refsz_Verbräuche[[#This Row],[2024]],IF(Startseite!$D$68&lt;Refsz_Verbräuche[[#Headers],[2025]],Refsz_Verbräuche[[#This Row],[2024]],"")))</f>
        <v/>
      </c>
      <c r="Q50" s="110" t="str">
        <f>IF(Refsz_Verbräuche[[#Headers],[2026]]=Startseite!$D$68,IF(OR(SUMIF($F50:Refsz_Verbräuche[[#This Row],[2025]],"&gt;0")&gt;0,), AVERAGEIF($F50:Refsz_Verbräuche[[#This Row],[2025]],"&lt;&gt;"""), ""),IF(Startseite!$D$68=(Refsz_Verbräuche[[#Headers],[2026]]-1),Refsz_Verbräuche[[#This Row],[2025]],IF(Startseite!$D$68&lt;Refsz_Verbräuche[[#Headers],[2026]],Refsz_Verbräuche[[#This Row],[2025]],"")))</f>
        <v/>
      </c>
      <c r="R50" s="110" t="str">
        <f>IF(Refsz_Verbräuche[[#Headers],[2027]]=Startseite!$D$68,IF(OR(SUMIF($F50:Refsz_Verbräuche[[#This Row],[2026]],"&gt;0")&gt;0,), AVERAGEIF($F50:Refsz_Verbräuche[[#This Row],[2026]],"&lt;&gt;"""), ""),IF(Startseite!$D$68=(Refsz_Verbräuche[[#Headers],[2027]]-1),Refsz_Verbräuche[[#This Row],[2026]],IF(Startseite!$D$68&lt;Refsz_Verbräuche[[#Headers],[2027]],Refsz_Verbräuche[[#This Row],[2026]],"")))</f>
        <v/>
      </c>
      <c r="S50" s="110" t="str">
        <f>IF(Refsz_Verbräuche[[#Headers],[2028]]=Startseite!$D$68,IF(OR(SUMIF($F50:Refsz_Verbräuche[[#This Row],[2027]],"&gt;0")&gt;0,), AVERAGEIF($F50:Refsz_Verbräuche[[#This Row],[2027]],"&lt;&gt;"""), ""),IF(Startseite!$D$68=(Refsz_Verbräuche[[#Headers],[2028]]-1),Refsz_Verbräuche[[#This Row],[2027]],IF(Startseite!$D$68&lt;Refsz_Verbräuche[[#Headers],[2028]],Refsz_Verbräuche[[#This Row],[2027]],"")))</f>
        <v/>
      </c>
      <c r="T50" s="110" t="str">
        <f>IF(Refsz_Verbräuche[[#Headers],[2029]]=Startseite!$D$68,IF(OR(SUMIF($F50:Refsz_Verbräuche[[#This Row],[2028]],"&gt;0")&gt;0,), AVERAGEIF($F50:Refsz_Verbräuche[[#This Row],[2028]],"&lt;&gt;"""), ""),IF(Startseite!$D$68=(Refsz_Verbräuche[[#Headers],[2029]]-1),Refsz_Verbräuche[[#This Row],[2028]],IF(Startseite!$D$68&lt;Refsz_Verbräuche[[#Headers],[2029]],Refsz_Verbräuche[[#This Row],[2028]],"")))</f>
        <v/>
      </c>
      <c r="U50" s="110" t="str">
        <f>IF(Refsz_Verbräuche[[#Headers],[2030]]=Startseite!$D$68,IF(OR(SUMIF($F50:Refsz_Verbräuche[[#This Row],[2029]],"&gt;0")&gt;0,), AVERAGEIF($F50:Refsz_Verbräuche[[#This Row],[2029]],"&lt;&gt;"""), ""),IF(Startseite!$D$68=(Refsz_Verbräuche[[#Headers],[2030]]-1),Refsz_Verbräuche[[#This Row],[2029]],IF(Startseite!$D$68&lt;Refsz_Verbräuche[[#Headers],[2030]],Refsz_Verbräuche[[#This Row],[2029]],"")))</f>
        <v/>
      </c>
      <c r="V50" s="110" t="str">
        <f>IF(Refsz_Verbräuche[[#Headers],[2035]]=Startseite!$D$68,IF(OR(SUMIF($F50:Refsz_Verbräuche[[#This Row],[2030]],"&gt;0")&gt;0,), AVERAGEIF($F50:Refsz_Verbräuche[[#This Row],[2030]],"&lt;&gt;"""), ""),IF(Startseite!$D$68=(Refsz_Verbräuche[[#Headers],[2035]]-1),Refsz_Verbräuche[[#This Row],[2030]],IF(Startseite!$D$68&lt;Refsz_Verbräuche[[#Headers],[2035]],Refsz_Verbräuche[[#This Row],[2030]],"")))</f>
        <v/>
      </c>
      <c r="W50" s="110" t="str">
        <f>IF(Refsz_Verbräuche[[#Headers],[2040]]=Startseite!$D$68,IF(OR(SUMIF($F50:Refsz_Verbräuche[[#This Row],[2035]],"&gt;0")&gt;0,), AVERAGEIF($F50:Refsz_Verbräuche[[#This Row],[2035]],"&lt;&gt;"""), ""),IF(Startseite!$D$68=(Refsz_Verbräuche[[#Headers],[2040]]-1),Refsz_Verbräuche[[#This Row],[2035]],IF(Startseite!$D$68&lt;Refsz_Verbräuche[[#Headers],[2040]],Refsz_Verbräuche[[#This Row],[2035]],"")))</f>
        <v/>
      </c>
      <c r="X50" s="110" t="str">
        <f>IF(Refsz_Verbräuche[[#Headers],[2045]]=Startseite!$D$68,IF(OR(SUMIF($F50:Refsz_Verbräuche[[#This Row],[2040]],"&gt;0")&gt;0,), AVERAGEIF($F50:Refsz_Verbräuche[[#This Row],[2040]],"&lt;&gt;"""), ""),IF(Startseite!$D$68=(Refsz_Verbräuche[[#Headers],[2045]]-1),Refsz_Verbräuche[[#This Row],[2040]],IF(Startseite!$D$68&lt;Refsz_Verbräuche[[#Headers],[2045]],Refsz_Verbräuche[[#This Row],[2040]],"")))</f>
        <v/>
      </c>
      <c r="Y50" s="110" t="str">
        <f>IF(Refsz_Verbräuche[[#Headers],[2050]]=Startseite!$D$68,IF(OR(SUMIF($F50:Refsz_Verbräuche[[#This Row],[2045]],"&gt;0")&gt;0,), AVERAGEIF($F50:Refsz_Verbräuche[[#This Row],[2045]],"&lt;&gt;"""), ""),IF(Startseite!$D$68=(Refsz_Verbräuche[[#Headers],[2050]]-1),Refsz_Verbräuche[[#This Row],[2045]],IF(Startseite!$D$68&lt;Refsz_Verbräuche[[#Headers],[2050]],Refsz_Verbräuche[[#This Row],[2045]],"")))</f>
        <v/>
      </c>
      <c r="AA50" s="14"/>
    </row>
    <row r="51" spans="2:27">
      <c r="B51" s="14">
        <v>34</v>
      </c>
      <c r="C51" s="14" t="s">
        <v>510</v>
      </c>
      <c r="D51" s="10" t="str">
        <f>_xlfn.CONCAT(Startseite!E80," (Wasserstoff/ FCEV)")</f>
        <v>Fuhrpark (Wasserstoff/ FCEV)</v>
      </c>
      <c r="E51" t="s">
        <v>379</v>
      </c>
      <c r="F51" s="110"/>
      <c r="G51" s="110"/>
      <c r="H51" s="110"/>
      <c r="I51" s="110"/>
      <c r="J51" s="110"/>
      <c r="K51" s="110"/>
      <c r="L51" s="110"/>
      <c r="M51" s="110" t="str">
        <f>IF(Refsz_Verbräuche[[#Headers],[2022]]=Startseite!$D$68,IF(OR(SUMIF($F51:Refsz_Verbräuche[[#This Row],[2021]],"&gt;0")&gt;0,), AVERAGEIF($F51:Refsz_Verbräuche[[#This Row],[2021]],"&lt;&gt;"""), ""),IF(Startseite!$D$68=(Refsz_Verbräuche[[#Headers],[2022]]-1),Refsz_Verbräuche[[#This Row],[2021]],IF(Startseite!$D$68&lt;Refsz_Verbräuche[[#Headers],[2022]],Refsz_Verbräuche[[#This Row],[2021]],"")))</f>
        <v/>
      </c>
      <c r="N51" s="110" t="str">
        <f>IF(Refsz_Verbräuche[[#Headers],[2023]]=Startseite!$D$68,IF(OR(SUMIF($F51:Refsz_Verbräuche[[#This Row],[2022]],"&gt;0")&gt;0,), AVERAGEIF($F51:Refsz_Verbräuche[[#This Row],[2022]],"&lt;&gt;"""), ""),IF(Startseite!$D$68=(Refsz_Verbräuche[[#Headers],[2023]]-1),Refsz_Verbräuche[[#This Row],[2022]],IF(Startseite!$D$68&lt;Refsz_Verbräuche[[#Headers],[2023]],Refsz_Verbräuche[[#This Row],[2022]],"")))</f>
        <v/>
      </c>
      <c r="O51" s="110" t="str">
        <f>IF(Refsz_Verbräuche[[#Headers],[2024]]=Startseite!$D$68,IF(OR(SUMIF($F51:Refsz_Verbräuche[[#This Row],[2023]],"&gt;0")&gt;0,), AVERAGEIF($F51:Refsz_Verbräuche[[#This Row],[2023]],"&lt;&gt;"""), ""),IF(Startseite!$D$68=(Refsz_Verbräuche[[#Headers],[2024]]-1),Refsz_Verbräuche[[#This Row],[2023]],IF(Startseite!$D$68&lt;Refsz_Verbräuche[[#Headers],[2024]],Refsz_Verbräuche[[#This Row],[2023]],"")))</f>
        <v/>
      </c>
      <c r="P51" s="110" t="str">
        <f>IF(Refsz_Verbräuche[[#Headers],[2025]]=Startseite!$D$68,IF(OR(SUMIF($F51:Refsz_Verbräuche[[#This Row],[2024]],"&gt;0")&gt;0,), AVERAGEIF($F51:Refsz_Verbräuche[[#This Row],[2024]],"&lt;&gt;"""), ""),IF(Startseite!$D$68=(Refsz_Verbräuche[[#Headers],[2025]]-1),Refsz_Verbräuche[[#This Row],[2024]],IF(Startseite!$D$68&lt;Refsz_Verbräuche[[#Headers],[2025]],Refsz_Verbräuche[[#This Row],[2024]],"")))</f>
        <v/>
      </c>
      <c r="Q51" s="110" t="str">
        <f>IF(Refsz_Verbräuche[[#Headers],[2026]]=Startseite!$D$68,IF(OR(SUMIF($F51:Refsz_Verbräuche[[#This Row],[2025]],"&gt;0")&gt;0,), AVERAGEIF($F51:Refsz_Verbräuche[[#This Row],[2025]],"&lt;&gt;"""), ""),IF(Startseite!$D$68=(Refsz_Verbräuche[[#Headers],[2026]]-1),Refsz_Verbräuche[[#This Row],[2025]],IF(Startseite!$D$68&lt;Refsz_Verbräuche[[#Headers],[2026]],Refsz_Verbräuche[[#This Row],[2025]],"")))</f>
        <v/>
      </c>
      <c r="R51" s="110" t="str">
        <f>IF(Refsz_Verbräuche[[#Headers],[2027]]=Startseite!$D$68,IF(OR(SUMIF($F51:Refsz_Verbräuche[[#This Row],[2026]],"&gt;0")&gt;0,), AVERAGEIF($F51:Refsz_Verbräuche[[#This Row],[2026]],"&lt;&gt;"""), ""),IF(Startseite!$D$68=(Refsz_Verbräuche[[#Headers],[2027]]-1),Refsz_Verbräuche[[#This Row],[2026]],IF(Startseite!$D$68&lt;Refsz_Verbräuche[[#Headers],[2027]],Refsz_Verbräuche[[#This Row],[2026]],"")))</f>
        <v/>
      </c>
      <c r="S51" s="110" t="str">
        <f>IF(Refsz_Verbräuche[[#Headers],[2028]]=Startseite!$D$68,IF(OR(SUMIF($F51:Refsz_Verbräuche[[#This Row],[2027]],"&gt;0")&gt;0,), AVERAGEIF($F51:Refsz_Verbräuche[[#This Row],[2027]],"&lt;&gt;"""), ""),IF(Startseite!$D$68=(Refsz_Verbräuche[[#Headers],[2028]]-1),Refsz_Verbräuche[[#This Row],[2027]],IF(Startseite!$D$68&lt;Refsz_Verbräuche[[#Headers],[2028]],Refsz_Verbräuche[[#This Row],[2027]],"")))</f>
        <v/>
      </c>
      <c r="T51" s="110" t="str">
        <f>IF(Refsz_Verbräuche[[#Headers],[2029]]=Startseite!$D$68,IF(OR(SUMIF($F51:Refsz_Verbräuche[[#This Row],[2028]],"&gt;0")&gt;0,), AVERAGEIF($F51:Refsz_Verbräuche[[#This Row],[2028]],"&lt;&gt;"""), ""),IF(Startseite!$D$68=(Refsz_Verbräuche[[#Headers],[2029]]-1),Refsz_Verbräuche[[#This Row],[2028]],IF(Startseite!$D$68&lt;Refsz_Verbräuche[[#Headers],[2029]],Refsz_Verbräuche[[#This Row],[2028]],"")))</f>
        <v/>
      </c>
      <c r="U51" s="110" t="str">
        <f>IF(Refsz_Verbräuche[[#Headers],[2030]]=Startseite!$D$68,IF(OR(SUMIF($F51:Refsz_Verbräuche[[#This Row],[2029]],"&gt;0")&gt;0,), AVERAGEIF($F51:Refsz_Verbräuche[[#This Row],[2029]],"&lt;&gt;"""), ""),IF(Startseite!$D$68=(Refsz_Verbräuche[[#Headers],[2030]]-1),Refsz_Verbräuche[[#This Row],[2029]],IF(Startseite!$D$68&lt;Refsz_Verbräuche[[#Headers],[2030]],Refsz_Verbräuche[[#This Row],[2029]],"")))</f>
        <v/>
      </c>
      <c r="V51" s="110" t="str">
        <f>IF(Refsz_Verbräuche[[#Headers],[2035]]=Startseite!$D$68,IF(OR(SUMIF($F51:Refsz_Verbräuche[[#This Row],[2030]],"&gt;0")&gt;0,), AVERAGEIF($F51:Refsz_Verbräuche[[#This Row],[2030]],"&lt;&gt;"""), ""),IF(Startseite!$D$68=(Refsz_Verbräuche[[#Headers],[2035]]-1),Refsz_Verbräuche[[#This Row],[2030]],IF(Startseite!$D$68&lt;Refsz_Verbräuche[[#Headers],[2035]],Refsz_Verbräuche[[#This Row],[2030]],"")))</f>
        <v/>
      </c>
      <c r="W51" s="110" t="str">
        <f>IF(Refsz_Verbräuche[[#Headers],[2040]]=Startseite!$D$68,IF(OR(SUMIF($F51:Refsz_Verbräuche[[#This Row],[2035]],"&gt;0")&gt;0,), AVERAGEIF($F51:Refsz_Verbräuche[[#This Row],[2035]],"&lt;&gt;"""), ""),IF(Startseite!$D$68=(Refsz_Verbräuche[[#Headers],[2040]]-1),Refsz_Verbräuche[[#This Row],[2035]],IF(Startseite!$D$68&lt;Refsz_Verbräuche[[#Headers],[2040]],Refsz_Verbräuche[[#This Row],[2035]],"")))</f>
        <v/>
      </c>
      <c r="X51" s="110" t="str">
        <f>IF(Refsz_Verbräuche[[#Headers],[2045]]=Startseite!$D$68,IF(OR(SUMIF($F51:Refsz_Verbräuche[[#This Row],[2040]],"&gt;0")&gt;0,), AVERAGEIF($F51:Refsz_Verbräuche[[#This Row],[2040]],"&lt;&gt;"""), ""),IF(Startseite!$D$68=(Refsz_Verbräuche[[#Headers],[2045]]-1),Refsz_Verbräuche[[#This Row],[2040]],IF(Startseite!$D$68&lt;Refsz_Verbräuche[[#Headers],[2045]],Refsz_Verbräuche[[#This Row],[2040]],"")))</f>
        <v/>
      </c>
      <c r="Y51" s="110" t="str">
        <f>IF(Refsz_Verbräuche[[#Headers],[2050]]=Startseite!$D$68,IF(OR(SUMIF($F51:Refsz_Verbräuche[[#This Row],[2045]],"&gt;0")&gt;0,), AVERAGEIF($F51:Refsz_Verbräuche[[#This Row],[2045]],"&lt;&gt;"""), ""),IF(Startseite!$D$68=(Refsz_Verbräuche[[#Headers],[2050]]-1),Refsz_Verbräuche[[#This Row],[2045]],IF(Startseite!$D$68&lt;Refsz_Verbräuche[[#Headers],[2050]],Refsz_Verbräuche[[#This Row],[2045]],"")))</f>
        <v/>
      </c>
      <c r="AA51" s="14"/>
    </row>
    <row r="52" spans="2:27">
      <c r="B52" s="14">
        <v>35</v>
      </c>
      <c r="C52" s="14" t="s">
        <v>510</v>
      </c>
      <c r="D52" s="10" t="str">
        <f>_xlfn.CONCAT(Startseite!E80," (CNG)")</f>
        <v>Fuhrpark (CNG)</v>
      </c>
      <c r="E52" t="s">
        <v>379</v>
      </c>
      <c r="F52" s="110"/>
      <c r="G52" s="110"/>
      <c r="H52" s="110"/>
      <c r="I52" s="110"/>
      <c r="J52" s="110"/>
      <c r="K52" s="110"/>
      <c r="L52" s="110"/>
      <c r="M52" s="110" t="str">
        <f>IF(Refsz_Verbräuche[[#Headers],[2022]]=Startseite!$D$68,IF(OR(SUMIF($F52:Refsz_Verbräuche[[#This Row],[2021]],"&gt;0")&gt;0,), AVERAGEIF($F52:Refsz_Verbräuche[[#This Row],[2021]],"&lt;&gt;"""), ""),IF(Startseite!$D$68=(Refsz_Verbräuche[[#Headers],[2022]]-1),Refsz_Verbräuche[[#This Row],[2021]],IF(Startseite!$D$68&lt;Refsz_Verbräuche[[#Headers],[2022]],Refsz_Verbräuche[[#This Row],[2021]],"")))</f>
        <v/>
      </c>
      <c r="N52" s="110" t="str">
        <f>IF(Refsz_Verbräuche[[#Headers],[2023]]=Startseite!$D$68,IF(OR(SUMIF($F52:Refsz_Verbräuche[[#This Row],[2022]],"&gt;0")&gt;0,), AVERAGEIF($F52:Refsz_Verbräuche[[#This Row],[2022]],"&lt;&gt;"""), ""),IF(Startseite!$D$68=(Refsz_Verbräuche[[#Headers],[2023]]-1),Refsz_Verbräuche[[#This Row],[2022]],IF(Startseite!$D$68&lt;Refsz_Verbräuche[[#Headers],[2023]],Refsz_Verbräuche[[#This Row],[2022]],"")))</f>
        <v/>
      </c>
      <c r="O52" s="110" t="str">
        <f>IF(Refsz_Verbräuche[[#Headers],[2024]]=Startseite!$D$68,IF(OR(SUMIF($F52:Refsz_Verbräuche[[#This Row],[2023]],"&gt;0")&gt;0,), AVERAGEIF($F52:Refsz_Verbräuche[[#This Row],[2023]],"&lt;&gt;"""), ""),IF(Startseite!$D$68=(Refsz_Verbräuche[[#Headers],[2024]]-1),Refsz_Verbräuche[[#This Row],[2023]],IF(Startseite!$D$68&lt;Refsz_Verbräuche[[#Headers],[2024]],Refsz_Verbräuche[[#This Row],[2023]],"")))</f>
        <v/>
      </c>
      <c r="P52" s="110" t="str">
        <f>IF(Refsz_Verbräuche[[#Headers],[2025]]=Startseite!$D$68,IF(OR(SUMIF($F52:Refsz_Verbräuche[[#This Row],[2024]],"&gt;0")&gt;0,), AVERAGEIF($F52:Refsz_Verbräuche[[#This Row],[2024]],"&lt;&gt;"""), ""),IF(Startseite!$D$68=(Refsz_Verbräuche[[#Headers],[2025]]-1),Refsz_Verbräuche[[#This Row],[2024]],IF(Startseite!$D$68&lt;Refsz_Verbräuche[[#Headers],[2025]],Refsz_Verbräuche[[#This Row],[2024]],"")))</f>
        <v/>
      </c>
      <c r="Q52" s="110" t="str">
        <f>IF(Refsz_Verbräuche[[#Headers],[2026]]=Startseite!$D$68,IF(OR(SUMIF($F52:Refsz_Verbräuche[[#This Row],[2025]],"&gt;0")&gt;0,), AVERAGEIF($F52:Refsz_Verbräuche[[#This Row],[2025]],"&lt;&gt;"""), ""),IF(Startseite!$D$68=(Refsz_Verbräuche[[#Headers],[2026]]-1),Refsz_Verbräuche[[#This Row],[2025]],IF(Startseite!$D$68&lt;Refsz_Verbräuche[[#Headers],[2026]],Refsz_Verbräuche[[#This Row],[2025]],"")))</f>
        <v/>
      </c>
      <c r="R52" s="110" t="str">
        <f>IF(Refsz_Verbräuche[[#Headers],[2027]]=Startseite!$D$68,IF(OR(SUMIF($F52:Refsz_Verbräuche[[#This Row],[2026]],"&gt;0")&gt;0,), AVERAGEIF($F52:Refsz_Verbräuche[[#This Row],[2026]],"&lt;&gt;"""), ""),IF(Startseite!$D$68=(Refsz_Verbräuche[[#Headers],[2027]]-1),Refsz_Verbräuche[[#This Row],[2026]],IF(Startseite!$D$68&lt;Refsz_Verbräuche[[#Headers],[2027]],Refsz_Verbräuche[[#This Row],[2026]],"")))</f>
        <v/>
      </c>
      <c r="S52" s="110" t="str">
        <f>IF(Refsz_Verbräuche[[#Headers],[2028]]=Startseite!$D$68,IF(OR(SUMIF($F52:Refsz_Verbräuche[[#This Row],[2027]],"&gt;0")&gt;0,), AVERAGEIF($F52:Refsz_Verbräuche[[#This Row],[2027]],"&lt;&gt;"""), ""),IF(Startseite!$D$68=(Refsz_Verbräuche[[#Headers],[2028]]-1),Refsz_Verbräuche[[#This Row],[2027]],IF(Startseite!$D$68&lt;Refsz_Verbräuche[[#Headers],[2028]],Refsz_Verbräuche[[#This Row],[2027]],"")))</f>
        <v/>
      </c>
      <c r="T52" s="110" t="str">
        <f>IF(Refsz_Verbräuche[[#Headers],[2029]]=Startseite!$D$68,IF(OR(SUMIF($F52:Refsz_Verbräuche[[#This Row],[2028]],"&gt;0")&gt;0,), AVERAGEIF($F52:Refsz_Verbräuche[[#This Row],[2028]],"&lt;&gt;"""), ""),IF(Startseite!$D$68=(Refsz_Verbräuche[[#Headers],[2029]]-1),Refsz_Verbräuche[[#This Row],[2028]],IF(Startseite!$D$68&lt;Refsz_Verbräuche[[#Headers],[2029]],Refsz_Verbräuche[[#This Row],[2028]],"")))</f>
        <v/>
      </c>
      <c r="U52" s="110" t="str">
        <f>IF(Refsz_Verbräuche[[#Headers],[2030]]=Startseite!$D$68,IF(OR(SUMIF($F52:Refsz_Verbräuche[[#This Row],[2029]],"&gt;0")&gt;0,), AVERAGEIF($F52:Refsz_Verbräuche[[#This Row],[2029]],"&lt;&gt;"""), ""),IF(Startseite!$D$68=(Refsz_Verbräuche[[#Headers],[2030]]-1),Refsz_Verbräuche[[#This Row],[2029]],IF(Startseite!$D$68&lt;Refsz_Verbräuche[[#Headers],[2030]],Refsz_Verbräuche[[#This Row],[2029]],"")))</f>
        <v/>
      </c>
      <c r="V52" s="110" t="str">
        <f>IF(Refsz_Verbräuche[[#Headers],[2035]]=Startseite!$D$68,IF(OR(SUMIF($F52:Refsz_Verbräuche[[#This Row],[2030]],"&gt;0")&gt;0,), AVERAGEIF($F52:Refsz_Verbräuche[[#This Row],[2030]],"&lt;&gt;"""), ""),IF(Startseite!$D$68=(Refsz_Verbräuche[[#Headers],[2035]]-1),Refsz_Verbräuche[[#This Row],[2030]],IF(Startseite!$D$68&lt;Refsz_Verbräuche[[#Headers],[2035]],Refsz_Verbräuche[[#This Row],[2030]],"")))</f>
        <v/>
      </c>
      <c r="W52" s="110" t="str">
        <f>IF(Refsz_Verbräuche[[#Headers],[2040]]=Startseite!$D$68,IF(OR(SUMIF($F52:Refsz_Verbräuche[[#This Row],[2035]],"&gt;0")&gt;0,), AVERAGEIF($F52:Refsz_Verbräuche[[#This Row],[2035]],"&lt;&gt;"""), ""),IF(Startseite!$D$68=(Refsz_Verbräuche[[#Headers],[2040]]-1),Refsz_Verbräuche[[#This Row],[2035]],IF(Startseite!$D$68&lt;Refsz_Verbräuche[[#Headers],[2040]],Refsz_Verbräuche[[#This Row],[2035]],"")))</f>
        <v/>
      </c>
      <c r="X52" s="110" t="str">
        <f>IF(Refsz_Verbräuche[[#Headers],[2045]]=Startseite!$D$68,IF(OR(SUMIF($F52:Refsz_Verbräuche[[#This Row],[2040]],"&gt;0")&gt;0,), AVERAGEIF($F52:Refsz_Verbräuche[[#This Row],[2040]],"&lt;&gt;"""), ""),IF(Startseite!$D$68=(Refsz_Verbräuche[[#Headers],[2045]]-1),Refsz_Verbräuche[[#This Row],[2040]],IF(Startseite!$D$68&lt;Refsz_Verbräuche[[#Headers],[2045]],Refsz_Verbräuche[[#This Row],[2040]],"")))</f>
        <v/>
      </c>
      <c r="Y52" s="110" t="str">
        <f>IF(Refsz_Verbräuche[[#Headers],[2050]]=Startseite!$D$68,IF(OR(SUMIF($F52:Refsz_Verbräuche[[#This Row],[2045]],"&gt;0")&gt;0,), AVERAGEIF($F52:Refsz_Verbräuche[[#This Row],[2045]],"&lt;&gt;"""), ""),IF(Startseite!$D$68=(Refsz_Verbräuche[[#Headers],[2050]]-1),Refsz_Verbräuche[[#This Row],[2045]],IF(Startseite!$D$68&lt;Refsz_Verbräuche[[#Headers],[2050]],Refsz_Verbräuche[[#This Row],[2045]],"")))</f>
        <v/>
      </c>
      <c r="AA52" s="14"/>
    </row>
    <row r="53" spans="2:27">
      <c r="B53" s="14">
        <v>36</v>
      </c>
      <c r="C53" s="14" t="s">
        <v>510</v>
      </c>
      <c r="D53" s="10" t="str">
        <f>_xlfn.CONCAT(Startseite!E80," (Plug-In-Hybrid, PHEV)")</f>
        <v>Fuhrpark (Plug-In-Hybrid, PHEV)</v>
      </c>
      <c r="E53" t="s">
        <v>379</v>
      </c>
      <c r="F53" s="110"/>
      <c r="G53" s="110"/>
      <c r="H53" s="110"/>
      <c r="I53" s="110"/>
      <c r="J53" s="110"/>
      <c r="K53" s="110"/>
      <c r="L53" s="110"/>
      <c r="M53" s="110" t="str">
        <f>IF(Refsz_Verbräuche[[#Headers],[2022]]=Startseite!$D$68,IF(OR(SUMIF($F53:Refsz_Verbräuche[[#This Row],[2021]],"&gt;0")&gt;0,), AVERAGEIF($F53:Refsz_Verbräuche[[#This Row],[2021]],"&lt;&gt;"""), ""),IF(Startseite!$D$68=(Refsz_Verbräuche[[#Headers],[2022]]-1),Refsz_Verbräuche[[#This Row],[2021]],IF(Startseite!$D$68&lt;Refsz_Verbräuche[[#Headers],[2022]],Refsz_Verbräuche[[#This Row],[2021]],"")))</f>
        <v/>
      </c>
      <c r="N53" s="110" t="str">
        <f>IF(Refsz_Verbräuche[[#Headers],[2023]]=Startseite!$D$68,IF(OR(SUMIF($F53:Refsz_Verbräuche[[#This Row],[2022]],"&gt;0")&gt;0,), AVERAGEIF($F53:Refsz_Verbräuche[[#This Row],[2022]],"&lt;&gt;"""), ""),IF(Startseite!$D$68=(Refsz_Verbräuche[[#Headers],[2023]]-1),Refsz_Verbräuche[[#This Row],[2022]],IF(Startseite!$D$68&lt;Refsz_Verbräuche[[#Headers],[2023]],Refsz_Verbräuche[[#This Row],[2022]],"")))</f>
        <v/>
      </c>
      <c r="O53" s="110" t="str">
        <f>IF(Refsz_Verbräuche[[#Headers],[2024]]=Startseite!$D$68,IF(OR(SUMIF($F53:Refsz_Verbräuche[[#This Row],[2023]],"&gt;0")&gt;0,), AVERAGEIF($F53:Refsz_Verbräuche[[#This Row],[2023]],"&lt;&gt;"""), ""),IF(Startseite!$D$68=(Refsz_Verbräuche[[#Headers],[2024]]-1),Refsz_Verbräuche[[#This Row],[2023]],IF(Startseite!$D$68&lt;Refsz_Verbräuche[[#Headers],[2024]],Refsz_Verbräuche[[#This Row],[2023]],"")))</f>
        <v/>
      </c>
      <c r="P53" s="110" t="str">
        <f>IF(Refsz_Verbräuche[[#Headers],[2025]]=Startseite!$D$68,IF(OR(SUMIF($F53:Refsz_Verbräuche[[#This Row],[2024]],"&gt;0")&gt;0,), AVERAGEIF($F53:Refsz_Verbräuche[[#This Row],[2024]],"&lt;&gt;"""), ""),IF(Startseite!$D$68=(Refsz_Verbräuche[[#Headers],[2025]]-1),Refsz_Verbräuche[[#This Row],[2024]],IF(Startseite!$D$68&lt;Refsz_Verbräuche[[#Headers],[2025]],Refsz_Verbräuche[[#This Row],[2024]],"")))</f>
        <v/>
      </c>
      <c r="Q53" s="110" t="str">
        <f>IF(Refsz_Verbräuche[[#Headers],[2026]]=Startseite!$D$68,IF(OR(SUMIF($F53:Refsz_Verbräuche[[#This Row],[2025]],"&gt;0")&gt;0,), AVERAGEIF($F53:Refsz_Verbräuche[[#This Row],[2025]],"&lt;&gt;"""), ""),IF(Startseite!$D$68=(Refsz_Verbräuche[[#Headers],[2026]]-1),Refsz_Verbräuche[[#This Row],[2025]],IF(Startseite!$D$68&lt;Refsz_Verbräuche[[#Headers],[2026]],Refsz_Verbräuche[[#This Row],[2025]],"")))</f>
        <v/>
      </c>
      <c r="R53" s="110" t="str">
        <f>IF(Refsz_Verbräuche[[#Headers],[2027]]=Startseite!$D$68,IF(OR(SUMIF($F53:Refsz_Verbräuche[[#This Row],[2026]],"&gt;0")&gt;0,), AVERAGEIF($F53:Refsz_Verbräuche[[#This Row],[2026]],"&lt;&gt;"""), ""),IF(Startseite!$D$68=(Refsz_Verbräuche[[#Headers],[2027]]-1),Refsz_Verbräuche[[#This Row],[2026]],IF(Startseite!$D$68&lt;Refsz_Verbräuche[[#Headers],[2027]],Refsz_Verbräuche[[#This Row],[2026]],"")))</f>
        <v/>
      </c>
      <c r="S53" s="110" t="str">
        <f>IF(Refsz_Verbräuche[[#Headers],[2028]]=Startseite!$D$68,IF(OR(SUMIF($F53:Refsz_Verbräuche[[#This Row],[2027]],"&gt;0")&gt;0,), AVERAGEIF($F53:Refsz_Verbräuche[[#This Row],[2027]],"&lt;&gt;"""), ""),IF(Startseite!$D$68=(Refsz_Verbräuche[[#Headers],[2028]]-1),Refsz_Verbräuche[[#This Row],[2027]],IF(Startseite!$D$68&lt;Refsz_Verbräuche[[#Headers],[2028]],Refsz_Verbräuche[[#This Row],[2027]],"")))</f>
        <v/>
      </c>
      <c r="T53" s="110" t="str">
        <f>IF(Refsz_Verbräuche[[#Headers],[2029]]=Startseite!$D$68,IF(OR(SUMIF($F53:Refsz_Verbräuche[[#This Row],[2028]],"&gt;0")&gt;0,), AVERAGEIF($F53:Refsz_Verbräuche[[#This Row],[2028]],"&lt;&gt;"""), ""),IF(Startseite!$D$68=(Refsz_Verbräuche[[#Headers],[2029]]-1),Refsz_Verbräuche[[#This Row],[2028]],IF(Startseite!$D$68&lt;Refsz_Verbräuche[[#Headers],[2029]],Refsz_Verbräuche[[#This Row],[2028]],"")))</f>
        <v/>
      </c>
      <c r="U53" s="110" t="str">
        <f>IF(Refsz_Verbräuche[[#Headers],[2030]]=Startseite!$D$68,IF(OR(SUMIF($F53:Refsz_Verbräuche[[#This Row],[2029]],"&gt;0")&gt;0,), AVERAGEIF($F53:Refsz_Verbräuche[[#This Row],[2029]],"&lt;&gt;"""), ""),IF(Startseite!$D$68=(Refsz_Verbräuche[[#Headers],[2030]]-1),Refsz_Verbräuche[[#This Row],[2029]],IF(Startseite!$D$68&lt;Refsz_Verbräuche[[#Headers],[2030]],Refsz_Verbräuche[[#This Row],[2029]],"")))</f>
        <v/>
      </c>
      <c r="V53" s="110" t="str">
        <f>IF(Refsz_Verbräuche[[#Headers],[2035]]=Startseite!$D$68,IF(OR(SUMIF($F53:Refsz_Verbräuche[[#This Row],[2030]],"&gt;0")&gt;0,), AVERAGEIF($F53:Refsz_Verbräuche[[#This Row],[2030]],"&lt;&gt;"""), ""),IF(Startseite!$D$68=(Refsz_Verbräuche[[#Headers],[2035]]-1),Refsz_Verbräuche[[#This Row],[2030]],IF(Startseite!$D$68&lt;Refsz_Verbräuche[[#Headers],[2035]],Refsz_Verbräuche[[#This Row],[2030]],"")))</f>
        <v/>
      </c>
      <c r="W53" s="110" t="str">
        <f>IF(Refsz_Verbräuche[[#Headers],[2040]]=Startseite!$D$68,IF(OR(SUMIF($F53:Refsz_Verbräuche[[#This Row],[2035]],"&gt;0")&gt;0,), AVERAGEIF($F53:Refsz_Verbräuche[[#This Row],[2035]],"&lt;&gt;"""), ""),IF(Startseite!$D$68=(Refsz_Verbräuche[[#Headers],[2040]]-1),Refsz_Verbräuche[[#This Row],[2035]],IF(Startseite!$D$68&lt;Refsz_Verbräuche[[#Headers],[2040]],Refsz_Verbräuche[[#This Row],[2035]],"")))</f>
        <v/>
      </c>
      <c r="X53" s="110" t="str">
        <f>IF(Refsz_Verbräuche[[#Headers],[2045]]=Startseite!$D$68,IF(OR(SUMIF($F53:Refsz_Verbräuche[[#This Row],[2040]],"&gt;0")&gt;0,), AVERAGEIF($F53:Refsz_Verbräuche[[#This Row],[2040]],"&lt;&gt;"""), ""),IF(Startseite!$D$68=(Refsz_Verbräuche[[#Headers],[2045]]-1),Refsz_Verbräuche[[#This Row],[2040]],IF(Startseite!$D$68&lt;Refsz_Verbräuche[[#Headers],[2045]],Refsz_Verbräuche[[#This Row],[2040]],"")))</f>
        <v/>
      </c>
      <c r="Y53" s="110" t="str">
        <f>IF(Refsz_Verbräuche[[#Headers],[2050]]=Startseite!$D$68,IF(OR(SUMIF($F53:Refsz_Verbräuche[[#This Row],[2045]],"&gt;0")&gt;0,), AVERAGEIF($F53:Refsz_Verbräuche[[#This Row],[2045]],"&lt;&gt;"""), ""),IF(Startseite!$D$68=(Refsz_Verbräuche[[#Headers],[2050]]-1),Refsz_Verbräuche[[#This Row],[2045]],IF(Startseite!$D$68&lt;Refsz_Verbräuche[[#Headers],[2050]],Refsz_Verbräuche[[#This Row],[2045]],"")))</f>
        <v/>
      </c>
      <c r="AA53" s="14"/>
    </row>
    <row r="54" spans="2:27">
      <c r="B54" s="14">
        <v>37</v>
      </c>
      <c r="C54" s="14"/>
      <c r="D54" s="9"/>
      <c r="F54" s="110"/>
      <c r="G54" s="110"/>
      <c r="H54" s="110"/>
      <c r="I54" s="110"/>
      <c r="J54" s="110"/>
      <c r="K54" s="110"/>
      <c r="L54" s="110"/>
      <c r="M54" s="110" t="str">
        <f>IF(Refsz_Verbräuche[[#Headers],[2022]]=Startseite!$D$68,IF(OR(SUMIF($F54:Refsz_Verbräuche[[#This Row],[2021]],"&gt;0")&gt;0,), AVERAGEIF($F54:Refsz_Verbräuche[[#This Row],[2021]],"&lt;&gt;"""), ""),IF(Startseite!$D$68=(Refsz_Verbräuche[[#Headers],[2022]]-1),Refsz_Verbräuche[[#This Row],[2021]],IF(Startseite!$D$68&lt;Refsz_Verbräuche[[#Headers],[2022]],Refsz_Verbräuche[[#This Row],[2021]],"")))</f>
        <v/>
      </c>
      <c r="N54" s="110" t="str">
        <f>IF(Refsz_Verbräuche[[#Headers],[2023]]=Startseite!$D$68,IF(OR(SUMIF($F54:Refsz_Verbräuche[[#This Row],[2022]],"&gt;0")&gt;0,), AVERAGEIF($F54:Refsz_Verbräuche[[#This Row],[2022]],"&lt;&gt;"""), ""),IF(Startseite!$D$68=(Refsz_Verbräuche[[#Headers],[2023]]-1),Refsz_Verbräuche[[#This Row],[2022]],IF(Startseite!$D$68&lt;Refsz_Verbräuche[[#Headers],[2023]],Refsz_Verbräuche[[#This Row],[2022]],"")))</f>
        <v/>
      </c>
      <c r="O54" s="110" t="str">
        <f>IF(Refsz_Verbräuche[[#Headers],[2024]]=Startseite!$D$68,IF(OR(SUMIF($F54:Refsz_Verbräuche[[#This Row],[2023]],"&gt;0")&gt;0,), AVERAGEIF($F54:Refsz_Verbräuche[[#This Row],[2023]],"&lt;&gt;"""), ""),IF(Startseite!$D$68=(Refsz_Verbräuche[[#Headers],[2024]]-1),Refsz_Verbräuche[[#This Row],[2023]],IF(Startseite!$D$68&lt;Refsz_Verbräuche[[#Headers],[2024]],Refsz_Verbräuche[[#This Row],[2023]],"")))</f>
        <v/>
      </c>
      <c r="P54" s="110" t="str">
        <f>IF(Refsz_Verbräuche[[#Headers],[2025]]=Startseite!$D$68,IF(OR(SUMIF($F54:Refsz_Verbräuche[[#This Row],[2024]],"&gt;0")&gt;0,), AVERAGEIF($F54:Refsz_Verbräuche[[#This Row],[2024]],"&lt;&gt;"""), ""),IF(Startseite!$D$68=(Refsz_Verbräuche[[#Headers],[2025]]-1),Refsz_Verbräuche[[#This Row],[2024]],IF(Startseite!$D$68&lt;Refsz_Verbräuche[[#Headers],[2025]],Refsz_Verbräuche[[#This Row],[2024]],"")))</f>
        <v/>
      </c>
      <c r="Q54" s="110" t="str">
        <f>IF(Refsz_Verbräuche[[#Headers],[2026]]=Startseite!$D$68,IF(OR(SUMIF($F54:Refsz_Verbräuche[[#This Row],[2025]],"&gt;0")&gt;0,), AVERAGEIF($F54:Refsz_Verbräuche[[#This Row],[2025]],"&lt;&gt;"""), ""),IF(Startseite!$D$68=(Refsz_Verbräuche[[#Headers],[2026]]-1),Refsz_Verbräuche[[#This Row],[2025]],IF(Startseite!$D$68&lt;Refsz_Verbräuche[[#Headers],[2026]],Refsz_Verbräuche[[#This Row],[2025]],"")))</f>
        <v/>
      </c>
      <c r="R54" s="110" t="str">
        <f>IF(Refsz_Verbräuche[[#Headers],[2027]]=Startseite!$D$68,IF(OR(SUMIF($F54:Refsz_Verbräuche[[#This Row],[2026]],"&gt;0")&gt;0,), AVERAGEIF($F54:Refsz_Verbräuche[[#This Row],[2026]],"&lt;&gt;"""), ""),IF(Startseite!$D$68=(Refsz_Verbräuche[[#Headers],[2027]]-1),Refsz_Verbräuche[[#This Row],[2026]],IF(Startseite!$D$68&lt;Refsz_Verbräuche[[#Headers],[2027]],Refsz_Verbräuche[[#This Row],[2026]],"")))</f>
        <v/>
      </c>
      <c r="S54" s="110" t="str">
        <f>IF(Refsz_Verbräuche[[#Headers],[2028]]=Startseite!$D$68,IF(OR(SUMIF($F54:Refsz_Verbräuche[[#This Row],[2027]],"&gt;0")&gt;0,), AVERAGEIF($F54:Refsz_Verbräuche[[#This Row],[2027]],"&lt;&gt;"""), ""),IF(Startseite!$D$68=(Refsz_Verbräuche[[#Headers],[2028]]-1),Refsz_Verbräuche[[#This Row],[2027]],IF(Startseite!$D$68&lt;Refsz_Verbräuche[[#Headers],[2028]],Refsz_Verbräuche[[#This Row],[2027]],"")))</f>
        <v/>
      </c>
      <c r="T54" s="110" t="str">
        <f>IF(Refsz_Verbräuche[[#Headers],[2029]]=Startseite!$D$68,IF(OR(SUMIF($F54:Refsz_Verbräuche[[#This Row],[2028]],"&gt;0")&gt;0,), AVERAGEIF($F54:Refsz_Verbräuche[[#This Row],[2028]],"&lt;&gt;"""), ""),IF(Startseite!$D$68=(Refsz_Verbräuche[[#Headers],[2029]]-1),Refsz_Verbräuche[[#This Row],[2028]],IF(Startseite!$D$68&lt;Refsz_Verbräuche[[#Headers],[2029]],Refsz_Verbräuche[[#This Row],[2028]],"")))</f>
        <v/>
      </c>
      <c r="U54" s="110" t="str">
        <f>IF(Refsz_Verbräuche[[#Headers],[2030]]=Startseite!$D$68,IF(OR(SUMIF($F54:Refsz_Verbräuche[[#This Row],[2029]],"&gt;0")&gt;0,), AVERAGEIF($F54:Refsz_Verbräuche[[#This Row],[2029]],"&lt;&gt;"""), ""),IF(Startseite!$D$68=(Refsz_Verbräuche[[#Headers],[2030]]-1),Refsz_Verbräuche[[#This Row],[2029]],IF(Startseite!$D$68&lt;Refsz_Verbräuche[[#Headers],[2030]],Refsz_Verbräuche[[#This Row],[2029]],"")))</f>
        <v/>
      </c>
      <c r="V54" s="110" t="str">
        <f>IF(Refsz_Verbräuche[[#Headers],[2035]]=Startseite!$D$68,IF(OR(SUMIF($F54:Refsz_Verbräuche[[#This Row],[2030]],"&gt;0")&gt;0,), AVERAGEIF($F54:Refsz_Verbräuche[[#This Row],[2030]],"&lt;&gt;"""), ""),IF(Startseite!$D$68=(Refsz_Verbräuche[[#Headers],[2035]]-1),Refsz_Verbräuche[[#This Row],[2030]],IF(Startseite!$D$68&lt;Refsz_Verbräuche[[#Headers],[2035]],Refsz_Verbräuche[[#This Row],[2030]],"")))</f>
        <v/>
      </c>
      <c r="W54" s="110" t="str">
        <f>IF(Refsz_Verbräuche[[#Headers],[2040]]=Startseite!$D$68,IF(OR(SUMIF($F54:Refsz_Verbräuche[[#This Row],[2035]],"&gt;0")&gt;0,), AVERAGEIF($F54:Refsz_Verbräuche[[#This Row],[2035]],"&lt;&gt;"""), ""),IF(Startseite!$D$68=(Refsz_Verbräuche[[#Headers],[2040]]-1),Refsz_Verbräuche[[#This Row],[2035]],IF(Startseite!$D$68&lt;Refsz_Verbräuche[[#Headers],[2040]],Refsz_Verbräuche[[#This Row],[2035]],"")))</f>
        <v/>
      </c>
      <c r="X54" s="110" t="str">
        <f>IF(Refsz_Verbräuche[[#Headers],[2045]]=Startseite!$D$68,IF(OR(SUMIF($F54:Refsz_Verbräuche[[#This Row],[2040]],"&gt;0")&gt;0,), AVERAGEIF($F54:Refsz_Verbräuche[[#This Row],[2040]],"&lt;&gt;"""), ""),IF(Startseite!$D$68=(Refsz_Verbräuche[[#Headers],[2045]]-1),Refsz_Verbräuche[[#This Row],[2040]],IF(Startseite!$D$68&lt;Refsz_Verbräuche[[#Headers],[2045]],Refsz_Verbräuche[[#This Row],[2040]],"")))</f>
        <v/>
      </c>
      <c r="Y54" s="110" t="str">
        <f>IF(Refsz_Verbräuche[[#Headers],[2050]]=Startseite!$D$68,IF(OR(SUMIF($F54:Refsz_Verbräuche[[#This Row],[2045]],"&gt;0")&gt;0,), AVERAGEIF($F54:Refsz_Verbräuche[[#This Row],[2045]],"&lt;&gt;"""), ""),IF(Startseite!$D$68=(Refsz_Verbräuche[[#Headers],[2050]]-1),Refsz_Verbräuche[[#This Row],[2045]],IF(Startseite!$D$68&lt;Refsz_Verbräuche[[#Headers],[2050]],Refsz_Verbräuche[[#This Row],[2045]],"")))</f>
        <v/>
      </c>
      <c r="AA54" s="14"/>
    </row>
    <row r="55" spans="2:27">
      <c r="B55" s="14">
        <v>38</v>
      </c>
      <c r="C55" s="14" t="s">
        <v>510</v>
      </c>
      <c r="D55" s="9" t="str">
        <f>_xlfn.CONCAT(Startseite!E81," - Flugreisen")</f>
        <v>DR - Flugreisen</v>
      </c>
      <c r="E55" t="s">
        <v>43</v>
      </c>
      <c r="F55" s="110"/>
      <c r="G55" s="110"/>
      <c r="H55" s="110"/>
      <c r="I55" s="110"/>
      <c r="J55" s="110"/>
      <c r="K55" s="110"/>
      <c r="L55" s="110"/>
      <c r="M55" s="110" t="str">
        <f>IF(Refsz_Verbräuche[[#Headers],[2022]]=Startseite!$D$68,IF(OR(SUMIF($F55:Refsz_Verbräuche[[#This Row],[2021]],"&gt;0")&gt;0,), AVERAGEIF($F55:Refsz_Verbräuche[[#This Row],[2021]],"&lt;&gt;"""), ""),IF(Startseite!$D$68=(Refsz_Verbräuche[[#Headers],[2022]]-1),Refsz_Verbräuche[[#This Row],[2021]],IF(Startseite!$D$68&lt;Refsz_Verbräuche[[#Headers],[2022]],Refsz_Verbräuche[[#This Row],[2021]],"")))</f>
        <v/>
      </c>
      <c r="N55" s="110" t="str">
        <f>IF(Refsz_Verbräuche[[#Headers],[2023]]=Startseite!$D$68,IF(OR(SUMIF($F55:Refsz_Verbräuche[[#This Row],[2022]],"&gt;0")&gt;0,), AVERAGEIF($F55:Refsz_Verbräuche[[#This Row],[2022]],"&lt;&gt;"""), ""),IF(Startseite!$D$68=(Refsz_Verbräuche[[#Headers],[2023]]-1),Refsz_Verbräuche[[#This Row],[2022]],IF(Startseite!$D$68&lt;Refsz_Verbräuche[[#Headers],[2023]],Refsz_Verbräuche[[#This Row],[2022]],"")))</f>
        <v/>
      </c>
      <c r="O55" s="110" t="str">
        <f>IF(Refsz_Verbräuche[[#Headers],[2024]]=Startseite!$D$68,IF(OR(SUMIF($F55:Refsz_Verbräuche[[#This Row],[2023]],"&gt;0")&gt;0,), AVERAGEIF($F55:Refsz_Verbräuche[[#This Row],[2023]],"&lt;&gt;"""), ""),IF(Startseite!$D$68=(Refsz_Verbräuche[[#Headers],[2024]]-1),Refsz_Verbräuche[[#This Row],[2023]],IF(Startseite!$D$68&lt;Refsz_Verbräuche[[#Headers],[2024]],Refsz_Verbräuche[[#This Row],[2023]],"")))</f>
        <v/>
      </c>
      <c r="P55" s="110" t="str">
        <f>IF(Refsz_Verbräuche[[#Headers],[2025]]=Startseite!$D$68,IF(OR(SUMIF($F55:Refsz_Verbräuche[[#This Row],[2024]],"&gt;0")&gt;0,), AVERAGEIF($F55:Refsz_Verbräuche[[#This Row],[2024]],"&lt;&gt;"""), ""),IF(Startseite!$D$68=(Refsz_Verbräuche[[#Headers],[2025]]-1),Refsz_Verbräuche[[#This Row],[2024]],IF(Startseite!$D$68&lt;Refsz_Verbräuche[[#Headers],[2025]],Refsz_Verbräuche[[#This Row],[2024]],"")))</f>
        <v/>
      </c>
      <c r="Q55" s="110" t="str">
        <f>IF(Refsz_Verbräuche[[#Headers],[2026]]=Startseite!$D$68,IF(OR(SUMIF($F55:Refsz_Verbräuche[[#This Row],[2025]],"&gt;0")&gt;0,), AVERAGEIF($F55:Refsz_Verbräuche[[#This Row],[2025]],"&lt;&gt;"""), ""),IF(Startseite!$D$68=(Refsz_Verbräuche[[#Headers],[2026]]-1),Refsz_Verbräuche[[#This Row],[2025]],IF(Startseite!$D$68&lt;Refsz_Verbräuche[[#Headers],[2026]],Refsz_Verbräuche[[#This Row],[2025]],"")))</f>
        <v/>
      </c>
      <c r="R55" s="110" t="str">
        <f>IF(Refsz_Verbräuche[[#Headers],[2027]]=Startseite!$D$68,IF(OR(SUMIF($F55:Refsz_Verbräuche[[#This Row],[2026]],"&gt;0")&gt;0,), AVERAGEIF($F55:Refsz_Verbräuche[[#This Row],[2026]],"&lt;&gt;"""), ""),IF(Startseite!$D$68=(Refsz_Verbräuche[[#Headers],[2027]]-1),Refsz_Verbräuche[[#This Row],[2026]],IF(Startseite!$D$68&lt;Refsz_Verbräuche[[#Headers],[2027]],Refsz_Verbräuche[[#This Row],[2026]],"")))</f>
        <v/>
      </c>
      <c r="S55" s="110" t="str">
        <f>IF(Refsz_Verbräuche[[#Headers],[2028]]=Startseite!$D$68,IF(OR(SUMIF($F55:Refsz_Verbräuche[[#This Row],[2027]],"&gt;0")&gt;0,), AVERAGEIF($F55:Refsz_Verbräuche[[#This Row],[2027]],"&lt;&gt;"""), ""),IF(Startseite!$D$68=(Refsz_Verbräuche[[#Headers],[2028]]-1),Refsz_Verbräuche[[#This Row],[2027]],IF(Startseite!$D$68&lt;Refsz_Verbräuche[[#Headers],[2028]],Refsz_Verbräuche[[#This Row],[2027]],"")))</f>
        <v/>
      </c>
      <c r="T55" s="110" t="str">
        <f>IF(Refsz_Verbräuche[[#Headers],[2029]]=Startseite!$D$68,IF(OR(SUMIF($F55:Refsz_Verbräuche[[#This Row],[2028]],"&gt;0")&gt;0,), AVERAGEIF($F55:Refsz_Verbräuche[[#This Row],[2028]],"&lt;&gt;"""), ""),IF(Startseite!$D$68=(Refsz_Verbräuche[[#Headers],[2029]]-1),Refsz_Verbräuche[[#This Row],[2028]],IF(Startseite!$D$68&lt;Refsz_Verbräuche[[#Headers],[2029]],Refsz_Verbräuche[[#This Row],[2028]],"")))</f>
        <v/>
      </c>
      <c r="U55" s="110" t="str">
        <f>IF(Refsz_Verbräuche[[#Headers],[2030]]=Startseite!$D$68,IF(OR(SUMIF($F55:Refsz_Verbräuche[[#This Row],[2029]],"&gt;0")&gt;0,), AVERAGEIF($F55:Refsz_Verbräuche[[#This Row],[2029]],"&lt;&gt;"""), ""),IF(Startseite!$D$68=(Refsz_Verbräuche[[#Headers],[2030]]-1),Refsz_Verbräuche[[#This Row],[2029]],IF(Startseite!$D$68&lt;Refsz_Verbräuche[[#Headers],[2030]],Refsz_Verbräuche[[#This Row],[2029]],"")))</f>
        <v/>
      </c>
      <c r="V55" s="110" t="str">
        <f>IF(Refsz_Verbräuche[[#Headers],[2035]]=Startseite!$D$68,IF(OR(SUMIF($F55:Refsz_Verbräuche[[#This Row],[2030]],"&gt;0")&gt;0,), AVERAGEIF($F55:Refsz_Verbräuche[[#This Row],[2030]],"&lt;&gt;"""), ""),IF(Startseite!$D$68=(Refsz_Verbräuche[[#Headers],[2035]]-1),Refsz_Verbräuche[[#This Row],[2030]],IF(Startseite!$D$68&lt;Refsz_Verbräuche[[#Headers],[2035]],Refsz_Verbräuche[[#This Row],[2030]],"")))</f>
        <v/>
      </c>
      <c r="W55" s="110" t="str">
        <f>IF(Refsz_Verbräuche[[#Headers],[2040]]=Startseite!$D$68,IF(OR(SUMIF($F55:Refsz_Verbräuche[[#This Row],[2035]],"&gt;0")&gt;0,), AVERAGEIF($F55:Refsz_Verbräuche[[#This Row],[2035]],"&lt;&gt;"""), ""),IF(Startseite!$D$68=(Refsz_Verbräuche[[#Headers],[2040]]-1),Refsz_Verbräuche[[#This Row],[2035]],IF(Startseite!$D$68&lt;Refsz_Verbräuche[[#Headers],[2040]],Refsz_Verbräuche[[#This Row],[2035]],"")))</f>
        <v/>
      </c>
      <c r="X55" s="110" t="str">
        <f>IF(Refsz_Verbräuche[[#Headers],[2045]]=Startseite!$D$68,IF(OR(SUMIF($F55:Refsz_Verbräuche[[#This Row],[2040]],"&gt;0")&gt;0,), AVERAGEIF($F55:Refsz_Verbräuche[[#This Row],[2040]],"&lt;&gt;"""), ""),IF(Startseite!$D$68=(Refsz_Verbräuche[[#Headers],[2045]]-1),Refsz_Verbräuche[[#This Row],[2040]],IF(Startseite!$D$68&lt;Refsz_Verbräuche[[#Headers],[2045]],Refsz_Verbräuche[[#This Row],[2040]],"")))</f>
        <v/>
      </c>
      <c r="Y55" s="110" t="str">
        <f>IF(Refsz_Verbräuche[[#Headers],[2050]]=Startseite!$D$68,IF(OR(SUMIF($F55:Refsz_Verbräuche[[#This Row],[2045]],"&gt;0")&gt;0,), AVERAGEIF($F55:Refsz_Verbräuche[[#This Row],[2045]],"&lt;&gt;"""), ""),IF(Startseite!$D$68=(Refsz_Verbräuche[[#Headers],[2050]]-1),Refsz_Verbräuche[[#This Row],[2045]],IF(Startseite!$D$68&lt;Refsz_Verbräuche[[#Headers],[2050]],Refsz_Verbräuche[[#This Row],[2045]],"")))</f>
        <v/>
      </c>
      <c r="AA55" s="14"/>
    </row>
    <row r="56" spans="2:27">
      <c r="B56" s="14">
        <v>39</v>
      </c>
      <c r="C56" s="14" t="s">
        <v>510</v>
      </c>
      <c r="D56" t="str">
        <f>_xlfn.CONCAT(Startseite!E81," - Eisenbahn (Fernverkehr)")</f>
        <v>DR - Eisenbahn (Fernverkehr)</v>
      </c>
      <c r="E56" t="s">
        <v>43</v>
      </c>
      <c r="F56" s="110"/>
      <c r="G56" s="110"/>
      <c r="H56" s="110"/>
      <c r="I56" s="110"/>
      <c r="J56" s="110"/>
      <c r="K56" s="110"/>
      <c r="L56" s="110"/>
      <c r="M56" s="110" t="str">
        <f>IF(Refsz_Verbräuche[[#Headers],[2022]]=Startseite!$D$68,IF(OR(SUMIF($F56:Refsz_Verbräuche[[#This Row],[2021]],"&gt;0")&gt;0,), AVERAGEIF($F56:Refsz_Verbräuche[[#This Row],[2021]],"&lt;&gt;"""), ""),IF(Startseite!$D$68=(Refsz_Verbräuche[[#Headers],[2022]]-1),Refsz_Verbräuche[[#This Row],[2021]],IF(Startseite!$D$68&lt;Refsz_Verbräuche[[#Headers],[2022]],Refsz_Verbräuche[[#This Row],[2021]],"")))</f>
        <v/>
      </c>
      <c r="N56" s="110" t="str">
        <f>IF(Refsz_Verbräuche[[#Headers],[2023]]=Startseite!$D$68,IF(OR(SUMIF($F56:Refsz_Verbräuche[[#This Row],[2022]],"&gt;0")&gt;0,), AVERAGEIF($F56:Refsz_Verbräuche[[#This Row],[2022]],"&lt;&gt;"""), ""),IF(Startseite!$D$68=(Refsz_Verbräuche[[#Headers],[2023]]-1),Refsz_Verbräuche[[#This Row],[2022]],IF(Startseite!$D$68&lt;Refsz_Verbräuche[[#Headers],[2023]],Refsz_Verbräuche[[#This Row],[2022]],"")))</f>
        <v/>
      </c>
      <c r="O56" s="110" t="str">
        <f>IF(Refsz_Verbräuche[[#Headers],[2024]]=Startseite!$D$68,IF(OR(SUMIF($F56:Refsz_Verbräuche[[#This Row],[2023]],"&gt;0")&gt;0,), AVERAGEIF($F56:Refsz_Verbräuche[[#This Row],[2023]],"&lt;&gt;"""), ""),IF(Startseite!$D$68=(Refsz_Verbräuche[[#Headers],[2024]]-1),Refsz_Verbräuche[[#This Row],[2023]],IF(Startseite!$D$68&lt;Refsz_Verbräuche[[#Headers],[2024]],Refsz_Verbräuche[[#This Row],[2023]],"")))</f>
        <v/>
      </c>
      <c r="P56" s="110" t="str">
        <f>IF(Refsz_Verbräuche[[#Headers],[2025]]=Startseite!$D$68,IF(OR(SUMIF($F56:Refsz_Verbräuche[[#This Row],[2024]],"&gt;0")&gt;0,), AVERAGEIF($F56:Refsz_Verbräuche[[#This Row],[2024]],"&lt;&gt;"""), ""),IF(Startseite!$D$68=(Refsz_Verbräuche[[#Headers],[2025]]-1),Refsz_Verbräuche[[#This Row],[2024]],IF(Startseite!$D$68&lt;Refsz_Verbräuche[[#Headers],[2025]],Refsz_Verbräuche[[#This Row],[2024]],"")))</f>
        <v/>
      </c>
      <c r="Q56" s="110" t="str">
        <f>IF(Refsz_Verbräuche[[#Headers],[2026]]=Startseite!$D$68,IF(OR(SUMIF($F56:Refsz_Verbräuche[[#This Row],[2025]],"&gt;0")&gt;0,), AVERAGEIF($F56:Refsz_Verbräuche[[#This Row],[2025]],"&lt;&gt;"""), ""),IF(Startseite!$D$68=(Refsz_Verbräuche[[#Headers],[2026]]-1),Refsz_Verbräuche[[#This Row],[2025]],IF(Startseite!$D$68&lt;Refsz_Verbräuche[[#Headers],[2026]],Refsz_Verbräuche[[#This Row],[2025]],"")))</f>
        <v/>
      </c>
      <c r="R56" s="110" t="str">
        <f>IF(Refsz_Verbräuche[[#Headers],[2027]]=Startseite!$D$68,IF(OR(SUMIF($F56:Refsz_Verbräuche[[#This Row],[2026]],"&gt;0")&gt;0,), AVERAGEIF($F56:Refsz_Verbräuche[[#This Row],[2026]],"&lt;&gt;"""), ""),IF(Startseite!$D$68=(Refsz_Verbräuche[[#Headers],[2027]]-1),Refsz_Verbräuche[[#This Row],[2026]],IF(Startseite!$D$68&lt;Refsz_Verbräuche[[#Headers],[2027]],Refsz_Verbräuche[[#This Row],[2026]],"")))</f>
        <v/>
      </c>
      <c r="S56" s="110" t="str">
        <f>IF(Refsz_Verbräuche[[#Headers],[2028]]=Startseite!$D$68,IF(OR(SUMIF($F56:Refsz_Verbräuche[[#This Row],[2027]],"&gt;0")&gt;0,), AVERAGEIF($F56:Refsz_Verbräuche[[#This Row],[2027]],"&lt;&gt;"""), ""),IF(Startseite!$D$68=(Refsz_Verbräuche[[#Headers],[2028]]-1),Refsz_Verbräuche[[#This Row],[2027]],IF(Startseite!$D$68&lt;Refsz_Verbräuche[[#Headers],[2028]],Refsz_Verbräuche[[#This Row],[2027]],"")))</f>
        <v/>
      </c>
      <c r="T56" s="110" t="str">
        <f>IF(Refsz_Verbräuche[[#Headers],[2029]]=Startseite!$D$68,IF(OR(SUMIF($F56:Refsz_Verbräuche[[#This Row],[2028]],"&gt;0")&gt;0,), AVERAGEIF($F56:Refsz_Verbräuche[[#This Row],[2028]],"&lt;&gt;"""), ""),IF(Startseite!$D$68=(Refsz_Verbräuche[[#Headers],[2029]]-1),Refsz_Verbräuche[[#This Row],[2028]],IF(Startseite!$D$68&lt;Refsz_Verbräuche[[#Headers],[2029]],Refsz_Verbräuche[[#This Row],[2028]],"")))</f>
        <v/>
      </c>
      <c r="U56" s="110" t="str">
        <f>IF(Refsz_Verbräuche[[#Headers],[2030]]=Startseite!$D$68,IF(OR(SUMIF($F56:Refsz_Verbräuche[[#This Row],[2029]],"&gt;0")&gt;0,), AVERAGEIF($F56:Refsz_Verbräuche[[#This Row],[2029]],"&lt;&gt;"""), ""),IF(Startseite!$D$68=(Refsz_Verbräuche[[#Headers],[2030]]-1),Refsz_Verbräuche[[#This Row],[2029]],IF(Startseite!$D$68&lt;Refsz_Verbräuche[[#Headers],[2030]],Refsz_Verbräuche[[#This Row],[2029]],"")))</f>
        <v/>
      </c>
      <c r="V56" s="110" t="str">
        <f>IF(Refsz_Verbräuche[[#Headers],[2035]]=Startseite!$D$68,IF(OR(SUMIF($F56:Refsz_Verbräuche[[#This Row],[2030]],"&gt;0")&gt;0,), AVERAGEIF($F56:Refsz_Verbräuche[[#This Row],[2030]],"&lt;&gt;"""), ""),IF(Startseite!$D$68=(Refsz_Verbräuche[[#Headers],[2035]]-1),Refsz_Verbräuche[[#This Row],[2030]],IF(Startseite!$D$68&lt;Refsz_Verbräuche[[#Headers],[2035]],Refsz_Verbräuche[[#This Row],[2030]],"")))</f>
        <v/>
      </c>
      <c r="W56" s="110" t="str">
        <f>IF(Refsz_Verbräuche[[#Headers],[2040]]=Startseite!$D$68,IF(OR(SUMIF($F56:Refsz_Verbräuche[[#This Row],[2035]],"&gt;0")&gt;0,), AVERAGEIF($F56:Refsz_Verbräuche[[#This Row],[2035]],"&lt;&gt;"""), ""),IF(Startseite!$D$68=(Refsz_Verbräuche[[#Headers],[2040]]-1),Refsz_Verbräuche[[#This Row],[2035]],IF(Startseite!$D$68&lt;Refsz_Verbräuche[[#Headers],[2040]],Refsz_Verbräuche[[#This Row],[2035]],"")))</f>
        <v/>
      </c>
      <c r="X56" s="110" t="str">
        <f>IF(Refsz_Verbräuche[[#Headers],[2045]]=Startseite!$D$68,IF(OR(SUMIF($F56:Refsz_Verbräuche[[#This Row],[2040]],"&gt;0")&gt;0,), AVERAGEIF($F56:Refsz_Verbräuche[[#This Row],[2040]],"&lt;&gt;"""), ""),IF(Startseite!$D$68=(Refsz_Verbräuche[[#Headers],[2045]]-1),Refsz_Verbräuche[[#This Row],[2040]],IF(Startseite!$D$68&lt;Refsz_Verbräuche[[#Headers],[2045]],Refsz_Verbräuche[[#This Row],[2040]],"")))</f>
        <v/>
      </c>
      <c r="Y56" s="110" t="str">
        <f>IF(Refsz_Verbräuche[[#Headers],[2050]]=Startseite!$D$68,IF(OR(SUMIF($F56:Refsz_Verbräuche[[#This Row],[2045]],"&gt;0")&gt;0,), AVERAGEIF($F56:Refsz_Verbräuche[[#This Row],[2045]],"&lt;&gt;"""), ""),IF(Startseite!$D$68=(Refsz_Verbräuche[[#Headers],[2050]]-1),Refsz_Verbräuche[[#This Row],[2045]],IF(Startseite!$D$68&lt;Refsz_Verbräuche[[#Headers],[2050]],Refsz_Verbräuche[[#This Row],[2045]],"")))</f>
        <v/>
      </c>
      <c r="AA56" s="14"/>
    </row>
    <row r="57" spans="2:27">
      <c r="B57" s="14">
        <v>40</v>
      </c>
      <c r="C57" s="14" t="s">
        <v>510</v>
      </c>
      <c r="D57" t="str">
        <f>_xlfn.CONCAT(Startseite!E81," - Eisenbahn (Nahverkehr)")</f>
        <v>DR - Eisenbahn (Nahverkehr)</v>
      </c>
      <c r="E57" t="s">
        <v>43</v>
      </c>
      <c r="F57" s="110"/>
      <c r="G57" s="110"/>
      <c r="H57" s="110"/>
      <c r="I57" s="110"/>
      <c r="J57" s="110"/>
      <c r="K57" s="110"/>
      <c r="L57" s="110"/>
      <c r="M57" s="110" t="str">
        <f>IF(Refsz_Verbräuche[[#Headers],[2022]]=Startseite!$D$68,IF(OR(SUMIF($F57:Refsz_Verbräuche[[#This Row],[2021]],"&gt;0")&gt;0,), AVERAGEIF($F57:Refsz_Verbräuche[[#This Row],[2021]],"&lt;&gt;"""), ""),IF(Startseite!$D$68=(Refsz_Verbräuche[[#Headers],[2022]]-1),Refsz_Verbräuche[[#This Row],[2021]],IF(Startseite!$D$68&lt;Refsz_Verbräuche[[#Headers],[2022]],Refsz_Verbräuche[[#This Row],[2021]],"")))</f>
        <v/>
      </c>
      <c r="N57" s="110" t="str">
        <f>IF(Refsz_Verbräuche[[#Headers],[2023]]=Startseite!$D$68,IF(OR(SUMIF($F57:Refsz_Verbräuche[[#This Row],[2022]],"&gt;0")&gt;0,), AVERAGEIF($F57:Refsz_Verbräuche[[#This Row],[2022]],"&lt;&gt;"""), ""),IF(Startseite!$D$68=(Refsz_Verbräuche[[#Headers],[2023]]-1),Refsz_Verbräuche[[#This Row],[2022]],IF(Startseite!$D$68&lt;Refsz_Verbräuche[[#Headers],[2023]],Refsz_Verbräuche[[#This Row],[2022]],"")))</f>
        <v/>
      </c>
      <c r="O57" s="110" t="str">
        <f>IF(Refsz_Verbräuche[[#Headers],[2024]]=Startseite!$D$68,IF(OR(SUMIF($F57:Refsz_Verbräuche[[#This Row],[2023]],"&gt;0")&gt;0,), AVERAGEIF($F57:Refsz_Verbräuche[[#This Row],[2023]],"&lt;&gt;"""), ""),IF(Startseite!$D$68=(Refsz_Verbräuche[[#Headers],[2024]]-1),Refsz_Verbräuche[[#This Row],[2023]],IF(Startseite!$D$68&lt;Refsz_Verbräuche[[#Headers],[2024]],Refsz_Verbräuche[[#This Row],[2023]],"")))</f>
        <v/>
      </c>
      <c r="P57" s="110" t="str">
        <f>IF(Refsz_Verbräuche[[#Headers],[2025]]=Startseite!$D$68,IF(OR(SUMIF($F57:Refsz_Verbräuche[[#This Row],[2024]],"&gt;0")&gt;0,), AVERAGEIF($F57:Refsz_Verbräuche[[#This Row],[2024]],"&lt;&gt;"""), ""),IF(Startseite!$D$68=(Refsz_Verbräuche[[#Headers],[2025]]-1),Refsz_Verbräuche[[#This Row],[2024]],IF(Startseite!$D$68&lt;Refsz_Verbräuche[[#Headers],[2025]],Refsz_Verbräuche[[#This Row],[2024]],"")))</f>
        <v/>
      </c>
      <c r="Q57" s="110" t="str">
        <f>IF(Refsz_Verbräuche[[#Headers],[2026]]=Startseite!$D$68,IF(OR(SUMIF($F57:Refsz_Verbräuche[[#This Row],[2025]],"&gt;0")&gt;0,), AVERAGEIF($F57:Refsz_Verbräuche[[#This Row],[2025]],"&lt;&gt;"""), ""),IF(Startseite!$D$68=(Refsz_Verbräuche[[#Headers],[2026]]-1),Refsz_Verbräuche[[#This Row],[2025]],IF(Startseite!$D$68&lt;Refsz_Verbräuche[[#Headers],[2026]],Refsz_Verbräuche[[#This Row],[2025]],"")))</f>
        <v/>
      </c>
      <c r="R57" s="110" t="str">
        <f>IF(Refsz_Verbräuche[[#Headers],[2027]]=Startseite!$D$68,IF(OR(SUMIF($F57:Refsz_Verbräuche[[#This Row],[2026]],"&gt;0")&gt;0,), AVERAGEIF($F57:Refsz_Verbräuche[[#This Row],[2026]],"&lt;&gt;"""), ""),IF(Startseite!$D$68=(Refsz_Verbräuche[[#Headers],[2027]]-1),Refsz_Verbräuche[[#This Row],[2026]],IF(Startseite!$D$68&lt;Refsz_Verbräuche[[#Headers],[2027]],Refsz_Verbräuche[[#This Row],[2026]],"")))</f>
        <v/>
      </c>
      <c r="S57" s="110" t="str">
        <f>IF(Refsz_Verbräuche[[#Headers],[2028]]=Startseite!$D$68,IF(OR(SUMIF($F57:Refsz_Verbräuche[[#This Row],[2027]],"&gt;0")&gt;0,), AVERAGEIF($F57:Refsz_Verbräuche[[#This Row],[2027]],"&lt;&gt;"""), ""),IF(Startseite!$D$68=(Refsz_Verbräuche[[#Headers],[2028]]-1),Refsz_Verbräuche[[#This Row],[2027]],IF(Startseite!$D$68&lt;Refsz_Verbräuche[[#Headers],[2028]],Refsz_Verbräuche[[#This Row],[2027]],"")))</f>
        <v/>
      </c>
      <c r="T57" s="110" t="str">
        <f>IF(Refsz_Verbräuche[[#Headers],[2029]]=Startseite!$D$68,IF(OR(SUMIF($F57:Refsz_Verbräuche[[#This Row],[2028]],"&gt;0")&gt;0,), AVERAGEIF($F57:Refsz_Verbräuche[[#This Row],[2028]],"&lt;&gt;"""), ""),IF(Startseite!$D$68=(Refsz_Verbräuche[[#Headers],[2029]]-1),Refsz_Verbräuche[[#This Row],[2028]],IF(Startseite!$D$68&lt;Refsz_Verbräuche[[#Headers],[2029]],Refsz_Verbräuche[[#This Row],[2028]],"")))</f>
        <v/>
      </c>
      <c r="U57" s="110" t="str">
        <f>IF(Refsz_Verbräuche[[#Headers],[2030]]=Startseite!$D$68,IF(OR(SUMIF($F57:Refsz_Verbräuche[[#This Row],[2029]],"&gt;0")&gt;0,), AVERAGEIF($F57:Refsz_Verbräuche[[#This Row],[2029]],"&lt;&gt;"""), ""),IF(Startseite!$D$68=(Refsz_Verbräuche[[#Headers],[2030]]-1),Refsz_Verbräuche[[#This Row],[2029]],IF(Startseite!$D$68&lt;Refsz_Verbräuche[[#Headers],[2030]],Refsz_Verbräuche[[#This Row],[2029]],"")))</f>
        <v/>
      </c>
      <c r="V57" s="110" t="str">
        <f>IF(Refsz_Verbräuche[[#Headers],[2035]]=Startseite!$D$68,IF(OR(SUMIF($F57:Refsz_Verbräuche[[#This Row],[2030]],"&gt;0")&gt;0,), AVERAGEIF($F57:Refsz_Verbräuche[[#This Row],[2030]],"&lt;&gt;"""), ""),IF(Startseite!$D$68=(Refsz_Verbräuche[[#Headers],[2035]]-1),Refsz_Verbräuche[[#This Row],[2030]],IF(Startseite!$D$68&lt;Refsz_Verbräuche[[#Headers],[2035]],Refsz_Verbräuche[[#This Row],[2030]],"")))</f>
        <v/>
      </c>
      <c r="W57" s="110" t="str">
        <f>IF(Refsz_Verbräuche[[#Headers],[2040]]=Startseite!$D$68,IF(OR(SUMIF($F57:Refsz_Verbräuche[[#This Row],[2035]],"&gt;0")&gt;0,), AVERAGEIF($F57:Refsz_Verbräuche[[#This Row],[2035]],"&lt;&gt;"""), ""),IF(Startseite!$D$68=(Refsz_Verbräuche[[#Headers],[2040]]-1),Refsz_Verbräuche[[#This Row],[2035]],IF(Startseite!$D$68&lt;Refsz_Verbräuche[[#Headers],[2040]],Refsz_Verbräuche[[#This Row],[2035]],"")))</f>
        <v/>
      </c>
      <c r="X57" s="110" t="str">
        <f>IF(Refsz_Verbräuche[[#Headers],[2045]]=Startseite!$D$68,IF(OR(SUMIF($F57:Refsz_Verbräuche[[#This Row],[2040]],"&gt;0")&gt;0,), AVERAGEIF($F57:Refsz_Verbräuche[[#This Row],[2040]],"&lt;&gt;"""), ""),IF(Startseite!$D$68=(Refsz_Verbräuche[[#Headers],[2045]]-1),Refsz_Verbräuche[[#This Row],[2040]],IF(Startseite!$D$68&lt;Refsz_Verbräuche[[#Headers],[2045]],Refsz_Verbräuche[[#This Row],[2040]],"")))</f>
        <v/>
      </c>
      <c r="Y57" s="110" t="str">
        <f>IF(Refsz_Verbräuche[[#Headers],[2050]]=Startseite!$D$68,IF(OR(SUMIF($F57:Refsz_Verbräuche[[#This Row],[2045]],"&gt;0")&gt;0,), AVERAGEIF($F57:Refsz_Verbräuche[[#This Row],[2045]],"&lt;&gt;"""), ""),IF(Startseite!$D$68=(Refsz_Verbräuche[[#Headers],[2050]]-1),Refsz_Verbräuche[[#This Row],[2045]],IF(Startseite!$D$68&lt;Refsz_Verbräuche[[#Headers],[2050]],Refsz_Verbräuche[[#This Row],[2045]],"")))</f>
        <v/>
      </c>
      <c r="AA57" s="14"/>
    </row>
    <row r="58" spans="2:27">
      <c r="B58" s="14">
        <v>41</v>
      </c>
      <c r="C58" s="14" t="s">
        <v>510</v>
      </c>
      <c r="D58" t="str">
        <f>_xlfn.CONCAT(Startseite!E81," - Reisebus, Linienbus (Fernverkehr)")</f>
        <v>DR - Reisebus, Linienbus (Fernverkehr)</v>
      </c>
      <c r="E58" t="s">
        <v>43</v>
      </c>
      <c r="F58" s="110"/>
      <c r="G58" s="110"/>
      <c r="H58" s="110"/>
      <c r="I58" s="110"/>
      <c r="J58" s="110"/>
      <c r="K58" s="110"/>
      <c r="L58" s="110"/>
      <c r="M58" s="110" t="str">
        <f>IF(Refsz_Verbräuche[[#Headers],[2022]]=Startseite!$D$68,IF(OR(SUMIF($F58:Refsz_Verbräuche[[#This Row],[2021]],"&gt;0")&gt;0,), AVERAGEIF($F58:Refsz_Verbräuche[[#This Row],[2021]],"&lt;&gt;"""), ""),IF(Startseite!$D$68=(Refsz_Verbräuche[[#Headers],[2022]]-1),Refsz_Verbräuche[[#This Row],[2021]],IF(Startseite!$D$68&lt;Refsz_Verbräuche[[#Headers],[2022]],Refsz_Verbräuche[[#This Row],[2021]],"")))</f>
        <v/>
      </c>
      <c r="N58" s="110" t="str">
        <f>IF(Refsz_Verbräuche[[#Headers],[2023]]=Startseite!$D$68,IF(OR(SUMIF($F58:Refsz_Verbräuche[[#This Row],[2022]],"&gt;0")&gt;0,), AVERAGEIF($F58:Refsz_Verbräuche[[#This Row],[2022]],"&lt;&gt;"""), ""),IF(Startseite!$D$68=(Refsz_Verbräuche[[#Headers],[2023]]-1),Refsz_Verbräuche[[#This Row],[2022]],IF(Startseite!$D$68&lt;Refsz_Verbräuche[[#Headers],[2023]],Refsz_Verbräuche[[#This Row],[2022]],"")))</f>
        <v/>
      </c>
      <c r="O58" s="110" t="str">
        <f>IF(Refsz_Verbräuche[[#Headers],[2024]]=Startseite!$D$68,IF(OR(SUMIF($F58:Refsz_Verbräuche[[#This Row],[2023]],"&gt;0")&gt;0,), AVERAGEIF($F58:Refsz_Verbräuche[[#This Row],[2023]],"&lt;&gt;"""), ""),IF(Startseite!$D$68=(Refsz_Verbräuche[[#Headers],[2024]]-1),Refsz_Verbräuche[[#This Row],[2023]],IF(Startseite!$D$68&lt;Refsz_Verbräuche[[#Headers],[2024]],Refsz_Verbräuche[[#This Row],[2023]],"")))</f>
        <v/>
      </c>
      <c r="P58" s="110" t="str">
        <f>IF(Refsz_Verbräuche[[#Headers],[2025]]=Startseite!$D$68,IF(OR(SUMIF($F58:Refsz_Verbräuche[[#This Row],[2024]],"&gt;0")&gt;0,), AVERAGEIF($F58:Refsz_Verbräuche[[#This Row],[2024]],"&lt;&gt;"""), ""),IF(Startseite!$D$68=(Refsz_Verbräuche[[#Headers],[2025]]-1),Refsz_Verbräuche[[#This Row],[2024]],IF(Startseite!$D$68&lt;Refsz_Verbräuche[[#Headers],[2025]],Refsz_Verbräuche[[#This Row],[2024]],"")))</f>
        <v/>
      </c>
      <c r="Q58" s="110" t="str">
        <f>IF(Refsz_Verbräuche[[#Headers],[2026]]=Startseite!$D$68,IF(OR(SUMIF($F58:Refsz_Verbräuche[[#This Row],[2025]],"&gt;0")&gt;0,), AVERAGEIF($F58:Refsz_Verbräuche[[#This Row],[2025]],"&lt;&gt;"""), ""),IF(Startseite!$D$68=(Refsz_Verbräuche[[#Headers],[2026]]-1),Refsz_Verbräuche[[#This Row],[2025]],IF(Startseite!$D$68&lt;Refsz_Verbräuche[[#Headers],[2026]],Refsz_Verbräuche[[#This Row],[2025]],"")))</f>
        <v/>
      </c>
      <c r="R58" s="110" t="str">
        <f>IF(Refsz_Verbräuche[[#Headers],[2027]]=Startseite!$D$68,IF(OR(SUMIF($F58:Refsz_Verbräuche[[#This Row],[2026]],"&gt;0")&gt;0,), AVERAGEIF($F58:Refsz_Verbräuche[[#This Row],[2026]],"&lt;&gt;"""), ""),IF(Startseite!$D$68=(Refsz_Verbräuche[[#Headers],[2027]]-1),Refsz_Verbräuche[[#This Row],[2026]],IF(Startseite!$D$68&lt;Refsz_Verbräuche[[#Headers],[2027]],Refsz_Verbräuche[[#This Row],[2026]],"")))</f>
        <v/>
      </c>
      <c r="S58" s="110" t="str">
        <f>IF(Refsz_Verbräuche[[#Headers],[2028]]=Startseite!$D$68,IF(OR(SUMIF($F58:Refsz_Verbräuche[[#This Row],[2027]],"&gt;0")&gt;0,), AVERAGEIF($F58:Refsz_Verbräuche[[#This Row],[2027]],"&lt;&gt;"""), ""),IF(Startseite!$D$68=(Refsz_Verbräuche[[#Headers],[2028]]-1),Refsz_Verbräuche[[#This Row],[2027]],IF(Startseite!$D$68&lt;Refsz_Verbräuche[[#Headers],[2028]],Refsz_Verbräuche[[#This Row],[2027]],"")))</f>
        <v/>
      </c>
      <c r="T58" s="110" t="str">
        <f>IF(Refsz_Verbräuche[[#Headers],[2029]]=Startseite!$D$68,IF(OR(SUMIF($F58:Refsz_Verbräuche[[#This Row],[2028]],"&gt;0")&gt;0,), AVERAGEIF($F58:Refsz_Verbräuche[[#This Row],[2028]],"&lt;&gt;"""), ""),IF(Startseite!$D$68=(Refsz_Verbräuche[[#Headers],[2029]]-1),Refsz_Verbräuche[[#This Row],[2028]],IF(Startseite!$D$68&lt;Refsz_Verbräuche[[#Headers],[2029]],Refsz_Verbräuche[[#This Row],[2028]],"")))</f>
        <v/>
      </c>
      <c r="U58" s="110" t="str">
        <f>IF(Refsz_Verbräuche[[#Headers],[2030]]=Startseite!$D$68,IF(OR(SUMIF($F58:Refsz_Verbräuche[[#This Row],[2029]],"&gt;0")&gt;0,), AVERAGEIF($F58:Refsz_Verbräuche[[#This Row],[2029]],"&lt;&gt;"""), ""),IF(Startseite!$D$68=(Refsz_Verbräuche[[#Headers],[2030]]-1),Refsz_Verbräuche[[#This Row],[2029]],IF(Startseite!$D$68&lt;Refsz_Verbräuche[[#Headers],[2030]],Refsz_Verbräuche[[#This Row],[2029]],"")))</f>
        <v/>
      </c>
      <c r="V58" s="110" t="str">
        <f>IF(Refsz_Verbräuche[[#Headers],[2035]]=Startseite!$D$68,IF(OR(SUMIF($F58:Refsz_Verbräuche[[#This Row],[2030]],"&gt;0")&gt;0,), AVERAGEIF($F58:Refsz_Verbräuche[[#This Row],[2030]],"&lt;&gt;"""), ""),IF(Startseite!$D$68=(Refsz_Verbräuche[[#Headers],[2035]]-1),Refsz_Verbräuche[[#This Row],[2030]],IF(Startseite!$D$68&lt;Refsz_Verbräuche[[#Headers],[2035]],Refsz_Verbräuche[[#This Row],[2030]],"")))</f>
        <v/>
      </c>
      <c r="W58" s="110" t="str">
        <f>IF(Refsz_Verbräuche[[#Headers],[2040]]=Startseite!$D$68,IF(OR(SUMIF($F58:Refsz_Verbräuche[[#This Row],[2035]],"&gt;0")&gt;0,), AVERAGEIF($F58:Refsz_Verbräuche[[#This Row],[2035]],"&lt;&gt;"""), ""),IF(Startseite!$D$68=(Refsz_Verbräuche[[#Headers],[2040]]-1),Refsz_Verbräuche[[#This Row],[2035]],IF(Startseite!$D$68&lt;Refsz_Verbräuche[[#Headers],[2040]],Refsz_Verbräuche[[#This Row],[2035]],"")))</f>
        <v/>
      </c>
      <c r="X58" s="110" t="str">
        <f>IF(Refsz_Verbräuche[[#Headers],[2045]]=Startseite!$D$68,IF(OR(SUMIF($F58:Refsz_Verbräuche[[#This Row],[2040]],"&gt;0")&gt;0,), AVERAGEIF($F58:Refsz_Verbräuche[[#This Row],[2040]],"&lt;&gt;"""), ""),IF(Startseite!$D$68=(Refsz_Verbräuche[[#Headers],[2045]]-1),Refsz_Verbräuche[[#This Row],[2040]],IF(Startseite!$D$68&lt;Refsz_Verbräuche[[#Headers],[2045]],Refsz_Verbräuche[[#This Row],[2040]],"")))</f>
        <v/>
      </c>
      <c r="Y58" s="110" t="str">
        <f>IF(Refsz_Verbräuche[[#Headers],[2050]]=Startseite!$D$68,IF(OR(SUMIF($F58:Refsz_Verbräuche[[#This Row],[2045]],"&gt;0")&gt;0,), AVERAGEIF($F58:Refsz_Verbräuche[[#This Row],[2045]],"&lt;&gt;"""), ""),IF(Startseite!$D$68=(Refsz_Verbräuche[[#Headers],[2050]]-1),Refsz_Verbräuche[[#This Row],[2045]],IF(Startseite!$D$68&lt;Refsz_Verbräuche[[#Headers],[2050]],Refsz_Verbräuche[[#This Row],[2045]],"")))</f>
        <v/>
      </c>
      <c r="AA58" s="14"/>
    </row>
    <row r="59" spans="2:27">
      <c r="B59" s="14">
        <v>42</v>
      </c>
      <c r="C59" s="14" t="s">
        <v>510</v>
      </c>
      <c r="D59" t="str">
        <f>_xlfn.CONCAT(Startseite!E81," - Linienbus (Nahverkehr)")</f>
        <v>DR - Linienbus (Nahverkehr)</v>
      </c>
      <c r="E59" t="s">
        <v>43</v>
      </c>
      <c r="F59" s="110"/>
      <c r="G59" s="110"/>
      <c r="H59" s="110"/>
      <c r="I59" s="110"/>
      <c r="J59" s="110"/>
      <c r="K59" s="110"/>
      <c r="L59" s="110"/>
      <c r="M59" s="110" t="str">
        <f>IF(Refsz_Verbräuche[[#Headers],[2022]]=Startseite!$D$68,IF(OR(SUMIF($F59:Refsz_Verbräuche[[#This Row],[2021]],"&gt;0")&gt;0,), AVERAGEIF($F59:Refsz_Verbräuche[[#This Row],[2021]],"&lt;&gt;"""), ""),IF(Startseite!$D$68=(Refsz_Verbräuche[[#Headers],[2022]]-1),Refsz_Verbräuche[[#This Row],[2021]],IF(Startseite!$D$68&lt;Refsz_Verbräuche[[#Headers],[2022]],Refsz_Verbräuche[[#This Row],[2021]],"")))</f>
        <v/>
      </c>
      <c r="N59" s="110" t="str">
        <f>IF(Refsz_Verbräuche[[#Headers],[2023]]=Startseite!$D$68,IF(OR(SUMIF($F59:Refsz_Verbräuche[[#This Row],[2022]],"&gt;0")&gt;0,), AVERAGEIF($F59:Refsz_Verbräuche[[#This Row],[2022]],"&lt;&gt;"""), ""),IF(Startseite!$D$68=(Refsz_Verbräuche[[#Headers],[2023]]-1),Refsz_Verbräuche[[#This Row],[2022]],IF(Startseite!$D$68&lt;Refsz_Verbräuche[[#Headers],[2023]],Refsz_Verbräuche[[#This Row],[2022]],"")))</f>
        <v/>
      </c>
      <c r="O59" s="110" t="str">
        <f>IF(Refsz_Verbräuche[[#Headers],[2024]]=Startseite!$D$68,IF(OR(SUMIF($F59:Refsz_Verbräuche[[#This Row],[2023]],"&gt;0")&gt;0,), AVERAGEIF($F59:Refsz_Verbräuche[[#This Row],[2023]],"&lt;&gt;"""), ""),IF(Startseite!$D$68=(Refsz_Verbräuche[[#Headers],[2024]]-1),Refsz_Verbräuche[[#This Row],[2023]],IF(Startseite!$D$68&lt;Refsz_Verbräuche[[#Headers],[2024]],Refsz_Verbräuche[[#This Row],[2023]],"")))</f>
        <v/>
      </c>
      <c r="P59" s="110" t="str">
        <f>IF(Refsz_Verbräuche[[#Headers],[2025]]=Startseite!$D$68,IF(OR(SUMIF($F59:Refsz_Verbräuche[[#This Row],[2024]],"&gt;0")&gt;0,), AVERAGEIF($F59:Refsz_Verbräuche[[#This Row],[2024]],"&lt;&gt;"""), ""),IF(Startseite!$D$68=(Refsz_Verbräuche[[#Headers],[2025]]-1),Refsz_Verbräuche[[#This Row],[2024]],IF(Startseite!$D$68&lt;Refsz_Verbräuche[[#Headers],[2025]],Refsz_Verbräuche[[#This Row],[2024]],"")))</f>
        <v/>
      </c>
      <c r="Q59" s="110" t="str">
        <f>IF(Refsz_Verbräuche[[#Headers],[2026]]=Startseite!$D$68,IF(OR(SUMIF($F59:Refsz_Verbräuche[[#This Row],[2025]],"&gt;0")&gt;0,), AVERAGEIF($F59:Refsz_Verbräuche[[#This Row],[2025]],"&lt;&gt;"""), ""),IF(Startseite!$D$68=(Refsz_Verbräuche[[#Headers],[2026]]-1),Refsz_Verbräuche[[#This Row],[2025]],IF(Startseite!$D$68&lt;Refsz_Verbräuche[[#Headers],[2026]],Refsz_Verbräuche[[#This Row],[2025]],"")))</f>
        <v/>
      </c>
      <c r="R59" s="110" t="str">
        <f>IF(Refsz_Verbräuche[[#Headers],[2027]]=Startseite!$D$68,IF(OR(SUMIF($F59:Refsz_Verbräuche[[#This Row],[2026]],"&gt;0")&gt;0,), AVERAGEIF($F59:Refsz_Verbräuche[[#This Row],[2026]],"&lt;&gt;"""), ""),IF(Startseite!$D$68=(Refsz_Verbräuche[[#Headers],[2027]]-1),Refsz_Verbräuche[[#This Row],[2026]],IF(Startseite!$D$68&lt;Refsz_Verbräuche[[#Headers],[2027]],Refsz_Verbräuche[[#This Row],[2026]],"")))</f>
        <v/>
      </c>
      <c r="S59" s="110" t="str">
        <f>IF(Refsz_Verbräuche[[#Headers],[2028]]=Startseite!$D$68,IF(OR(SUMIF($F59:Refsz_Verbräuche[[#This Row],[2027]],"&gt;0")&gt;0,), AVERAGEIF($F59:Refsz_Verbräuche[[#This Row],[2027]],"&lt;&gt;"""), ""),IF(Startseite!$D$68=(Refsz_Verbräuche[[#Headers],[2028]]-1),Refsz_Verbräuche[[#This Row],[2027]],IF(Startseite!$D$68&lt;Refsz_Verbräuche[[#Headers],[2028]],Refsz_Verbräuche[[#This Row],[2027]],"")))</f>
        <v/>
      </c>
      <c r="T59" s="110" t="str">
        <f>IF(Refsz_Verbräuche[[#Headers],[2029]]=Startseite!$D$68,IF(OR(SUMIF($F59:Refsz_Verbräuche[[#This Row],[2028]],"&gt;0")&gt;0,), AVERAGEIF($F59:Refsz_Verbräuche[[#This Row],[2028]],"&lt;&gt;"""), ""),IF(Startseite!$D$68=(Refsz_Verbräuche[[#Headers],[2029]]-1),Refsz_Verbräuche[[#This Row],[2028]],IF(Startseite!$D$68&lt;Refsz_Verbräuche[[#Headers],[2029]],Refsz_Verbräuche[[#This Row],[2028]],"")))</f>
        <v/>
      </c>
      <c r="U59" s="110" t="str">
        <f>IF(Refsz_Verbräuche[[#Headers],[2030]]=Startseite!$D$68,IF(OR(SUMIF($F59:Refsz_Verbräuche[[#This Row],[2029]],"&gt;0")&gt;0,), AVERAGEIF($F59:Refsz_Verbräuche[[#This Row],[2029]],"&lt;&gt;"""), ""),IF(Startseite!$D$68=(Refsz_Verbräuche[[#Headers],[2030]]-1),Refsz_Verbräuche[[#This Row],[2029]],IF(Startseite!$D$68&lt;Refsz_Verbräuche[[#Headers],[2030]],Refsz_Verbräuche[[#This Row],[2029]],"")))</f>
        <v/>
      </c>
      <c r="V59" s="110" t="str">
        <f>IF(Refsz_Verbräuche[[#Headers],[2035]]=Startseite!$D$68,IF(OR(SUMIF($F59:Refsz_Verbräuche[[#This Row],[2030]],"&gt;0")&gt;0,), AVERAGEIF($F59:Refsz_Verbräuche[[#This Row],[2030]],"&lt;&gt;"""), ""),IF(Startseite!$D$68=(Refsz_Verbräuche[[#Headers],[2035]]-1),Refsz_Verbräuche[[#This Row],[2030]],IF(Startseite!$D$68&lt;Refsz_Verbräuche[[#Headers],[2035]],Refsz_Verbräuche[[#This Row],[2030]],"")))</f>
        <v/>
      </c>
      <c r="W59" s="110" t="str">
        <f>IF(Refsz_Verbräuche[[#Headers],[2040]]=Startseite!$D$68,IF(OR(SUMIF($F59:Refsz_Verbräuche[[#This Row],[2035]],"&gt;0")&gt;0,), AVERAGEIF($F59:Refsz_Verbräuche[[#This Row],[2035]],"&lt;&gt;"""), ""),IF(Startseite!$D$68=(Refsz_Verbräuche[[#Headers],[2040]]-1),Refsz_Verbräuche[[#This Row],[2035]],IF(Startseite!$D$68&lt;Refsz_Verbräuche[[#Headers],[2040]],Refsz_Verbräuche[[#This Row],[2035]],"")))</f>
        <v/>
      </c>
      <c r="X59" s="110" t="str">
        <f>IF(Refsz_Verbräuche[[#Headers],[2045]]=Startseite!$D$68,IF(OR(SUMIF($F59:Refsz_Verbräuche[[#This Row],[2040]],"&gt;0")&gt;0,), AVERAGEIF($F59:Refsz_Verbräuche[[#This Row],[2040]],"&lt;&gt;"""), ""),IF(Startseite!$D$68=(Refsz_Verbräuche[[#Headers],[2045]]-1),Refsz_Verbräuche[[#This Row],[2040]],IF(Startseite!$D$68&lt;Refsz_Verbräuche[[#Headers],[2045]],Refsz_Verbräuche[[#This Row],[2040]],"")))</f>
        <v/>
      </c>
      <c r="Y59" s="110" t="str">
        <f>IF(Refsz_Verbräuche[[#Headers],[2050]]=Startseite!$D$68,IF(OR(SUMIF($F59:Refsz_Verbräuche[[#This Row],[2045]],"&gt;0")&gt;0,), AVERAGEIF($F59:Refsz_Verbräuche[[#This Row],[2045]],"&lt;&gt;"""), ""),IF(Startseite!$D$68=(Refsz_Verbräuche[[#Headers],[2050]]-1),Refsz_Verbräuche[[#This Row],[2045]],IF(Startseite!$D$68&lt;Refsz_Verbräuche[[#Headers],[2050]],Refsz_Verbräuche[[#This Row],[2045]],"")))</f>
        <v/>
      </c>
      <c r="AA59" s="14"/>
    </row>
    <row r="60" spans="2:27">
      <c r="B60" s="14">
        <v>43</v>
      </c>
      <c r="C60" s="14" t="s">
        <v>510</v>
      </c>
      <c r="D60" t="str">
        <f>_xlfn.CONCAT(Startseite!E81," - Privater PKW (alle Antriebsarten)")</f>
        <v>DR - Privater PKW (alle Antriebsarten)</v>
      </c>
      <c r="E60" t="s">
        <v>379</v>
      </c>
      <c r="F60" s="110"/>
      <c r="G60" s="110"/>
      <c r="H60" s="110"/>
      <c r="I60" s="110"/>
      <c r="J60" s="110"/>
      <c r="K60" s="110"/>
      <c r="L60" s="110"/>
      <c r="M60" s="110" t="str">
        <f>IF(Refsz_Verbräuche[[#Headers],[2022]]=Startseite!$D$68,IF(OR(SUMIF($F60:Refsz_Verbräuche[[#This Row],[2021]],"&gt;0")&gt;0,), AVERAGEIF($F60:Refsz_Verbräuche[[#This Row],[2021]],"&lt;&gt;"""), ""),IF(Startseite!$D$68=(Refsz_Verbräuche[[#Headers],[2022]]-1),Refsz_Verbräuche[[#This Row],[2021]],IF(Startseite!$D$68&lt;Refsz_Verbräuche[[#Headers],[2022]],Refsz_Verbräuche[[#This Row],[2021]],"")))</f>
        <v/>
      </c>
      <c r="N60" s="110" t="str">
        <f>IF(Refsz_Verbräuche[[#Headers],[2023]]=Startseite!$D$68,IF(OR(SUMIF($F60:Refsz_Verbräuche[[#This Row],[2022]],"&gt;0")&gt;0,), AVERAGEIF($F60:Refsz_Verbräuche[[#This Row],[2022]],"&lt;&gt;"""), ""),IF(Startseite!$D$68=(Refsz_Verbräuche[[#Headers],[2023]]-1),Refsz_Verbräuche[[#This Row],[2022]],IF(Startseite!$D$68&lt;Refsz_Verbräuche[[#Headers],[2023]],Refsz_Verbräuche[[#This Row],[2022]],"")))</f>
        <v/>
      </c>
      <c r="O60" s="110" t="str">
        <f>IF(Refsz_Verbräuche[[#Headers],[2024]]=Startseite!$D$68,IF(OR(SUMIF($F60:Refsz_Verbräuche[[#This Row],[2023]],"&gt;0")&gt;0,), AVERAGEIF($F60:Refsz_Verbräuche[[#This Row],[2023]],"&lt;&gt;"""), ""),IF(Startseite!$D$68=(Refsz_Verbräuche[[#Headers],[2024]]-1),Refsz_Verbräuche[[#This Row],[2023]],IF(Startseite!$D$68&lt;Refsz_Verbräuche[[#Headers],[2024]],Refsz_Verbräuche[[#This Row],[2023]],"")))</f>
        <v/>
      </c>
      <c r="P60" s="110" t="str">
        <f>IF(Refsz_Verbräuche[[#Headers],[2025]]=Startseite!$D$68,IF(OR(SUMIF($F60:Refsz_Verbräuche[[#This Row],[2024]],"&gt;0")&gt;0,), AVERAGEIF($F60:Refsz_Verbräuche[[#This Row],[2024]],"&lt;&gt;"""), ""),IF(Startseite!$D$68=(Refsz_Verbräuche[[#Headers],[2025]]-1),Refsz_Verbräuche[[#This Row],[2024]],IF(Startseite!$D$68&lt;Refsz_Verbräuche[[#Headers],[2025]],Refsz_Verbräuche[[#This Row],[2024]],"")))</f>
        <v/>
      </c>
      <c r="Q60" s="110" t="str">
        <f>IF(Refsz_Verbräuche[[#Headers],[2026]]=Startseite!$D$68,IF(OR(SUMIF($F60:Refsz_Verbräuche[[#This Row],[2025]],"&gt;0")&gt;0,), AVERAGEIF($F60:Refsz_Verbräuche[[#This Row],[2025]],"&lt;&gt;"""), ""),IF(Startseite!$D$68=(Refsz_Verbräuche[[#Headers],[2026]]-1),Refsz_Verbräuche[[#This Row],[2025]],IF(Startseite!$D$68&lt;Refsz_Verbräuche[[#Headers],[2026]],Refsz_Verbräuche[[#This Row],[2025]],"")))</f>
        <v/>
      </c>
      <c r="R60" s="110" t="str">
        <f>IF(Refsz_Verbräuche[[#Headers],[2027]]=Startseite!$D$68,IF(OR(SUMIF($F60:Refsz_Verbräuche[[#This Row],[2026]],"&gt;0")&gt;0,), AVERAGEIF($F60:Refsz_Verbräuche[[#This Row],[2026]],"&lt;&gt;"""), ""),IF(Startseite!$D$68=(Refsz_Verbräuche[[#Headers],[2027]]-1),Refsz_Verbräuche[[#This Row],[2026]],IF(Startseite!$D$68&lt;Refsz_Verbräuche[[#Headers],[2027]],Refsz_Verbräuche[[#This Row],[2026]],"")))</f>
        <v/>
      </c>
      <c r="S60" s="110" t="str">
        <f>IF(Refsz_Verbräuche[[#Headers],[2028]]=Startseite!$D$68,IF(OR(SUMIF($F60:Refsz_Verbräuche[[#This Row],[2027]],"&gt;0")&gt;0,), AVERAGEIF($F60:Refsz_Verbräuche[[#This Row],[2027]],"&lt;&gt;"""), ""),IF(Startseite!$D$68=(Refsz_Verbräuche[[#Headers],[2028]]-1),Refsz_Verbräuche[[#This Row],[2027]],IF(Startseite!$D$68&lt;Refsz_Verbräuche[[#Headers],[2028]],Refsz_Verbräuche[[#This Row],[2027]],"")))</f>
        <v/>
      </c>
      <c r="T60" s="110" t="str">
        <f>IF(Refsz_Verbräuche[[#Headers],[2029]]=Startseite!$D$68,IF(OR(SUMIF($F60:Refsz_Verbräuche[[#This Row],[2028]],"&gt;0")&gt;0,), AVERAGEIF($F60:Refsz_Verbräuche[[#This Row],[2028]],"&lt;&gt;"""), ""),IF(Startseite!$D$68=(Refsz_Verbräuche[[#Headers],[2029]]-1),Refsz_Verbräuche[[#This Row],[2028]],IF(Startseite!$D$68&lt;Refsz_Verbräuche[[#Headers],[2029]],Refsz_Verbräuche[[#This Row],[2028]],"")))</f>
        <v/>
      </c>
      <c r="U60" s="110" t="str">
        <f>IF(Refsz_Verbräuche[[#Headers],[2030]]=Startseite!$D$68,IF(OR(SUMIF($F60:Refsz_Verbräuche[[#This Row],[2029]],"&gt;0")&gt;0,), AVERAGEIF($F60:Refsz_Verbräuche[[#This Row],[2029]],"&lt;&gt;"""), ""),IF(Startseite!$D$68=(Refsz_Verbräuche[[#Headers],[2030]]-1),Refsz_Verbräuche[[#This Row],[2029]],IF(Startseite!$D$68&lt;Refsz_Verbräuche[[#Headers],[2030]],Refsz_Verbräuche[[#This Row],[2029]],"")))</f>
        <v/>
      </c>
      <c r="V60" s="110" t="str">
        <f>IF(Refsz_Verbräuche[[#Headers],[2035]]=Startseite!$D$68,IF(OR(SUMIF($F60:Refsz_Verbräuche[[#This Row],[2030]],"&gt;0")&gt;0,), AVERAGEIF($F60:Refsz_Verbräuche[[#This Row],[2030]],"&lt;&gt;"""), ""),IF(Startseite!$D$68=(Refsz_Verbräuche[[#Headers],[2035]]-1),Refsz_Verbräuche[[#This Row],[2030]],IF(Startseite!$D$68&lt;Refsz_Verbräuche[[#Headers],[2035]],Refsz_Verbräuche[[#This Row],[2030]],"")))</f>
        <v/>
      </c>
      <c r="W60" s="110" t="str">
        <f>IF(Refsz_Verbräuche[[#Headers],[2040]]=Startseite!$D$68,IF(OR(SUMIF($F60:Refsz_Verbräuche[[#This Row],[2035]],"&gt;0")&gt;0,), AVERAGEIF($F60:Refsz_Verbräuche[[#This Row],[2035]],"&lt;&gt;"""), ""),IF(Startseite!$D$68=(Refsz_Verbräuche[[#Headers],[2040]]-1),Refsz_Verbräuche[[#This Row],[2035]],IF(Startseite!$D$68&lt;Refsz_Verbräuche[[#Headers],[2040]],Refsz_Verbräuche[[#This Row],[2035]],"")))</f>
        <v/>
      </c>
      <c r="X60" s="110" t="str">
        <f>IF(Refsz_Verbräuche[[#Headers],[2045]]=Startseite!$D$68,IF(OR(SUMIF($F60:Refsz_Verbräuche[[#This Row],[2040]],"&gt;0")&gt;0,), AVERAGEIF($F60:Refsz_Verbräuche[[#This Row],[2040]],"&lt;&gt;"""), ""),IF(Startseite!$D$68=(Refsz_Verbräuche[[#Headers],[2045]]-1),Refsz_Verbräuche[[#This Row],[2040]],IF(Startseite!$D$68&lt;Refsz_Verbräuche[[#Headers],[2045]],Refsz_Verbräuche[[#This Row],[2040]],"")))</f>
        <v/>
      </c>
      <c r="Y60" s="110" t="str">
        <f>IF(Refsz_Verbräuche[[#Headers],[2050]]=Startseite!$D$68,IF(OR(SUMIF($F60:Refsz_Verbräuche[[#This Row],[2045]],"&gt;0")&gt;0,), AVERAGEIF($F60:Refsz_Verbräuche[[#This Row],[2045]],"&lt;&gt;"""), ""),IF(Startseite!$D$68=(Refsz_Verbräuche[[#Headers],[2050]]-1),Refsz_Verbräuche[[#This Row],[2045]],IF(Startseite!$D$68&lt;Refsz_Verbräuche[[#Headers],[2050]],Refsz_Verbräuche[[#This Row],[2045]],"")))</f>
        <v/>
      </c>
      <c r="AA60" s="14"/>
    </row>
    <row r="61" spans="2:27">
      <c r="B61" s="14">
        <v>44</v>
      </c>
      <c r="C61" s="14" t="s">
        <v>510</v>
      </c>
      <c r="D61" s="36" t="str">
        <f>_xlfn.CONCAT(Startseite!E81," - Privater PKW (Diesel)")</f>
        <v>DR - Privater PKW (Diesel)</v>
      </c>
      <c r="E61" t="s">
        <v>379</v>
      </c>
      <c r="F61" s="110" t="str">
        <f>Umrechnen!D28</f>
        <v/>
      </c>
      <c r="G61" s="110" t="str">
        <f>Umrechnen!E28</f>
        <v/>
      </c>
      <c r="H61" s="110" t="str">
        <f>Umrechnen!F28</f>
        <v/>
      </c>
      <c r="I61" s="110" t="str">
        <f>Umrechnen!G28</f>
        <v/>
      </c>
      <c r="J61" s="110" t="str">
        <f>Umrechnen!H28</f>
        <v/>
      </c>
      <c r="K61" s="110" t="str">
        <f>Umrechnen!I28</f>
        <v/>
      </c>
      <c r="L61" s="110" t="str">
        <f>Umrechnen!J28</f>
        <v/>
      </c>
      <c r="M61" s="110" t="str">
        <f>IF(Refsz_Verbräuche[[#Headers],[2022]]=Startseite!$D$68,IF(OR(SUMIF($F61:Refsz_Verbräuche[[#This Row],[2021]],"&gt;0")&gt;0,), AVERAGEIF($F61:Refsz_Verbräuche[[#This Row],[2021]],"&lt;&gt;"""), ""),IF(Startseite!$D$68=(Refsz_Verbräuche[[#Headers],[2022]]-1),Refsz_Verbräuche[[#This Row],[2021]],IF(Startseite!$D$68&lt;Refsz_Verbräuche[[#Headers],[2022]],Refsz_Verbräuche[[#This Row],[2021]],Umrechnen!K28)))</f>
        <v/>
      </c>
      <c r="N61" s="110" t="str">
        <f>IF(Refsz_Verbräuche[[#Headers],[2023]]=Startseite!$D$68,IF(OR(SUMIF($F61:Refsz_Verbräuche[[#This Row],[2022]],"&gt;0")&gt;0,), AVERAGEIF($F61:Refsz_Verbräuche[[#This Row],[2022]],"&lt;&gt;"""), ""),IF(Startseite!$D$68=(Refsz_Verbräuche[[#Headers],[2023]]-1),Refsz_Verbräuche[[#This Row],[2022]],IF(Startseite!$D$68&lt;Refsz_Verbräuche[[#Headers],[2023]],Refsz_Verbräuche[[#This Row],[2022]],Umrechnen!L28)))</f>
        <v/>
      </c>
      <c r="O61" s="110" t="str">
        <f>IF(Refsz_Verbräuche[[#Headers],[2024]]=Startseite!$D$68,IF(OR(SUMIF($F61:Refsz_Verbräuche[[#This Row],[2023]],"&gt;0")&gt;0,), AVERAGEIF($F61:Refsz_Verbräuche[[#This Row],[2023]],"&lt;&gt;"""), ""),IF(Startseite!$D$68=(Refsz_Verbräuche[[#Headers],[2024]]-1),Refsz_Verbräuche[[#This Row],[2023]],IF(Startseite!$D$68&lt;Refsz_Verbräuche[[#Headers],[2024]],Refsz_Verbräuche[[#This Row],[2023]],Umrechnen!M28)))</f>
        <v/>
      </c>
      <c r="P61" s="110" t="str">
        <f>IF(Refsz_Verbräuche[[#Headers],[2025]]=Startseite!$D$68,IF(OR(SUMIF($F61:Refsz_Verbräuche[[#This Row],[2024]],"&gt;0")&gt;0,), AVERAGEIF($F61:Refsz_Verbräuche[[#This Row],[2024]],"&lt;&gt;"""), ""),IF(Startseite!$D$68=(Refsz_Verbräuche[[#Headers],[2025]]-1),Refsz_Verbräuche[[#This Row],[2024]],IF(Startseite!$D$68&lt;Refsz_Verbräuche[[#Headers],[2025]],Refsz_Verbräuche[[#This Row],[2024]],Umrechnen!N28)))</f>
        <v/>
      </c>
      <c r="Q61" s="110" t="str">
        <f>IF(Refsz_Verbräuche[[#Headers],[2026]]=Startseite!$D$68,IF(OR(SUMIF($F61:Refsz_Verbräuche[[#This Row],[2025]],"&gt;0")&gt;0,), AVERAGEIF($F61:Refsz_Verbräuche[[#This Row],[2025]],"&lt;&gt;"""), ""),IF(Startseite!$D$68=(Refsz_Verbräuche[[#Headers],[2026]]-1),Refsz_Verbräuche[[#This Row],[2025]],IF(Startseite!$D$68&lt;Refsz_Verbräuche[[#Headers],[2026]],Refsz_Verbräuche[[#This Row],[2025]],Umrechnen!O28)))</f>
        <v/>
      </c>
      <c r="R61" s="110" t="str">
        <f>IF(Refsz_Verbräuche[[#Headers],[2027]]=Startseite!$D$68,IF(OR(SUMIF($F61:Refsz_Verbräuche[[#This Row],[2026]],"&gt;0")&gt;0,), AVERAGEIF($F61:Refsz_Verbräuche[[#This Row],[2026]],"&lt;&gt;"""), ""),IF(Startseite!$D$68=(Refsz_Verbräuche[[#Headers],[2027]]-1),Refsz_Verbräuche[[#This Row],[2026]],IF(Startseite!$D$68&lt;Refsz_Verbräuche[[#Headers],[2027]],Refsz_Verbräuche[[#This Row],[2026]],Umrechnen!P28)))</f>
        <v/>
      </c>
      <c r="S61" s="110" t="str">
        <f>IF(Refsz_Verbräuche[[#Headers],[2028]]=Startseite!$D$68,IF(OR(SUMIF($F61:Refsz_Verbräuche[[#This Row],[2027]],"&gt;0")&gt;0,), AVERAGEIF($F61:Refsz_Verbräuche[[#This Row],[2027]],"&lt;&gt;"""), ""),IF(Startseite!$D$68=(Refsz_Verbräuche[[#Headers],[2028]]-1),Refsz_Verbräuche[[#This Row],[2027]],IF(Startseite!$D$68&lt;Refsz_Verbräuche[[#Headers],[2028]],Refsz_Verbräuche[[#This Row],[2027]],Umrechnen!Q28)))</f>
        <v/>
      </c>
      <c r="T61" s="110" t="str">
        <f>IF(Refsz_Verbräuche[[#Headers],[2029]]=Startseite!$D$68,IF(OR(SUMIF($F61:Refsz_Verbräuche[[#This Row],[2028]],"&gt;0")&gt;0,), AVERAGEIF($F61:Refsz_Verbräuche[[#This Row],[2028]],"&lt;&gt;"""), ""),IF(Startseite!$D$68=(Refsz_Verbräuche[[#Headers],[2029]]-1),Refsz_Verbräuche[[#This Row],[2028]],IF(Startseite!$D$68&lt;Refsz_Verbräuche[[#Headers],[2029]],Refsz_Verbräuche[[#This Row],[2028]],Umrechnen!R28)))</f>
        <v/>
      </c>
      <c r="U61" s="110" t="str">
        <f>IF(Refsz_Verbräuche[[#Headers],[2030]]=Startseite!$D$68,IF(OR(SUMIF($F61:Refsz_Verbräuche[[#This Row],[2029]],"&gt;0")&gt;0,), AVERAGEIF($F61:Refsz_Verbräuche[[#This Row],[2029]],"&lt;&gt;"""), ""),IF(Startseite!$D$68=(Refsz_Verbräuche[[#Headers],[2030]]-1),Refsz_Verbräuche[[#This Row],[2029]],IF(Startseite!$D$68&lt;Refsz_Verbräuche[[#Headers],[2030]],Refsz_Verbräuche[[#This Row],[2029]],Umrechnen!S28)))</f>
        <v/>
      </c>
      <c r="V61" s="110" t="str">
        <f>IF(Refsz_Verbräuche[[#Headers],[2035]]=Startseite!$D$68,IF(OR(SUMIF($F61:Refsz_Verbräuche[[#This Row],[2030]],"&gt;0")&gt;0,), AVERAGEIF($F61:Refsz_Verbräuche[[#This Row],[2030]],"&lt;&gt;"""), ""),IF(Startseite!$D$68=(Refsz_Verbräuche[[#Headers],[2035]]-1),Refsz_Verbräuche[[#This Row],[2030]],IF(Startseite!$D$68&lt;Refsz_Verbräuche[[#Headers],[2035]],Refsz_Verbräuche[[#This Row],[2030]],Umrechnen!T28)))</f>
        <v/>
      </c>
      <c r="W61" s="110" t="str">
        <f>IF(Refsz_Verbräuche[[#Headers],[2040]]=Startseite!$D$68,IF(OR(SUMIF($F61:Refsz_Verbräuche[[#This Row],[2035]],"&gt;0")&gt;0,), AVERAGEIF($F61:Refsz_Verbräuche[[#This Row],[2035]],"&lt;&gt;"""), ""),IF(Startseite!$D$68=(Refsz_Verbräuche[[#Headers],[2040]]-1),Refsz_Verbräuche[[#This Row],[2035]],IF(Startseite!$D$68&lt;Refsz_Verbräuche[[#Headers],[2040]],Refsz_Verbräuche[[#This Row],[2035]],Umrechnen!U28)))</f>
        <v/>
      </c>
      <c r="X61" s="110" t="str">
        <f>IF(Refsz_Verbräuche[[#Headers],[2045]]=Startseite!$D$68,IF(OR(SUMIF($F61:Refsz_Verbräuche[[#This Row],[2040]],"&gt;0")&gt;0,), AVERAGEIF($F61:Refsz_Verbräuche[[#This Row],[2040]],"&lt;&gt;"""), ""),IF(Startseite!$D$68=(Refsz_Verbräuche[[#Headers],[2045]]-1),Refsz_Verbräuche[[#This Row],[2040]],IF(Startseite!$D$68&lt;Refsz_Verbräuche[[#Headers],[2045]],Refsz_Verbräuche[[#This Row],[2040]],Umrechnen!V28)))</f>
        <v/>
      </c>
      <c r="Y61" s="110" t="str">
        <f>IF(Refsz_Verbräuche[[#Headers],[2050]]=Startseite!$D$68,IF(OR(SUMIF($F61:Refsz_Verbräuche[[#This Row],[2045]],"&gt;0")&gt;0,), AVERAGEIF($F61:Refsz_Verbräuche[[#This Row],[2045]],"&lt;&gt;"""), ""),IF(Startseite!$D$68=(Refsz_Verbräuche[[#Headers],[2050]]-1),Refsz_Verbräuche[[#This Row],[2045]],IF(Startseite!$D$68&lt;Refsz_Verbräuche[[#Headers],[2050]],Refsz_Verbräuche[[#This Row],[2045]],Umrechnen!W28)))</f>
        <v/>
      </c>
      <c r="AA61" s="14"/>
    </row>
    <row r="62" spans="2:27">
      <c r="B62" s="14">
        <v>45</v>
      </c>
      <c r="C62" s="14" t="s">
        <v>510</v>
      </c>
      <c r="D62" s="35" t="str">
        <f>_xlfn.CONCAT(Startseite!E81," - Privater PKW (Benzin)")</f>
        <v>DR - Privater PKW (Benzin)</v>
      </c>
      <c r="E62" t="s">
        <v>379</v>
      </c>
      <c r="F62" s="110" t="str">
        <f>Umrechnen!D34</f>
        <v/>
      </c>
      <c r="G62" s="110" t="str">
        <f>Umrechnen!E34</f>
        <v/>
      </c>
      <c r="H62" s="110" t="str">
        <f>Umrechnen!F34</f>
        <v/>
      </c>
      <c r="I62" s="110" t="str">
        <f>Umrechnen!G34</f>
        <v/>
      </c>
      <c r="J62" s="110" t="str">
        <f>Umrechnen!H34</f>
        <v/>
      </c>
      <c r="K62" s="110" t="str">
        <f>Umrechnen!I34</f>
        <v/>
      </c>
      <c r="L62" s="110" t="str">
        <f>Umrechnen!J34</f>
        <v/>
      </c>
      <c r="M62" s="110" t="str">
        <f>IF(Refsz_Verbräuche[[#Headers],[2022]]=Startseite!$D$68,IF(OR(SUMIF($F62:Refsz_Verbräuche[[#This Row],[2021]],"&gt;0")&gt;0,), AVERAGEIF($F62:Refsz_Verbräuche[[#This Row],[2021]],"&lt;&gt;"""), ""),IF(Startseite!$D$68=(Refsz_Verbräuche[[#Headers],[2022]]-1),Refsz_Verbräuche[[#This Row],[2021]],IF(Startseite!$D$68&lt;Refsz_Verbräuche[[#Headers],[2022]],Refsz_Verbräuche[[#This Row],[2021]],Umrechnen!K34)))</f>
        <v/>
      </c>
      <c r="N62" s="110" t="str">
        <f>IF(Refsz_Verbräuche[[#Headers],[2023]]=Startseite!$D$68,IF(OR(SUMIF($F62:Refsz_Verbräuche[[#This Row],[2022]],"&gt;0")&gt;0,), AVERAGEIF($F62:Refsz_Verbräuche[[#This Row],[2022]],"&lt;&gt;"""), ""),IF(Startseite!$D$68=(Refsz_Verbräuche[[#Headers],[2023]]-1),Refsz_Verbräuche[[#This Row],[2022]],IF(Startseite!$D$68&lt;Refsz_Verbräuche[[#Headers],[2023]],Refsz_Verbräuche[[#This Row],[2022]],Umrechnen!L34)))</f>
        <v/>
      </c>
      <c r="O62" s="110" t="str">
        <f>IF(Refsz_Verbräuche[[#Headers],[2024]]=Startseite!$D$68,IF(OR(SUMIF($F62:Refsz_Verbräuche[[#This Row],[2023]],"&gt;0")&gt;0,), AVERAGEIF($F62:Refsz_Verbräuche[[#This Row],[2023]],"&lt;&gt;"""), ""),IF(Startseite!$D$68=(Refsz_Verbräuche[[#Headers],[2024]]-1),Refsz_Verbräuche[[#This Row],[2023]],IF(Startseite!$D$68&lt;Refsz_Verbräuche[[#Headers],[2024]],Refsz_Verbräuche[[#This Row],[2023]],Umrechnen!M34)))</f>
        <v/>
      </c>
      <c r="P62" s="110" t="str">
        <f>IF(Refsz_Verbräuche[[#Headers],[2025]]=Startseite!$D$68,IF(OR(SUMIF($F62:Refsz_Verbräuche[[#This Row],[2024]],"&gt;0")&gt;0,), AVERAGEIF($F62:Refsz_Verbräuche[[#This Row],[2024]],"&lt;&gt;"""), ""),IF(Startseite!$D$68=(Refsz_Verbräuche[[#Headers],[2025]]-1),Refsz_Verbräuche[[#This Row],[2024]],IF(Startseite!$D$68&lt;Refsz_Verbräuche[[#Headers],[2025]],Refsz_Verbräuche[[#This Row],[2024]],Umrechnen!N34)))</f>
        <v/>
      </c>
      <c r="Q62" s="110" t="str">
        <f>IF(Refsz_Verbräuche[[#Headers],[2026]]=Startseite!$D$68,IF(OR(SUMIF($F62:Refsz_Verbräuche[[#This Row],[2025]],"&gt;0")&gt;0,), AVERAGEIF($F62:Refsz_Verbräuche[[#This Row],[2025]],"&lt;&gt;"""), ""),IF(Startseite!$D$68=(Refsz_Verbräuche[[#Headers],[2026]]-1),Refsz_Verbräuche[[#This Row],[2025]],IF(Startseite!$D$68&lt;Refsz_Verbräuche[[#Headers],[2026]],Refsz_Verbräuche[[#This Row],[2025]],Umrechnen!O34)))</f>
        <v/>
      </c>
      <c r="R62" s="110" t="str">
        <f>IF(Refsz_Verbräuche[[#Headers],[2027]]=Startseite!$D$68,IF(OR(SUMIF($F62:Refsz_Verbräuche[[#This Row],[2026]],"&gt;0")&gt;0,), AVERAGEIF($F62:Refsz_Verbräuche[[#This Row],[2026]],"&lt;&gt;"""), ""),IF(Startseite!$D$68=(Refsz_Verbräuche[[#Headers],[2027]]-1),Refsz_Verbräuche[[#This Row],[2026]],IF(Startseite!$D$68&lt;Refsz_Verbräuche[[#Headers],[2027]],Refsz_Verbräuche[[#This Row],[2026]],Umrechnen!P34)))</f>
        <v/>
      </c>
      <c r="S62" s="110" t="str">
        <f>IF(Refsz_Verbräuche[[#Headers],[2028]]=Startseite!$D$68,IF(OR(SUMIF($F62:Refsz_Verbräuche[[#This Row],[2027]],"&gt;0")&gt;0,), AVERAGEIF($F62:Refsz_Verbräuche[[#This Row],[2027]],"&lt;&gt;"""), ""),IF(Startseite!$D$68=(Refsz_Verbräuche[[#Headers],[2028]]-1),Refsz_Verbräuche[[#This Row],[2027]],IF(Startseite!$D$68&lt;Refsz_Verbräuche[[#Headers],[2028]],Refsz_Verbräuche[[#This Row],[2027]],Umrechnen!Q34)))</f>
        <v/>
      </c>
      <c r="T62" s="110" t="str">
        <f>IF(Refsz_Verbräuche[[#Headers],[2029]]=Startseite!$D$68,IF(OR(SUMIF($F62:Refsz_Verbräuche[[#This Row],[2028]],"&gt;0")&gt;0,), AVERAGEIF($F62:Refsz_Verbräuche[[#This Row],[2028]],"&lt;&gt;"""), ""),IF(Startseite!$D$68=(Refsz_Verbräuche[[#Headers],[2029]]-1),Refsz_Verbräuche[[#This Row],[2028]],IF(Startseite!$D$68&lt;Refsz_Verbräuche[[#Headers],[2029]],Refsz_Verbräuche[[#This Row],[2028]],Umrechnen!R34)))</f>
        <v/>
      </c>
      <c r="U62" s="110" t="str">
        <f>IF(Refsz_Verbräuche[[#Headers],[2030]]=Startseite!$D$68,IF(OR(SUMIF($F62:Refsz_Verbräuche[[#This Row],[2029]],"&gt;0")&gt;0,), AVERAGEIF($F62:Refsz_Verbräuche[[#This Row],[2029]],"&lt;&gt;"""), ""),IF(Startseite!$D$68=(Refsz_Verbräuche[[#Headers],[2030]]-1),Refsz_Verbräuche[[#This Row],[2029]],IF(Startseite!$D$68&lt;Refsz_Verbräuche[[#Headers],[2030]],Refsz_Verbräuche[[#This Row],[2029]],Umrechnen!S34)))</f>
        <v/>
      </c>
      <c r="V62" s="110" t="str">
        <f>IF(Refsz_Verbräuche[[#Headers],[2035]]=Startseite!$D$68,IF(OR(SUMIF($F62:Refsz_Verbräuche[[#This Row],[2030]],"&gt;0")&gt;0,), AVERAGEIF($F62:Refsz_Verbräuche[[#This Row],[2030]],"&lt;&gt;"""), ""),IF(Startseite!$D$68=(Refsz_Verbräuche[[#Headers],[2035]]-1),Refsz_Verbräuche[[#This Row],[2030]],IF(Startseite!$D$68&lt;Refsz_Verbräuche[[#Headers],[2035]],Refsz_Verbräuche[[#This Row],[2030]],Umrechnen!T34)))</f>
        <v/>
      </c>
      <c r="W62" s="110" t="str">
        <f>IF(Refsz_Verbräuche[[#Headers],[2040]]=Startseite!$D$68,IF(OR(SUMIF($F62:Refsz_Verbräuche[[#This Row],[2035]],"&gt;0")&gt;0,), AVERAGEIF($F62:Refsz_Verbräuche[[#This Row],[2035]],"&lt;&gt;"""), ""),IF(Startseite!$D$68=(Refsz_Verbräuche[[#Headers],[2040]]-1),Refsz_Verbräuche[[#This Row],[2035]],IF(Startseite!$D$68&lt;Refsz_Verbräuche[[#Headers],[2040]],Refsz_Verbräuche[[#This Row],[2035]],Umrechnen!U34)))</f>
        <v/>
      </c>
      <c r="X62" s="110" t="str">
        <f>IF(Refsz_Verbräuche[[#Headers],[2045]]=Startseite!$D$68,IF(OR(SUMIF($F62:Refsz_Verbräuche[[#This Row],[2040]],"&gt;0")&gt;0,), AVERAGEIF($F62:Refsz_Verbräuche[[#This Row],[2040]],"&lt;&gt;"""), ""),IF(Startseite!$D$68=(Refsz_Verbräuche[[#Headers],[2045]]-1),Refsz_Verbräuche[[#This Row],[2040]],IF(Startseite!$D$68&lt;Refsz_Verbräuche[[#Headers],[2045]],Refsz_Verbräuche[[#This Row],[2040]],Umrechnen!V34)))</f>
        <v/>
      </c>
      <c r="Y62" s="110" t="str">
        <f>IF(Refsz_Verbräuche[[#Headers],[2050]]=Startseite!$D$68,IF(OR(SUMIF($F62:Refsz_Verbräuche[[#This Row],[2045]],"&gt;0")&gt;0,), AVERAGEIF($F62:Refsz_Verbräuche[[#This Row],[2045]],"&lt;&gt;"""), ""),IF(Startseite!$D$68=(Refsz_Verbräuche[[#Headers],[2050]]-1),Refsz_Verbräuche[[#This Row],[2045]],IF(Startseite!$D$68&lt;Refsz_Verbräuche[[#Headers],[2050]],Refsz_Verbräuche[[#This Row],[2045]],Umrechnen!W34)))</f>
        <v/>
      </c>
      <c r="AA62" s="14"/>
    </row>
    <row r="63" spans="2:27">
      <c r="B63" s="14">
        <v>46</v>
      </c>
      <c r="C63" s="14" t="s">
        <v>510</v>
      </c>
      <c r="D63" s="36" t="str">
        <f>_xlfn.CONCAT(Startseite!E81," - Mietwägen (Diesel)")</f>
        <v>DR - Mietwägen (Diesel)</v>
      </c>
      <c r="E63" t="s">
        <v>379</v>
      </c>
      <c r="F63" s="148" t="str">
        <f>Umrechnen!D29</f>
        <v/>
      </c>
      <c r="G63" s="148" t="str">
        <f>Umrechnen!E29</f>
        <v/>
      </c>
      <c r="H63" s="148" t="str">
        <f>Umrechnen!F29</f>
        <v/>
      </c>
      <c r="I63" s="148" t="str">
        <f>Umrechnen!G29</f>
        <v/>
      </c>
      <c r="J63" s="148" t="str">
        <f>Umrechnen!H29</f>
        <v/>
      </c>
      <c r="K63" s="148" t="str">
        <f>Umrechnen!I29</f>
        <v/>
      </c>
      <c r="L63" s="148" t="str">
        <f>Umrechnen!J29</f>
        <v/>
      </c>
      <c r="M63" s="110" t="str">
        <f>IF(Refsz_Verbräuche[[#Headers],[2022]]=Startseite!$D$68,IF(OR(SUMIF($F63:Refsz_Verbräuche[[#This Row],[2021]],"&gt;0")&gt;0,), AVERAGEIF($F63:Refsz_Verbräuche[[#This Row],[2021]],"&lt;&gt;"""), ""),IF(Startseite!$D$68=(Refsz_Verbräuche[[#Headers],[2022]]-1),Refsz_Verbräuche[[#This Row],[2021]],IF(Startseite!$D$68&lt;Refsz_Verbräuche[[#Headers],[2022]],Refsz_Verbräuche[[#This Row],[2021]],Umrechnen!K29)))</f>
        <v/>
      </c>
      <c r="N63" s="110" t="str">
        <f>IF(Refsz_Verbräuche[[#Headers],[2023]]=Startseite!$D$68,IF(OR(SUMIF($F63:Refsz_Verbräuche[[#This Row],[2022]],"&gt;0")&gt;0,), AVERAGEIF($F63:Refsz_Verbräuche[[#This Row],[2022]],"&lt;&gt;"""), ""),IF(Startseite!$D$68=(Refsz_Verbräuche[[#Headers],[2023]]-1),Refsz_Verbräuche[[#This Row],[2022]],IF(Startseite!$D$68&lt;Refsz_Verbräuche[[#Headers],[2023]],Refsz_Verbräuche[[#This Row],[2022]],Umrechnen!L29)))</f>
        <v/>
      </c>
      <c r="O63" s="110" t="str">
        <f>IF(Refsz_Verbräuche[[#Headers],[2024]]=Startseite!$D$68,IF(OR(SUMIF($F63:Refsz_Verbräuche[[#This Row],[2023]],"&gt;0")&gt;0,), AVERAGEIF($F63:Refsz_Verbräuche[[#This Row],[2023]],"&lt;&gt;"""), ""),IF(Startseite!$D$68=(Refsz_Verbräuche[[#Headers],[2024]]-1),Refsz_Verbräuche[[#This Row],[2023]],IF(Startseite!$D$68&lt;Refsz_Verbräuche[[#Headers],[2024]],Refsz_Verbräuche[[#This Row],[2023]],Umrechnen!M29)))</f>
        <v/>
      </c>
      <c r="P63" s="110" t="str">
        <f>IF(Refsz_Verbräuche[[#Headers],[2025]]=Startseite!$D$68,IF(OR(SUMIF($F63:Refsz_Verbräuche[[#This Row],[2024]],"&gt;0")&gt;0,), AVERAGEIF($F63:Refsz_Verbräuche[[#This Row],[2024]],"&lt;&gt;"""), ""),IF(Startseite!$D$68=(Refsz_Verbräuche[[#Headers],[2025]]-1),Refsz_Verbräuche[[#This Row],[2024]],IF(Startseite!$D$68&lt;Refsz_Verbräuche[[#Headers],[2025]],Refsz_Verbräuche[[#This Row],[2024]],Umrechnen!N29)))</f>
        <v/>
      </c>
      <c r="Q63" s="110" t="str">
        <f>IF(Refsz_Verbräuche[[#Headers],[2026]]=Startseite!$D$68,IF(OR(SUMIF($F63:Refsz_Verbräuche[[#This Row],[2025]],"&gt;0")&gt;0,), AVERAGEIF($F63:Refsz_Verbräuche[[#This Row],[2025]],"&lt;&gt;"""), ""),IF(Startseite!$D$68=(Refsz_Verbräuche[[#Headers],[2026]]-1),Refsz_Verbräuche[[#This Row],[2025]],IF(Startseite!$D$68&lt;Refsz_Verbräuche[[#Headers],[2026]],Refsz_Verbräuche[[#This Row],[2025]],Umrechnen!O29)))</f>
        <v/>
      </c>
      <c r="R63" s="110" t="str">
        <f>IF(Refsz_Verbräuche[[#Headers],[2027]]=Startseite!$D$68,IF(OR(SUMIF($F63:Refsz_Verbräuche[[#This Row],[2026]],"&gt;0")&gt;0,), AVERAGEIF($F63:Refsz_Verbräuche[[#This Row],[2026]],"&lt;&gt;"""), ""),IF(Startseite!$D$68=(Refsz_Verbräuche[[#Headers],[2027]]-1),Refsz_Verbräuche[[#This Row],[2026]],IF(Startseite!$D$68&lt;Refsz_Verbräuche[[#Headers],[2027]],Refsz_Verbräuche[[#This Row],[2026]],Umrechnen!P29)))</f>
        <v/>
      </c>
      <c r="S63" s="110" t="str">
        <f>IF(Refsz_Verbräuche[[#Headers],[2028]]=Startseite!$D$68,IF(OR(SUMIF($F63:Refsz_Verbräuche[[#This Row],[2027]],"&gt;0")&gt;0,), AVERAGEIF($F63:Refsz_Verbräuche[[#This Row],[2027]],"&lt;&gt;"""), ""),IF(Startseite!$D$68=(Refsz_Verbräuche[[#Headers],[2028]]-1),Refsz_Verbräuche[[#This Row],[2027]],IF(Startseite!$D$68&lt;Refsz_Verbräuche[[#Headers],[2028]],Refsz_Verbräuche[[#This Row],[2027]],Umrechnen!Q29)))</f>
        <v/>
      </c>
      <c r="T63" s="110" t="str">
        <f>IF(Refsz_Verbräuche[[#Headers],[2029]]=Startseite!$D$68,IF(OR(SUMIF($F63:Refsz_Verbräuche[[#This Row],[2028]],"&gt;0")&gt;0,), AVERAGEIF($F63:Refsz_Verbräuche[[#This Row],[2028]],"&lt;&gt;"""), ""),IF(Startseite!$D$68=(Refsz_Verbräuche[[#Headers],[2029]]-1),Refsz_Verbräuche[[#This Row],[2028]],IF(Startseite!$D$68&lt;Refsz_Verbräuche[[#Headers],[2029]],Refsz_Verbräuche[[#This Row],[2028]],Umrechnen!R29)))</f>
        <v/>
      </c>
      <c r="U63" s="110" t="str">
        <f>IF(Refsz_Verbräuche[[#Headers],[2030]]=Startseite!$D$68,IF(OR(SUMIF($F63:Refsz_Verbräuche[[#This Row],[2029]],"&gt;0")&gt;0,), AVERAGEIF($F63:Refsz_Verbräuche[[#This Row],[2029]],"&lt;&gt;"""), ""),IF(Startseite!$D$68=(Refsz_Verbräuche[[#Headers],[2030]]-1),Refsz_Verbräuche[[#This Row],[2029]],IF(Startseite!$D$68&lt;Refsz_Verbräuche[[#Headers],[2030]],Refsz_Verbräuche[[#This Row],[2029]],Umrechnen!S29)))</f>
        <v/>
      </c>
      <c r="V63" s="110" t="str">
        <f>IF(Refsz_Verbräuche[[#Headers],[2035]]=Startseite!$D$68,IF(OR(SUMIF($F63:Refsz_Verbräuche[[#This Row],[2030]],"&gt;0")&gt;0,), AVERAGEIF($F63:Refsz_Verbräuche[[#This Row],[2030]],"&lt;&gt;"""), ""),IF(Startseite!$D$68=(Refsz_Verbräuche[[#Headers],[2035]]-1),Refsz_Verbräuche[[#This Row],[2030]],IF(Startseite!$D$68&lt;Refsz_Verbräuche[[#Headers],[2035]],Refsz_Verbräuche[[#This Row],[2030]],Umrechnen!T29)))</f>
        <v/>
      </c>
      <c r="W63" s="110" t="str">
        <f>IF(Refsz_Verbräuche[[#Headers],[2040]]=Startseite!$D$68,IF(OR(SUMIF($F63:Refsz_Verbräuche[[#This Row],[2035]],"&gt;0")&gt;0,), AVERAGEIF($F63:Refsz_Verbräuche[[#This Row],[2035]],"&lt;&gt;"""), ""),IF(Startseite!$D$68=(Refsz_Verbräuche[[#Headers],[2040]]-1),Refsz_Verbräuche[[#This Row],[2035]],IF(Startseite!$D$68&lt;Refsz_Verbräuche[[#Headers],[2040]],Refsz_Verbräuche[[#This Row],[2035]],Umrechnen!U29)))</f>
        <v/>
      </c>
      <c r="X63" s="110" t="str">
        <f>IF(Refsz_Verbräuche[[#Headers],[2045]]=Startseite!$D$68,IF(OR(SUMIF($F63:Refsz_Verbräuche[[#This Row],[2040]],"&gt;0")&gt;0,), AVERAGEIF($F63:Refsz_Verbräuche[[#This Row],[2040]],"&lt;&gt;"""), ""),IF(Startseite!$D$68=(Refsz_Verbräuche[[#Headers],[2045]]-1),Refsz_Verbräuche[[#This Row],[2040]],IF(Startseite!$D$68&lt;Refsz_Verbräuche[[#Headers],[2045]],Refsz_Verbräuche[[#This Row],[2040]],Umrechnen!V29)))</f>
        <v/>
      </c>
      <c r="Y63" s="110" t="str">
        <f>IF(Refsz_Verbräuche[[#Headers],[2050]]=Startseite!$D$68,IF(OR(SUMIF($F63:Refsz_Verbräuche[[#This Row],[2045]],"&gt;0")&gt;0,), AVERAGEIF($F63:Refsz_Verbräuche[[#This Row],[2045]],"&lt;&gt;"""), ""),IF(Startseite!$D$68=(Refsz_Verbräuche[[#Headers],[2050]]-1),Refsz_Verbräuche[[#This Row],[2045]],IF(Startseite!$D$68&lt;Refsz_Verbräuche[[#Headers],[2050]],Refsz_Verbräuche[[#This Row],[2045]],Umrechnen!W29)))</f>
        <v/>
      </c>
      <c r="AA63" s="14"/>
    </row>
    <row r="64" spans="2:27">
      <c r="B64" s="14">
        <v>47</v>
      </c>
      <c r="C64" s="14" t="s">
        <v>510</v>
      </c>
      <c r="D64" s="36" t="str">
        <f>_xlfn.CONCAT(Startseite!E81," - Mietwägen (Benzin)")</f>
        <v>DR - Mietwägen (Benzin)</v>
      </c>
      <c r="E64" t="s">
        <v>379</v>
      </c>
      <c r="F64" s="148" t="str">
        <f>Umrechnen!D35</f>
        <v/>
      </c>
      <c r="G64" s="148" t="str">
        <f>Umrechnen!E35</f>
        <v/>
      </c>
      <c r="H64" s="148" t="str">
        <f>Umrechnen!F35</f>
        <v/>
      </c>
      <c r="I64" s="148" t="str">
        <f>Umrechnen!G35</f>
        <v/>
      </c>
      <c r="J64" s="148" t="str">
        <f>Umrechnen!H35</f>
        <v/>
      </c>
      <c r="K64" s="148" t="str">
        <f>Umrechnen!I35</f>
        <v/>
      </c>
      <c r="L64" s="148" t="str">
        <f>Umrechnen!J35</f>
        <v/>
      </c>
      <c r="M64" s="110" t="str">
        <f>IF(Refsz_Verbräuche[[#Headers],[2022]]=Startseite!$D$68,IF(OR(SUMIF($F64:Refsz_Verbräuche[[#This Row],[2021]],"&gt;0")&gt;0,), AVERAGEIF($F64:Refsz_Verbräuche[[#This Row],[2021]],"&lt;&gt;"""), ""),IF(Startseite!$D$68=(Refsz_Verbräuche[[#Headers],[2022]]-1),Refsz_Verbräuche[[#This Row],[2021]],IF(Startseite!$D$68&lt;Refsz_Verbräuche[[#Headers],[2022]],Refsz_Verbräuche[[#This Row],[2021]],Umrechnen!K35)))</f>
        <v/>
      </c>
      <c r="N64" s="110" t="str">
        <f>IF(Refsz_Verbräuche[[#Headers],[2023]]=Startseite!$D$68,IF(OR(SUMIF($F64:Refsz_Verbräuche[[#This Row],[2022]],"&gt;0")&gt;0,), AVERAGEIF($F64:Refsz_Verbräuche[[#This Row],[2022]],"&lt;&gt;"""), ""),IF(Startseite!$D$68=(Refsz_Verbräuche[[#Headers],[2023]]-1),Refsz_Verbräuche[[#This Row],[2022]],IF(Startseite!$D$68&lt;Refsz_Verbräuche[[#Headers],[2023]],Refsz_Verbräuche[[#This Row],[2022]],Umrechnen!L35)))</f>
        <v/>
      </c>
      <c r="O64" s="110" t="str">
        <f>IF(Refsz_Verbräuche[[#Headers],[2024]]=Startseite!$D$68,IF(OR(SUMIF($F64:Refsz_Verbräuche[[#This Row],[2023]],"&gt;0")&gt;0,), AVERAGEIF($F64:Refsz_Verbräuche[[#This Row],[2023]],"&lt;&gt;"""), ""),IF(Startseite!$D$68=(Refsz_Verbräuche[[#Headers],[2024]]-1),Refsz_Verbräuche[[#This Row],[2023]],IF(Startseite!$D$68&lt;Refsz_Verbräuche[[#Headers],[2024]],Refsz_Verbräuche[[#This Row],[2023]],Umrechnen!M35)))</f>
        <v/>
      </c>
      <c r="P64" s="110" t="str">
        <f>IF(Refsz_Verbräuche[[#Headers],[2025]]=Startseite!$D$68,IF(OR(SUMIF($F64:Refsz_Verbräuche[[#This Row],[2024]],"&gt;0")&gt;0,), AVERAGEIF($F64:Refsz_Verbräuche[[#This Row],[2024]],"&lt;&gt;"""), ""),IF(Startseite!$D$68=(Refsz_Verbräuche[[#Headers],[2025]]-1),Refsz_Verbräuche[[#This Row],[2024]],IF(Startseite!$D$68&lt;Refsz_Verbräuche[[#Headers],[2025]],Refsz_Verbräuche[[#This Row],[2024]],Umrechnen!N35)))</f>
        <v/>
      </c>
      <c r="Q64" s="110" t="str">
        <f>IF(Refsz_Verbräuche[[#Headers],[2026]]=Startseite!$D$68,IF(OR(SUMIF($F64:Refsz_Verbräuche[[#This Row],[2025]],"&gt;0")&gt;0,), AVERAGEIF($F64:Refsz_Verbräuche[[#This Row],[2025]],"&lt;&gt;"""), ""),IF(Startseite!$D$68=(Refsz_Verbräuche[[#Headers],[2026]]-1),Refsz_Verbräuche[[#This Row],[2025]],IF(Startseite!$D$68&lt;Refsz_Verbräuche[[#Headers],[2026]],Refsz_Verbräuche[[#This Row],[2025]],Umrechnen!O35)))</f>
        <v/>
      </c>
      <c r="R64" s="110" t="str">
        <f>IF(Refsz_Verbräuche[[#Headers],[2027]]=Startseite!$D$68,IF(OR(SUMIF($F64:Refsz_Verbräuche[[#This Row],[2026]],"&gt;0")&gt;0,), AVERAGEIF($F64:Refsz_Verbräuche[[#This Row],[2026]],"&lt;&gt;"""), ""),IF(Startseite!$D$68=(Refsz_Verbräuche[[#Headers],[2027]]-1),Refsz_Verbräuche[[#This Row],[2026]],IF(Startseite!$D$68&lt;Refsz_Verbräuche[[#Headers],[2027]],Refsz_Verbräuche[[#This Row],[2026]],Umrechnen!P35)))</f>
        <v/>
      </c>
      <c r="S64" s="110" t="str">
        <f>IF(Refsz_Verbräuche[[#Headers],[2028]]=Startseite!$D$68,IF(OR(SUMIF($F64:Refsz_Verbräuche[[#This Row],[2027]],"&gt;0")&gt;0,), AVERAGEIF($F64:Refsz_Verbräuche[[#This Row],[2027]],"&lt;&gt;"""), ""),IF(Startseite!$D$68=(Refsz_Verbräuche[[#Headers],[2028]]-1),Refsz_Verbräuche[[#This Row],[2027]],IF(Startseite!$D$68&lt;Refsz_Verbräuche[[#Headers],[2028]],Refsz_Verbräuche[[#This Row],[2027]],Umrechnen!Q35)))</f>
        <v/>
      </c>
      <c r="T64" s="110" t="str">
        <f>IF(Refsz_Verbräuche[[#Headers],[2029]]=Startseite!$D$68,IF(OR(SUMIF($F64:Refsz_Verbräuche[[#This Row],[2028]],"&gt;0")&gt;0,), AVERAGEIF($F64:Refsz_Verbräuche[[#This Row],[2028]],"&lt;&gt;"""), ""),IF(Startseite!$D$68=(Refsz_Verbräuche[[#Headers],[2029]]-1),Refsz_Verbräuche[[#This Row],[2028]],IF(Startseite!$D$68&lt;Refsz_Verbräuche[[#Headers],[2029]],Refsz_Verbräuche[[#This Row],[2028]],Umrechnen!R35)))</f>
        <v/>
      </c>
      <c r="U64" s="110" t="str">
        <f>IF(Refsz_Verbräuche[[#Headers],[2030]]=Startseite!$D$68,IF(OR(SUMIF($F64:Refsz_Verbräuche[[#This Row],[2029]],"&gt;0")&gt;0,), AVERAGEIF($F64:Refsz_Verbräuche[[#This Row],[2029]],"&lt;&gt;"""), ""),IF(Startseite!$D$68=(Refsz_Verbräuche[[#Headers],[2030]]-1),Refsz_Verbräuche[[#This Row],[2029]],IF(Startseite!$D$68&lt;Refsz_Verbräuche[[#Headers],[2030]],Refsz_Verbräuche[[#This Row],[2029]],Umrechnen!S35)))</f>
        <v/>
      </c>
      <c r="V64" s="110" t="str">
        <f>IF(Refsz_Verbräuche[[#Headers],[2035]]=Startseite!$D$68,IF(OR(SUMIF($F64:Refsz_Verbräuche[[#This Row],[2030]],"&gt;0")&gt;0,), AVERAGEIF($F64:Refsz_Verbräuche[[#This Row],[2030]],"&lt;&gt;"""), ""),IF(Startseite!$D$68=(Refsz_Verbräuche[[#Headers],[2035]]-1),Refsz_Verbräuche[[#This Row],[2030]],IF(Startseite!$D$68&lt;Refsz_Verbräuche[[#Headers],[2035]],Refsz_Verbräuche[[#This Row],[2030]],Umrechnen!T35)))</f>
        <v/>
      </c>
      <c r="W64" s="110" t="str">
        <f>IF(Refsz_Verbräuche[[#Headers],[2040]]=Startseite!$D$68,IF(OR(SUMIF($F64:Refsz_Verbräuche[[#This Row],[2035]],"&gt;0")&gt;0,), AVERAGEIF($F64:Refsz_Verbräuche[[#This Row],[2035]],"&lt;&gt;"""), ""),IF(Startseite!$D$68=(Refsz_Verbräuche[[#Headers],[2040]]-1),Refsz_Verbräuche[[#This Row],[2035]],IF(Startseite!$D$68&lt;Refsz_Verbräuche[[#Headers],[2040]],Refsz_Verbräuche[[#This Row],[2035]],Umrechnen!U35)))</f>
        <v/>
      </c>
      <c r="X64" s="110" t="str">
        <f>IF(Refsz_Verbräuche[[#Headers],[2045]]=Startseite!$D$68,IF(OR(SUMIF($F64:Refsz_Verbräuche[[#This Row],[2040]],"&gt;0")&gt;0,), AVERAGEIF($F64:Refsz_Verbräuche[[#This Row],[2040]],"&lt;&gt;"""), ""),IF(Startseite!$D$68=(Refsz_Verbräuche[[#Headers],[2045]]-1),Refsz_Verbräuche[[#This Row],[2040]],IF(Startseite!$D$68&lt;Refsz_Verbräuche[[#Headers],[2045]],Refsz_Verbräuche[[#This Row],[2040]],Umrechnen!V35)))</f>
        <v/>
      </c>
      <c r="Y64" s="110" t="str">
        <f>IF(Refsz_Verbräuche[[#Headers],[2050]]=Startseite!$D$68,IF(OR(SUMIF($F64:Refsz_Verbräuche[[#This Row],[2045]],"&gt;0")&gt;0,), AVERAGEIF($F64:Refsz_Verbräuche[[#This Row],[2045]],"&lt;&gt;"""), ""),IF(Startseite!$D$68=(Refsz_Verbräuche[[#Headers],[2050]]-1),Refsz_Verbräuche[[#This Row],[2045]],IF(Startseite!$D$68&lt;Refsz_Verbräuche[[#Headers],[2050]],Refsz_Verbräuche[[#This Row],[2045]],Umrechnen!W35)))</f>
        <v/>
      </c>
      <c r="AA64" s="14"/>
    </row>
    <row r="65" spans="2:27">
      <c r="B65" s="14">
        <v>48</v>
      </c>
      <c r="C65" s="14" t="s">
        <v>510</v>
      </c>
      <c r="D65" t="str">
        <f>_xlfn.CONCAT(Startseite!E81," - Mietwägen (E-Auto/ BEV)")</f>
        <v>DR - Mietwägen (E-Auto/ BEV)</v>
      </c>
      <c r="E65" t="s">
        <v>379</v>
      </c>
      <c r="F65" s="110"/>
      <c r="G65" s="110"/>
      <c r="H65" s="110"/>
      <c r="I65" s="110"/>
      <c r="J65" s="110"/>
      <c r="K65" s="110"/>
      <c r="L65" s="110"/>
      <c r="M65" s="110" t="str">
        <f>IF(Refsz_Verbräuche[[#Headers],[2022]]=Startseite!$D$68,IF(OR(SUMIF($F65:Refsz_Verbräuche[[#This Row],[2021]],"&gt;0")&gt;0,), AVERAGEIF($F65:Refsz_Verbräuche[[#This Row],[2021]],"&lt;&gt;"""), ""),IF(Startseite!$D$68=(Refsz_Verbräuche[[#Headers],[2022]]-1),Refsz_Verbräuche[[#This Row],[2021]],IF(Startseite!$D$68&lt;Refsz_Verbräuche[[#Headers],[2022]],Refsz_Verbräuche[[#This Row],[2021]],"")))</f>
        <v/>
      </c>
      <c r="N65" s="110" t="str">
        <f>IF(Refsz_Verbräuche[[#Headers],[2023]]=Startseite!$D$68,IF(OR(SUMIF($F65:Refsz_Verbräuche[[#This Row],[2022]],"&gt;0")&gt;0,), AVERAGEIF($F65:Refsz_Verbräuche[[#This Row],[2022]],"&lt;&gt;"""), ""),IF(Startseite!$D$68=(Refsz_Verbräuche[[#Headers],[2023]]-1),Refsz_Verbräuche[[#This Row],[2022]],IF(Startseite!$D$68&lt;Refsz_Verbräuche[[#Headers],[2023]],Refsz_Verbräuche[[#This Row],[2022]],"")))</f>
        <v/>
      </c>
      <c r="O65" s="110" t="str">
        <f>IF(Refsz_Verbräuche[[#Headers],[2024]]=Startseite!$D$68,IF(OR(SUMIF($F65:Refsz_Verbräuche[[#This Row],[2023]],"&gt;0")&gt;0,), AVERAGEIF($F65:Refsz_Verbräuche[[#This Row],[2023]],"&lt;&gt;"""), ""),IF(Startseite!$D$68=(Refsz_Verbräuche[[#Headers],[2024]]-1),Refsz_Verbräuche[[#This Row],[2023]],IF(Startseite!$D$68&lt;Refsz_Verbräuche[[#Headers],[2024]],Refsz_Verbräuche[[#This Row],[2023]],"")))</f>
        <v/>
      </c>
      <c r="P65" s="110" t="str">
        <f>IF(Refsz_Verbräuche[[#Headers],[2025]]=Startseite!$D$68,IF(OR(SUMIF($F65:Refsz_Verbräuche[[#This Row],[2024]],"&gt;0")&gt;0,), AVERAGEIF($F65:Refsz_Verbräuche[[#This Row],[2024]],"&lt;&gt;"""), ""),IF(Startseite!$D$68=(Refsz_Verbräuche[[#Headers],[2025]]-1),Refsz_Verbräuche[[#This Row],[2024]],IF(Startseite!$D$68&lt;Refsz_Verbräuche[[#Headers],[2025]],Refsz_Verbräuche[[#This Row],[2024]],"")))</f>
        <v/>
      </c>
      <c r="Q65" s="110" t="str">
        <f>IF(Refsz_Verbräuche[[#Headers],[2026]]=Startseite!$D$68,IF(OR(SUMIF($F65:Refsz_Verbräuche[[#This Row],[2025]],"&gt;0")&gt;0,), AVERAGEIF($F65:Refsz_Verbräuche[[#This Row],[2025]],"&lt;&gt;"""), ""),IF(Startseite!$D$68=(Refsz_Verbräuche[[#Headers],[2026]]-1),Refsz_Verbräuche[[#This Row],[2025]],IF(Startseite!$D$68&lt;Refsz_Verbräuche[[#Headers],[2026]],Refsz_Verbräuche[[#This Row],[2025]],"")))</f>
        <v/>
      </c>
      <c r="R65" s="110" t="str">
        <f>IF(Refsz_Verbräuche[[#Headers],[2027]]=Startseite!$D$68,IF(OR(SUMIF($F65:Refsz_Verbräuche[[#This Row],[2026]],"&gt;0")&gt;0,), AVERAGEIF($F65:Refsz_Verbräuche[[#This Row],[2026]],"&lt;&gt;"""), ""),IF(Startseite!$D$68=(Refsz_Verbräuche[[#Headers],[2027]]-1),Refsz_Verbräuche[[#This Row],[2026]],IF(Startseite!$D$68&lt;Refsz_Verbräuche[[#Headers],[2027]],Refsz_Verbräuche[[#This Row],[2026]],"")))</f>
        <v/>
      </c>
      <c r="S65" s="110" t="str">
        <f>IF(Refsz_Verbräuche[[#Headers],[2028]]=Startseite!$D$68,IF(OR(SUMIF($F65:Refsz_Verbräuche[[#This Row],[2027]],"&gt;0")&gt;0,), AVERAGEIF($F65:Refsz_Verbräuche[[#This Row],[2027]],"&lt;&gt;"""), ""),IF(Startseite!$D$68=(Refsz_Verbräuche[[#Headers],[2028]]-1),Refsz_Verbräuche[[#This Row],[2027]],IF(Startseite!$D$68&lt;Refsz_Verbräuche[[#Headers],[2028]],Refsz_Verbräuche[[#This Row],[2027]],"")))</f>
        <v/>
      </c>
      <c r="T65" s="110" t="str">
        <f>IF(Refsz_Verbräuche[[#Headers],[2029]]=Startseite!$D$68,IF(OR(SUMIF($F65:Refsz_Verbräuche[[#This Row],[2028]],"&gt;0")&gt;0,), AVERAGEIF($F65:Refsz_Verbräuche[[#This Row],[2028]],"&lt;&gt;"""), ""),IF(Startseite!$D$68=(Refsz_Verbräuche[[#Headers],[2029]]-1),Refsz_Verbräuche[[#This Row],[2028]],IF(Startseite!$D$68&lt;Refsz_Verbräuche[[#Headers],[2029]],Refsz_Verbräuche[[#This Row],[2028]],"")))</f>
        <v/>
      </c>
      <c r="U65" s="110" t="str">
        <f>IF(Refsz_Verbräuche[[#Headers],[2030]]=Startseite!$D$68,IF(OR(SUMIF($F65:Refsz_Verbräuche[[#This Row],[2029]],"&gt;0")&gt;0,), AVERAGEIF($F65:Refsz_Verbräuche[[#This Row],[2029]],"&lt;&gt;"""), ""),IF(Startseite!$D$68=(Refsz_Verbräuche[[#Headers],[2030]]-1),Refsz_Verbräuche[[#This Row],[2029]],IF(Startseite!$D$68&lt;Refsz_Verbräuche[[#Headers],[2030]],Refsz_Verbräuche[[#This Row],[2029]],"")))</f>
        <v/>
      </c>
      <c r="V65" s="110" t="str">
        <f>IF(Refsz_Verbräuche[[#Headers],[2035]]=Startseite!$D$68,IF(OR(SUMIF($F65:Refsz_Verbräuche[[#This Row],[2030]],"&gt;0")&gt;0,), AVERAGEIF($F65:Refsz_Verbräuche[[#This Row],[2030]],"&lt;&gt;"""), ""),IF(Startseite!$D$68=(Refsz_Verbräuche[[#Headers],[2035]]-1),Refsz_Verbräuche[[#This Row],[2030]],IF(Startseite!$D$68&lt;Refsz_Verbräuche[[#Headers],[2035]],Refsz_Verbräuche[[#This Row],[2030]],"")))</f>
        <v/>
      </c>
      <c r="W65" s="110" t="str">
        <f>IF(Refsz_Verbräuche[[#Headers],[2040]]=Startseite!$D$68,IF(OR(SUMIF($F65:Refsz_Verbräuche[[#This Row],[2035]],"&gt;0")&gt;0,), AVERAGEIF($F65:Refsz_Verbräuche[[#This Row],[2035]],"&lt;&gt;"""), ""),IF(Startseite!$D$68=(Refsz_Verbräuche[[#Headers],[2040]]-1),Refsz_Verbräuche[[#This Row],[2035]],IF(Startseite!$D$68&lt;Refsz_Verbräuche[[#Headers],[2040]],Refsz_Verbräuche[[#This Row],[2035]],"")))</f>
        <v/>
      </c>
      <c r="X65" s="110" t="str">
        <f>IF(Refsz_Verbräuche[[#Headers],[2045]]=Startseite!$D$68,IF(OR(SUMIF($F65:Refsz_Verbräuche[[#This Row],[2040]],"&gt;0")&gt;0,), AVERAGEIF($F65:Refsz_Verbräuche[[#This Row],[2040]],"&lt;&gt;"""), ""),IF(Startseite!$D$68=(Refsz_Verbräuche[[#Headers],[2045]]-1),Refsz_Verbräuche[[#This Row],[2040]],IF(Startseite!$D$68&lt;Refsz_Verbräuche[[#Headers],[2045]],Refsz_Verbräuche[[#This Row],[2040]],"")))</f>
        <v/>
      </c>
      <c r="Y65" s="110" t="str">
        <f>IF(Refsz_Verbräuche[[#Headers],[2050]]=Startseite!$D$68,IF(OR(SUMIF($F65:Refsz_Verbräuche[[#This Row],[2045]],"&gt;0")&gt;0,), AVERAGEIF($F65:Refsz_Verbräuche[[#This Row],[2045]],"&lt;&gt;"""), ""),IF(Startseite!$D$68=(Refsz_Verbräuche[[#Headers],[2050]]-1),Refsz_Verbräuche[[#This Row],[2045]],IF(Startseite!$D$68&lt;Refsz_Verbräuche[[#Headers],[2050]],Refsz_Verbräuche[[#This Row],[2045]],"")))</f>
        <v/>
      </c>
      <c r="AA65" s="14"/>
    </row>
    <row r="66" spans="2:27">
      <c r="B66" s="14">
        <v>49</v>
      </c>
      <c r="C66" s="14" t="s">
        <v>510</v>
      </c>
      <c r="D66" s="9" t="str">
        <f>_xlfn.CONCAT(Startseite!E81," - Mietwägen (Wasserstoff/ FCEV)")</f>
        <v>DR - Mietwägen (Wasserstoff/ FCEV)</v>
      </c>
      <c r="E66" t="s">
        <v>379</v>
      </c>
      <c r="F66" s="110"/>
      <c r="G66" s="110"/>
      <c r="H66" s="110"/>
      <c r="I66" s="110"/>
      <c r="J66" s="110"/>
      <c r="K66" s="110"/>
      <c r="L66" s="110"/>
      <c r="M66" s="110" t="str">
        <f>IF(Refsz_Verbräuche[[#Headers],[2022]]=Startseite!$D$68,IF(OR(SUMIF($F66:Refsz_Verbräuche[[#This Row],[2021]],"&gt;0")&gt;0,), AVERAGEIF($F66:Refsz_Verbräuche[[#This Row],[2021]],"&lt;&gt;"""), ""),IF(Startseite!$D$68=(Refsz_Verbräuche[[#Headers],[2022]]-1),Refsz_Verbräuche[[#This Row],[2021]],IF(Startseite!$D$68&lt;Refsz_Verbräuche[[#Headers],[2022]],Refsz_Verbräuche[[#This Row],[2021]],"")))</f>
        <v/>
      </c>
      <c r="N66" s="110" t="str">
        <f>IF(Refsz_Verbräuche[[#Headers],[2023]]=Startseite!$D$68,IF(OR(SUMIF($F66:Refsz_Verbräuche[[#This Row],[2022]],"&gt;0")&gt;0,), AVERAGEIF($F66:Refsz_Verbräuche[[#This Row],[2022]],"&lt;&gt;"""), ""),IF(Startseite!$D$68=(Refsz_Verbräuche[[#Headers],[2023]]-1),Refsz_Verbräuche[[#This Row],[2022]],IF(Startseite!$D$68&lt;Refsz_Verbräuche[[#Headers],[2023]],Refsz_Verbräuche[[#This Row],[2022]],"")))</f>
        <v/>
      </c>
      <c r="O66" s="110" t="str">
        <f>IF(Refsz_Verbräuche[[#Headers],[2024]]=Startseite!$D$68,IF(OR(SUMIF($F66:Refsz_Verbräuche[[#This Row],[2023]],"&gt;0")&gt;0,), AVERAGEIF($F66:Refsz_Verbräuche[[#This Row],[2023]],"&lt;&gt;"""), ""),IF(Startseite!$D$68=(Refsz_Verbräuche[[#Headers],[2024]]-1),Refsz_Verbräuche[[#This Row],[2023]],IF(Startseite!$D$68&lt;Refsz_Verbräuche[[#Headers],[2024]],Refsz_Verbräuche[[#This Row],[2023]],"")))</f>
        <v/>
      </c>
      <c r="P66" s="110" t="str">
        <f>IF(Refsz_Verbräuche[[#Headers],[2025]]=Startseite!$D$68,IF(OR(SUMIF($F66:Refsz_Verbräuche[[#This Row],[2024]],"&gt;0")&gt;0,), AVERAGEIF($F66:Refsz_Verbräuche[[#This Row],[2024]],"&lt;&gt;"""), ""),IF(Startseite!$D$68=(Refsz_Verbräuche[[#Headers],[2025]]-1),Refsz_Verbräuche[[#This Row],[2024]],IF(Startseite!$D$68&lt;Refsz_Verbräuche[[#Headers],[2025]],Refsz_Verbräuche[[#This Row],[2024]],"")))</f>
        <v/>
      </c>
      <c r="Q66" s="110" t="str">
        <f>IF(Refsz_Verbräuche[[#Headers],[2026]]=Startseite!$D$68,IF(OR(SUMIF($F66:Refsz_Verbräuche[[#This Row],[2025]],"&gt;0")&gt;0,), AVERAGEIF($F66:Refsz_Verbräuche[[#This Row],[2025]],"&lt;&gt;"""), ""),IF(Startseite!$D$68=(Refsz_Verbräuche[[#Headers],[2026]]-1),Refsz_Verbräuche[[#This Row],[2025]],IF(Startseite!$D$68&lt;Refsz_Verbräuche[[#Headers],[2026]],Refsz_Verbräuche[[#This Row],[2025]],"")))</f>
        <v/>
      </c>
      <c r="R66" s="110" t="str">
        <f>IF(Refsz_Verbräuche[[#Headers],[2027]]=Startseite!$D$68,IF(OR(SUMIF($F66:Refsz_Verbräuche[[#This Row],[2026]],"&gt;0")&gt;0,), AVERAGEIF($F66:Refsz_Verbräuche[[#This Row],[2026]],"&lt;&gt;"""), ""),IF(Startseite!$D$68=(Refsz_Verbräuche[[#Headers],[2027]]-1),Refsz_Verbräuche[[#This Row],[2026]],IF(Startseite!$D$68&lt;Refsz_Verbräuche[[#Headers],[2027]],Refsz_Verbräuche[[#This Row],[2026]],"")))</f>
        <v/>
      </c>
      <c r="S66" s="110" t="str">
        <f>IF(Refsz_Verbräuche[[#Headers],[2028]]=Startseite!$D$68,IF(OR(SUMIF($F66:Refsz_Verbräuche[[#This Row],[2027]],"&gt;0")&gt;0,), AVERAGEIF($F66:Refsz_Verbräuche[[#This Row],[2027]],"&lt;&gt;"""), ""),IF(Startseite!$D$68=(Refsz_Verbräuche[[#Headers],[2028]]-1),Refsz_Verbräuche[[#This Row],[2027]],IF(Startseite!$D$68&lt;Refsz_Verbräuche[[#Headers],[2028]],Refsz_Verbräuche[[#This Row],[2027]],"")))</f>
        <v/>
      </c>
      <c r="T66" s="110" t="str">
        <f>IF(Refsz_Verbräuche[[#Headers],[2029]]=Startseite!$D$68,IF(OR(SUMIF($F66:Refsz_Verbräuche[[#This Row],[2028]],"&gt;0")&gt;0,), AVERAGEIF($F66:Refsz_Verbräuche[[#This Row],[2028]],"&lt;&gt;"""), ""),IF(Startseite!$D$68=(Refsz_Verbräuche[[#Headers],[2029]]-1),Refsz_Verbräuche[[#This Row],[2028]],IF(Startseite!$D$68&lt;Refsz_Verbräuche[[#Headers],[2029]],Refsz_Verbräuche[[#This Row],[2028]],"")))</f>
        <v/>
      </c>
      <c r="U66" s="110" t="str">
        <f>IF(Refsz_Verbräuche[[#Headers],[2030]]=Startseite!$D$68,IF(OR(SUMIF($F66:Refsz_Verbräuche[[#This Row],[2029]],"&gt;0")&gt;0,), AVERAGEIF($F66:Refsz_Verbräuche[[#This Row],[2029]],"&lt;&gt;"""), ""),IF(Startseite!$D$68=(Refsz_Verbräuche[[#Headers],[2030]]-1),Refsz_Verbräuche[[#This Row],[2029]],IF(Startseite!$D$68&lt;Refsz_Verbräuche[[#Headers],[2030]],Refsz_Verbräuche[[#This Row],[2029]],"")))</f>
        <v/>
      </c>
      <c r="V66" s="110" t="str">
        <f>IF(Refsz_Verbräuche[[#Headers],[2035]]=Startseite!$D$68,IF(OR(SUMIF($F66:Refsz_Verbräuche[[#This Row],[2030]],"&gt;0")&gt;0,), AVERAGEIF($F66:Refsz_Verbräuche[[#This Row],[2030]],"&lt;&gt;"""), ""),IF(Startseite!$D$68=(Refsz_Verbräuche[[#Headers],[2035]]-1),Refsz_Verbräuche[[#This Row],[2030]],IF(Startseite!$D$68&lt;Refsz_Verbräuche[[#Headers],[2035]],Refsz_Verbräuche[[#This Row],[2030]],"")))</f>
        <v/>
      </c>
      <c r="W66" s="110" t="str">
        <f>IF(Refsz_Verbräuche[[#Headers],[2040]]=Startseite!$D$68,IF(OR(SUMIF($F66:Refsz_Verbräuche[[#This Row],[2035]],"&gt;0")&gt;0,), AVERAGEIF($F66:Refsz_Verbräuche[[#This Row],[2035]],"&lt;&gt;"""), ""),IF(Startseite!$D$68=(Refsz_Verbräuche[[#Headers],[2040]]-1),Refsz_Verbräuche[[#This Row],[2035]],IF(Startseite!$D$68&lt;Refsz_Verbräuche[[#Headers],[2040]],Refsz_Verbräuche[[#This Row],[2035]],"")))</f>
        <v/>
      </c>
      <c r="X66" s="110" t="str">
        <f>IF(Refsz_Verbräuche[[#Headers],[2045]]=Startseite!$D$68,IF(OR(SUMIF($F66:Refsz_Verbräuche[[#This Row],[2040]],"&gt;0")&gt;0,), AVERAGEIF($F66:Refsz_Verbräuche[[#This Row],[2040]],"&lt;&gt;"""), ""),IF(Startseite!$D$68=(Refsz_Verbräuche[[#Headers],[2045]]-1),Refsz_Verbräuche[[#This Row],[2040]],IF(Startseite!$D$68&lt;Refsz_Verbräuche[[#Headers],[2045]],Refsz_Verbräuche[[#This Row],[2040]],"")))</f>
        <v/>
      </c>
      <c r="Y66" s="110" t="str">
        <f>IF(Refsz_Verbräuche[[#Headers],[2050]]=Startseite!$D$68,IF(OR(SUMIF($F66:Refsz_Verbräuche[[#This Row],[2045]],"&gt;0")&gt;0,), AVERAGEIF($F66:Refsz_Verbräuche[[#This Row],[2045]],"&lt;&gt;"""), ""),IF(Startseite!$D$68=(Refsz_Verbräuche[[#Headers],[2050]]-1),Refsz_Verbräuche[[#This Row],[2045]],IF(Startseite!$D$68&lt;Refsz_Verbräuche[[#Headers],[2050]],Refsz_Verbräuche[[#This Row],[2045]],"")))</f>
        <v/>
      </c>
      <c r="AA66" s="14"/>
    </row>
    <row r="67" spans="2:27">
      <c r="B67" s="14">
        <v>50</v>
      </c>
      <c r="C67" s="14" t="s">
        <v>510</v>
      </c>
      <c r="D67" s="9" t="str">
        <f>_xlfn.CONCAT(Startseite!E81," - Mietwägen (CNG)")</f>
        <v>DR - Mietwägen (CNG)</v>
      </c>
      <c r="E67" t="s">
        <v>379</v>
      </c>
      <c r="F67" s="110"/>
      <c r="G67" s="110"/>
      <c r="H67" s="110"/>
      <c r="I67" s="110"/>
      <c r="J67" s="110"/>
      <c r="K67" s="110"/>
      <c r="L67" s="110"/>
      <c r="M67" s="110" t="str">
        <f>IF(Refsz_Verbräuche[[#Headers],[2022]]=Startseite!$D$68,IF(OR(SUMIF($F67:Refsz_Verbräuche[[#This Row],[2021]],"&gt;0")&gt;0,), AVERAGEIF($F67:Refsz_Verbräuche[[#This Row],[2021]],"&lt;&gt;"""), ""),IF(Startseite!$D$68=(Refsz_Verbräuche[[#Headers],[2022]]-1),Refsz_Verbräuche[[#This Row],[2021]],IF(Startseite!$D$68&lt;Refsz_Verbräuche[[#Headers],[2022]],Refsz_Verbräuche[[#This Row],[2021]],"")))</f>
        <v/>
      </c>
      <c r="N67" s="110" t="str">
        <f>IF(Refsz_Verbräuche[[#Headers],[2023]]=Startseite!$D$68,IF(OR(SUMIF($F67:Refsz_Verbräuche[[#This Row],[2022]],"&gt;0")&gt;0,), AVERAGEIF($F67:Refsz_Verbräuche[[#This Row],[2022]],"&lt;&gt;"""), ""),IF(Startseite!$D$68=(Refsz_Verbräuche[[#Headers],[2023]]-1),Refsz_Verbräuche[[#This Row],[2022]],IF(Startseite!$D$68&lt;Refsz_Verbräuche[[#Headers],[2023]],Refsz_Verbräuche[[#This Row],[2022]],"")))</f>
        <v/>
      </c>
      <c r="O67" s="110" t="str">
        <f>IF(Refsz_Verbräuche[[#Headers],[2024]]=Startseite!$D$68,IF(OR(SUMIF($F67:Refsz_Verbräuche[[#This Row],[2023]],"&gt;0")&gt;0,), AVERAGEIF($F67:Refsz_Verbräuche[[#This Row],[2023]],"&lt;&gt;"""), ""),IF(Startseite!$D$68=(Refsz_Verbräuche[[#Headers],[2024]]-1),Refsz_Verbräuche[[#This Row],[2023]],IF(Startseite!$D$68&lt;Refsz_Verbräuche[[#Headers],[2024]],Refsz_Verbräuche[[#This Row],[2023]],"")))</f>
        <v/>
      </c>
      <c r="P67" s="110" t="str">
        <f>IF(Refsz_Verbräuche[[#Headers],[2025]]=Startseite!$D$68,IF(OR(SUMIF($F67:Refsz_Verbräuche[[#This Row],[2024]],"&gt;0")&gt;0,), AVERAGEIF($F67:Refsz_Verbräuche[[#This Row],[2024]],"&lt;&gt;"""), ""),IF(Startseite!$D$68=(Refsz_Verbräuche[[#Headers],[2025]]-1),Refsz_Verbräuche[[#This Row],[2024]],IF(Startseite!$D$68&lt;Refsz_Verbräuche[[#Headers],[2025]],Refsz_Verbräuche[[#This Row],[2024]],"")))</f>
        <v/>
      </c>
      <c r="Q67" s="110" t="str">
        <f>IF(Refsz_Verbräuche[[#Headers],[2026]]=Startseite!$D$68,IF(OR(SUMIF($F67:Refsz_Verbräuche[[#This Row],[2025]],"&gt;0")&gt;0,), AVERAGEIF($F67:Refsz_Verbräuche[[#This Row],[2025]],"&lt;&gt;"""), ""),IF(Startseite!$D$68=(Refsz_Verbräuche[[#Headers],[2026]]-1),Refsz_Verbräuche[[#This Row],[2025]],IF(Startseite!$D$68&lt;Refsz_Verbräuche[[#Headers],[2026]],Refsz_Verbräuche[[#This Row],[2025]],"")))</f>
        <v/>
      </c>
      <c r="R67" s="110" t="str">
        <f>IF(Refsz_Verbräuche[[#Headers],[2027]]=Startseite!$D$68,IF(OR(SUMIF($F67:Refsz_Verbräuche[[#This Row],[2026]],"&gt;0")&gt;0,), AVERAGEIF($F67:Refsz_Verbräuche[[#This Row],[2026]],"&lt;&gt;"""), ""),IF(Startseite!$D$68=(Refsz_Verbräuche[[#Headers],[2027]]-1),Refsz_Verbräuche[[#This Row],[2026]],IF(Startseite!$D$68&lt;Refsz_Verbräuche[[#Headers],[2027]],Refsz_Verbräuche[[#This Row],[2026]],"")))</f>
        <v/>
      </c>
      <c r="S67" s="110" t="str">
        <f>IF(Refsz_Verbräuche[[#Headers],[2028]]=Startseite!$D$68,IF(OR(SUMIF($F67:Refsz_Verbräuche[[#This Row],[2027]],"&gt;0")&gt;0,), AVERAGEIF($F67:Refsz_Verbräuche[[#This Row],[2027]],"&lt;&gt;"""), ""),IF(Startseite!$D$68=(Refsz_Verbräuche[[#Headers],[2028]]-1),Refsz_Verbräuche[[#This Row],[2027]],IF(Startseite!$D$68&lt;Refsz_Verbräuche[[#Headers],[2028]],Refsz_Verbräuche[[#This Row],[2027]],"")))</f>
        <v/>
      </c>
      <c r="T67" s="110" t="str">
        <f>IF(Refsz_Verbräuche[[#Headers],[2029]]=Startseite!$D$68,IF(OR(SUMIF($F67:Refsz_Verbräuche[[#This Row],[2028]],"&gt;0")&gt;0,), AVERAGEIF($F67:Refsz_Verbräuche[[#This Row],[2028]],"&lt;&gt;"""), ""),IF(Startseite!$D$68=(Refsz_Verbräuche[[#Headers],[2029]]-1),Refsz_Verbräuche[[#This Row],[2028]],IF(Startseite!$D$68&lt;Refsz_Verbräuche[[#Headers],[2029]],Refsz_Verbräuche[[#This Row],[2028]],"")))</f>
        <v/>
      </c>
      <c r="U67" s="110" t="str">
        <f>IF(Refsz_Verbräuche[[#Headers],[2030]]=Startseite!$D$68,IF(OR(SUMIF($F67:Refsz_Verbräuche[[#This Row],[2029]],"&gt;0")&gt;0,), AVERAGEIF($F67:Refsz_Verbräuche[[#This Row],[2029]],"&lt;&gt;"""), ""),IF(Startseite!$D$68=(Refsz_Verbräuche[[#Headers],[2030]]-1),Refsz_Verbräuche[[#This Row],[2029]],IF(Startseite!$D$68&lt;Refsz_Verbräuche[[#Headers],[2030]],Refsz_Verbräuche[[#This Row],[2029]],"")))</f>
        <v/>
      </c>
      <c r="V67" s="110" t="str">
        <f>IF(Refsz_Verbräuche[[#Headers],[2035]]=Startseite!$D$68,IF(OR(SUMIF($F67:Refsz_Verbräuche[[#This Row],[2030]],"&gt;0")&gt;0,), AVERAGEIF($F67:Refsz_Verbräuche[[#This Row],[2030]],"&lt;&gt;"""), ""),IF(Startseite!$D$68=(Refsz_Verbräuche[[#Headers],[2035]]-1),Refsz_Verbräuche[[#This Row],[2030]],IF(Startseite!$D$68&lt;Refsz_Verbräuche[[#Headers],[2035]],Refsz_Verbräuche[[#This Row],[2030]],"")))</f>
        <v/>
      </c>
      <c r="W67" s="110" t="str">
        <f>IF(Refsz_Verbräuche[[#Headers],[2040]]=Startseite!$D$68,IF(OR(SUMIF($F67:Refsz_Verbräuche[[#This Row],[2035]],"&gt;0")&gt;0,), AVERAGEIF($F67:Refsz_Verbräuche[[#This Row],[2035]],"&lt;&gt;"""), ""),IF(Startseite!$D$68=(Refsz_Verbräuche[[#Headers],[2040]]-1),Refsz_Verbräuche[[#This Row],[2035]],IF(Startseite!$D$68&lt;Refsz_Verbräuche[[#Headers],[2040]],Refsz_Verbräuche[[#This Row],[2035]],"")))</f>
        <v/>
      </c>
      <c r="X67" s="110" t="str">
        <f>IF(Refsz_Verbräuche[[#Headers],[2045]]=Startseite!$D$68,IF(OR(SUMIF($F67:Refsz_Verbräuche[[#This Row],[2040]],"&gt;0")&gt;0,), AVERAGEIF($F67:Refsz_Verbräuche[[#This Row],[2040]],"&lt;&gt;"""), ""),IF(Startseite!$D$68=(Refsz_Verbräuche[[#Headers],[2045]]-1),Refsz_Verbräuche[[#This Row],[2040]],IF(Startseite!$D$68&lt;Refsz_Verbräuche[[#Headers],[2045]],Refsz_Verbräuche[[#This Row],[2040]],"")))</f>
        <v/>
      </c>
      <c r="Y67" s="110" t="str">
        <f>IF(Refsz_Verbräuche[[#Headers],[2050]]=Startseite!$D$68,IF(OR(SUMIF($F67:Refsz_Verbräuche[[#This Row],[2045]],"&gt;0")&gt;0,), AVERAGEIF($F67:Refsz_Verbräuche[[#This Row],[2045]],"&lt;&gt;"""), ""),IF(Startseite!$D$68=(Refsz_Verbräuche[[#Headers],[2050]]-1),Refsz_Verbräuche[[#This Row],[2045]],IF(Startseite!$D$68&lt;Refsz_Verbräuche[[#Headers],[2050]],Refsz_Verbräuche[[#This Row],[2045]],"")))</f>
        <v/>
      </c>
      <c r="AA67" s="14"/>
    </row>
    <row r="68" spans="2:27">
      <c r="B68" s="14">
        <v>51</v>
      </c>
      <c r="C68" s="14" t="s">
        <v>510</v>
      </c>
      <c r="D68" s="9" t="str">
        <f>_xlfn.CONCAT(Startseite!E81," - Mietwägen (Plug-In-Hybrid/ PHEV)")</f>
        <v>DR - Mietwägen (Plug-In-Hybrid/ PHEV)</v>
      </c>
      <c r="E68" t="s">
        <v>379</v>
      </c>
      <c r="F68" s="110"/>
      <c r="G68" s="110"/>
      <c r="H68" s="110"/>
      <c r="I68" s="110"/>
      <c r="J68" s="110"/>
      <c r="K68" s="110"/>
      <c r="L68" s="110"/>
      <c r="M68" s="110" t="str">
        <f>IF(Refsz_Verbräuche[[#Headers],[2022]]=Startseite!$D$68,IF(OR(SUMIF($F68:Refsz_Verbräuche[[#This Row],[2021]],"&gt;0")&gt;0,), AVERAGEIF($F68:Refsz_Verbräuche[[#This Row],[2021]],"&lt;&gt;"""), ""),IF(Startseite!$D$68=(Refsz_Verbräuche[[#Headers],[2022]]-1),Refsz_Verbräuche[[#This Row],[2021]],IF(Startseite!$D$68&lt;Refsz_Verbräuche[[#Headers],[2022]],Refsz_Verbräuche[[#This Row],[2021]],"")))</f>
        <v/>
      </c>
      <c r="N68" s="110" t="str">
        <f>IF(Refsz_Verbräuche[[#Headers],[2023]]=Startseite!$D$68,IF(OR(SUMIF($F68:Refsz_Verbräuche[[#This Row],[2022]],"&gt;0")&gt;0,), AVERAGEIF($F68:Refsz_Verbräuche[[#This Row],[2022]],"&lt;&gt;"""), ""),IF(Startseite!$D$68=(Refsz_Verbräuche[[#Headers],[2023]]-1),Refsz_Verbräuche[[#This Row],[2022]],IF(Startseite!$D$68&lt;Refsz_Verbräuche[[#Headers],[2023]],Refsz_Verbräuche[[#This Row],[2022]],"")))</f>
        <v/>
      </c>
      <c r="O68" s="110" t="str">
        <f>IF(Refsz_Verbräuche[[#Headers],[2024]]=Startseite!$D$68,IF(OR(SUMIF($F68:Refsz_Verbräuche[[#This Row],[2023]],"&gt;0")&gt;0,), AVERAGEIF($F68:Refsz_Verbräuche[[#This Row],[2023]],"&lt;&gt;"""), ""),IF(Startseite!$D$68=(Refsz_Verbräuche[[#Headers],[2024]]-1),Refsz_Verbräuche[[#This Row],[2023]],IF(Startseite!$D$68&lt;Refsz_Verbräuche[[#Headers],[2024]],Refsz_Verbräuche[[#This Row],[2023]],"")))</f>
        <v/>
      </c>
      <c r="P68" s="110" t="str">
        <f>IF(Refsz_Verbräuche[[#Headers],[2025]]=Startseite!$D$68,IF(OR(SUMIF($F68:Refsz_Verbräuche[[#This Row],[2024]],"&gt;0")&gt;0,), AVERAGEIF($F68:Refsz_Verbräuche[[#This Row],[2024]],"&lt;&gt;"""), ""),IF(Startseite!$D$68=(Refsz_Verbräuche[[#Headers],[2025]]-1),Refsz_Verbräuche[[#This Row],[2024]],IF(Startseite!$D$68&lt;Refsz_Verbräuche[[#Headers],[2025]],Refsz_Verbräuche[[#This Row],[2024]],"")))</f>
        <v/>
      </c>
      <c r="Q68" s="110" t="str">
        <f>IF(Refsz_Verbräuche[[#Headers],[2026]]=Startseite!$D$68,IF(OR(SUMIF($F68:Refsz_Verbräuche[[#This Row],[2025]],"&gt;0")&gt;0,), AVERAGEIF($F68:Refsz_Verbräuche[[#This Row],[2025]],"&lt;&gt;"""), ""),IF(Startseite!$D$68=(Refsz_Verbräuche[[#Headers],[2026]]-1),Refsz_Verbräuche[[#This Row],[2025]],IF(Startseite!$D$68&lt;Refsz_Verbräuche[[#Headers],[2026]],Refsz_Verbräuche[[#This Row],[2025]],"")))</f>
        <v/>
      </c>
      <c r="R68" s="110" t="str">
        <f>IF(Refsz_Verbräuche[[#Headers],[2027]]=Startseite!$D$68,IF(OR(SUMIF($F68:Refsz_Verbräuche[[#This Row],[2026]],"&gt;0")&gt;0,), AVERAGEIF($F68:Refsz_Verbräuche[[#This Row],[2026]],"&lt;&gt;"""), ""),IF(Startseite!$D$68=(Refsz_Verbräuche[[#Headers],[2027]]-1),Refsz_Verbräuche[[#This Row],[2026]],IF(Startseite!$D$68&lt;Refsz_Verbräuche[[#Headers],[2027]],Refsz_Verbräuche[[#This Row],[2026]],"")))</f>
        <v/>
      </c>
      <c r="S68" s="110" t="str">
        <f>IF(Refsz_Verbräuche[[#Headers],[2028]]=Startseite!$D$68,IF(OR(SUMIF($F68:Refsz_Verbräuche[[#This Row],[2027]],"&gt;0")&gt;0,), AVERAGEIF($F68:Refsz_Verbräuche[[#This Row],[2027]],"&lt;&gt;"""), ""),IF(Startseite!$D$68=(Refsz_Verbräuche[[#Headers],[2028]]-1),Refsz_Verbräuche[[#This Row],[2027]],IF(Startseite!$D$68&lt;Refsz_Verbräuche[[#Headers],[2028]],Refsz_Verbräuche[[#This Row],[2027]],"")))</f>
        <v/>
      </c>
      <c r="T68" s="110" t="str">
        <f>IF(Refsz_Verbräuche[[#Headers],[2029]]=Startseite!$D$68,IF(OR(SUMIF($F68:Refsz_Verbräuche[[#This Row],[2028]],"&gt;0")&gt;0,), AVERAGEIF($F68:Refsz_Verbräuche[[#This Row],[2028]],"&lt;&gt;"""), ""),IF(Startseite!$D$68=(Refsz_Verbräuche[[#Headers],[2029]]-1),Refsz_Verbräuche[[#This Row],[2028]],IF(Startseite!$D$68&lt;Refsz_Verbräuche[[#Headers],[2029]],Refsz_Verbräuche[[#This Row],[2028]],"")))</f>
        <v/>
      </c>
      <c r="U68" s="110" t="str">
        <f>IF(Refsz_Verbräuche[[#Headers],[2030]]=Startseite!$D$68,IF(OR(SUMIF($F68:Refsz_Verbräuche[[#This Row],[2029]],"&gt;0")&gt;0,), AVERAGEIF($F68:Refsz_Verbräuche[[#This Row],[2029]],"&lt;&gt;"""), ""),IF(Startseite!$D$68=(Refsz_Verbräuche[[#Headers],[2030]]-1),Refsz_Verbräuche[[#This Row],[2029]],IF(Startseite!$D$68&lt;Refsz_Verbräuche[[#Headers],[2030]],Refsz_Verbräuche[[#This Row],[2029]],"")))</f>
        <v/>
      </c>
      <c r="V68" s="110" t="str">
        <f>IF(Refsz_Verbräuche[[#Headers],[2035]]=Startseite!$D$68,IF(OR(SUMIF($F68:Refsz_Verbräuche[[#This Row],[2030]],"&gt;0")&gt;0,), AVERAGEIF($F68:Refsz_Verbräuche[[#This Row],[2030]],"&lt;&gt;"""), ""),IF(Startseite!$D$68=(Refsz_Verbräuche[[#Headers],[2035]]-1),Refsz_Verbräuche[[#This Row],[2030]],IF(Startseite!$D$68&lt;Refsz_Verbräuche[[#Headers],[2035]],Refsz_Verbräuche[[#This Row],[2030]],"")))</f>
        <v/>
      </c>
      <c r="W68" s="110" t="str">
        <f>IF(Refsz_Verbräuche[[#Headers],[2040]]=Startseite!$D$68,IF(OR(SUMIF($F68:Refsz_Verbräuche[[#This Row],[2035]],"&gt;0")&gt;0,), AVERAGEIF($F68:Refsz_Verbräuche[[#This Row],[2035]],"&lt;&gt;"""), ""),IF(Startseite!$D$68=(Refsz_Verbräuche[[#Headers],[2040]]-1),Refsz_Verbräuche[[#This Row],[2035]],IF(Startseite!$D$68&lt;Refsz_Verbräuche[[#Headers],[2040]],Refsz_Verbräuche[[#This Row],[2035]],"")))</f>
        <v/>
      </c>
      <c r="X68" s="110" t="str">
        <f>IF(Refsz_Verbräuche[[#Headers],[2045]]=Startseite!$D$68,IF(OR(SUMIF($F68:Refsz_Verbräuche[[#This Row],[2040]],"&gt;0")&gt;0,), AVERAGEIF($F68:Refsz_Verbräuche[[#This Row],[2040]],"&lt;&gt;"""), ""),IF(Startseite!$D$68=(Refsz_Verbräuche[[#Headers],[2045]]-1),Refsz_Verbräuche[[#This Row],[2040]],IF(Startseite!$D$68&lt;Refsz_Verbräuche[[#Headers],[2045]],Refsz_Verbräuche[[#This Row],[2040]],"")))</f>
        <v/>
      </c>
      <c r="Y68" s="110" t="str">
        <f>IF(Refsz_Verbräuche[[#Headers],[2050]]=Startseite!$D$68,IF(OR(SUMIF($F68:Refsz_Verbräuche[[#This Row],[2045]],"&gt;0")&gt;0,), AVERAGEIF($F68:Refsz_Verbräuche[[#This Row],[2045]],"&lt;&gt;"""), ""),IF(Startseite!$D$68=(Refsz_Verbräuche[[#Headers],[2050]]-1),Refsz_Verbräuche[[#This Row],[2045]],IF(Startseite!$D$68&lt;Refsz_Verbräuche[[#Headers],[2050]],Refsz_Verbräuche[[#This Row],[2045]],"")))</f>
        <v/>
      </c>
      <c r="AA68" s="14"/>
    </row>
    <row r="69" spans="2:27">
      <c r="B69" s="14">
        <v>52</v>
      </c>
      <c r="C69" s="14" t="s">
        <v>510</v>
      </c>
      <c r="D69" s="9" t="str">
        <f>_xlfn.CONCAT(Startseite!E81," - E-Bike")</f>
        <v>DR - E-Bike</v>
      </c>
      <c r="E69" t="s">
        <v>379</v>
      </c>
      <c r="F69" s="110"/>
      <c r="G69" s="110"/>
      <c r="H69" s="110"/>
      <c r="I69" s="110"/>
      <c r="J69" s="110"/>
      <c r="K69" s="110"/>
      <c r="L69" s="110"/>
      <c r="M69" s="110" t="str">
        <f>IF(Refsz_Verbräuche[[#Headers],[2022]]=Startseite!$D$68,IF(OR(SUMIF($F69:Refsz_Verbräuche[[#This Row],[2021]],"&gt;0")&gt;0,), AVERAGEIF($F69:Refsz_Verbräuche[[#This Row],[2021]],"&lt;&gt;"""), ""),IF(Startseite!$D$68=(Refsz_Verbräuche[[#Headers],[2022]]-1),Refsz_Verbräuche[[#This Row],[2021]],IF(Startseite!$D$68&lt;Refsz_Verbräuche[[#Headers],[2022]],Refsz_Verbräuche[[#This Row],[2021]],"")))</f>
        <v/>
      </c>
      <c r="N69" s="110" t="str">
        <f>IF(Refsz_Verbräuche[[#Headers],[2023]]=Startseite!$D$68,IF(OR(SUMIF($F69:Refsz_Verbräuche[[#This Row],[2022]],"&gt;0")&gt;0,), AVERAGEIF($F69:Refsz_Verbräuche[[#This Row],[2022]],"&lt;&gt;"""), ""),IF(Startseite!$D$68=(Refsz_Verbräuche[[#Headers],[2023]]-1),Refsz_Verbräuche[[#This Row],[2022]],IF(Startseite!$D$68&lt;Refsz_Verbräuche[[#Headers],[2023]],Refsz_Verbräuche[[#This Row],[2022]],"")))</f>
        <v/>
      </c>
      <c r="O69" s="110" t="str">
        <f>IF(Refsz_Verbräuche[[#Headers],[2024]]=Startseite!$D$68,IF(OR(SUMIF($F69:Refsz_Verbräuche[[#This Row],[2023]],"&gt;0")&gt;0,), AVERAGEIF($F69:Refsz_Verbräuche[[#This Row],[2023]],"&lt;&gt;"""), ""),IF(Startseite!$D$68=(Refsz_Verbräuche[[#Headers],[2024]]-1),Refsz_Verbräuche[[#This Row],[2023]],IF(Startseite!$D$68&lt;Refsz_Verbräuche[[#Headers],[2024]],Refsz_Verbräuche[[#This Row],[2023]],"")))</f>
        <v/>
      </c>
      <c r="P69" s="110" t="str">
        <f>IF(Refsz_Verbräuche[[#Headers],[2025]]=Startseite!$D$68,IF(OR(SUMIF($F69:Refsz_Verbräuche[[#This Row],[2024]],"&gt;0")&gt;0,), AVERAGEIF($F69:Refsz_Verbräuche[[#This Row],[2024]],"&lt;&gt;"""), ""),IF(Startseite!$D$68=(Refsz_Verbräuche[[#Headers],[2025]]-1),Refsz_Verbräuche[[#This Row],[2024]],IF(Startseite!$D$68&lt;Refsz_Verbräuche[[#Headers],[2025]],Refsz_Verbräuche[[#This Row],[2024]],"")))</f>
        <v/>
      </c>
      <c r="Q69" s="110" t="str">
        <f>IF(Refsz_Verbräuche[[#Headers],[2026]]=Startseite!$D$68,IF(OR(SUMIF($F69:Refsz_Verbräuche[[#This Row],[2025]],"&gt;0")&gt;0,), AVERAGEIF($F69:Refsz_Verbräuche[[#This Row],[2025]],"&lt;&gt;"""), ""),IF(Startseite!$D$68=(Refsz_Verbräuche[[#Headers],[2026]]-1),Refsz_Verbräuche[[#This Row],[2025]],IF(Startseite!$D$68&lt;Refsz_Verbräuche[[#Headers],[2026]],Refsz_Verbräuche[[#This Row],[2025]],"")))</f>
        <v/>
      </c>
      <c r="R69" s="110" t="str">
        <f>IF(Refsz_Verbräuche[[#Headers],[2027]]=Startseite!$D$68,IF(OR(SUMIF($F69:Refsz_Verbräuche[[#This Row],[2026]],"&gt;0")&gt;0,), AVERAGEIF($F69:Refsz_Verbräuche[[#This Row],[2026]],"&lt;&gt;"""), ""),IF(Startseite!$D$68=(Refsz_Verbräuche[[#Headers],[2027]]-1),Refsz_Verbräuche[[#This Row],[2026]],IF(Startseite!$D$68&lt;Refsz_Verbräuche[[#Headers],[2027]],Refsz_Verbräuche[[#This Row],[2026]],"")))</f>
        <v/>
      </c>
      <c r="S69" s="110" t="str">
        <f>IF(Refsz_Verbräuche[[#Headers],[2028]]=Startseite!$D$68,IF(OR(SUMIF($F69:Refsz_Verbräuche[[#This Row],[2027]],"&gt;0")&gt;0,), AVERAGEIF($F69:Refsz_Verbräuche[[#This Row],[2027]],"&lt;&gt;"""), ""),IF(Startseite!$D$68=(Refsz_Verbräuche[[#Headers],[2028]]-1),Refsz_Verbräuche[[#This Row],[2027]],IF(Startseite!$D$68&lt;Refsz_Verbräuche[[#Headers],[2028]],Refsz_Verbräuche[[#This Row],[2027]],"")))</f>
        <v/>
      </c>
      <c r="T69" s="110" t="str">
        <f>IF(Refsz_Verbräuche[[#Headers],[2029]]=Startseite!$D$68,IF(OR(SUMIF($F69:Refsz_Verbräuche[[#This Row],[2028]],"&gt;0")&gt;0,), AVERAGEIF($F69:Refsz_Verbräuche[[#This Row],[2028]],"&lt;&gt;"""), ""),IF(Startseite!$D$68=(Refsz_Verbräuche[[#Headers],[2029]]-1),Refsz_Verbräuche[[#This Row],[2028]],IF(Startseite!$D$68&lt;Refsz_Verbräuche[[#Headers],[2029]],Refsz_Verbräuche[[#This Row],[2028]],"")))</f>
        <v/>
      </c>
      <c r="U69" s="110" t="str">
        <f>IF(Refsz_Verbräuche[[#Headers],[2030]]=Startseite!$D$68,IF(OR(SUMIF($F69:Refsz_Verbräuche[[#This Row],[2029]],"&gt;0")&gt;0,), AVERAGEIF($F69:Refsz_Verbräuche[[#This Row],[2029]],"&lt;&gt;"""), ""),IF(Startseite!$D$68=(Refsz_Verbräuche[[#Headers],[2030]]-1),Refsz_Verbräuche[[#This Row],[2029]],IF(Startseite!$D$68&lt;Refsz_Verbräuche[[#Headers],[2030]],Refsz_Verbräuche[[#This Row],[2029]],"")))</f>
        <v/>
      </c>
      <c r="V69" s="110" t="str">
        <f>IF(Refsz_Verbräuche[[#Headers],[2035]]=Startseite!$D$68,IF(OR(SUMIF($F69:Refsz_Verbräuche[[#This Row],[2030]],"&gt;0")&gt;0,), AVERAGEIF($F69:Refsz_Verbräuche[[#This Row],[2030]],"&lt;&gt;"""), ""),IF(Startseite!$D$68=(Refsz_Verbräuche[[#Headers],[2035]]-1),Refsz_Verbräuche[[#This Row],[2030]],IF(Startseite!$D$68&lt;Refsz_Verbräuche[[#Headers],[2035]],Refsz_Verbräuche[[#This Row],[2030]],"")))</f>
        <v/>
      </c>
      <c r="W69" s="110" t="str">
        <f>IF(Refsz_Verbräuche[[#Headers],[2040]]=Startseite!$D$68,IF(OR(SUMIF($F69:Refsz_Verbräuche[[#This Row],[2035]],"&gt;0")&gt;0,), AVERAGEIF($F69:Refsz_Verbräuche[[#This Row],[2035]],"&lt;&gt;"""), ""),IF(Startseite!$D$68=(Refsz_Verbräuche[[#Headers],[2040]]-1),Refsz_Verbräuche[[#This Row],[2035]],IF(Startseite!$D$68&lt;Refsz_Verbräuche[[#Headers],[2040]],Refsz_Verbräuche[[#This Row],[2035]],"")))</f>
        <v/>
      </c>
      <c r="X69" s="110" t="str">
        <f>IF(Refsz_Verbräuche[[#Headers],[2045]]=Startseite!$D$68,IF(OR(SUMIF($F69:Refsz_Verbräuche[[#This Row],[2040]],"&gt;0")&gt;0,), AVERAGEIF($F69:Refsz_Verbräuche[[#This Row],[2040]],"&lt;&gt;"""), ""),IF(Startseite!$D$68=(Refsz_Verbräuche[[#Headers],[2045]]-1),Refsz_Verbräuche[[#This Row],[2040]],IF(Startseite!$D$68&lt;Refsz_Verbräuche[[#Headers],[2045]],Refsz_Verbräuche[[#This Row],[2040]],"")))</f>
        <v/>
      </c>
      <c r="Y69" s="110" t="str">
        <f>IF(Refsz_Verbräuche[[#Headers],[2050]]=Startseite!$D$68,IF(OR(SUMIF($F69:Refsz_Verbräuche[[#This Row],[2045]],"&gt;0")&gt;0,), AVERAGEIF($F69:Refsz_Verbräuche[[#This Row],[2045]],"&lt;&gt;"""), ""),IF(Startseite!$D$68=(Refsz_Verbräuche[[#Headers],[2050]]-1),Refsz_Verbräuche[[#This Row],[2045]],IF(Startseite!$D$68&lt;Refsz_Verbräuche[[#Headers],[2050]],Refsz_Verbräuche[[#This Row],[2045]],"")))</f>
        <v/>
      </c>
      <c r="AA69" s="14"/>
    </row>
    <row r="70" spans="2:27">
      <c r="B70" s="14">
        <v>53</v>
      </c>
      <c r="C70" s="14" t="s">
        <v>510</v>
      </c>
      <c r="D70" s="9" t="str">
        <f>_xlfn.CONCAT(Startseite!E81," - Fahrrad")</f>
        <v>DR - Fahrrad</v>
      </c>
      <c r="E70" t="s">
        <v>379</v>
      </c>
      <c r="F70" s="110"/>
      <c r="G70" s="110"/>
      <c r="H70" s="110"/>
      <c r="I70" s="110"/>
      <c r="J70" s="110"/>
      <c r="K70" s="110"/>
      <c r="L70" s="110"/>
      <c r="M70" s="110" t="str">
        <f>IF(Refsz_Verbräuche[[#Headers],[2022]]=Startseite!$D$68,IF(OR(SUMIF($F70:Refsz_Verbräuche[[#This Row],[2021]],"&gt;0")&gt;0,), AVERAGEIF($F70:Refsz_Verbräuche[[#This Row],[2021]],"&lt;&gt;"""), ""),IF(Startseite!$D$68=(Refsz_Verbräuche[[#Headers],[2022]]-1),Refsz_Verbräuche[[#This Row],[2021]],IF(Startseite!$D$68&lt;Refsz_Verbräuche[[#Headers],[2022]],Refsz_Verbräuche[[#This Row],[2021]],"")))</f>
        <v/>
      </c>
      <c r="N70" s="110" t="str">
        <f>IF(Refsz_Verbräuche[[#Headers],[2023]]=Startseite!$D$68,IF(OR(SUMIF($F70:Refsz_Verbräuche[[#This Row],[2022]],"&gt;0")&gt;0,), AVERAGEIF($F70:Refsz_Verbräuche[[#This Row],[2022]],"&lt;&gt;"""), ""),IF(Startseite!$D$68=(Refsz_Verbräuche[[#Headers],[2023]]-1),Refsz_Verbräuche[[#This Row],[2022]],IF(Startseite!$D$68&lt;Refsz_Verbräuche[[#Headers],[2023]],Refsz_Verbräuche[[#This Row],[2022]],"")))</f>
        <v/>
      </c>
      <c r="O70" s="110" t="str">
        <f>IF(Refsz_Verbräuche[[#Headers],[2024]]=Startseite!$D$68,IF(OR(SUMIF($F70:Refsz_Verbräuche[[#This Row],[2023]],"&gt;0")&gt;0,), AVERAGEIF($F70:Refsz_Verbräuche[[#This Row],[2023]],"&lt;&gt;"""), ""),IF(Startseite!$D$68=(Refsz_Verbräuche[[#Headers],[2024]]-1),Refsz_Verbräuche[[#This Row],[2023]],IF(Startseite!$D$68&lt;Refsz_Verbräuche[[#Headers],[2024]],Refsz_Verbräuche[[#This Row],[2023]],"")))</f>
        <v/>
      </c>
      <c r="P70" s="110" t="str">
        <f>IF(Refsz_Verbräuche[[#Headers],[2025]]=Startseite!$D$68,IF(OR(SUMIF($F70:Refsz_Verbräuche[[#This Row],[2024]],"&gt;0")&gt;0,), AVERAGEIF($F70:Refsz_Verbräuche[[#This Row],[2024]],"&lt;&gt;"""), ""),IF(Startseite!$D$68=(Refsz_Verbräuche[[#Headers],[2025]]-1),Refsz_Verbräuche[[#This Row],[2024]],IF(Startseite!$D$68&lt;Refsz_Verbräuche[[#Headers],[2025]],Refsz_Verbräuche[[#This Row],[2024]],"")))</f>
        <v/>
      </c>
      <c r="Q70" s="110" t="str">
        <f>IF(Refsz_Verbräuche[[#Headers],[2026]]=Startseite!$D$68,IF(OR(SUMIF($F70:Refsz_Verbräuche[[#This Row],[2025]],"&gt;0")&gt;0,), AVERAGEIF($F70:Refsz_Verbräuche[[#This Row],[2025]],"&lt;&gt;"""), ""),IF(Startseite!$D$68=(Refsz_Verbräuche[[#Headers],[2026]]-1),Refsz_Verbräuche[[#This Row],[2025]],IF(Startseite!$D$68&lt;Refsz_Verbräuche[[#Headers],[2026]],Refsz_Verbräuche[[#This Row],[2025]],"")))</f>
        <v/>
      </c>
      <c r="R70" s="110" t="str">
        <f>IF(Refsz_Verbräuche[[#Headers],[2027]]=Startseite!$D$68,IF(OR(SUMIF($F70:Refsz_Verbräuche[[#This Row],[2026]],"&gt;0")&gt;0,), AVERAGEIF($F70:Refsz_Verbräuche[[#This Row],[2026]],"&lt;&gt;"""), ""),IF(Startseite!$D$68=(Refsz_Verbräuche[[#Headers],[2027]]-1),Refsz_Verbräuche[[#This Row],[2026]],IF(Startseite!$D$68&lt;Refsz_Verbräuche[[#Headers],[2027]],Refsz_Verbräuche[[#This Row],[2026]],"")))</f>
        <v/>
      </c>
      <c r="S70" s="110" t="str">
        <f>IF(Refsz_Verbräuche[[#Headers],[2028]]=Startseite!$D$68,IF(OR(SUMIF($F70:Refsz_Verbräuche[[#This Row],[2027]],"&gt;0")&gt;0,), AVERAGEIF($F70:Refsz_Verbräuche[[#This Row],[2027]],"&lt;&gt;"""), ""),IF(Startseite!$D$68=(Refsz_Verbräuche[[#Headers],[2028]]-1),Refsz_Verbräuche[[#This Row],[2027]],IF(Startseite!$D$68&lt;Refsz_Verbräuche[[#Headers],[2028]],Refsz_Verbräuche[[#This Row],[2027]],"")))</f>
        <v/>
      </c>
      <c r="T70" s="110" t="str">
        <f>IF(Refsz_Verbräuche[[#Headers],[2029]]=Startseite!$D$68,IF(OR(SUMIF($F70:Refsz_Verbräuche[[#This Row],[2028]],"&gt;0")&gt;0,), AVERAGEIF($F70:Refsz_Verbräuche[[#This Row],[2028]],"&lt;&gt;"""), ""),IF(Startseite!$D$68=(Refsz_Verbräuche[[#Headers],[2029]]-1),Refsz_Verbräuche[[#This Row],[2028]],IF(Startseite!$D$68&lt;Refsz_Verbräuche[[#Headers],[2029]],Refsz_Verbräuche[[#This Row],[2028]],"")))</f>
        <v/>
      </c>
      <c r="U70" s="110" t="str">
        <f>IF(Refsz_Verbräuche[[#Headers],[2030]]=Startseite!$D$68,IF(OR(SUMIF($F70:Refsz_Verbräuche[[#This Row],[2029]],"&gt;0")&gt;0,), AVERAGEIF($F70:Refsz_Verbräuche[[#This Row],[2029]],"&lt;&gt;"""), ""),IF(Startseite!$D$68=(Refsz_Verbräuche[[#Headers],[2030]]-1),Refsz_Verbräuche[[#This Row],[2029]],IF(Startseite!$D$68&lt;Refsz_Verbräuche[[#Headers],[2030]],Refsz_Verbräuche[[#This Row],[2029]],"")))</f>
        <v/>
      </c>
      <c r="V70" s="110" t="str">
        <f>IF(Refsz_Verbräuche[[#Headers],[2035]]=Startseite!$D$68,IF(OR(SUMIF($F70:Refsz_Verbräuche[[#This Row],[2030]],"&gt;0")&gt;0,), AVERAGEIF($F70:Refsz_Verbräuche[[#This Row],[2030]],"&lt;&gt;"""), ""),IF(Startseite!$D$68=(Refsz_Verbräuche[[#Headers],[2035]]-1),Refsz_Verbräuche[[#This Row],[2030]],IF(Startseite!$D$68&lt;Refsz_Verbräuche[[#Headers],[2035]],Refsz_Verbräuche[[#This Row],[2030]],"")))</f>
        <v/>
      </c>
      <c r="W70" s="110" t="str">
        <f>IF(Refsz_Verbräuche[[#Headers],[2040]]=Startseite!$D$68,IF(OR(SUMIF($F70:Refsz_Verbräuche[[#This Row],[2035]],"&gt;0")&gt;0,), AVERAGEIF($F70:Refsz_Verbräuche[[#This Row],[2035]],"&lt;&gt;"""), ""),IF(Startseite!$D$68=(Refsz_Verbräuche[[#Headers],[2040]]-1),Refsz_Verbräuche[[#This Row],[2035]],IF(Startseite!$D$68&lt;Refsz_Verbräuche[[#Headers],[2040]],Refsz_Verbräuche[[#This Row],[2035]],"")))</f>
        <v/>
      </c>
      <c r="X70" s="110" t="str">
        <f>IF(Refsz_Verbräuche[[#Headers],[2045]]=Startseite!$D$68,IF(OR(SUMIF($F70:Refsz_Verbräuche[[#This Row],[2040]],"&gt;0")&gt;0,), AVERAGEIF($F70:Refsz_Verbräuche[[#This Row],[2040]],"&lt;&gt;"""), ""),IF(Startseite!$D$68=(Refsz_Verbräuche[[#Headers],[2045]]-1),Refsz_Verbräuche[[#This Row],[2040]],IF(Startseite!$D$68&lt;Refsz_Verbräuche[[#Headers],[2045]],Refsz_Verbräuche[[#This Row],[2040]],"")))</f>
        <v/>
      </c>
      <c r="Y70" s="110" t="str">
        <f>IF(Refsz_Verbräuche[[#Headers],[2050]]=Startseite!$D$68,IF(OR(SUMIF($F70:Refsz_Verbräuche[[#This Row],[2045]],"&gt;0")&gt;0,), AVERAGEIF($F70:Refsz_Verbräuche[[#This Row],[2045]],"&lt;&gt;"""), ""),IF(Startseite!$D$68=(Refsz_Verbräuche[[#Headers],[2050]]-1),Refsz_Verbräuche[[#This Row],[2045]],IF(Startseite!$D$68&lt;Refsz_Verbräuche[[#Headers],[2050]],Refsz_Verbräuche[[#This Row],[2045]],"")))</f>
        <v/>
      </c>
      <c r="AA70" s="14"/>
    </row>
    <row r="71" spans="2:27">
      <c r="B71" s="14">
        <v>54</v>
      </c>
      <c r="C71" s="14"/>
      <c r="D71" s="9"/>
      <c r="F71" s="110"/>
      <c r="G71" s="110"/>
      <c r="H71" s="110"/>
      <c r="I71" s="110"/>
      <c r="J71" s="110"/>
      <c r="K71" s="110"/>
      <c r="L71" s="110"/>
      <c r="M71" s="110" t="str">
        <f>IF(Refsz_Verbräuche[[#Headers],[2022]]=Startseite!$D$68,IF(OR(SUMIF($F71:Refsz_Verbräuche[[#This Row],[2021]],"&gt;0")&gt;0,), AVERAGEIF($F71:Refsz_Verbräuche[[#This Row],[2021]],"&lt;&gt;"""), ""),IF(Startseite!$D$68=(Refsz_Verbräuche[[#Headers],[2022]]-1),Refsz_Verbräuche[[#This Row],[2021]],IF(Startseite!$D$68&lt;Refsz_Verbräuche[[#Headers],[2022]],Refsz_Verbräuche[[#This Row],[2021]],"")))</f>
        <v/>
      </c>
      <c r="N71" s="110" t="str">
        <f>IF(Refsz_Verbräuche[[#Headers],[2023]]=Startseite!$D$68,IF(OR(SUMIF($F71:Refsz_Verbräuche[[#This Row],[2022]],"&gt;0")&gt;0,), AVERAGEIF($F71:Refsz_Verbräuche[[#This Row],[2022]],"&lt;&gt;"""), ""),IF(Startseite!$D$68=(Refsz_Verbräuche[[#Headers],[2023]]-1),Refsz_Verbräuche[[#This Row],[2022]],IF(Startseite!$D$68&lt;Refsz_Verbräuche[[#Headers],[2023]],Refsz_Verbräuche[[#This Row],[2022]],"")))</f>
        <v/>
      </c>
      <c r="O71" s="110" t="str">
        <f>IF(Refsz_Verbräuche[[#Headers],[2024]]=Startseite!$D$68,IF(OR(SUMIF($F71:Refsz_Verbräuche[[#This Row],[2023]],"&gt;0")&gt;0,), AVERAGEIF($F71:Refsz_Verbräuche[[#This Row],[2023]],"&lt;&gt;"""), ""),IF(Startseite!$D$68=(Refsz_Verbräuche[[#Headers],[2024]]-1),Refsz_Verbräuche[[#This Row],[2023]],IF(Startseite!$D$68&lt;Refsz_Verbräuche[[#Headers],[2024]],Refsz_Verbräuche[[#This Row],[2023]],"")))</f>
        <v/>
      </c>
      <c r="P71" s="110" t="str">
        <f>IF(Refsz_Verbräuche[[#Headers],[2025]]=Startseite!$D$68,IF(OR(SUMIF($F71:Refsz_Verbräuche[[#This Row],[2024]],"&gt;0")&gt;0,), AVERAGEIF($F71:Refsz_Verbräuche[[#This Row],[2024]],"&lt;&gt;"""), ""),IF(Startseite!$D$68=(Refsz_Verbräuche[[#Headers],[2025]]-1),Refsz_Verbräuche[[#This Row],[2024]],IF(Startseite!$D$68&lt;Refsz_Verbräuche[[#Headers],[2025]],Refsz_Verbräuche[[#This Row],[2024]],"")))</f>
        <v/>
      </c>
      <c r="Q71" s="110" t="str">
        <f>IF(Refsz_Verbräuche[[#Headers],[2026]]=Startseite!$D$68,IF(OR(SUMIF($F71:Refsz_Verbräuche[[#This Row],[2025]],"&gt;0")&gt;0,), AVERAGEIF($F71:Refsz_Verbräuche[[#This Row],[2025]],"&lt;&gt;"""), ""),IF(Startseite!$D$68=(Refsz_Verbräuche[[#Headers],[2026]]-1),Refsz_Verbräuche[[#This Row],[2025]],IF(Startseite!$D$68&lt;Refsz_Verbräuche[[#Headers],[2026]],Refsz_Verbräuche[[#This Row],[2025]],"")))</f>
        <v/>
      </c>
      <c r="R71" s="110" t="str">
        <f>IF(Refsz_Verbräuche[[#Headers],[2027]]=Startseite!$D$68,IF(OR(SUMIF($F71:Refsz_Verbräuche[[#This Row],[2026]],"&gt;0")&gt;0,), AVERAGEIF($F71:Refsz_Verbräuche[[#This Row],[2026]],"&lt;&gt;"""), ""),IF(Startseite!$D$68=(Refsz_Verbräuche[[#Headers],[2027]]-1),Refsz_Verbräuche[[#This Row],[2026]],IF(Startseite!$D$68&lt;Refsz_Verbräuche[[#Headers],[2027]],Refsz_Verbräuche[[#This Row],[2026]],"")))</f>
        <v/>
      </c>
      <c r="S71" s="110" t="str">
        <f>IF(Refsz_Verbräuche[[#Headers],[2028]]=Startseite!$D$68,IF(OR(SUMIF($F71:Refsz_Verbräuche[[#This Row],[2027]],"&gt;0")&gt;0,), AVERAGEIF($F71:Refsz_Verbräuche[[#This Row],[2027]],"&lt;&gt;"""), ""),IF(Startseite!$D$68=(Refsz_Verbräuche[[#Headers],[2028]]-1),Refsz_Verbräuche[[#This Row],[2027]],IF(Startseite!$D$68&lt;Refsz_Verbräuche[[#Headers],[2028]],Refsz_Verbräuche[[#This Row],[2027]],"")))</f>
        <v/>
      </c>
      <c r="T71" s="110" t="str">
        <f>IF(Refsz_Verbräuche[[#Headers],[2029]]=Startseite!$D$68,IF(OR(SUMIF($F71:Refsz_Verbräuche[[#This Row],[2028]],"&gt;0")&gt;0,), AVERAGEIF($F71:Refsz_Verbräuche[[#This Row],[2028]],"&lt;&gt;"""), ""),IF(Startseite!$D$68=(Refsz_Verbräuche[[#Headers],[2029]]-1),Refsz_Verbräuche[[#This Row],[2028]],IF(Startseite!$D$68&lt;Refsz_Verbräuche[[#Headers],[2029]],Refsz_Verbräuche[[#This Row],[2028]],"")))</f>
        <v/>
      </c>
      <c r="U71" s="110" t="str">
        <f>IF(Refsz_Verbräuche[[#Headers],[2030]]=Startseite!$D$68,IF(OR(SUMIF($F71:Refsz_Verbräuche[[#This Row],[2029]],"&gt;0")&gt;0,), AVERAGEIF($F71:Refsz_Verbräuche[[#This Row],[2029]],"&lt;&gt;"""), ""),IF(Startseite!$D$68=(Refsz_Verbräuche[[#Headers],[2030]]-1),Refsz_Verbräuche[[#This Row],[2029]],IF(Startseite!$D$68&lt;Refsz_Verbräuche[[#Headers],[2030]],Refsz_Verbräuche[[#This Row],[2029]],"")))</f>
        <v/>
      </c>
      <c r="V71" s="110" t="str">
        <f>IF(Refsz_Verbräuche[[#Headers],[2035]]=Startseite!$D$68,IF(OR(SUMIF($F71:Refsz_Verbräuche[[#This Row],[2030]],"&gt;0")&gt;0,), AVERAGEIF($F71:Refsz_Verbräuche[[#This Row],[2030]],"&lt;&gt;"""), ""),IF(Startseite!$D$68=(Refsz_Verbräuche[[#Headers],[2035]]-1),Refsz_Verbräuche[[#This Row],[2030]],IF(Startseite!$D$68&lt;Refsz_Verbräuche[[#Headers],[2035]],Refsz_Verbräuche[[#This Row],[2030]],"")))</f>
        <v/>
      </c>
      <c r="W71" s="110" t="str">
        <f>IF(Refsz_Verbräuche[[#Headers],[2040]]=Startseite!$D$68,IF(OR(SUMIF($F71:Refsz_Verbräuche[[#This Row],[2035]],"&gt;0")&gt;0,), AVERAGEIF($F71:Refsz_Verbräuche[[#This Row],[2035]],"&lt;&gt;"""), ""),IF(Startseite!$D$68=(Refsz_Verbräuche[[#Headers],[2040]]-1),Refsz_Verbräuche[[#This Row],[2035]],IF(Startseite!$D$68&lt;Refsz_Verbräuche[[#Headers],[2040]],Refsz_Verbräuche[[#This Row],[2035]],"")))</f>
        <v/>
      </c>
      <c r="X71" s="110" t="str">
        <f>IF(Refsz_Verbräuche[[#Headers],[2045]]=Startseite!$D$68,IF(OR(SUMIF($F71:Refsz_Verbräuche[[#This Row],[2040]],"&gt;0")&gt;0,), AVERAGEIF($F71:Refsz_Verbräuche[[#This Row],[2040]],"&lt;&gt;"""), ""),IF(Startseite!$D$68=(Refsz_Verbräuche[[#Headers],[2045]]-1),Refsz_Verbräuche[[#This Row],[2040]],IF(Startseite!$D$68&lt;Refsz_Verbräuche[[#Headers],[2045]],Refsz_Verbräuche[[#This Row],[2040]],"")))</f>
        <v/>
      </c>
      <c r="Y71" s="110" t="str">
        <f>IF(Refsz_Verbräuche[[#Headers],[2050]]=Startseite!$D$68,IF(OR(SUMIF($F71:Refsz_Verbräuche[[#This Row],[2045]],"&gt;0")&gt;0,), AVERAGEIF($F71:Refsz_Verbräuche[[#This Row],[2045]],"&lt;&gt;"""), ""),IF(Startseite!$D$68=(Refsz_Verbräuche[[#Headers],[2050]]-1),Refsz_Verbräuche[[#This Row],[2045]],IF(Startseite!$D$68&lt;Refsz_Verbräuche[[#Headers],[2050]],Refsz_Verbräuche[[#This Row],[2045]],"")))</f>
        <v/>
      </c>
      <c r="AA71" s="14"/>
    </row>
    <row r="72" spans="2:27">
      <c r="B72" s="14">
        <v>55</v>
      </c>
      <c r="C72" s="14" t="s">
        <v>510</v>
      </c>
      <c r="D72" s="9" t="str">
        <f>_xlfn.CONCAT(Startseite!E82, " - Flugreisen")</f>
        <v>Studierendenreisen (Outgoing) - Flugreisen</v>
      </c>
      <c r="E72" t="s">
        <v>43</v>
      </c>
      <c r="F72" s="110"/>
      <c r="G72" s="110"/>
      <c r="H72" s="110"/>
      <c r="I72" s="110"/>
      <c r="J72" s="110"/>
      <c r="K72" s="110"/>
      <c r="L72" s="110"/>
      <c r="M72" s="110" t="str">
        <f>IF(Refsz_Verbräuche[[#Headers],[2022]]=Startseite!$D$68,IF(OR(SUMIF($F72:Refsz_Verbräuche[[#This Row],[2021]],"&gt;0")&gt;0,), AVERAGEIF($F72:Refsz_Verbräuche[[#This Row],[2021]],"&lt;&gt;"""), ""),IF(Startseite!$D$68=(Refsz_Verbräuche[[#Headers],[2022]]-1),Refsz_Verbräuche[[#This Row],[2021]],IF(Startseite!$D$68&lt;Refsz_Verbräuche[[#Headers],[2022]],Refsz_Verbräuche[[#This Row],[2021]],"")))</f>
        <v/>
      </c>
      <c r="N72" s="110" t="str">
        <f>IF(Refsz_Verbräuche[[#Headers],[2023]]=Startseite!$D$68,IF(OR(SUMIF($F72:Refsz_Verbräuche[[#This Row],[2022]],"&gt;0")&gt;0,), AVERAGEIF($F72:Refsz_Verbräuche[[#This Row],[2022]],"&lt;&gt;"""), ""),IF(Startseite!$D$68=(Refsz_Verbräuche[[#Headers],[2023]]-1),Refsz_Verbräuche[[#This Row],[2022]],IF(Startseite!$D$68&lt;Refsz_Verbräuche[[#Headers],[2023]],Refsz_Verbräuche[[#This Row],[2022]],"")))</f>
        <v/>
      </c>
      <c r="O72" s="110" t="str">
        <f>IF(Refsz_Verbräuche[[#Headers],[2024]]=Startseite!$D$68,IF(OR(SUMIF($F72:Refsz_Verbräuche[[#This Row],[2023]],"&gt;0")&gt;0,), AVERAGEIF($F72:Refsz_Verbräuche[[#This Row],[2023]],"&lt;&gt;"""), ""),IF(Startseite!$D$68=(Refsz_Verbräuche[[#Headers],[2024]]-1),Refsz_Verbräuche[[#This Row],[2023]],IF(Startseite!$D$68&lt;Refsz_Verbräuche[[#Headers],[2024]],Refsz_Verbräuche[[#This Row],[2023]],"")))</f>
        <v/>
      </c>
      <c r="P72" s="110" t="str">
        <f>IF(Refsz_Verbräuche[[#Headers],[2025]]=Startseite!$D$68,IF(OR(SUMIF($F72:Refsz_Verbräuche[[#This Row],[2024]],"&gt;0")&gt;0,), AVERAGEIF($F72:Refsz_Verbräuche[[#This Row],[2024]],"&lt;&gt;"""), ""),IF(Startseite!$D$68=(Refsz_Verbräuche[[#Headers],[2025]]-1),Refsz_Verbräuche[[#This Row],[2024]],IF(Startseite!$D$68&lt;Refsz_Verbräuche[[#Headers],[2025]],Refsz_Verbräuche[[#This Row],[2024]],"")))</f>
        <v/>
      </c>
      <c r="Q72" s="110" t="str">
        <f>IF(Refsz_Verbräuche[[#Headers],[2026]]=Startseite!$D$68,IF(OR(SUMIF($F72:Refsz_Verbräuche[[#This Row],[2025]],"&gt;0")&gt;0,), AVERAGEIF($F72:Refsz_Verbräuche[[#This Row],[2025]],"&lt;&gt;"""), ""),IF(Startseite!$D$68=(Refsz_Verbräuche[[#Headers],[2026]]-1),Refsz_Verbräuche[[#This Row],[2025]],IF(Startseite!$D$68&lt;Refsz_Verbräuche[[#Headers],[2026]],Refsz_Verbräuche[[#This Row],[2025]],"")))</f>
        <v/>
      </c>
      <c r="R72" s="110" t="str">
        <f>IF(Refsz_Verbräuche[[#Headers],[2027]]=Startseite!$D$68,IF(OR(SUMIF($F72:Refsz_Verbräuche[[#This Row],[2026]],"&gt;0")&gt;0,), AVERAGEIF($F72:Refsz_Verbräuche[[#This Row],[2026]],"&lt;&gt;"""), ""),IF(Startseite!$D$68=(Refsz_Verbräuche[[#Headers],[2027]]-1),Refsz_Verbräuche[[#This Row],[2026]],IF(Startseite!$D$68&lt;Refsz_Verbräuche[[#Headers],[2027]],Refsz_Verbräuche[[#This Row],[2026]],"")))</f>
        <v/>
      </c>
      <c r="S72" s="110" t="str">
        <f>IF(Refsz_Verbräuche[[#Headers],[2028]]=Startseite!$D$68,IF(OR(SUMIF($F72:Refsz_Verbräuche[[#This Row],[2027]],"&gt;0")&gt;0,), AVERAGEIF($F72:Refsz_Verbräuche[[#This Row],[2027]],"&lt;&gt;"""), ""),IF(Startseite!$D$68=(Refsz_Verbräuche[[#Headers],[2028]]-1),Refsz_Verbräuche[[#This Row],[2027]],IF(Startseite!$D$68&lt;Refsz_Verbräuche[[#Headers],[2028]],Refsz_Verbräuche[[#This Row],[2027]],"")))</f>
        <v/>
      </c>
      <c r="T72" s="110" t="str">
        <f>IF(Refsz_Verbräuche[[#Headers],[2029]]=Startseite!$D$68,IF(OR(SUMIF($F72:Refsz_Verbräuche[[#This Row],[2028]],"&gt;0")&gt;0,), AVERAGEIF($F72:Refsz_Verbräuche[[#This Row],[2028]],"&lt;&gt;"""), ""),IF(Startseite!$D$68=(Refsz_Verbräuche[[#Headers],[2029]]-1),Refsz_Verbräuche[[#This Row],[2028]],IF(Startseite!$D$68&lt;Refsz_Verbräuche[[#Headers],[2029]],Refsz_Verbräuche[[#This Row],[2028]],"")))</f>
        <v/>
      </c>
      <c r="U72" s="110" t="str">
        <f>IF(Refsz_Verbräuche[[#Headers],[2030]]=Startseite!$D$68,IF(OR(SUMIF($F72:Refsz_Verbräuche[[#This Row],[2029]],"&gt;0")&gt;0,), AVERAGEIF($F72:Refsz_Verbräuche[[#This Row],[2029]],"&lt;&gt;"""), ""),IF(Startseite!$D$68=(Refsz_Verbräuche[[#Headers],[2030]]-1),Refsz_Verbräuche[[#This Row],[2029]],IF(Startseite!$D$68&lt;Refsz_Verbräuche[[#Headers],[2030]],Refsz_Verbräuche[[#This Row],[2029]],"")))</f>
        <v/>
      </c>
      <c r="V72" s="110" t="str">
        <f>IF(Refsz_Verbräuche[[#Headers],[2035]]=Startseite!$D$68,IF(OR(SUMIF($F72:Refsz_Verbräuche[[#This Row],[2030]],"&gt;0")&gt;0,), AVERAGEIF($F72:Refsz_Verbräuche[[#This Row],[2030]],"&lt;&gt;"""), ""),IF(Startseite!$D$68=(Refsz_Verbräuche[[#Headers],[2035]]-1),Refsz_Verbräuche[[#This Row],[2030]],IF(Startseite!$D$68&lt;Refsz_Verbräuche[[#Headers],[2035]],Refsz_Verbräuche[[#This Row],[2030]],"")))</f>
        <v/>
      </c>
      <c r="W72" s="110" t="str">
        <f>IF(Refsz_Verbräuche[[#Headers],[2040]]=Startseite!$D$68,IF(OR(SUMIF($F72:Refsz_Verbräuche[[#This Row],[2035]],"&gt;0")&gt;0,), AVERAGEIF($F72:Refsz_Verbräuche[[#This Row],[2035]],"&lt;&gt;"""), ""),IF(Startseite!$D$68=(Refsz_Verbräuche[[#Headers],[2040]]-1),Refsz_Verbräuche[[#This Row],[2035]],IF(Startseite!$D$68&lt;Refsz_Verbräuche[[#Headers],[2040]],Refsz_Verbräuche[[#This Row],[2035]],"")))</f>
        <v/>
      </c>
      <c r="X72" s="110" t="str">
        <f>IF(Refsz_Verbräuche[[#Headers],[2045]]=Startseite!$D$68,IF(OR(SUMIF($F72:Refsz_Verbräuche[[#This Row],[2040]],"&gt;0")&gt;0,), AVERAGEIF($F72:Refsz_Verbräuche[[#This Row],[2040]],"&lt;&gt;"""), ""),IF(Startseite!$D$68=(Refsz_Verbräuche[[#Headers],[2045]]-1),Refsz_Verbräuche[[#This Row],[2040]],IF(Startseite!$D$68&lt;Refsz_Verbräuche[[#Headers],[2045]],Refsz_Verbräuche[[#This Row],[2040]],"")))</f>
        <v/>
      </c>
      <c r="Y72" s="110" t="str">
        <f>IF(Refsz_Verbräuche[[#Headers],[2050]]=Startseite!$D$68,IF(OR(SUMIF($F72:Refsz_Verbräuche[[#This Row],[2045]],"&gt;0")&gt;0,), AVERAGEIF($F72:Refsz_Verbräuche[[#This Row],[2045]],"&lt;&gt;"""), ""),IF(Startseite!$D$68=(Refsz_Verbräuche[[#Headers],[2050]]-1),Refsz_Verbräuche[[#This Row],[2045]],IF(Startseite!$D$68&lt;Refsz_Verbräuche[[#Headers],[2050]],Refsz_Verbräuche[[#This Row],[2045]],"")))</f>
        <v/>
      </c>
      <c r="AA72" s="14"/>
    </row>
    <row r="73" spans="2:27">
      <c r="B73" s="14">
        <v>56</v>
      </c>
      <c r="C73" s="14" t="s">
        <v>510</v>
      </c>
      <c r="D73" s="9" t="str">
        <f>_xlfn.CONCAT(Startseite!E82," - Eisenbahn (Nahverkehr)")</f>
        <v>Studierendenreisen (Outgoing) - Eisenbahn (Nahverkehr)</v>
      </c>
      <c r="E73" t="s">
        <v>43</v>
      </c>
      <c r="F73" s="110"/>
      <c r="G73" s="110"/>
      <c r="H73" s="110"/>
      <c r="I73" s="110"/>
      <c r="J73" s="110"/>
      <c r="K73" s="110"/>
      <c r="L73" s="110"/>
      <c r="M73" s="110" t="str">
        <f>IF(Refsz_Verbräuche[[#Headers],[2022]]=Startseite!$D$68,IF(OR(SUMIF($F73:Refsz_Verbräuche[[#This Row],[2021]],"&gt;0")&gt;0,), AVERAGEIF($F73:Refsz_Verbräuche[[#This Row],[2021]],"&lt;&gt;"""), ""),IF(Startseite!$D$68=(Refsz_Verbräuche[[#Headers],[2022]]-1),Refsz_Verbräuche[[#This Row],[2021]],IF(Startseite!$D$68&lt;Refsz_Verbräuche[[#Headers],[2022]],Refsz_Verbräuche[[#This Row],[2021]],"")))</f>
        <v/>
      </c>
      <c r="N73" s="110" t="str">
        <f>IF(Refsz_Verbräuche[[#Headers],[2023]]=Startseite!$D$68,IF(OR(SUMIF($F73:Refsz_Verbräuche[[#This Row],[2022]],"&gt;0")&gt;0,), AVERAGEIF($F73:Refsz_Verbräuche[[#This Row],[2022]],"&lt;&gt;"""), ""),IF(Startseite!$D$68=(Refsz_Verbräuche[[#Headers],[2023]]-1),Refsz_Verbräuche[[#This Row],[2022]],IF(Startseite!$D$68&lt;Refsz_Verbräuche[[#Headers],[2023]],Refsz_Verbräuche[[#This Row],[2022]],"")))</f>
        <v/>
      </c>
      <c r="O73" s="110" t="str">
        <f>IF(Refsz_Verbräuche[[#Headers],[2024]]=Startseite!$D$68,IF(OR(SUMIF($F73:Refsz_Verbräuche[[#This Row],[2023]],"&gt;0")&gt;0,), AVERAGEIF($F73:Refsz_Verbräuche[[#This Row],[2023]],"&lt;&gt;"""), ""),IF(Startseite!$D$68=(Refsz_Verbräuche[[#Headers],[2024]]-1),Refsz_Verbräuche[[#This Row],[2023]],IF(Startseite!$D$68&lt;Refsz_Verbräuche[[#Headers],[2024]],Refsz_Verbräuche[[#This Row],[2023]],"")))</f>
        <v/>
      </c>
      <c r="P73" s="110" t="str">
        <f>IF(Refsz_Verbräuche[[#Headers],[2025]]=Startseite!$D$68,IF(OR(SUMIF($F73:Refsz_Verbräuche[[#This Row],[2024]],"&gt;0")&gt;0,), AVERAGEIF($F73:Refsz_Verbräuche[[#This Row],[2024]],"&lt;&gt;"""), ""),IF(Startseite!$D$68=(Refsz_Verbräuche[[#Headers],[2025]]-1),Refsz_Verbräuche[[#This Row],[2024]],IF(Startseite!$D$68&lt;Refsz_Verbräuche[[#Headers],[2025]],Refsz_Verbräuche[[#This Row],[2024]],"")))</f>
        <v/>
      </c>
      <c r="Q73" s="110" t="str">
        <f>IF(Refsz_Verbräuche[[#Headers],[2026]]=Startseite!$D$68,IF(OR(SUMIF($F73:Refsz_Verbräuche[[#This Row],[2025]],"&gt;0")&gt;0,), AVERAGEIF($F73:Refsz_Verbräuche[[#This Row],[2025]],"&lt;&gt;"""), ""),IF(Startseite!$D$68=(Refsz_Verbräuche[[#Headers],[2026]]-1),Refsz_Verbräuche[[#This Row],[2025]],IF(Startseite!$D$68&lt;Refsz_Verbräuche[[#Headers],[2026]],Refsz_Verbräuche[[#This Row],[2025]],"")))</f>
        <v/>
      </c>
      <c r="R73" s="110" t="str">
        <f>IF(Refsz_Verbräuche[[#Headers],[2027]]=Startseite!$D$68,IF(OR(SUMIF($F73:Refsz_Verbräuche[[#This Row],[2026]],"&gt;0")&gt;0,), AVERAGEIF($F73:Refsz_Verbräuche[[#This Row],[2026]],"&lt;&gt;"""), ""),IF(Startseite!$D$68=(Refsz_Verbräuche[[#Headers],[2027]]-1),Refsz_Verbräuche[[#This Row],[2026]],IF(Startseite!$D$68&lt;Refsz_Verbräuche[[#Headers],[2027]],Refsz_Verbräuche[[#This Row],[2026]],"")))</f>
        <v/>
      </c>
      <c r="S73" s="110" t="str">
        <f>IF(Refsz_Verbräuche[[#Headers],[2028]]=Startseite!$D$68,IF(OR(SUMIF($F73:Refsz_Verbräuche[[#This Row],[2027]],"&gt;0")&gt;0,), AVERAGEIF($F73:Refsz_Verbräuche[[#This Row],[2027]],"&lt;&gt;"""), ""),IF(Startseite!$D$68=(Refsz_Verbräuche[[#Headers],[2028]]-1),Refsz_Verbräuche[[#This Row],[2027]],IF(Startseite!$D$68&lt;Refsz_Verbräuche[[#Headers],[2028]],Refsz_Verbräuche[[#This Row],[2027]],"")))</f>
        <v/>
      </c>
      <c r="T73" s="110" t="str">
        <f>IF(Refsz_Verbräuche[[#Headers],[2029]]=Startseite!$D$68,IF(OR(SUMIF($F73:Refsz_Verbräuche[[#This Row],[2028]],"&gt;0")&gt;0,), AVERAGEIF($F73:Refsz_Verbräuche[[#This Row],[2028]],"&lt;&gt;"""), ""),IF(Startseite!$D$68=(Refsz_Verbräuche[[#Headers],[2029]]-1),Refsz_Verbräuche[[#This Row],[2028]],IF(Startseite!$D$68&lt;Refsz_Verbräuche[[#Headers],[2029]],Refsz_Verbräuche[[#This Row],[2028]],"")))</f>
        <v/>
      </c>
      <c r="U73" s="110" t="str">
        <f>IF(Refsz_Verbräuche[[#Headers],[2030]]=Startseite!$D$68,IF(OR(SUMIF($F73:Refsz_Verbräuche[[#This Row],[2029]],"&gt;0")&gt;0,), AVERAGEIF($F73:Refsz_Verbräuche[[#This Row],[2029]],"&lt;&gt;"""), ""),IF(Startseite!$D$68=(Refsz_Verbräuche[[#Headers],[2030]]-1),Refsz_Verbräuche[[#This Row],[2029]],IF(Startseite!$D$68&lt;Refsz_Verbräuche[[#Headers],[2030]],Refsz_Verbräuche[[#This Row],[2029]],"")))</f>
        <v/>
      </c>
      <c r="V73" s="110" t="str">
        <f>IF(Refsz_Verbräuche[[#Headers],[2035]]=Startseite!$D$68,IF(OR(SUMIF($F73:Refsz_Verbräuche[[#This Row],[2030]],"&gt;0")&gt;0,), AVERAGEIF($F73:Refsz_Verbräuche[[#This Row],[2030]],"&lt;&gt;"""), ""),IF(Startseite!$D$68=(Refsz_Verbräuche[[#Headers],[2035]]-1),Refsz_Verbräuche[[#This Row],[2030]],IF(Startseite!$D$68&lt;Refsz_Verbräuche[[#Headers],[2035]],Refsz_Verbräuche[[#This Row],[2030]],"")))</f>
        <v/>
      </c>
      <c r="W73" s="110" t="str">
        <f>IF(Refsz_Verbräuche[[#Headers],[2040]]=Startseite!$D$68,IF(OR(SUMIF($F73:Refsz_Verbräuche[[#This Row],[2035]],"&gt;0")&gt;0,), AVERAGEIF($F73:Refsz_Verbräuche[[#This Row],[2035]],"&lt;&gt;"""), ""),IF(Startseite!$D$68=(Refsz_Verbräuche[[#Headers],[2040]]-1),Refsz_Verbräuche[[#This Row],[2035]],IF(Startseite!$D$68&lt;Refsz_Verbräuche[[#Headers],[2040]],Refsz_Verbräuche[[#This Row],[2035]],"")))</f>
        <v/>
      </c>
      <c r="X73" s="110" t="str">
        <f>IF(Refsz_Verbräuche[[#Headers],[2045]]=Startseite!$D$68,IF(OR(SUMIF($F73:Refsz_Verbräuche[[#This Row],[2040]],"&gt;0")&gt;0,), AVERAGEIF($F73:Refsz_Verbräuche[[#This Row],[2040]],"&lt;&gt;"""), ""),IF(Startseite!$D$68=(Refsz_Verbräuche[[#Headers],[2045]]-1),Refsz_Verbräuche[[#This Row],[2040]],IF(Startseite!$D$68&lt;Refsz_Verbräuche[[#Headers],[2045]],Refsz_Verbräuche[[#This Row],[2040]],"")))</f>
        <v/>
      </c>
      <c r="Y73" s="110" t="str">
        <f>IF(Refsz_Verbräuche[[#Headers],[2050]]=Startseite!$D$68,IF(OR(SUMIF($F73:Refsz_Verbräuche[[#This Row],[2045]],"&gt;0")&gt;0,), AVERAGEIF($F73:Refsz_Verbräuche[[#This Row],[2045]],"&lt;&gt;"""), ""),IF(Startseite!$D$68=(Refsz_Verbräuche[[#Headers],[2050]]-1),Refsz_Verbräuche[[#This Row],[2045]],IF(Startseite!$D$68&lt;Refsz_Verbräuche[[#Headers],[2050]],Refsz_Verbräuche[[#This Row],[2045]],"")))</f>
        <v/>
      </c>
      <c r="AA73" s="14"/>
    </row>
    <row r="74" spans="2:27">
      <c r="B74" s="14">
        <v>57</v>
      </c>
      <c r="C74" s="14" t="s">
        <v>510</v>
      </c>
      <c r="D74" s="9" t="str">
        <f>_xlfn.CONCAT(Startseite!E82," - Privater PKW (alle Antriebsarten)")</f>
        <v>Studierendenreisen (Outgoing) - Privater PKW (alle Antriebsarten)</v>
      </c>
      <c r="E74" t="s">
        <v>379</v>
      </c>
      <c r="F74" s="110"/>
      <c r="G74" s="110"/>
      <c r="H74" s="110"/>
      <c r="I74" s="110"/>
      <c r="J74" s="110"/>
      <c r="K74" s="110"/>
      <c r="L74" s="110"/>
      <c r="M74" s="110" t="str">
        <f>IF(Refsz_Verbräuche[[#Headers],[2022]]=Startseite!$D$68,IF(OR(SUMIF($F74:Refsz_Verbräuche[[#This Row],[2021]],"&gt;0")&gt;0,), AVERAGEIF($F74:Refsz_Verbräuche[[#This Row],[2021]],"&lt;&gt;"""), ""),IF(Startseite!$D$68=(Refsz_Verbräuche[[#Headers],[2022]]-1),Refsz_Verbräuche[[#This Row],[2021]],IF(Startseite!$D$68&lt;Refsz_Verbräuche[[#Headers],[2022]],Refsz_Verbräuche[[#This Row],[2021]],"")))</f>
        <v/>
      </c>
      <c r="N74" s="110" t="str">
        <f>IF(Refsz_Verbräuche[[#Headers],[2023]]=Startseite!$D$68,IF(OR(SUMIF($F74:Refsz_Verbräuche[[#This Row],[2022]],"&gt;0")&gt;0,), AVERAGEIF($F74:Refsz_Verbräuche[[#This Row],[2022]],"&lt;&gt;"""), ""),IF(Startseite!$D$68=(Refsz_Verbräuche[[#Headers],[2023]]-1),Refsz_Verbräuche[[#This Row],[2022]],IF(Startseite!$D$68&lt;Refsz_Verbräuche[[#Headers],[2023]],Refsz_Verbräuche[[#This Row],[2022]],"")))</f>
        <v/>
      </c>
      <c r="O74" s="110" t="str">
        <f>IF(Refsz_Verbräuche[[#Headers],[2024]]=Startseite!$D$68,IF(OR(SUMIF($F74:Refsz_Verbräuche[[#This Row],[2023]],"&gt;0")&gt;0,), AVERAGEIF($F74:Refsz_Verbräuche[[#This Row],[2023]],"&lt;&gt;"""), ""),IF(Startseite!$D$68=(Refsz_Verbräuche[[#Headers],[2024]]-1),Refsz_Verbräuche[[#This Row],[2023]],IF(Startseite!$D$68&lt;Refsz_Verbräuche[[#Headers],[2024]],Refsz_Verbräuche[[#This Row],[2023]],"")))</f>
        <v/>
      </c>
      <c r="P74" s="110" t="str">
        <f>IF(Refsz_Verbräuche[[#Headers],[2025]]=Startseite!$D$68,IF(OR(SUMIF($F74:Refsz_Verbräuche[[#This Row],[2024]],"&gt;0")&gt;0,), AVERAGEIF($F74:Refsz_Verbräuche[[#This Row],[2024]],"&lt;&gt;"""), ""),IF(Startseite!$D$68=(Refsz_Verbräuche[[#Headers],[2025]]-1),Refsz_Verbräuche[[#This Row],[2024]],IF(Startseite!$D$68&lt;Refsz_Verbräuche[[#Headers],[2025]],Refsz_Verbräuche[[#This Row],[2024]],"")))</f>
        <v/>
      </c>
      <c r="Q74" s="110" t="str">
        <f>IF(Refsz_Verbräuche[[#Headers],[2026]]=Startseite!$D$68,IF(OR(SUMIF($F74:Refsz_Verbräuche[[#This Row],[2025]],"&gt;0")&gt;0,), AVERAGEIF($F74:Refsz_Verbräuche[[#This Row],[2025]],"&lt;&gt;"""), ""),IF(Startseite!$D$68=(Refsz_Verbräuche[[#Headers],[2026]]-1),Refsz_Verbräuche[[#This Row],[2025]],IF(Startseite!$D$68&lt;Refsz_Verbräuche[[#Headers],[2026]],Refsz_Verbräuche[[#This Row],[2025]],"")))</f>
        <v/>
      </c>
      <c r="R74" s="110" t="str">
        <f>IF(Refsz_Verbräuche[[#Headers],[2027]]=Startseite!$D$68,IF(OR(SUMIF($F74:Refsz_Verbräuche[[#This Row],[2026]],"&gt;0")&gt;0,), AVERAGEIF($F74:Refsz_Verbräuche[[#This Row],[2026]],"&lt;&gt;"""), ""),IF(Startseite!$D$68=(Refsz_Verbräuche[[#Headers],[2027]]-1),Refsz_Verbräuche[[#This Row],[2026]],IF(Startseite!$D$68&lt;Refsz_Verbräuche[[#Headers],[2027]],Refsz_Verbräuche[[#This Row],[2026]],"")))</f>
        <v/>
      </c>
      <c r="S74" s="110" t="str">
        <f>IF(Refsz_Verbräuche[[#Headers],[2028]]=Startseite!$D$68,IF(OR(SUMIF($F74:Refsz_Verbräuche[[#This Row],[2027]],"&gt;0")&gt;0,), AVERAGEIF($F74:Refsz_Verbräuche[[#This Row],[2027]],"&lt;&gt;"""), ""),IF(Startseite!$D$68=(Refsz_Verbräuche[[#Headers],[2028]]-1),Refsz_Verbräuche[[#This Row],[2027]],IF(Startseite!$D$68&lt;Refsz_Verbräuche[[#Headers],[2028]],Refsz_Verbräuche[[#This Row],[2027]],"")))</f>
        <v/>
      </c>
      <c r="T74" s="110" t="str">
        <f>IF(Refsz_Verbräuche[[#Headers],[2029]]=Startseite!$D$68,IF(OR(SUMIF($F74:Refsz_Verbräuche[[#This Row],[2028]],"&gt;0")&gt;0,), AVERAGEIF($F74:Refsz_Verbräuche[[#This Row],[2028]],"&lt;&gt;"""), ""),IF(Startseite!$D$68=(Refsz_Verbräuche[[#Headers],[2029]]-1),Refsz_Verbräuche[[#This Row],[2028]],IF(Startseite!$D$68&lt;Refsz_Verbräuche[[#Headers],[2029]],Refsz_Verbräuche[[#This Row],[2028]],"")))</f>
        <v/>
      </c>
      <c r="U74" s="110" t="str">
        <f>IF(Refsz_Verbräuche[[#Headers],[2030]]=Startseite!$D$68,IF(OR(SUMIF($F74:Refsz_Verbräuche[[#This Row],[2029]],"&gt;0")&gt;0,), AVERAGEIF($F74:Refsz_Verbräuche[[#This Row],[2029]],"&lt;&gt;"""), ""),IF(Startseite!$D$68=(Refsz_Verbräuche[[#Headers],[2030]]-1),Refsz_Verbräuche[[#This Row],[2029]],IF(Startseite!$D$68&lt;Refsz_Verbräuche[[#Headers],[2030]],Refsz_Verbräuche[[#This Row],[2029]],"")))</f>
        <v/>
      </c>
      <c r="V74" s="110" t="str">
        <f>IF(Refsz_Verbräuche[[#Headers],[2035]]=Startseite!$D$68,IF(OR(SUMIF($F74:Refsz_Verbräuche[[#This Row],[2030]],"&gt;0")&gt;0,), AVERAGEIF($F74:Refsz_Verbräuche[[#This Row],[2030]],"&lt;&gt;"""), ""),IF(Startseite!$D$68=(Refsz_Verbräuche[[#Headers],[2035]]-1),Refsz_Verbräuche[[#This Row],[2030]],IF(Startseite!$D$68&lt;Refsz_Verbräuche[[#Headers],[2035]],Refsz_Verbräuche[[#This Row],[2030]],"")))</f>
        <v/>
      </c>
      <c r="W74" s="110" t="str">
        <f>IF(Refsz_Verbräuche[[#Headers],[2040]]=Startseite!$D$68,IF(OR(SUMIF($F74:Refsz_Verbräuche[[#This Row],[2035]],"&gt;0")&gt;0,), AVERAGEIF($F74:Refsz_Verbräuche[[#This Row],[2035]],"&lt;&gt;"""), ""),IF(Startseite!$D$68=(Refsz_Verbräuche[[#Headers],[2040]]-1),Refsz_Verbräuche[[#This Row],[2035]],IF(Startseite!$D$68&lt;Refsz_Verbräuche[[#Headers],[2040]],Refsz_Verbräuche[[#This Row],[2035]],"")))</f>
        <v/>
      </c>
      <c r="X74" s="110" t="str">
        <f>IF(Refsz_Verbräuche[[#Headers],[2045]]=Startseite!$D$68,IF(OR(SUMIF($F74:Refsz_Verbräuche[[#This Row],[2040]],"&gt;0")&gt;0,), AVERAGEIF($F74:Refsz_Verbräuche[[#This Row],[2040]],"&lt;&gt;"""), ""),IF(Startseite!$D$68=(Refsz_Verbräuche[[#Headers],[2045]]-1),Refsz_Verbräuche[[#This Row],[2040]],IF(Startseite!$D$68&lt;Refsz_Verbräuche[[#Headers],[2045]],Refsz_Verbräuche[[#This Row],[2040]],"")))</f>
        <v/>
      </c>
      <c r="Y74" s="110" t="str">
        <f>IF(Refsz_Verbräuche[[#Headers],[2050]]=Startseite!$D$68,IF(OR(SUMIF($F74:Refsz_Verbräuche[[#This Row],[2045]],"&gt;0")&gt;0,), AVERAGEIF($F74:Refsz_Verbräuche[[#This Row],[2045]],"&lt;&gt;"""), ""),IF(Startseite!$D$68=(Refsz_Verbräuche[[#Headers],[2050]]-1),Refsz_Verbräuche[[#This Row],[2045]],IF(Startseite!$D$68&lt;Refsz_Verbräuche[[#Headers],[2050]],Refsz_Verbräuche[[#This Row],[2045]],"")))</f>
        <v/>
      </c>
      <c r="AA74" s="14"/>
    </row>
    <row r="75" spans="2:27">
      <c r="B75" s="14">
        <v>58</v>
      </c>
      <c r="C75" s="14"/>
      <c r="D75" s="9"/>
      <c r="F75" s="110"/>
      <c r="G75" s="110"/>
      <c r="H75" s="110"/>
      <c r="I75" s="110"/>
      <c r="J75" s="110"/>
      <c r="K75" s="110"/>
      <c r="L75" s="110"/>
      <c r="M75" s="110" t="str">
        <f>IF(Refsz_Verbräuche[[#Headers],[2022]]=Startseite!$D$68,IF(OR(SUMIF($F75:Refsz_Verbräuche[[#This Row],[2021]],"&gt;0")&gt;0,), AVERAGEIF($F75:Refsz_Verbräuche[[#This Row],[2021]],"&lt;&gt;"""), ""),IF(Startseite!$D$68=(Refsz_Verbräuche[[#Headers],[2022]]-1),Refsz_Verbräuche[[#This Row],[2021]],IF(Startseite!$D$68&lt;Refsz_Verbräuche[[#Headers],[2022]],Refsz_Verbräuche[[#This Row],[2021]],"")))</f>
        <v/>
      </c>
      <c r="N75" s="110" t="str">
        <f>IF(Refsz_Verbräuche[[#Headers],[2023]]=Startseite!$D$68,IF(OR(SUMIF($F75:Refsz_Verbräuche[[#This Row],[2022]],"&gt;0")&gt;0,), AVERAGEIF($F75:Refsz_Verbräuche[[#This Row],[2022]],"&lt;&gt;"""), ""),IF(Startseite!$D$68=(Refsz_Verbräuche[[#Headers],[2023]]-1),Refsz_Verbräuche[[#This Row],[2022]],IF(Startseite!$D$68&lt;Refsz_Verbräuche[[#Headers],[2023]],Refsz_Verbräuche[[#This Row],[2022]],"")))</f>
        <v/>
      </c>
      <c r="O75" s="110" t="str">
        <f>IF(Refsz_Verbräuche[[#Headers],[2024]]=Startseite!$D$68,IF(OR(SUMIF($F75:Refsz_Verbräuche[[#This Row],[2023]],"&gt;0")&gt;0,), AVERAGEIF($F75:Refsz_Verbräuche[[#This Row],[2023]],"&lt;&gt;"""), ""),IF(Startseite!$D$68=(Refsz_Verbräuche[[#Headers],[2024]]-1),Refsz_Verbräuche[[#This Row],[2023]],IF(Startseite!$D$68&lt;Refsz_Verbräuche[[#Headers],[2024]],Refsz_Verbräuche[[#This Row],[2023]],"")))</f>
        <v/>
      </c>
      <c r="P75" s="110" t="str">
        <f>IF(Refsz_Verbräuche[[#Headers],[2025]]=Startseite!$D$68,IF(OR(SUMIF($F75:Refsz_Verbräuche[[#This Row],[2024]],"&gt;0")&gt;0,), AVERAGEIF($F75:Refsz_Verbräuche[[#This Row],[2024]],"&lt;&gt;"""), ""),IF(Startseite!$D$68=(Refsz_Verbräuche[[#Headers],[2025]]-1),Refsz_Verbräuche[[#This Row],[2024]],IF(Startseite!$D$68&lt;Refsz_Verbräuche[[#Headers],[2025]],Refsz_Verbräuche[[#This Row],[2024]],"")))</f>
        <v/>
      </c>
      <c r="Q75" s="110" t="str">
        <f>IF(Refsz_Verbräuche[[#Headers],[2026]]=Startseite!$D$68,IF(OR(SUMIF($F75:Refsz_Verbräuche[[#This Row],[2025]],"&gt;0")&gt;0,), AVERAGEIF($F75:Refsz_Verbräuche[[#This Row],[2025]],"&lt;&gt;"""), ""),IF(Startseite!$D$68=(Refsz_Verbräuche[[#Headers],[2026]]-1),Refsz_Verbräuche[[#This Row],[2025]],IF(Startseite!$D$68&lt;Refsz_Verbräuche[[#Headers],[2026]],Refsz_Verbräuche[[#This Row],[2025]],"")))</f>
        <v/>
      </c>
      <c r="R75" s="110" t="str">
        <f>IF(Refsz_Verbräuche[[#Headers],[2027]]=Startseite!$D$68,IF(OR(SUMIF($F75:Refsz_Verbräuche[[#This Row],[2026]],"&gt;0")&gt;0,), AVERAGEIF($F75:Refsz_Verbräuche[[#This Row],[2026]],"&lt;&gt;"""), ""),IF(Startseite!$D$68=(Refsz_Verbräuche[[#Headers],[2027]]-1),Refsz_Verbräuche[[#This Row],[2026]],IF(Startseite!$D$68&lt;Refsz_Verbräuche[[#Headers],[2027]],Refsz_Verbräuche[[#This Row],[2026]],"")))</f>
        <v/>
      </c>
      <c r="S75" s="110" t="str">
        <f>IF(Refsz_Verbräuche[[#Headers],[2028]]=Startseite!$D$68,IF(OR(SUMIF($F75:Refsz_Verbräuche[[#This Row],[2027]],"&gt;0")&gt;0,), AVERAGEIF($F75:Refsz_Verbräuche[[#This Row],[2027]],"&lt;&gt;"""), ""),IF(Startseite!$D$68=(Refsz_Verbräuche[[#Headers],[2028]]-1),Refsz_Verbräuche[[#This Row],[2027]],IF(Startseite!$D$68&lt;Refsz_Verbräuche[[#Headers],[2028]],Refsz_Verbräuche[[#This Row],[2027]],"")))</f>
        <v/>
      </c>
      <c r="T75" s="110" t="str">
        <f>IF(Refsz_Verbräuche[[#Headers],[2029]]=Startseite!$D$68,IF(OR(SUMIF($F75:Refsz_Verbräuche[[#This Row],[2028]],"&gt;0")&gt;0,), AVERAGEIF($F75:Refsz_Verbräuche[[#This Row],[2028]],"&lt;&gt;"""), ""),IF(Startseite!$D$68=(Refsz_Verbräuche[[#Headers],[2029]]-1),Refsz_Verbräuche[[#This Row],[2028]],IF(Startseite!$D$68&lt;Refsz_Verbräuche[[#Headers],[2029]],Refsz_Verbräuche[[#This Row],[2028]],"")))</f>
        <v/>
      </c>
      <c r="U75" s="110" t="str">
        <f>IF(Refsz_Verbräuche[[#Headers],[2030]]=Startseite!$D$68,IF(OR(SUMIF($F75:Refsz_Verbräuche[[#This Row],[2029]],"&gt;0")&gt;0,), AVERAGEIF($F75:Refsz_Verbräuche[[#This Row],[2029]],"&lt;&gt;"""), ""),IF(Startseite!$D$68=(Refsz_Verbräuche[[#Headers],[2030]]-1),Refsz_Verbräuche[[#This Row],[2029]],IF(Startseite!$D$68&lt;Refsz_Verbräuche[[#Headers],[2030]],Refsz_Verbräuche[[#This Row],[2029]],"")))</f>
        <v/>
      </c>
      <c r="V75" s="110" t="str">
        <f>IF(Refsz_Verbräuche[[#Headers],[2035]]=Startseite!$D$68,IF(OR(SUMIF($F75:Refsz_Verbräuche[[#This Row],[2030]],"&gt;0")&gt;0,), AVERAGEIF($F75:Refsz_Verbräuche[[#This Row],[2030]],"&lt;&gt;"""), ""),IF(Startseite!$D$68=(Refsz_Verbräuche[[#Headers],[2035]]-1),Refsz_Verbräuche[[#This Row],[2030]],IF(Startseite!$D$68&lt;Refsz_Verbräuche[[#Headers],[2035]],Refsz_Verbräuche[[#This Row],[2030]],"")))</f>
        <v/>
      </c>
      <c r="W75" s="110" t="str">
        <f>IF(Refsz_Verbräuche[[#Headers],[2040]]=Startseite!$D$68,IF(OR(SUMIF($F75:Refsz_Verbräuche[[#This Row],[2035]],"&gt;0")&gt;0,), AVERAGEIF($F75:Refsz_Verbräuche[[#This Row],[2035]],"&lt;&gt;"""), ""),IF(Startseite!$D$68=(Refsz_Verbräuche[[#Headers],[2040]]-1),Refsz_Verbräuche[[#This Row],[2035]],IF(Startseite!$D$68&lt;Refsz_Verbräuche[[#Headers],[2040]],Refsz_Verbräuche[[#This Row],[2035]],"")))</f>
        <v/>
      </c>
      <c r="X75" s="110" t="str">
        <f>IF(Refsz_Verbräuche[[#Headers],[2045]]=Startseite!$D$68,IF(OR(SUMIF($F75:Refsz_Verbräuche[[#This Row],[2040]],"&gt;0")&gt;0,), AVERAGEIF($F75:Refsz_Verbräuche[[#This Row],[2040]],"&lt;&gt;"""), ""),IF(Startseite!$D$68=(Refsz_Verbräuche[[#Headers],[2045]]-1),Refsz_Verbräuche[[#This Row],[2040]],IF(Startseite!$D$68&lt;Refsz_Verbräuche[[#Headers],[2045]],Refsz_Verbräuche[[#This Row],[2040]],"")))</f>
        <v/>
      </c>
      <c r="Y75" s="110" t="str">
        <f>IF(Refsz_Verbräuche[[#Headers],[2050]]=Startseite!$D$68,IF(OR(SUMIF($F75:Refsz_Verbräuche[[#This Row],[2045]],"&gt;0")&gt;0,), AVERAGEIF($F75:Refsz_Verbräuche[[#This Row],[2045]],"&lt;&gt;"""), ""),IF(Startseite!$D$68=(Refsz_Verbräuche[[#Headers],[2050]]-1),Refsz_Verbräuche[[#This Row],[2045]],IF(Startseite!$D$68&lt;Refsz_Verbräuche[[#Headers],[2050]],Refsz_Verbräuche[[#This Row],[2045]],"")))</f>
        <v/>
      </c>
      <c r="AA75" s="14"/>
    </row>
    <row r="76" spans="2:27">
      <c r="B76" s="14">
        <v>59</v>
      </c>
      <c r="C76" s="14" t="s">
        <v>510</v>
      </c>
      <c r="D76" s="9" t="str">
        <f>_xlfn.CONCAT(Startseite!E83," - Flugreisen")</f>
        <v>Exkursionen - Flugreisen</v>
      </c>
      <c r="E76" t="s">
        <v>43</v>
      </c>
      <c r="F76" s="110"/>
      <c r="G76" s="110"/>
      <c r="H76" s="110"/>
      <c r="I76" s="110"/>
      <c r="J76" s="110"/>
      <c r="K76" s="110"/>
      <c r="L76" s="110"/>
      <c r="M76" s="110" t="str">
        <f>IF(Refsz_Verbräuche[[#Headers],[2022]]=Startseite!$D$68,IF(OR(SUMIF($F76:Refsz_Verbräuche[[#This Row],[2021]],"&gt;0")&gt;0,), AVERAGEIF($F76:Refsz_Verbräuche[[#This Row],[2021]],"&lt;&gt;"""), ""),IF(Startseite!$D$68=(Refsz_Verbräuche[[#Headers],[2022]]-1),Refsz_Verbräuche[[#This Row],[2021]],IF(Startseite!$D$68&lt;Refsz_Verbräuche[[#Headers],[2022]],Refsz_Verbräuche[[#This Row],[2021]],"")))</f>
        <v/>
      </c>
      <c r="N76" s="110" t="str">
        <f>IF(Refsz_Verbräuche[[#Headers],[2023]]=Startseite!$D$68,IF(OR(SUMIF($F76:Refsz_Verbräuche[[#This Row],[2022]],"&gt;0")&gt;0,), AVERAGEIF($F76:Refsz_Verbräuche[[#This Row],[2022]],"&lt;&gt;"""), ""),IF(Startseite!$D$68=(Refsz_Verbräuche[[#Headers],[2023]]-1),Refsz_Verbräuche[[#This Row],[2022]],IF(Startseite!$D$68&lt;Refsz_Verbräuche[[#Headers],[2023]],Refsz_Verbräuche[[#This Row],[2022]],"")))</f>
        <v/>
      </c>
      <c r="O76" s="110" t="str">
        <f>IF(Refsz_Verbräuche[[#Headers],[2024]]=Startseite!$D$68,IF(OR(SUMIF($F76:Refsz_Verbräuche[[#This Row],[2023]],"&gt;0")&gt;0,), AVERAGEIF($F76:Refsz_Verbräuche[[#This Row],[2023]],"&lt;&gt;"""), ""),IF(Startseite!$D$68=(Refsz_Verbräuche[[#Headers],[2024]]-1),Refsz_Verbräuche[[#This Row],[2023]],IF(Startseite!$D$68&lt;Refsz_Verbräuche[[#Headers],[2024]],Refsz_Verbräuche[[#This Row],[2023]],"")))</f>
        <v/>
      </c>
      <c r="P76" s="110" t="str">
        <f>IF(Refsz_Verbräuche[[#Headers],[2025]]=Startseite!$D$68,IF(OR(SUMIF($F76:Refsz_Verbräuche[[#This Row],[2024]],"&gt;0")&gt;0,), AVERAGEIF($F76:Refsz_Verbräuche[[#This Row],[2024]],"&lt;&gt;"""), ""),IF(Startseite!$D$68=(Refsz_Verbräuche[[#Headers],[2025]]-1),Refsz_Verbräuche[[#This Row],[2024]],IF(Startseite!$D$68&lt;Refsz_Verbräuche[[#Headers],[2025]],Refsz_Verbräuche[[#This Row],[2024]],"")))</f>
        <v/>
      </c>
      <c r="Q76" s="110" t="str">
        <f>IF(Refsz_Verbräuche[[#Headers],[2026]]=Startseite!$D$68,IF(OR(SUMIF($F76:Refsz_Verbräuche[[#This Row],[2025]],"&gt;0")&gt;0,), AVERAGEIF($F76:Refsz_Verbräuche[[#This Row],[2025]],"&lt;&gt;"""), ""),IF(Startseite!$D$68=(Refsz_Verbräuche[[#Headers],[2026]]-1),Refsz_Verbräuche[[#This Row],[2025]],IF(Startseite!$D$68&lt;Refsz_Verbräuche[[#Headers],[2026]],Refsz_Verbräuche[[#This Row],[2025]],"")))</f>
        <v/>
      </c>
      <c r="R76" s="110" t="str">
        <f>IF(Refsz_Verbräuche[[#Headers],[2027]]=Startseite!$D$68,IF(OR(SUMIF($F76:Refsz_Verbräuche[[#This Row],[2026]],"&gt;0")&gt;0,), AVERAGEIF($F76:Refsz_Verbräuche[[#This Row],[2026]],"&lt;&gt;"""), ""),IF(Startseite!$D$68=(Refsz_Verbräuche[[#Headers],[2027]]-1),Refsz_Verbräuche[[#This Row],[2026]],IF(Startseite!$D$68&lt;Refsz_Verbräuche[[#Headers],[2027]],Refsz_Verbräuche[[#This Row],[2026]],"")))</f>
        <v/>
      </c>
      <c r="S76" s="110" t="str">
        <f>IF(Refsz_Verbräuche[[#Headers],[2028]]=Startseite!$D$68,IF(OR(SUMIF($F76:Refsz_Verbräuche[[#This Row],[2027]],"&gt;0")&gt;0,), AVERAGEIF($F76:Refsz_Verbräuche[[#This Row],[2027]],"&lt;&gt;"""), ""),IF(Startseite!$D$68=(Refsz_Verbräuche[[#Headers],[2028]]-1),Refsz_Verbräuche[[#This Row],[2027]],IF(Startseite!$D$68&lt;Refsz_Verbräuche[[#Headers],[2028]],Refsz_Verbräuche[[#This Row],[2027]],"")))</f>
        <v/>
      </c>
      <c r="T76" s="110" t="str">
        <f>IF(Refsz_Verbräuche[[#Headers],[2029]]=Startseite!$D$68,IF(OR(SUMIF($F76:Refsz_Verbräuche[[#This Row],[2028]],"&gt;0")&gt;0,), AVERAGEIF($F76:Refsz_Verbräuche[[#This Row],[2028]],"&lt;&gt;"""), ""),IF(Startseite!$D$68=(Refsz_Verbräuche[[#Headers],[2029]]-1),Refsz_Verbräuche[[#This Row],[2028]],IF(Startseite!$D$68&lt;Refsz_Verbräuche[[#Headers],[2029]],Refsz_Verbräuche[[#This Row],[2028]],"")))</f>
        <v/>
      </c>
      <c r="U76" s="110" t="str">
        <f>IF(Refsz_Verbräuche[[#Headers],[2030]]=Startseite!$D$68,IF(OR(SUMIF($F76:Refsz_Verbräuche[[#This Row],[2029]],"&gt;0")&gt;0,), AVERAGEIF($F76:Refsz_Verbräuche[[#This Row],[2029]],"&lt;&gt;"""), ""),IF(Startseite!$D$68=(Refsz_Verbräuche[[#Headers],[2030]]-1),Refsz_Verbräuche[[#This Row],[2029]],IF(Startseite!$D$68&lt;Refsz_Verbräuche[[#Headers],[2030]],Refsz_Verbräuche[[#This Row],[2029]],"")))</f>
        <v/>
      </c>
      <c r="V76" s="110" t="str">
        <f>IF(Refsz_Verbräuche[[#Headers],[2035]]=Startseite!$D$68,IF(OR(SUMIF($F76:Refsz_Verbräuche[[#This Row],[2030]],"&gt;0")&gt;0,), AVERAGEIF($F76:Refsz_Verbräuche[[#This Row],[2030]],"&lt;&gt;"""), ""),IF(Startseite!$D$68=(Refsz_Verbräuche[[#Headers],[2035]]-1),Refsz_Verbräuche[[#This Row],[2030]],IF(Startseite!$D$68&lt;Refsz_Verbräuche[[#Headers],[2035]],Refsz_Verbräuche[[#This Row],[2030]],"")))</f>
        <v/>
      </c>
      <c r="W76" s="110" t="str">
        <f>IF(Refsz_Verbräuche[[#Headers],[2040]]=Startseite!$D$68,IF(OR(SUMIF($F76:Refsz_Verbräuche[[#This Row],[2035]],"&gt;0")&gt;0,), AVERAGEIF($F76:Refsz_Verbräuche[[#This Row],[2035]],"&lt;&gt;"""), ""),IF(Startseite!$D$68=(Refsz_Verbräuche[[#Headers],[2040]]-1),Refsz_Verbräuche[[#This Row],[2035]],IF(Startseite!$D$68&lt;Refsz_Verbräuche[[#Headers],[2040]],Refsz_Verbräuche[[#This Row],[2035]],"")))</f>
        <v/>
      </c>
      <c r="X76" s="110" t="str">
        <f>IF(Refsz_Verbräuche[[#Headers],[2045]]=Startseite!$D$68,IF(OR(SUMIF($F76:Refsz_Verbräuche[[#This Row],[2040]],"&gt;0")&gt;0,), AVERAGEIF($F76:Refsz_Verbräuche[[#This Row],[2040]],"&lt;&gt;"""), ""),IF(Startseite!$D$68=(Refsz_Verbräuche[[#Headers],[2045]]-1),Refsz_Verbräuche[[#This Row],[2040]],IF(Startseite!$D$68&lt;Refsz_Verbräuche[[#Headers],[2045]],Refsz_Verbräuche[[#This Row],[2040]],"")))</f>
        <v/>
      </c>
      <c r="Y76" s="110" t="str">
        <f>IF(Refsz_Verbräuche[[#Headers],[2050]]=Startseite!$D$68,IF(OR(SUMIF($F76:Refsz_Verbräuche[[#This Row],[2045]],"&gt;0")&gt;0,), AVERAGEIF($F76:Refsz_Verbräuche[[#This Row],[2045]],"&lt;&gt;"""), ""),IF(Startseite!$D$68=(Refsz_Verbräuche[[#Headers],[2050]]-1),Refsz_Verbräuche[[#This Row],[2045]],IF(Startseite!$D$68&lt;Refsz_Verbräuche[[#Headers],[2050]],Refsz_Verbräuche[[#This Row],[2045]],"")))</f>
        <v/>
      </c>
      <c r="AA76" s="14"/>
    </row>
    <row r="77" spans="2:27">
      <c r="B77" s="14">
        <v>60</v>
      </c>
      <c r="C77" s="14" t="s">
        <v>510</v>
      </c>
      <c r="D77" s="9" t="str">
        <f>_xlfn.CONCAT(Startseite!E83," - Eisenbahn (Nahverkehr)")</f>
        <v>Exkursionen - Eisenbahn (Nahverkehr)</v>
      </c>
      <c r="E77" t="s">
        <v>43</v>
      </c>
      <c r="F77" s="110"/>
      <c r="G77" s="110"/>
      <c r="H77" s="110"/>
      <c r="I77" s="110"/>
      <c r="J77" s="110"/>
      <c r="K77" s="110"/>
      <c r="L77" s="110"/>
      <c r="M77" s="110" t="str">
        <f>IF(Refsz_Verbräuche[[#Headers],[2022]]=Startseite!$D$68,IF(OR(SUMIF($F77:Refsz_Verbräuche[[#This Row],[2021]],"&gt;0")&gt;0,), AVERAGEIF($F77:Refsz_Verbräuche[[#This Row],[2021]],"&lt;&gt;"""), ""),IF(Startseite!$D$68=(Refsz_Verbräuche[[#Headers],[2022]]-1),Refsz_Verbräuche[[#This Row],[2021]],IF(Startseite!$D$68&lt;Refsz_Verbräuche[[#Headers],[2022]],Refsz_Verbräuche[[#This Row],[2021]],"")))</f>
        <v/>
      </c>
      <c r="N77" s="110" t="str">
        <f>IF(Refsz_Verbräuche[[#Headers],[2023]]=Startseite!$D$68,IF(OR(SUMIF($F77:Refsz_Verbräuche[[#This Row],[2022]],"&gt;0")&gt;0,), AVERAGEIF($F77:Refsz_Verbräuche[[#This Row],[2022]],"&lt;&gt;"""), ""),IF(Startseite!$D$68=(Refsz_Verbräuche[[#Headers],[2023]]-1),Refsz_Verbräuche[[#This Row],[2022]],IF(Startseite!$D$68&lt;Refsz_Verbräuche[[#Headers],[2023]],Refsz_Verbräuche[[#This Row],[2022]],"")))</f>
        <v/>
      </c>
      <c r="O77" s="110" t="str">
        <f>IF(Refsz_Verbräuche[[#Headers],[2024]]=Startseite!$D$68,IF(OR(SUMIF($F77:Refsz_Verbräuche[[#This Row],[2023]],"&gt;0")&gt;0,), AVERAGEIF($F77:Refsz_Verbräuche[[#This Row],[2023]],"&lt;&gt;"""), ""),IF(Startseite!$D$68=(Refsz_Verbräuche[[#Headers],[2024]]-1),Refsz_Verbräuche[[#This Row],[2023]],IF(Startseite!$D$68&lt;Refsz_Verbräuche[[#Headers],[2024]],Refsz_Verbräuche[[#This Row],[2023]],"")))</f>
        <v/>
      </c>
      <c r="P77" s="110" t="str">
        <f>IF(Refsz_Verbräuche[[#Headers],[2025]]=Startseite!$D$68,IF(OR(SUMIF($F77:Refsz_Verbräuche[[#This Row],[2024]],"&gt;0")&gt;0,), AVERAGEIF($F77:Refsz_Verbräuche[[#This Row],[2024]],"&lt;&gt;"""), ""),IF(Startseite!$D$68=(Refsz_Verbräuche[[#Headers],[2025]]-1),Refsz_Verbräuche[[#This Row],[2024]],IF(Startseite!$D$68&lt;Refsz_Verbräuche[[#Headers],[2025]],Refsz_Verbräuche[[#This Row],[2024]],"")))</f>
        <v/>
      </c>
      <c r="Q77" s="110" t="str">
        <f>IF(Refsz_Verbräuche[[#Headers],[2026]]=Startseite!$D$68,IF(OR(SUMIF($F77:Refsz_Verbräuche[[#This Row],[2025]],"&gt;0")&gt;0,), AVERAGEIF($F77:Refsz_Verbräuche[[#This Row],[2025]],"&lt;&gt;"""), ""),IF(Startseite!$D$68=(Refsz_Verbräuche[[#Headers],[2026]]-1),Refsz_Verbräuche[[#This Row],[2025]],IF(Startseite!$D$68&lt;Refsz_Verbräuche[[#Headers],[2026]],Refsz_Verbräuche[[#This Row],[2025]],"")))</f>
        <v/>
      </c>
      <c r="R77" s="110" t="str">
        <f>IF(Refsz_Verbräuche[[#Headers],[2027]]=Startseite!$D$68,IF(OR(SUMIF($F77:Refsz_Verbräuche[[#This Row],[2026]],"&gt;0")&gt;0,), AVERAGEIF($F77:Refsz_Verbräuche[[#This Row],[2026]],"&lt;&gt;"""), ""),IF(Startseite!$D$68=(Refsz_Verbräuche[[#Headers],[2027]]-1),Refsz_Verbräuche[[#This Row],[2026]],IF(Startseite!$D$68&lt;Refsz_Verbräuche[[#Headers],[2027]],Refsz_Verbräuche[[#This Row],[2026]],"")))</f>
        <v/>
      </c>
      <c r="S77" s="110" t="str">
        <f>IF(Refsz_Verbräuche[[#Headers],[2028]]=Startseite!$D$68,IF(OR(SUMIF($F77:Refsz_Verbräuche[[#This Row],[2027]],"&gt;0")&gt;0,), AVERAGEIF($F77:Refsz_Verbräuche[[#This Row],[2027]],"&lt;&gt;"""), ""),IF(Startseite!$D$68=(Refsz_Verbräuche[[#Headers],[2028]]-1),Refsz_Verbräuche[[#This Row],[2027]],IF(Startseite!$D$68&lt;Refsz_Verbräuche[[#Headers],[2028]],Refsz_Verbräuche[[#This Row],[2027]],"")))</f>
        <v/>
      </c>
      <c r="T77" s="110" t="str">
        <f>IF(Refsz_Verbräuche[[#Headers],[2029]]=Startseite!$D$68,IF(OR(SUMIF($F77:Refsz_Verbräuche[[#This Row],[2028]],"&gt;0")&gt;0,), AVERAGEIF($F77:Refsz_Verbräuche[[#This Row],[2028]],"&lt;&gt;"""), ""),IF(Startseite!$D$68=(Refsz_Verbräuche[[#Headers],[2029]]-1),Refsz_Verbräuche[[#This Row],[2028]],IF(Startseite!$D$68&lt;Refsz_Verbräuche[[#Headers],[2029]],Refsz_Verbräuche[[#This Row],[2028]],"")))</f>
        <v/>
      </c>
      <c r="U77" s="110" t="str">
        <f>IF(Refsz_Verbräuche[[#Headers],[2030]]=Startseite!$D$68,IF(OR(SUMIF($F77:Refsz_Verbräuche[[#This Row],[2029]],"&gt;0")&gt;0,), AVERAGEIF($F77:Refsz_Verbräuche[[#This Row],[2029]],"&lt;&gt;"""), ""),IF(Startseite!$D$68=(Refsz_Verbräuche[[#Headers],[2030]]-1),Refsz_Verbräuche[[#This Row],[2029]],IF(Startseite!$D$68&lt;Refsz_Verbräuche[[#Headers],[2030]],Refsz_Verbräuche[[#This Row],[2029]],"")))</f>
        <v/>
      </c>
      <c r="V77" s="110" t="str">
        <f>IF(Refsz_Verbräuche[[#Headers],[2035]]=Startseite!$D$68,IF(OR(SUMIF($F77:Refsz_Verbräuche[[#This Row],[2030]],"&gt;0")&gt;0,), AVERAGEIF($F77:Refsz_Verbräuche[[#This Row],[2030]],"&lt;&gt;"""), ""),IF(Startseite!$D$68=(Refsz_Verbräuche[[#Headers],[2035]]-1),Refsz_Verbräuche[[#This Row],[2030]],IF(Startseite!$D$68&lt;Refsz_Verbräuche[[#Headers],[2035]],Refsz_Verbräuche[[#This Row],[2030]],"")))</f>
        <v/>
      </c>
      <c r="W77" s="110" t="str">
        <f>IF(Refsz_Verbräuche[[#Headers],[2040]]=Startseite!$D$68,IF(OR(SUMIF($F77:Refsz_Verbräuche[[#This Row],[2035]],"&gt;0")&gt;0,), AVERAGEIF($F77:Refsz_Verbräuche[[#This Row],[2035]],"&lt;&gt;"""), ""),IF(Startseite!$D$68=(Refsz_Verbräuche[[#Headers],[2040]]-1),Refsz_Verbräuche[[#This Row],[2035]],IF(Startseite!$D$68&lt;Refsz_Verbräuche[[#Headers],[2040]],Refsz_Verbräuche[[#This Row],[2035]],"")))</f>
        <v/>
      </c>
      <c r="X77" s="110" t="str">
        <f>IF(Refsz_Verbräuche[[#Headers],[2045]]=Startseite!$D$68,IF(OR(SUMIF($F77:Refsz_Verbräuche[[#This Row],[2040]],"&gt;0")&gt;0,), AVERAGEIF($F77:Refsz_Verbräuche[[#This Row],[2040]],"&lt;&gt;"""), ""),IF(Startseite!$D$68=(Refsz_Verbräuche[[#Headers],[2045]]-1),Refsz_Verbräuche[[#This Row],[2040]],IF(Startseite!$D$68&lt;Refsz_Verbräuche[[#Headers],[2045]],Refsz_Verbräuche[[#This Row],[2040]],"")))</f>
        <v/>
      </c>
      <c r="Y77" s="110" t="str">
        <f>IF(Refsz_Verbräuche[[#Headers],[2050]]=Startseite!$D$68,IF(OR(SUMIF($F77:Refsz_Verbräuche[[#This Row],[2045]],"&gt;0")&gt;0,), AVERAGEIF($F77:Refsz_Verbräuche[[#This Row],[2045]],"&lt;&gt;"""), ""),IF(Startseite!$D$68=(Refsz_Verbräuche[[#Headers],[2050]]-1),Refsz_Verbräuche[[#This Row],[2045]],IF(Startseite!$D$68&lt;Refsz_Verbräuche[[#Headers],[2050]],Refsz_Verbräuche[[#This Row],[2045]],"")))</f>
        <v/>
      </c>
      <c r="AA77" s="14"/>
    </row>
    <row r="78" spans="2:27">
      <c r="B78" s="14">
        <v>61</v>
      </c>
      <c r="C78" s="14" t="s">
        <v>510</v>
      </c>
      <c r="D78" s="9" t="str">
        <f>_xlfn.CONCAT(Startseite!E83," - Privater PKW (alle Antriebsarten)")</f>
        <v>Exkursionen - Privater PKW (alle Antriebsarten)</v>
      </c>
      <c r="E78" t="s">
        <v>379</v>
      </c>
      <c r="F78" s="110"/>
      <c r="G78" s="110"/>
      <c r="H78" s="110"/>
      <c r="I78" s="110"/>
      <c r="J78" s="110"/>
      <c r="K78" s="110"/>
      <c r="L78" s="110"/>
      <c r="M78" s="110" t="str">
        <f>IF(Refsz_Verbräuche[[#Headers],[2022]]=Startseite!$D$68,IF(OR(SUMIF($F78:Refsz_Verbräuche[[#This Row],[2021]],"&gt;0")&gt;0,), AVERAGEIF($F78:Refsz_Verbräuche[[#This Row],[2021]],"&lt;&gt;"""), ""),IF(Startseite!$D$68=(Refsz_Verbräuche[[#Headers],[2022]]-1),Refsz_Verbräuche[[#This Row],[2021]],IF(Startseite!$D$68&lt;Refsz_Verbräuche[[#Headers],[2022]],Refsz_Verbräuche[[#This Row],[2021]],"")))</f>
        <v/>
      </c>
      <c r="N78" s="110" t="str">
        <f>IF(Refsz_Verbräuche[[#Headers],[2023]]=Startseite!$D$68,IF(OR(SUMIF($F78:Refsz_Verbräuche[[#This Row],[2022]],"&gt;0")&gt;0,), AVERAGEIF($F78:Refsz_Verbräuche[[#This Row],[2022]],"&lt;&gt;"""), ""),IF(Startseite!$D$68=(Refsz_Verbräuche[[#Headers],[2023]]-1),Refsz_Verbräuche[[#This Row],[2022]],IF(Startseite!$D$68&lt;Refsz_Verbräuche[[#Headers],[2023]],Refsz_Verbräuche[[#This Row],[2022]],"")))</f>
        <v/>
      </c>
      <c r="O78" s="110" t="str">
        <f>IF(Refsz_Verbräuche[[#Headers],[2024]]=Startseite!$D$68,IF(OR(SUMIF($F78:Refsz_Verbräuche[[#This Row],[2023]],"&gt;0")&gt;0,), AVERAGEIF($F78:Refsz_Verbräuche[[#This Row],[2023]],"&lt;&gt;"""), ""),IF(Startseite!$D$68=(Refsz_Verbräuche[[#Headers],[2024]]-1),Refsz_Verbräuche[[#This Row],[2023]],IF(Startseite!$D$68&lt;Refsz_Verbräuche[[#Headers],[2024]],Refsz_Verbräuche[[#This Row],[2023]],"")))</f>
        <v/>
      </c>
      <c r="P78" s="110" t="str">
        <f>IF(Refsz_Verbräuche[[#Headers],[2025]]=Startseite!$D$68,IF(OR(SUMIF($F78:Refsz_Verbräuche[[#This Row],[2024]],"&gt;0")&gt;0,), AVERAGEIF($F78:Refsz_Verbräuche[[#This Row],[2024]],"&lt;&gt;"""), ""),IF(Startseite!$D$68=(Refsz_Verbräuche[[#Headers],[2025]]-1),Refsz_Verbräuche[[#This Row],[2024]],IF(Startseite!$D$68&lt;Refsz_Verbräuche[[#Headers],[2025]],Refsz_Verbräuche[[#This Row],[2024]],"")))</f>
        <v/>
      </c>
      <c r="Q78" s="110" t="str">
        <f>IF(Refsz_Verbräuche[[#Headers],[2026]]=Startseite!$D$68,IF(OR(SUMIF($F78:Refsz_Verbräuche[[#This Row],[2025]],"&gt;0")&gt;0,), AVERAGEIF($F78:Refsz_Verbräuche[[#This Row],[2025]],"&lt;&gt;"""), ""),IF(Startseite!$D$68=(Refsz_Verbräuche[[#Headers],[2026]]-1),Refsz_Verbräuche[[#This Row],[2025]],IF(Startseite!$D$68&lt;Refsz_Verbräuche[[#Headers],[2026]],Refsz_Verbräuche[[#This Row],[2025]],"")))</f>
        <v/>
      </c>
      <c r="R78" s="110" t="str">
        <f>IF(Refsz_Verbräuche[[#Headers],[2027]]=Startseite!$D$68,IF(OR(SUMIF($F78:Refsz_Verbräuche[[#This Row],[2026]],"&gt;0")&gt;0,), AVERAGEIF($F78:Refsz_Verbräuche[[#This Row],[2026]],"&lt;&gt;"""), ""),IF(Startseite!$D$68=(Refsz_Verbräuche[[#Headers],[2027]]-1),Refsz_Verbräuche[[#This Row],[2026]],IF(Startseite!$D$68&lt;Refsz_Verbräuche[[#Headers],[2027]],Refsz_Verbräuche[[#This Row],[2026]],"")))</f>
        <v/>
      </c>
      <c r="S78" s="110" t="str">
        <f>IF(Refsz_Verbräuche[[#Headers],[2028]]=Startseite!$D$68,IF(OR(SUMIF($F78:Refsz_Verbräuche[[#This Row],[2027]],"&gt;0")&gt;0,), AVERAGEIF($F78:Refsz_Verbräuche[[#This Row],[2027]],"&lt;&gt;"""), ""),IF(Startseite!$D$68=(Refsz_Verbräuche[[#Headers],[2028]]-1),Refsz_Verbräuche[[#This Row],[2027]],IF(Startseite!$D$68&lt;Refsz_Verbräuche[[#Headers],[2028]],Refsz_Verbräuche[[#This Row],[2027]],"")))</f>
        <v/>
      </c>
      <c r="T78" s="110" t="str">
        <f>IF(Refsz_Verbräuche[[#Headers],[2029]]=Startseite!$D$68,IF(OR(SUMIF($F78:Refsz_Verbräuche[[#This Row],[2028]],"&gt;0")&gt;0,), AVERAGEIF($F78:Refsz_Verbräuche[[#This Row],[2028]],"&lt;&gt;"""), ""),IF(Startseite!$D$68=(Refsz_Verbräuche[[#Headers],[2029]]-1),Refsz_Verbräuche[[#This Row],[2028]],IF(Startseite!$D$68&lt;Refsz_Verbräuche[[#Headers],[2029]],Refsz_Verbräuche[[#This Row],[2028]],"")))</f>
        <v/>
      </c>
      <c r="U78" s="110" t="str">
        <f>IF(Refsz_Verbräuche[[#Headers],[2030]]=Startseite!$D$68,IF(OR(SUMIF($F78:Refsz_Verbräuche[[#This Row],[2029]],"&gt;0")&gt;0,), AVERAGEIF($F78:Refsz_Verbräuche[[#This Row],[2029]],"&lt;&gt;"""), ""),IF(Startseite!$D$68=(Refsz_Verbräuche[[#Headers],[2030]]-1),Refsz_Verbräuche[[#This Row],[2029]],IF(Startseite!$D$68&lt;Refsz_Verbräuche[[#Headers],[2030]],Refsz_Verbräuche[[#This Row],[2029]],"")))</f>
        <v/>
      </c>
      <c r="V78" s="110" t="str">
        <f>IF(Refsz_Verbräuche[[#Headers],[2035]]=Startseite!$D$68,IF(OR(SUMIF($F78:Refsz_Verbräuche[[#This Row],[2030]],"&gt;0")&gt;0,), AVERAGEIF($F78:Refsz_Verbräuche[[#This Row],[2030]],"&lt;&gt;"""), ""),IF(Startseite!$D$68=(Refsz_Verbräuche[[#Headers],[2035]]-1),Refsz_Verbräuche[[#This Row],[2030]],IF(Startseite!$D$68&lt;Refsz_Verbräuche[[#Headers],[2035]],Refsz_Verbräuche[[#This Row],[2030]],"")))</f>
        <v/>
      </c>
      <c r="W78" s="110" t="str">
        <f>IF(Refsz_Verbräuche[[#Headers],[2040]]=Startseite!$D$68,IF(OR(SUMIF($F78:Refsz_Verbräuche[[#This Row],[2035]],"&gt;0")&gt;0,), AVERAGEIF($F78:Refsz_Verbräuche[[#This Row],[2035]],"&lt;&gt;"""), ""),IF(Startseite!$D$68=(Refsz_Verbräuche[[#Headers],[2040]]-1),Refsz_Verbräuche[[#This Row],[2035]],IF(Startseite!$D$68&lt;Refsz_Verbräuche[[#Headers],[2040]],Refsz_Verbräuche[[#This Row],[2035]],"")))</f>
        <v/>
      </c>
      <c r="X78" s="110" t="str">
        <f>IF(Refsz_Verbräuche[[#Headers],[2045]]=Startseite!$D$68,IF(OR(SUMIF($F78:Refsz_Verbräuche[[#This Row],[2040]],"&gt;0")&gt;0,), AVERAGEIF($F78:Refsz_Verbräuche[[#This Row],[2040]],"&lt;&gt;"""), ""),IF(Startseite!$D$68=(Refsz_Verbräuche[[#Headers],[2045]]-1),Refsz_Verbräuche[[#This Row],[2040]],IF(Startseite!$D$68&lt;Refsz_Verbräuche[[#Headers],[2045]],Refsz_Verbräuche[[#This Row],[2040]],"")))</f>
        <v/>
      </c>
      <c r="Y78" s="110" t="str">
        <f>IF(Refsz_Verbräuche[[#Headers],[2050]]=Startseite!$D$68,IF(OR(SUMIF($F78:Refsz_Verbräuche[[#This Row],[2045]],"&gt;0")&gt;0,), AVERAGEIF($F78:Refsz_Verbräuche[[#This Row],[2045]],"&lt;&gt;"""), ""),IF(Startseite!$D$68=(Refsz_Verbräuche[[#Headers],[2050]]-1),Refsz_Verbräuche[[#This Row],[2045]],IF(Startseite!$D$68&lt;Refsz_Verbräuche[[#Headers],[2050]],Refsz_Verbräuche[[#This Row],[2045]],"")))</f>
        <v/>
      </c>
      <c r="AA78" s="14"/>
    </row>
    <row r="79" spans="2:27">
      <c r="B79" s="14">
        <v>62</v>
      </c>
      <c r="C79" s="14"/>
      <c r="D79" s="9"/>
      <c r="F79" s="110"/>
      <c r="G79" s="110"/>
      <c r="H79" s="110"/>
      <c r="I79" s="110"/>
      <c r="J79" s="110"/>
      <c r="K79" s="110"/>
      <c r="L79" s="110"/>
      <c r="M79" s="110" t="str">
        <f>IF(Refsz_Verbräuche[[#Headers],[2022]]=Startseite!$D$68,IF(OR(SUMIF($F79:Refsz_Verbräuche[[#This Row],[2021]],"&gt;0")&gt;0,), AVERAGEIF($F79:Refsz_Verbräuche[[#This Row],[2021]],"&lt;&gt;"""), ""),IF(Startseite!$D$68=(Refsz_Verbräuche[[#Headers],[2022]]-1),Refsz_Verbräuche[[#This Row],[2021]],IF(Startseite!$D$68&lt;Refsz_Verbräuche[[#Headers],[2022]],Refsz_Verbräuche[[#This Row],[2021]],"")))</f>
        <v/>
      </c>
      <c r="N79" s="110" t="str">
        <f>IF(Refsz_Verbräuche[[#Headers],[2023]]=Startseite!$D$68,IF(OR(SUMIF($F79:Refsz_Verbräuche[[#This Row],[2022]],"&gt;0")&gt;0,), AVERAGEIF($F79:Refsz_Verbräuche[[#This Row],[2022]],"&lt;&gt;"""), ""),IF(Startseite!$D$68=(Refsz_Verbräuche[[#Headers],[2023]]-1),Refsz_Verbräuche[[#This Row],[2022]],IF(Startseite!$D$68&lt;Refsz_Verbräuche[[#Headers],[2023]],Refsz_Verbräuche[[#This Row],[2022]],"")))</f>
        <v/>
      </c>
      <c r="O79" s="110" t="str">
        <f>IF(Refsz_Verbräuche[[#Headers],[2024]]=Startseite!$D$68,IF(OR(SUMIF($F79:Refsz_Verbräuche[[#This Row],[2023]],"&gt;0")&gt;0,), AVERAGEIF($F79:Refsz_Verbräuche[[#This Row],[2023]],"&lt;&gt;"""), ""),IF(Startseite!$D$68=(Refsz_Verbräuche[[#Headers],[2024]]-1),Refsz_Verbräuche[[#This Row],[2023]],IF(Startseite!$D$68&lt;Refsz_Verbräuche[[#Headers],[2024]],Refsz_Verbräuche[[#This Row],[2023]],"")))</f>
        <v/>
      </c>
      <c r="P79" s="110" t="str">
        <f>IF(Refsz_Verbräuche[[#Headers],[2025]]=Startseite!$D$68,IF(OR(SUMIF($F79:Refsz_Verbräuche[[#This Row],[2024]],"&gt;0")&gt;0,), AVERAGEIF($F79:Refsz_Verbräuche[[#This Row],[2024]],"&lt;&gt;"""), ""),IF(Startseite!$D$68=(Refsz_Verbräuche[[#Headers],[2025]]-1),Refsz_Verbräuche[[#This Row],[2024]],IF(Startseite!$D$68&lt;Refsz_Verbräuche[[#Headers],[2025]],Refsz_Verbräuche[[#This Row],[2024]],"")))</f>
        <v/>
      </c>
      <c r="Q79" s="110" t="str">
        <f>IF(Refsz_Verbräuche[[#Headers],[2026]]=Startseite!$D$68,IF(OR(SUMIF($F79:Refsz_Verbräuche[[#This Row],[2025]],"&gt;0")&gt;0,), AVERAGEIF($F79:Refsz_Verbräuche[[#This Row],[2025]],"&lt;&gt;"""), ""),IF(Startseite!$D$68=(Refsz_Verbräuche[[#Headers],[2026]]-1),Refsz_Verbräuche[[#This Row],[2025]],IF(Startseite!$D$68&lt;Refsz_Verbräuche[[#Headers],[2026]],Refsz_Verbräuche[[#This Row],[2025]],"")))</f>
        <v/>
      </c>
      <c r="R79" s="110" t="str">
        <f>IF(Refsz_Verbräuche[[#Headers],[2027]]=Startseite!$D$68,IF(OR(SUMIF($F79:Refsz_Verbräuche[[#This Row],[2026]],"&gt;0")&gt;0,), AVERAGEIF($F79:Refsz_Verbräuche[[#This Row],[2026]],"&lt;&gt;"""), ""),IF(Startseite!$D$68=(Refsz_Verbräuche[[#Headers],[2027]]-1),Refsz_Verbräuche[[#This Row],[2026]],IF(Startseite!$D$68&lt;Refsz_Verbräuche[[#Headers],[2027]],Refsz_Verbräuche[[#This Row],[2026]],"")))</f>
        <v/>
      </c>
      <c r="S79" s="110" t="str">
        <f>IF(Refsz_Verbräuche[[#Headers],[2028]]=Startseite!$D$68,IF(OR(SUMIF($F79:Refsz_Verbräuche[[#This Row],[2027]],"&gt;0")&gt;0,), AVERAGEIF($F79:Refsz_Verbräuche[[#This Row],[2027]],"&lt;&gt;"""), ""),IF(Startseite!$D$68=(Refsz_Verbräuche[[#Headers],[2028]]-1),Refsz_Verbräuche[[#This Row],[2027]],IF(Startseite!$D$68&lt;Refsz_Verbräuche[[#Headers],[2028]],Refsz_Verbräuche[[#This Row],[2027]],"")))</f>
        <v/>
      </c>
      <c r="T79" s="110" t="str">
        <f>IF(Refsz_Verbräuche[[#Headers],[2029]]=Startseite!$D$68,IF(OR(SUMIF($F79:Refsz_Verbräuche[[#This Row],[2028]],"&gt;0")&gt;0,), AVERAGEIF($F79:Refsz_Verbräuche[[#This Row],[2028]],"&lt;&gt;"""), ""),IF(Startseite!$D$68=(Refsz_Verbräuche[[#Headers],[2029]]-1),Refsz_Verbräuche[[#This Row],[2028]],IF(Startseite!$D$68&lt;Refsz_Verbräuche[[#Headers],[2029]],Refsz_Verbräuche[[#This Row],[2028]],"")))</f>
        <v/>
      </c>
      <c r="U79" s="110" t="str">
        <f>IF(Refsz_Verbräuche[[#Headers],[2030]]=Startseite!$D$68,IF(OR(SUMIF($F79:Refsz_Verbräuche[[#This Row],[2029]],"&gt;0")&gt;0,), AVERAGEIF($F79:Refsz_Verbräuche[[#This Row],[2029]],"&lt;&gt;"""), ""),IF(Startseite!$D$68=(Refsz_Verbräuche[[#Headers],[2030]]-1),Refsz_Verbräuche[[#This Row],[2029]],IF(Startseite!$D$68&lt;Refsz_Verbräuche[[#Headers],[2030]],Refsz_Verbräuche[[#This Row],[2029]],"")))</f>
        <v/>
      </c>
      <c r="V79" s="110" t="str">
        <f>IF(Refsz_Verbräuche[[#Headers],[2035]]=Startseite!$D$68,IF(OR(SUMIF($F79:Refsz_Verbräuche[[#This Row],[2030]],"&gt;0")&gt;0,), AVERAGEIF($F79:Refsz_Verbräuche[[#This Row],[2030]],"&lt;&gt;"""), ""),IF(Startseite!$D$68=(Refsz_Verbräuche[[#Headers],[2035]]-1),Refsz_Verbräuche[[#This Row],[2030]],IF(Startseite!$D$68&lt;Refsz_Verbräuche[[#Headers],[2035]],Refsz_Verbräuche[[#This Row],[2030]],"")))</f>
        <v/>
      </c>
      <c r="W79" s="110" t="str">
        <f>IF(Refsz_Verbräuche[[#Headers],[2040]]=Startseite!$D$68,IF(OR(SUMIF($F79:Refsz_Verbräuche[[#This Row],[2035]],"&gt;0")&gt;0,), AVERAGEIF($F79:Refsz_Verbräuche[[#This Row],[2035]],"&lt;&gt;"""), ""),IF(Startseite!$D$68=(Refsz_Verbräuche[[#Headers],[2040]]-1),Refsz_Verbräuche[[#This Row],[2035]],IF(Startseite!$D$68&lt;Refsz_Verbräuche[[#Headers],[2040]],Refsz_Verbräuche[[#This Row],[2035]],"")))</f>
        <v/>
      </c>
      <c r="X79" s="110" t="str">
        <f>IF(Refsz_Verbräuche[[#Headers],[2045]]=Startseite!$D$68,IF(OR(SUMIF($F79:Refsz_Verbräuche[[#This Row],[2040]],"&gt;0")&gt;0,), AVERAGEIF($F79:Refsz_Verbräuche[[#This Row],[2040]],"&lt;&gt;"""), ""),IF(Startseite!$D$68=(Refsz_Verbräuche[[#Headers],[2045]]-1),Refsz_Verbräuche[[#This Row],[2040]],IF(Startseite!$D$68&lt;Refsz_Verbräuche[[#Headers],[2045]],Refsz_Verbräuche[[#This Row],[2040]],"")))</f>
        <v/>
      </c>
      <c r="Y79" s="110" t="str">
        <f>IF(Refsz_Verbräuche[[#Headers],[2050]]=Startseite!$D$68,IF(OR(SUMIF($F79:Refsz_Verbräuche[[#This Row],[2045]],"&gt;0")&gt;0,), AVERAGEIF($F79:Refsz_Verbräuche[[#This Row],[2045]],"&lt;&gt;"""), ""),IF(Startseite!$D$68=(Refsz_Verbräuche[[#Headers],[2050]]-1),Refsz_Verbräuche[[#This Row],[2045]],IF(Startseite!$D$68&lt;Refsz_Verbräuche[[#Headers],[2050]],Refsz_Verbräuche[[#This Row],[2045]],"")))</f>
        <v/>
      </c>
      <c r="AA79" s="14"/>
    </row>
    <row r="80" spans="2:27">
      <c r="B80" s="14">
        <v>63</v>
      </c>
      <c r="C80" s="14" t="s">
        <v>511</v>
      </c>
      <c r="D80" t="str">
        <f>_xlfn.CONCAT(Startseite!E84," - Eisenbahn (Fernverkehr)")</f>
        <v>Pendeln - Eisenbahn (Fernverkehr)</v>
      </c>
      <c r="E80" t="s">
        <v>43</v>
      </c>
      <c r="F80" s="110"/>
      <c r="G80" s="110"/>
      <c r="H80" s="110"/>
      <c r="I80" s="110"/>
      <c r="J80" s="110"/>
      <c r="K80" s="110"/>
      <c r="L80" s="110"/>
      <c r="M80" s="110" t="str">
        <f>IF(Refsz_Verbräuche[[#Headers],[2022]]=Startseite!$D$68,IF(OR(SUMIF($F80:Refsz_Verbräuche[[#This Row],[2021]],"&gt;0")&gt;0,), AVERAGEIF($F80:Refsz_Verbräuche[[#This Row],[2021]],"&lt;&gt;"""), ""),IF(Startseite!$D$68=(Refsz_Verbräuche[[#Headers],[2022]]-1),Refsz_Verbräuche[[#This Row],[2021]],IF(Startseite!$D$68&lt;Refsz_Verbräuche[[#Headers],[2022]],Refsz_Verbräuche[[#This Row],[2021]],"")))</f>
        <v/>
      </c>
      <c r="N80" s="110" t="str">
        <f>IF(Refsz_Verbräuche[[#Headers],[2023]]=Startseite!$D$68,IF(OR(SUMIF($F80:Refsz_Verbräuche[[#This Row],[2022]],"&gt;0")&gt;0,), AVERAGEIF($F80:Refsz_Verbräuche[[#This Row],[2022]],"&lt;&gt;"""), ""),IF(Startseite!$D$68=(Refsz_Verbräuche[[#Headers],[2023]]-1),Refsz_Verbräuche[[#This Row],[2022]],IF(Startseite!$D$68&lt;Refsz_Verbräuche[[#Headers],[2023]],Refsz_Verbräuche[[#This Row],[2022]],"")))</f>
        <v/>
      </c>
      <c r="O80" s="110" t="str">
        <f>IF(Refsz_Verbräuche[[#Headers],[2024]]=Startseite!$D$68,IF(OR(SUMIF($F80:Refsz_Verbräuche[[#This Row],[2023]],"&gt;0")&gt;0,), AVERAGEIF($F80:Refsz_Verbräuche[[#This Row],[2023]],"&lt;&gt;"""), ""),IF(Startseite!$D$68=(Refsz_Verbräuche[[#Headers],[2024]]-1),Refsz_Verbräuche[[#This Row],[2023]],IF(Startseite!$D$68&lt;Refsz_Verbräuche[[#Headers],[2024]],Refsz_Verbräuche[[#This Row],[2023]],"")))</f>
        <v/>
      </c>
      <c r="P80" s="110" t="str">
        <f>IF(Refsz_Verbräuche[[#Headers],[2025]]=Startseite!$D$68,IF(OR(SUMIF($F80:Refsz_Verbräuche[[#This Row],[2024]],"&gt;0")&gt;0,), AVERAGEIF($F80:Refsz_Verbräuche[[#This Row],[2024]],"&lt;&gt;"""), ""),IF(Startseite!$D$68=(Refsz_Verbräuche[[#Headers],[2025]]-1),Refsz_Verbräuche[[#This Row],[2024]],IF(Startseite!$D$68&lt;Refsz_Verbräuche[[#Headers],[2025]],Refsz_Verbräuche[[#This Row],[2024]],"")))</f>
        <v/>
      </c>
      <c r="Q80" s="110" t="str">
        <f>IF(Refsz_Verbräuche[[#Headers],[2026]]=Startseite!$D$68,IF(OR(SUMIF($F80:Refsz_Verbräuche[[#This Row],[2025]],"&gt;0")&gt;0,), AVERAGEIF($F80:Refsz_Verbräuche[[#This Row],[2025]],"&lt;&gt;"""), ""),IF(Startseite!$D$68=(Refsz_Verbräuche[[#Headers],[2026]]-1),Refsz_Verbräuche[[#This Row],[2025]],IF(Startseite!$D$68&lt;Refsz_Verbräuche[[#Headers],[2026]],Refsz_Verbräuche[[#This Row],[2025]],"")))</f>
        <v/>
      </c>
      <c r="R80" s="110" t="str">
        <f>IF(Refsz_Verbräuche[[#Headers],[2027]]=Startseite!$D$68,IF(OR(SUMIF($F80:Refsz_Verbräuche[[#This Row],[2026]],"&gt;0")&gt;0,), AVERAGEIF($F80:Refsz_Verbräuche[[#This Row],[2026]],"&lt;&gt;"""), ""),IF(Startseite!$D$68=(Refsz_Verbräuche[[#Headers],[2027]]-1),Refsz_Verbräuche[[#This Row],[2026]],IF(Startseite!$D$68&lt;Refsz_Verbräuche[[#Headers],[2027]],Refsz_Verbräuche[[#This Row],[2026]],"")))</f>
        <v/>
      </c>
      <c r="S80" s="110" t="str">
        <f>IF(Refsz_Verbräuche[[#Headers],[2028]]=Startseite!$D$68,IF(OR(SUMIF($F80:Refsz_Verbräuche[[#This Row],[2027]],"&gt;0")&gt;0,), AVERAGEIF($F80:Refsz_Verbräuche[[#This Row],[2027]],"&lt;&gt;"""), ""),IF(Startseite!$D$68=(Refsz_Verbräuche[[#Headers],[2028]]-1),Refsz_Verbräuche[[#This Row],[2027]],IF(Startseite!$D$68&lt;Refsz_Verbräuche[[#Headers],[2028]],Refsz_Verbräuche[[#This Row],[2027]],"")))</f>
        <v/>
      </c>
      <c r="T80" s="110" t="str">
        <f>IF(Refsz_Verbräuche[[#Headers],[2029]]=Startseite!$D$68,IF(OR(SUMIF($F80:Refsz_Verbräuche[[#This Row],[2028]],"&gt;0")&gt;0,), AVERAGEIF($F80:Refsz_Verbräuche[[#This Row],[2028]],"&lt;&gt;"""), ""),IF(Startseite!$D$68=(Refsz_Verbräuche[[#Headers],[2029]]-1),Refsz_Verbräuche[[#This Row],[2028]],IF(Startseite!$D$68&lt;Refsz_Verbräuche[[#Headers],[2029]],Refsz_Verbräuche[[#This Row],[2028]],"")))</f>
        <v/>
      </c>
      <c r="U80" s="110" t="str">
        <f>IF(Refsz_Verbräuche[[#Headers],[2030]]=Startseite!$D$68,IF(OR(SUMIF($F80:Refsz_Verbräuche[[#This Row],[2029]],"&gt;0")&gt;0,), AVERAGEIF($F80:Refsz_Verbräuche[[#This Row],[2029]],"&lt;&gt;"""), ""),IF(Startseite!$D$68=(Refsz_Verbräuche[[#Headers],[2030]]-1),Refsz_Verbräuche[[#This Row],[2029]],IF(Startseite!$D$68&lt;Refsz_Verbräuche[[#Headers],[2030]],Refsz_Verbräuche[[#This Row],[2029]],"")))</f>
        <v/>
      </c>
      <c r="V80" s="110" t="str">
        <f>IF(Refsz_Verbräuche[[#Headers],[2035]]=Startseite!$D$68,IF(OR(SUMIF($F80:Refsz_Verbräuche[[#This Row],[2030]],"&gt;0")&gt;0,), AVERAGEIF($F80:Refsz_Verbräuche[[#This Row],[2030]],"&lt;&gt;"""), ""),IF(Startseite!$D$68=(Refsz_Verbräuche[[#Headers],[2035]]-1),Refsz_Verbräuche[[#This Row],[2030]],IF(Startseite!$D$68&lt;Refsz_Verbräuche[[#Headers],[2035]],Refsz_Verbräuche[[#This Row],[2030]],"")))</f>
        <v/>
      </c>
      <c r="W80" s="110" t="str">
        <f>IF(Refsz_Verbräuche[[#Headers],[2040]]=Startseite!$D$68,IF(OR(SUMIF($F80:Refsz_Verbräuche[[#This Row],[2035]],"&gt;0")&gt;0,), AVERAGEIF($F80:Refsz_Verbräuche[[#This Row],[2035]],"&lt;&gt;"""), ""),IF(Startseite!$D$68=(Refsz_Verbräuche[[#Headers],[2040]]-1),Refsz_Verbräuche[[#This Row],[2035]],IF(Startseite!$D$68&lt;Refsz_Verbräuche[[#Headers],[2040]],Refsz_Verbräuche[[#This Row],[2035]],"")))</f>
        <v/>
      </c>
      <c r="X80" s="110" t="str">
        <f>IF(Refsz_Verbräuche[[#Headers],[2045]]=Startseite!$D$68,IF(OR(SUMIF($F80:Refsz_Verbräuche[[#This Row],[2040]],"&gt;0")&gt;0,), AVERAGEIF($F80:Refsz_Verbräuche[[#This Row],[2040]],"&lt;&gt;"""), ""),IF(Startseite!$D$68=(Refsz_Verbräuche[[#Headers],[2045]]-1),Refsz_Verbräuche[[#This Row],[2040]],IF(Startseite!$D$68&lt;Refsz_Verbräuche[[#Headers],[2045]],Refsz_Verbräuche[[#This Row],[2040]],"")))</f>
        <v/>
      </c>
      <c r="Y80" s="110" t="str">
        <f>IF(Refsz_Verbräuche[[#Headers],[2050]]=Startseite!$D$68,IF(OR(SUMIF($F80:Refsz_Verbräuche[[#This Row],[2045]],"&gt;0")&gt;0,), AVERAGEIF($F80:Refsz_Verbräuche[[#This Row],[2045]],"&lt;&gt;"""), ""),IF(Startseite!$D$68=(Refsz_Verbräuche[[#Headers],[2050]]-1),Refsz_Verbräuche[[#This Row],[2045]],IF(Startseite!$D$68&lt;Refsz_Verbräuche[[#Headers],[2050]],Refsz_Verbräuche[[#This Row],[2045]],"")))</f>
        <v/>
      </c>
      <c r="AA80" s="14"/>
    </row>
    <row r="81" spans="2:27">
      <c r="B81" s="14">
        <v>64</v>
      </c>
      <c r="C81" s="14" t="s">
        <v>511</v>
      </c>
      <c r="D81" t="str">
        <f>_xlfn.CONCAT(Startseite!E84," - Eisenbahn (Nahverkehr)")</f>
        <v>Pendeln - Eisenbahn (Nahverkehr)</v>
      </c>
      <c r="E81" t="s">
        <v>43</v>
      </c>
      <c r="F81" s="110"/>
      <c r="G81" s="110"/>
      <c r="H81" s="110"/>
      <c r="I81" s="110"/>
      <c r="J81" s="110"/>
      <c r="K81" s="110"/>
      <c r="L81" s="110"/>
      <c r="M81" s="110" t="str">
        <f>IF(Refsz_Verbräuche[[#Headers],[2022]]=Startseite!$D$68,IF(OR(SUMIF($F81:Refsz_Verbräuche[[#This Row],[2021]],"&gt;0")&gt;0,), AVERAGEIF($F81:Refsz_Verbräuche[[#This Row],[2021]],"&lt;&gt;"""), ""),IF(Startseite!$D$68=(Refsz_Verbräuche[[#Headers],[2022]]-1),Refsz_Verbräuche[[#This Row],[2021]],IF(Startseite!$D$68&lt;Refsz_Verbräuche[[#Headers],[2022]],Refsz_Verbräuche[[#This Row],[2021]],"")))</f>
        <v/>
      </c>
      <c r="N81" s="110" t="str">
        <f>IF(Refsz_Verbräuche[[#Headers],[2023]]=Startseite!$D$68,IF(OR(SUMIF($F81:Refsz_Verbräuche[[#This Row],[2022]],"&gt;0")&gt;0,), AVERAGEIF($F81:Refsz_Verbräuche[[#This Row],[2022]],"&lt;&gt;"""), ""),IF(Startseite!$D$68=(Refsz_Verbräuche[[#Headers],[2023]]-1),Refsz_Verbräuche[[#This Row],[2022]],IF(Startseite!$D$68&lt;Refsz_Verbräuche[[#Headers],[2023]],Refsz_Verbräuche[[#This Row],[2022]],"")))</f>
        <v/>
      </c>
      <c r="O81" s="110" t="str">
        <f>IF(Refsz_Verbräuche[[#Headers],[2024]]=Startseite!$D$68,IF(OR(SUMIF($F81:Refsz_Verbräuche[[#This Row],[2023]],"&gt;0")&gt;0,), AVERAGEIF($F81:Refsz_Verbräuche[[#This Row],[2023]],"&lt;&gt;"""), ""),IF(Startseite!$D$68=(Refsz_Verbräuche[[#Headers],[2024]]-1),Refsz_Verbräuche[[#This Row],[2023]],IF(Startseite!$D$68&lt;Refsz_Verbräuche[[#Headers],[2024]],Refsz_Verbräuche[[#This Row],[2023]],"")))</f>
        <v/>
      </c>
      <c r="P81" s="110" t="str">
        <f>IF(Refsz_Verbräuche[[#Headers],[2025]]=Startseite!$D$68,IF(OR(SUMIF($F81:Refsz_Verbräuche[[#This Row],[2024]],"&gt;0")&gt;0,), AVERAGEIF($F81:Refsz_Verbräuche[[#This Row],[2024]],"&lt;&gt;"""), ""),IF(Startseite!$D$68=(Refsz_Verbräuche[[#Headers],[2025]]-1),Refsz_Verbräuche[[#This Row],[2024]],IF(Startseite!$D$68&lt;Refsz_Verbräuche[[#Headers],[2025]],Refsz_Verbräuche[[#This Row],[2024]],"")))</f>
        <v/>
      </c>
      <c r="Q81" s="110" t="str">
        <f>IF(Refsz_Verbräuche[[#Headers],[2026]]=Startseite!$D$68,IF(OR(SUMIF($F81:Refsz_Verbräuche[[#This Row],[2025]],"&gt;0")&gt;0,), AVERAGEIF($F81:Refsz_Verbräuche[[#This Row],[2025]],"&lt;&gt;"""), ""),IF(Startseite!$D$68=(Refsz_Verbräuche[[#Headers],[2026]]-1),Refsz_Verbräuche[[#This Row],[2025]],IF(Startseite!$D$68&lt;Refsz_Verbräuche[[#Headers],[2026]],Refsz_Verbräuche[[#This Row],[2025]],"")))</f>
        <v/>
      </c>
      <c r="R81" s="110" t="str">
        <f>IF(Refsz_Verbräuche[[#Headers],[2027]]=Startseite!$D$68,IF(OR(SUMIF($F81:Refsz_Verbräuche[[#This Row],[2026]],"&gt;0")&gt;0,), AVERAGEIF($F81:Refsz_Verbräuche[[#This Row],[2026]],"&lt;&gt;"""), ""),IF(Startseite!$D$68=(Refsz_Verbräuche[[#Headers],[2027]]-1),Refsz_Verbräuche[[#This Row],[2026]],IF(Startseite!$D$68&lt;Refsz_Verbräuche[[#Headers],[2027]],Refsz_Verbräuche[[#This Row],[2026]],"")))</f>
        <v/>
      </c>
      <c r="S81" s="110" t="str">
        <f>IF(Refsz_Verbräuche[[#Headers],[2028]]=Startseite!$D$68,IF(OR(SUMIF($F81:Refsz_Verbräuche[[#This Row],[2027]],"&gt;0")&gt;0,), AVERAGEIF($F81:Refsz_Verbräuche[[#This Row],[2027]],"&lt;&gt;"""), ""),IF(Startseite!$D$68=(Refsz_Verbräuche[[#Headers],[2028]]-1),Refsz_Verbräuche[[#This Row],[2027]],IF(Startseite!$D$68&lt;Refsz_Verbräuche[[#Headers],[2028]],Refsz_Verbräuche[[#This Row],[2027]],"")))</f>
        <v/>
      </c>
      <c r="T81" s="110" t="str">
        <f>IF(Refsz_Verbräuche[[#Headers],[2029]]=Startseite!$D$68,IF(OR(SUMIF($F81:Refsz_Verbräuche[[#This Row],[2028]],"&gt;0")&gt;0,), AVERAGEIF($F81:Refsz_Verbräuche[[#This Row],[2028]],"&lt;&gt;"""), ""),IF(Startseite!$D$68=(Refsz_Verbräuche[[#Headers],[2029]]-1),Refsz_Verbräuche[[#This Row],[2028]],IF(Startseite!$D$68&lt;Refsz_Verbräuche[[#Headers],[2029]],Refsz_Verbräuche[[#This Row],[2028]],"")))</f>
        <v/>
      </c>
      <c r="U81" s="110" t="str">
        <f>IF(Refsz_Verbräuche[[#Headers],[2030]]=Startseite!$D$68,IF(OR(SUMIF($F81:Refsz_Verbräuche[[#This Row],[2029]],"&gt;0")&gt;0,), AVERAGEIF($F81:Refsz_Verbräuche[[#This Row],[2029]],"&lt;&gt;"""), ""),IF(Startseite!$D$68=(Refsz_Verbräuche[[#Headers],[2030]]-1),Refsz_Verbräuche[[#This Row],[2029]],IF(Startseite!$D$68&lt;Refsz_Verbräuche[[#Headers],[2030]],Refsz_Verbräuche[[#This Row],[2029]],"")))</f>
        <v/>
      </c>
      <c r="V81" s="110" t="str">
        <f>IF(Refsz_Verbräuche[[#Headers],[2035]]=Startseite!$D$68,IF(OR(SUMIF($F81:Refsz_Verbräuche[[#This Row],[2030]],"&gt;0")&gt;0,), AVERAGEIF($F81:Refsz_Verbräuche[[#This Row],[2030]],"&lt;&gt;"""), ""),IF(Startseite!$D$68=(Refsz_Verbräuche[[#Headers],[2035]]-1),Refsz_Verbräuche[[#This Row],[2030]],IF(Startseite!$D$68&lt;Refsz_Verbräuche[[#Headers],[2035]],Refsz_Verbräuche[[#This Row],[2030]],"")))</f>
        <v/>
      </c>
      <c r="W81" s="110" t="str">
        <f>IF(Refsz_Verbräuche[[#Headers],[2040]]=Startseite!$D$68,IF(OR(SUMIF($F81:Refsz_Verbräuche[[#This Row],[2035]],"&gt;0")&gt;0,), AVERAGEIF($F81:Refsz_Verbräuche[[#This Row],[2035]],"&lt;&gt;"""), ""),IF(Startseite!$D$68=(Refsz_Verbräuche[[#Headers],[2040]]-1),Refsz_Verbräuche[[#This Row],[2035]],IF(Startseite!$D$68&lt;Refsz_Verbräuche[[#Headers],[2040]],Refsz_Verbräuche[[#This Row],[2035]],"")))</f>
        <v/>
      </c>
      <c r="X81" s="110" t="str">
        <f>IF(Refsz_Verbräuche[[#Headers],[2045]]=Startseite!$D$68,IF(OR(SUMIF($F81:Refsz_Verbräuche[[#This Row],[2040]],"&gt;0")&gt;0,), AVERAGEIF($F81:Refsz_Verbräuche[[#This Row],[2040]],"&lt;&gt;"""), ""),IF(Startseite!$D$68=(Refsz_Verbräuche[[#Headers],[2045]]-1),Refsz_Verbräuche[[#This Row],[2040]],IF(Startseite!$D$68&lt;Refsz_Verbräuche[[#Headers],[2045]],Refsz_Verbräuche[[#This Row],[2040]],"")))</f>
        <v/>
      </c>
      <c r="Y81" s="110" t="str">
        <f>IF(Refsz_Verbräuche[[#Headers],[2050]]=Startseite!$D$68,IF(OR(SUMIF($F81:Refsz_Verbräuche[[#This Row],[2045]],"&gt;0")&gt;0,), AVERAGEIF($F81:Refsz_Verbräuche[[#This Row],[2045]],"&lt;&gt;"""), ""),IF(Startseite!$D$68=(Refsz_Verbräuche[[#Headers],[2050]]-1),Refsz_Verbräuche[[#This Row],[2045]],IF(Startseite!$D$68&lt;Refsz_Verbräuche[[#Headers],[2050]],Refsz_Verbräuche[[#This Row],[2045]],"")))</f>
        <v/>
      </c>
      <c r="AA81" s="14"/>
    </row>
    <row r="82" spans="2:27">
      <c r="B82" s="14">
        <v>65</v>
      </c>
      <c r="C82" s="14" t="s">
        <v>511</v>
      </c>
      <c r="D82" t="str">
        <f>_xlfn.CONCAT(Startseite!E84," - Linienbus (Nahverkehr)")</f>
        <v>Pendeln - Linienbus (Nahverkehr)</v>
      </c>
      <c r="E82" t="s">
        <v>43</v>
      </c>
      <c r="F82" s="110"/>
      <c r="G82" s="110"/>
      <c r="H82" s="110"/>
      <c r="I82" s="110"/>
      <c r="J82" s="110"/>
      <c r="K82" s="110"/>
      <c r="L82" s="110"/>
      <c r="M82" s="110" t="str">
        <f>IF(Refsz_Verbräuche[[#Headers],[2022]]=Startseite!$D$68,IF(OR(SUMIF($F82:Refsz_Verbräuche[[#This Row],[2021]],"&gt;0")&gt;0,), AVERAGEIF($F82:Refsz_Verbräuche[[#This Row],[2021]],"&lt;&gt;"""), ""),IF(Startseite!$D$68=(Refsz_Verbräuche[[#Headers],[2022]]-1),Refsz_Verbräuche[[#This Row],[2021]],IF(Startseite!$D$68&lt;Refsz_Verbräuche[[#Headers],[2022]],Refsz_Verbräuche[[#This Row],[2021]],"")))</f>
        <v/>
      </c>
      <c r="N82" s="110" t="str">
        <f>IF(Refsz_Verbräuche[[#Headers],[2023]]=Startseite!$D$68,IF(OR(SUMIF($F82:Refsz_Verbräuche[[#This Row],[2022]],"&gt;0")&gt;0,), AVERAGEIF($F82:Refsz_Verbräuche[[#This Row],[2022]],"&lt;&gt;"""), ""),IF(Startseite!$D$68=(Refsz_Verbräuche[[#Headers],[2023]]-1),Refsz_Verbräuche[[#This Row],[2022]],IF(Startseite!$D$68&lt;Refsz_Verbräuche[[#Headers],[2023]],Refsz_Verbräuche[[#This Row],[2022]],"")))</f>
        <v/>
      </c>
      <c r="O82" s="110" t="str">
        <f>IF(Refsz_Verbräuche[[#Headers],[2024]]=Startseite!$D$68,IF(OR(SUMIF($F82:Refsz_Verbräuche[[#This Row],[2023]],"&gt;0")&gt;0,), AVERAGEIF($F82:Refsz_Verbräuche[[#This Row],[2023]],"&lt;&gt;"""), ""),IF(Startseite!$D$68=(Refsz_Verbräuche[[#Headers],[2024]]-1),Refsz_Verbräuche[[#This Row],[2023]],IF(Startseite!$D$68&lt;Refsz_Verbräuche[[#Headers],[2024]],Refsz_Verbräuche[[#This Row],[2023]],"")))</f>
        <v/>
      </c>
      <c r="P82" s="110" t="str">
        <f>IF(Refsz_Verbräuche[[#Headers],[2025]]=Startseite!$D$68,IF(OR(SUMIF($F82:Refsz_Verbräuche[[#This Row],[2024]],"&gt;0")&gt;0,), AVERAGEIF($F82:Refsz_Verbräuche[[#This Row],[2024]],"&lt;&gt;"""), ""),IF(Startseite!$D$68=(Refsz_Verbräuche[[#Headers],[2025]]-1),Refsz_Verbräuche[[#This Row],[2024]],IF(Startseite!$D$68&lt;Refsz_Verbräuche[[#Headers],[2025]],Refsz_Verbräuche[[#This Row],[2024]],"")))</f>
        <v/>
      </c>
      <c r="Q82" s="110" t="str">
        <f>IF(Refsz_Verbräuche[[#Headers],[2026]]=Startseite!$D$68,IF(OR(SUMIF($F82:Refsz_Verbräuche[[#This Row],[2025]],"&gt;0")&gt;0,), AVERAGEIF($F82:Refsz_Verbräuche[[#This Row],[2025]],"&lt;&gt;"""), ""),IF(Startseite!$D$68=(Refsz_Verbräuche[[#Headers],[2026]]-1),Refsz_Verbräuche[[#This Row],[2025]],IF(Startseite!$D$68&lt;Refsz_Verbräuche[[#Headers],[2026]],Refsz_Verbräuche[[#This Row],[2025]],"")))</f>
        <v/>
      </c>
      <c r="R82" s="110" t="str">
        <f>IF(Refsz_Verbräuche[[#Headers],[2027]]=Startseite!$D$68,IF(OR(SUMIF($F82:Refsz_Verbräuche[[#This Row],[2026]],"&gt;0")&gt;0,), AVERAGEIF($F82:Refsz_Verbräuche[[#This Row],[2026]],"&lt;&gt;"""), ""),IF(Startseite!$D$68=(Refsz_Verbräuche[[#Headers],[2027]]-1),Refsz_Verbräuche[[#This Row],[2026]],IF(Startseite!$D$68&lt;Refsz_Verbräuche[[#Headers],[2027]],Refsz_Verbräuche[[#This Row],[2026]],"")))</f>
        <v/>
      </c>
      <c r="S82" s="110" t="str">
        <f>IF(Refsz_Verbräuche[[#Headers],[2028]]=Startseite!$D$68,IF(OR(SUMIF($F82:Refsz_Verbräuche[[#This Row],[2027]],"&gt;0")&gt;0,), AVERAGEIF($F82:Refsz_Verbräuche[[#This Row],[2027]],"&lt;&gt;"""), ""),IF(Startseite!$D$68=(Refsz_Verbräuche[[#Headers],[2028]]-1),Refsz_Verbräuche[[#This Row],[2027]],IF(Startseite!$D$68&lt;Refsz_Verbräuche[[#Headers],[2028]],Refsz_Verbräuche[[#This Row],[2027]],"")))</f>
        <v/>
      </c>
      <c r="T82" s="110" t="str">
        <f>IF(Refsz_Verbräuche[[#Headers],[2029]]=Startseite!$D$68,IF(OR(SUMIF($F82:Refsz_Verbräuche[[#This Row],[2028]],"&gt;0")&gt;0,), AVERAGEIF($F82:Refsz_Verbräuche[[#This Row],[2028]],"&lt;&gt;"""), ""),IF(Startseite!$D$68=(Refsz_Verbräuche[[#Headers],[2029]]-1),Refsz_Verbräuche[[#This Row],[2028]],IF(Startseite!$D$68&lt;Refsz_Verbräuche[[#Headers],[2029]],Refsz_Verbräuche[[#This Row],[2028]],"")))</f>
        <v/>
      </c>
      <c r="U82" s="110" t="str">
        <f>IF(Refsz_Verbräuche[[#Headers],[2030]]=Startseite!$D$68,IF(OR(SUMIF($F82:Refsz_Verbräuche[[#This Row],[2029]],"&gt;0")&gt;0,), AVERAGEIF($F82:Refsz_Verbräuche[[#This Row],[2029]],"&lt;&gt;"""), ""),IF(Startseite!$D$68=(Refsz_Verbräuche[[#Headers],[2030]]-1),Refsz_Verbräuche[[#This Row],[2029]],IF(Startseite!$D$68&lt;Refsz_Verbräuche[[#Headers],[2030]],Refsz_Verbräuche[[#This Row],[2029]],"")))</f>
        <v/>
      </c>
      <c r="V82" s="110" t="str">
        <f>IF(Refsz_Verbräuche[[#Headers],[2035]]=Startseite!$D$68,IF(OR(SUMIF($F82:Refsz_Verbräuche[[#This Row],[2030]],"&gt;0")&gt;0,), AVERAGEIF($F82:Refsz_Verbräuche[[#This Row],[2030]],"&lt;&gt;"""), ""),IF(Startseite!$D$68=(Refsz_Verbräuche[[#Headers],[2035]]-1),Refsz_Verbräuche[[#This Row],[2030]],IF(Startseite!$D$68&lt;Refsz_Verbräuche[[#Headers],[2035]],Refsz_Verbräuche[[#This Row],[2030]],"")))</f>
        <v/>
      </c>
      <c r="W82" s="110" t="str">
        <f>IF(Refsz_Verbräuche[[#Headers],[2040]]=Startseite!$D$68,IF(OR(SUMIF($F82:Refsz_Verbräuche[[#This Row],[2035]],"&gt;0")&gt;0,), AVERAGEIF($F82:Refsz_Verbräuche[[#This Row],[2035]],"&lt;&gt;"""), ""),IF(Startseite!$D$68=(Refsz_Verbräuche[[#Headers],[2040]]-1),Refsz_Verbräuche[[#This Row],[2035]],IF(Startseite!$D$68&lt;Refsz_Verbräuche[[#Headers],[2040]],Refsz_Verbräuche[[#This Row],[2035]],"")))</f>
        <v/>
      </c>
      <c r="X82" s="110" t="str">
        <f>IF(Refsz_Verbräuche[[#Headers],[2045]]=Startseite!$D$68,IF(OR(SUMIF($F82:Refsz_Verbräuche[[#This Row],[2040]],"&gt;0")&gt;0,), AVERAGEIF($F82:Refsz_Verbräuche[[#This Row],[2040]],"&lt;&gt;"""), ""),IF(Startseite!$D$68=(Refsz_Verbräuche[[#Headers],[2045]]-1),Refsz_Verbräuche[[#This Row],[2040]],IF(Startseite!$D$68&lt;Refsz_Verbräuche[[#Headers],[2045]],Refsz_Verbräuche[[#This Row],[2040]],"")))</f>
        <v/>
      </c>
      <c r="Y82" s="110" t="str">
        <f>IF(Refsz_Verbräuche[[#Headers],[2050]]=Startseite!$D$68,IF(OR(SUMIF($F82:Refsz_Verbräuche[[#This Row],[2045]],"&gt;0")&gt;0,), AVERAGEIF($F82:Refsz_Verbräuche[[#This Row],[2045]],"&lt;&gt;"""), ""),IF(Startseite!$D$68=(Refsz_Verbräuche[[#Headers],[2050]]-1),Refsz_Verbräuche[[#This Row],[2045]],IF(Startseite!$D$68&lt;Refsz_Verbräuche[[#Headers],[2050]],Refsz_Verbräuche[[#This Row],[2045]],"")))</f>
        <v/>
      </c>
      <c r="AA82" s="14"/>
    </row>
    <row r="83" spans="2:27">
      <c r="B83" s="14">
        <v>66</v>
      </c>
      <c r="C83" s="14" t="s">
        <v>511</v>
      </c>
      <c r="D83" t="str">
        <f>_xlfn.CONCAT(Startseite!E84," - PKW (alle Antriebsarten)")</f>
        <v>Pendeln - PKW (alle Antriebsarten)</v>
      </c>
      <c r="E83" t="s">
        <v>379</v>
      </c>
      <c r="F83" s="110"/>
      <c r="G83" s="110"/>
      <c r="H83" s="110"/>
      <c r="I83" s="110"/>
      <c r="J83" s="110"/>
      <c r="K83" s="110"/>
      <c r="L83" s="110"/>
      <c r="M83" s="110" t="str">
        <f>IF(Refsz_Verbräuche[[#Headers],[2022]]=Startseite!$D$68,IF(OR(SUMIF($F83:Refsz_Verbräuche[[#This Row],[2021]],"&gt;0")&gt;0,), AVERAGEIF($F83:Refsz_Verbräuche[[#This Row],[2021]],"&lt;&gt;"""), ""),IF(Startseite!$D$68=(Refsz_Verbräuche[[#Headers],[2022]]-1),Refsz_Verbräuche[[#This Row],[2021]],IF(Startseite!$D$68&lt;Refsz_Verbräuche[[#Headers],[2022]],Refsz_Verbräuche[[#This Row],[2021]],"")))</f>
        <v/>
      </c>
      <c r="N83" s="110" t="str">
        <f>IF(Refsz_Verbräuche[[#Headers],[2023]]=Startseite!$D$68,IF(OR(SUMIF($F83:Refsz_Verbräuche[[#This Row],[2022]],"&gt;0")&gt;0,), AVERAGEIF($F83:Refsz_Verbräuche[[#This Row],[2022]],"&lt;&gt;"""), ""),IF(Startseite!$D$68=(Refsz_Verbräuche[[#Headers],[2023]]-1),Refsz_Verbräuche[[#This Row],[2022]],IF(Startseite!$D$68&lt;Refsz_Verbräuche[[#Headers],[2023]],Refsz_Verbräuche[[#This Row],[2022]],"")))</f>
        <v/>
      </c>
      <c r="O83" s="110" t="str">
        <f>IF(Refsz_Verbräuche[[#Headers],[2024]]=Startseite!$D$68,IF(OR(SUMIF($F83:Refsz_Verbräuche[[#This Row],[2023]],"&gt;0")&gt;0,), AVERAGEIF($F83:Refsz_Verbräuche[[#This Row],[2023]],"&lt;&gt;"""), ""),IF(Startseite!$D$68=(Refsz_Verbräuche[[#Headers],[2024]]-1),Refsz_Verbräuche[[#This Row],[2023]],IF(Startseite!$D$68&lt;Refsz_Verbräuche[[#Headers],[2024]],Refsz_Verbräuche[[#This Row],[2023]],"")))</f>
        <v/>
      </c>
      <c r="P83" s="110" t="str">
        <f>IF(Refsz_Verbräuche[[#Headers],[2025]]=Startseite!$D$68,IF(OR(SUMIF($F83:Refsz_Verbräuche[[#This Row],[2024]],"&gt;0")&gt;0,), AVERAGEIF($F83:Refsz_Verbräuche[[#This Row],[2024]],"&lt;&gt;"""), ""),IF(Startseite!$D$68=(Refsz_Verbräuche[[#Headers],[2025]]-1),Refsz_Verbräuche[[#This Row],[2024]],IF(Startseite!$D$68&lt;Refsz_Verbräuche[[#Headers],[2025]],Refsz_Verbräuche[[#This Row],[2024]],"")))</f>
        <v/>
      </c>
      <c r="Q83" s="110" t="str">
        <f>IF(Refsz_Verbräuche[[#Headers],[2026]]=Startseite!$D$68,IF(OR(SUMIF($F83:Refsz_Verbräuche[[#This Row],[2025]],"&gt;0")&gt;0,), AVERAGEIF($F83:Refsz_Verbräuche[[#This Row],[2025]],"&lt;&gt;"""), ""),IF(Startseite!$D$68=(Refsz_Verbräuche[[#Headers],[2026]]-1),Refsz_Verbräuche[[#This Row],[2025]],IF(Startseite!$D$68&lt;Refsz_Verbräuche[[#Headers],[2026]],Refsz_Verbräuche[[#This Row],[2025]],"")))</f>
        <v/>
      </c>
      <c r="R83" s="110" t="str">
        <f>IF(Refsz_Verbräuche[[#Headers],[2027]]=Startseite!$D$68,IF(OR(SUMIF($F83:Refsz_Verbräuche[[#This Row],[2026]],"&gt;0")&gt;0,), AVERAGEIF($F83:Refsz_Verbräuche[[#This Row],[2026]],"&lt;&gt;"""), ""),IF(Startseite!$D$68=(Refsz_Verbräuche[[#Headers],[2027]]-1),Refsz_Verbräuche[[#This Row],[2026]],IF(Startseite!$D$68&lt;Refsz_Verbräuche[[#Headers],[2027]],Refsz_Verbräuche[[#This Row],[2026]],"")))</f>
        <v/>
      </c>
      <c r="S83" s="110" t="str">
        <f>IF(Refsz_Verbräuche[[#Headers],[2028]]=Startseite!$D$68,IF(OR(SUMIF($F83:Refsz_Verbräuche[[#This Row],[2027]],"&gt;0")&gt;0,), AVERAGEIF($F83:Refsz_Verbräuche[[#This Row],[2027]],"&lt;&gt;"""), ""),IF(Startseite!$D$68=(Refsz_Verbräuche[[#Headers],[2028]]-1),Refsz_Verbräuche[[#This Row],[2027]],IF(Startseite!$D$68&lt;Refsz_Verbräuche[[#Headers],[2028]],Refsz_Verbräuche[[#This Row],[2027]],"")))</f>
        <v/>
      </c>
      <c r="T83" s="110" t="str">
        <f>IF(Refsz_Verbräuche[[#Headers],[2029]]=Startseite!$D$68,IF(OR(SUMIF($F83:Refsz_Verbräuche[[#This Row],[2028]],"&gt;0")&gt;0,), AVERAGEIF($F83:Refsz_Verbräuche[[#This Row],[2028]],"&lt;&gt;"""), ""),IF(Startseite!$D$68=(Refsz_Verbräuche[[#Headers],[2029]]-1),Refsz_Verbräuche[[#This Row],[2028]],IF(Startseite!$D$68&lt;Refsz_Verbräuche[[#Headers],[2029]],Refsz_Verbräuche[[#This Row],[2028]],"")))</f>
        <v/>
      </c>
      <c r="U83" s="110" t="str">
        <f>IF(Refsz_Verbräuche[[#Headers],[2030]]=Startseite!$D$68,IF(OR(SUMIF($F83:Refsz_Verbräuche[[#This Row],[2029]],"&gt;0")&gt;0,), AVERAGEIF($F83:Refsz_Verbräuche[[#This Row],[2029]],"&lt;&gt;"""), ""),IF(Startseite!$D$68=(Refsz_Verbräuche[[#Headers],[2030]]-1),Refsz_Verbräuche[[#This Row],[2029]],IF(Startseite!$D$68&lt;Refsz_Verbräuche[[#Headers],[2030]],Refsz_Verbräuche[[#This Row],[2029]],"")))</f>
        <v/>
      </c>
      <c r="V83" s="110" t="str">
        <f>IF(Refsz_Verbräuche[[#Headers],[2035]]=Startseite!$D$68,IF(OR(SUMIF($F83:Refsz_Verbräuche[[#This Row],[2030]],"&gt;0")&gt;0,), AVERAGEIF($F83:Refsz_Verbräuche[[#This Row],[2030]],"&lt;&gt;"""), ""),IF(Startseite!$D$68=(Refsz_Verbräuche[[#Headers],[2035]]-1),Refsz_Verbräuche[[#This Row],[2030]],IF(Startseite!$D$68&lt;Refsz_Verbräuche[[#Headers],[2035]],Refsz_Verbräuche[[#This Row],[2030]],"")))</f>
        <v/>
      </c>
      <c r="W83" s="110" t="str">
        <f>IF(Refsz_Verbräuche[[#Headers],[2040]]=Startseite!$D$68,IF(OR(SUMIF($F83:Refsz_Verbräuche[[#This Row],[2035]],"&gt;0")&gt;0,), AVERAGEIF($F83:Refsz_Verbräuche[[#This Row],[2035]],"&lt;&gt;"""), ""),IF(Startseite!$D$68=(Refsz_Verbräuche[[#Headers],[2040]]-1),Refsz_Verbräuche[[#This Row],[2035]],IF(Startseite!$D$68&lt;Refsz_Verbräuche[[#Headers],[2040]],Refsz_Verbräuche[[#This Row],[2035]],"")))</f>
        <v/>
      </c>
      <c r="X83" s="110" t="str">
        <f>IF(Refsz_Verbräuche[[#Headers],[2045]]=Startseite!$D$68,IF(OR(SUMIF($F83:Refsz_Verbräuche[[#This Row],[2040]],"&gt;0")&gt;0,), AVERAGEIF($F83:Refsz_Verbräuche[[#This Row],[2040]],"&lt;&gt;"""), ""),IF(Startseite!$D$68=(Refsz_Verbräuche[[#Headers],[2045]]-1),Refsz_Verbräuche[[#This Row],[2040]],IF(Startseite!$D$68&lt;Refsz_Verbräuche[[#Headers],[2045]],Refsz_Verbräuche[[#This Row],[2040]],"")))</f>
        <v/>
      </c>
      <c r="Y83" s="110" t="str">
        <f>IF(Refsz_Verbräuche[[#Headers],[2050]]=Startseite!$D$68,IF(OR(SUMIF($F83:Refsz_Verbräuche[[#This Row],[2045]],"&gt;0")&gt;0,), AVERAGEIF($F83:Refsz_Verbräuche[[#This Row],[2045]],"&lt;&gt;"""), ""),IF(Startseite!$D$68=(Refsz_Verbräuche[[#Headers],[2050]]-1),Refsz_Verbräuche[[#This Row],[2045]],IF(Startseite!$D$68&lt;Refsz_Verbräuche[[#Headers],[2050]],Refsz_Verbräuche[[#This Row],[2045]],"")))</f>
        <v/>
      </c>
      <c r="AA83" s="14"/>
    </row>
    <row r="84" spans="2:27">
      <c r="B84" s="14">
        <v>67</v>
      </c>
      <c r="C84" s="14" t="s">
        <v>511</v>
      </c>
      <c r="D84" s="36" t="str">
        <f>_xlfn.CONCAT(Startseite!E84," - PKW (Diesel)")</f>
        <v>Pendeln - PKW (Diesel)</v>
      </c>
      <c r="E84" t="s">
        <v>379</v>
      </c>
      <c r="F84" s="110" t="str">
        <f>Umrechnen!D30</f>
        <v/>
      </c>
      <c r="G84" s="110" t="str">
        <f>Umrechnen!E30</f>
        <v/>
      </c>
      <c r="H84" s="110" t="str">
        <f>Umrechnen!F30</f>
        <v/>
      </c>
      <c r="I84" s="110" t="str">
        <f>Umrechnen!G30</f>
        <v/>
      </c>
      <c r="J84" s="110" t="str">
        <f>Umrechnen!H30</f>
        <v/>
      </c>
      <c r="K84" s="110" t="str">
        <f>Umrechnen!I30</f>
        <v/>
      </c>
      <c r="L84" s="110" t="str">
        <f>Umrechnen!J30</f>
        <v/>
      </c>
      <c r="M84" s="110" t="str">
        <f>IF(Refsz_Verbräuche[[#Headers],[2022]]=Startseite!$D$68,IF(OR(SUMIF($F84:Refsz_Verbräuche[[#This Row],[2021]],"&gt;0")&gt;0,), AVERAGEIF($F84:Refsz_Verbräuche[[#This Row],[2021]],"&lt;&gt;"""), ""),IF(Startseite!$D$68=(Refsz_Verbräuche[[#Headers],[2022]]-1),Refsz_Verbräuche[[#This Row],[2021]],IF(Startseite!$D$68&lt;Refsz_Verbräuche[[#Headers],[2022]],Refsz_Verbräuche[[#This Row],[2021]],Umrechnen!K30)))</f>
        <v/>
      </c>
      <c r="N84" s="110" t="str">
        <f>IF(Refsz_Verbräuche[[#Headers],[2023]]=Startseite!$D$68,IF(OR(SUMIF($F84:Refsz_Verbräuche[[#This Row],[2022]],"&gt;0")&gt;0,), AVERAGEIF($F84:Refsz_Verbräuche[[#This Row],[2022]],"&lt;&gt;"""), ""),IF(Startseite!$D$68=(Refsz_Verbräuche[[#Headers],[2023]]-1),Refsz_Verbräuche[[#This Row],[2022]],IF(Startseite!$D$68&lt;Refsz_Verbräuche[[#Headers],[2023]],Refsz_Verbräuche[[#This Row],[2022]],Umrechnen!L30)))</f>
        <v/>
      </c>
      <c r="O84" s="110" t="str">
        <f>IF(Refsz_Verbräuche[[#Headers],[2024]]=Startseite!$D$68,IF(OR(SUMIF($F84:Refsz_Verbräuche[[#This Row],[2023]],"&gt;0")&gt;0,), AVERAGEIF($F84:Refsz_Verbräuche[[#This Row],[2023]],"&lt;&gt;"""), ""),IF(Startseite!$D$68=(Refsz_Verbräuche[[#Headers],[2024]]-1),Refsz_Verbräuche[[#This Row],[2023]],IF(Startseite!$D$68&lt;Refsz_Verbräuche[[#Headers],[2024]],Refsz_Verbräuche[[#This Row],[2023]],Umrechnen!M30)))</f>
        <v/>
      </c>
      <c r="P84" s="110" t="str">
        <f>IF(Refsz_Verbräuche[[#Headers],[2025]]=Startseite!$D$68,IF(OR(SUMIF($F84:Refsz_Verbräuche[[#This Row],[2024]],"&gt;0")&gt;0,), AVERAGEIF($F84:Refsz_Verbräuche[[#This Row],[2024]],"&lt;&gt;"""), ""),IF(Startseite!$D$68=(Refsz_Verbräuche[[#Headers],[2025]]-1),Refsz_Verbräuche[[#This Row],[2024]],IF(Startseite!$D$68&lt;Refsz_Verbräuche[[#Headers],[2025]],Refsz_Verbräuche[[#This Row],[2024]],Umrechnen!N30)))</f>
        <v/>
      </c>
      <c r="Q84" s="110" t="str">
        <f>IF(Refsz_Verbräuche[[#Headers],[2026]]=Startseite!$D$68,IF(OR(SUMIF($F84:Refsz_Verbräuche[[#This Row],[2025]],"&gt;0")&gt;0,), AVERAGEIF($F84:Refsz_Verbräuche[[#This Row],[2025]],"&lt;&gt;"""), ""),IF(Startseite!$D$68=(Refsz_Verbräuche[[#Headers],[2026]]-1),Refsz_Verbräuche[[#This Row],[2025]],IF(Startseite!$D$68&lt;Refsz_Verbräuche[[#Headers],[2026]],Refsz_Verbräuche[[#This Row],[2025]],Umrechnen!O30)))</f>
        <v/>
      </c>
      <c r="R84" s="110" t="str">
        <f>IF(Refsz_Verbräuche[[#Headers],[2027]]=Startseite!$D$68,IF(OR(SUMIF($F84:Refsz_Verbräuche[[#This Row],[2026]],"&gt;0")&gt;0,), AVERAGEIF($F84:Refsz_Verbräuche[[#This Row],[2026]],"&lt;&gt;"""), ""),IF(Startseite!$D$68=(Refsz_Verbräuche[[#Headers],[2027]]-1),Refsz_Verbräuche[[#This Row],[2026]],IF(Startseite!$D$68&lt;Refsz_Verbräuche[[#Headers],[2027]],Refsz_Verbräuche[[#This Row],[2026]],Umrechnen!P30)))</f>
        <v/>
      </c>
      <c r="S84" s="110" t="str">
        <f>IF(Refsz_Verbräuche[[#Headers],[2028]]=Startseite!$D$68,IF(OR(SUMIF($F84:Refsz_Verbräuche[[#This Row],[2027]],"&gt;0")&gt;0,), AVERAGEIF($F84:Refsz_Verbräuche[[#This Row],[2027]],"&lt;&gt;"""), ""),IF(Startseite!$D$68=(Refsz_Verbräuche[[#Headers],[2028]]-1),Refsz_Verbräuche[[#This Row],[2027]],IF(Startseite!$D$68&lt;Refsz_Verbräuche[[#Headers],[2028]],Refsz_Verbräuche[[#This Row],[2027]],Umrechnen!Q30)))</f>
        <v/>
      </c>
      <c r="T84" s="110" t="str">
        <f>IF(Refsz_Verbräuche[[#Headers],[2029]]=Startseite!$D$68,IF(OR(SUMIF($F84:Refsz_Verbräuche[[#This Row],[2028]],"&gt;0")&gt;0,), AVERAGEIF($F84:Refsz_Verbräuche[[#This Row],[2028]],"&lt;&gt;"""), ""),IF(Startseite!$D$68=(Refsz_Verbräuche[[#Headers],[2029]]-1),Refsz_Verbräuche[[#This Row],[2028]],IF(Startseite!$D$68&lt;Refsz_Verbräuche[[#Headers],[2029]],Refsz_Verbräuche[[#This Row],[2028]],Umrechnen!R30)))</f>
        <v/>
      </c>
      <c r="U84" s="110" t="str">
        <f>IF(Refsz_Verbräuche[[#Headers],[2030]]=Startseite!$D$68,IF(OR(SUMIF($F84:Refsz_Verbräuche[[#This Row],[2029]],"&gt;0")&gt;0,), AVERAGEIF($F84:Refsz_Verbräuche[[#This Row],[2029]],"&lt;&gt;"""), ""),IF(Startseite!$D$68=(Refsz_Verbräuche[[#Headers],[2030]]-1),Refsz_Verbräuche[[#This Row],[2029]],IF(Startseite!$D$68&lt;Refsz_Verbräuche[[#Headers],[2030]],Refsz_Verbräuche[[#This Row],[2029]],Umrechnen!S30)))</f>
        <v/>
      </c>
      <c r="V84" s="110" t="str">
        <f>IF(Refsz_Verbräuche[[#Headers],[2035]]=Startseite!$D$68,IF(OR(SUMIF($F84:Refsz_Verbräuche[[#This Row],[2030]],"&gt;0")&gt;0,), AVERAGEIF($F84:Refsz_Verbräuche[[#This Row],[2030]],"&lt;&gt;"""), ""),IF(Startseite!$D$68=(Refsz_Verbräuche[[#Headers],[2035]]-1),Refsz_Verbräuche[[#This Row],[2030]],IF(Startseite!$D$68&lt;Refsz_Verbräuche[[#Headers],[2035]],Refsz_Verbräuche[[#This Row],[2030]],Umrechnen!T30)))</f>
        <v/>
      </c>
      <c r="W84" s="110" t="str">
        <f>IF(Refsz_Verbräuche[[#Headers],[2040]]=Startseite!$D$68,IF(OR(SUMIF($F84:Refsz_Verbräuche[[#This Row],[2035]],"&gt;0")&gt;0,), AVERAGEIF($F84:Refsz_Verbräuche[[#This Row],[2035]],"&lt;&gt;"""), ""),IF(Startseite!$D$68=(Refsz_Verbräuche[[#Headers],[2040]]-1),Refsz_Verbräuche[[#This Row],[2035]],IF(Startseite!$D$68&lt;Refsz_Verbräuche[[#Headers],[2040]],Refsz_Verbräuche[[#This Row],[2035]],Umrechnen!U30)))</f>
        <v/>
      </c>
      <c r="X84" s="110" t="str">
        <f>IF(Refsz_Verbräuche[[#Headers],[2045]]=Startseite!$D$68,IF(OR(SUMIF($F84:Refsz_Verbräuche[[#This Row],[2040]],"&gt;0")&gt;0,), AVERAGEIF($F84:Refsz_Verbräuche[[#This Row],[2040]],"&lt;&gt;"""), ""),IF(Startseite!$D$68=(Refsz_Verbräuche[[#Headers],[2045]]-1),Refsz_Verbräuche[[#This Row],[2040]],IF(Startseite!$D$68&lt;Refsz_Verbräuche[[#Headers],[2045]],Refsz_Verbräuche[[#This Row],[2040]],Umrechnen!V30)))</f>
        <v/>
      </c>
      <c r="Y84" s="110" t="str">
        <f>IF(Refsz_Verbräuche[[#Headers],[2050]]=Startseite!$D$68,IF(OR(SUMIF($F84:Refsz_Verbräuche[[#This Row],[2045]],"&gt;0")&gt;0,), AVERAGEIF($F84:Refsz_Verbräuche[[#This Row],[2045]],"&lt;&gt;"""), ""),IF(Startseite!$D$68=(Refsz_Verbräuche[[#Headers],[2050]]-1),Refsz_Verbräuche[[#This Row],[2045]],IF(Startseite!$D$68&lt;Refsz_Verbräuche[[#Headers],[2050]],Refsz_Verbräuche[[#This Row],[2045]],Umrechnen!W30)))</f>
        <v/>
      </c>
      <c r="AA84" s="14"/>
    </row>
    <row r="85" spans="2:27">
      <c r="B85" s="14">
        <v>68</v>
      </c>
      <c r="C85" s="14" t="s">
        <v>511</v>
      </c>
      <c r="D85" s="36" t="str">
        <f>_xlfn.CONCAT(Startseite!E84," - PKW (Benzin)")</f>
        <v>Pendeln - PKW (Benzin)</v>
      </c>
      <c r="E85" t="s">
        <v>379</v>
      </c>
      <c r="F85" s="110" t="str">
        <f>Umrechnen!D36</f>
        <v/>
      </c>
      <c r="G85" s="110" t="str">
        <f>Umrechnen!E36</f>
        <v/>
      </c>
      <c r="H85" s="110" t="str">
        <f>Umrechnen!F36</f>
        <v/>
      </c>
      <c r="I85" s="110" t="str">
        <f>Umrechnen!G36</f>
        <v/>
      </c>
      <c r="J85" s="110" t="str">
        <f>Umrechnen!H36</f>
        <v/>
      </c>
      <c r="K85" s="110" t="str">
        <f>Umrechnen!I36</f>
        <v/>
      </c>
      <c r="L85" s="110" t="str">
        <f>Umrechnen!J36</f>
        <v/>
      </c>
      <c r="M85" s="110" t="str">
        <f>IF(Refsz_Verbräuche[[#Headers],[2022]]=Startseite!$D$68,IF(OR(SUMIF($F85:Refsz_Verbräuche[[#This Row],[2021]],"&gt;0")&gt;0,), AVERAGEIF($F85:Refsz_Verbräuche[[#This Row],[2021]],"&lt;&gt;"""), ""),IF(Startseite!$D$68=(Refsz_Verbräuche[[#Headers],[2022]]-1),Refsz_Verbräuche[[#This Row],[2021]],IF(Startseite!$D$68&lt;Refsz_Verbräuche[[#Headers],[2022]],Refsz_Verbräuche[[#This Row],[2021]],Umrechnen!K36)))</f>
        <v/>
      </c>
      <c r="N85" s="110" t="str">
        <f>IF(Refsz_Verbräuche[[#Headers],[2023]]=Startseite!$D$68,IF(OR(SUMIF($F85:Refsz_Verbräuche[[#This Row],[2022]],"&gt;0")&gt;0,), AVERAGEIF($F85:Refsz_Verbräuche[[#This Row],[2022]],"&lt;&gt;"""), ""),IF(Startseite!$D$68=(Refsz_Verbräuche[[#Headers],[2023]]-1),Refsz_Verbräuche[[#This Row],[2022]],IF(Startseite!$D$68&lt;Refsz_Verbräuche[[#Headers],[2023]],Refsz_Verbräuche[[#This Row],[2022]],Umrechnen!L36)))</f>
        <v/>
      </c>
      <c r="O85" s="110" t="str">
        <f>IF(Refsz_Verbräuche[[#Headers],[2024]]=Startseite!$D$68,IF(OR(SUMIF($F85:Refsz_Verbräuche[[#This Row],[2023]],"&gt;0")&gt;0,), AVERAGEIF($F85:Refsz_Verbräuche[[#This Row],[2023]],"&lt;&gt;"""), ""),IF(Startseite!$D$68=(Refsz_Verbräuche[[#Headers],[2024]]-1),Refsz_Verbräuche[[#This Row],[2023]],IF(Startseite!$D$68&lt;Refsz_Verbräuche[[#Headers],[2024]],Refsz_Verbräuche[[#This Row],[2023]],Umrechnen!M36)))</f>
        <v/>
      </c>
      <c r="P85" s="110" t="str">
        <f>IF(Refsz_Verbräuche[[#Headers],[2025]]=Startseite!$D$68,IF(OR(SUMIF($F85:Refsz_Verbräuche[[#This Row],[2024]],"&gt;0")&gt;0,), AVERAGEIF($F85:Refsz_Verbräuche[[#This Row],[2024]],"&lt;&gt;"""), ""),IF(Startseite!$D$68=(Refsz_Verbräuche[[#Headers],[2025]]-1),Refsz_Verbräuche[[#This Row],[2024]],IF(Startseite!$D$68&lt;Refsz_Verbräuche[[#Headers],[2025]],Refsz_Verbräuche[[#This Row],[2024]],Umrechnen!N36)))</f>
        <v/>
      </c>
      <c r="Q85" s="110" t="str">
        <f>IF(Refsz_Verbräuche[[#Headers],[2026]]=Startseite!$D$68,IF(OR(SUMIF($F85:Refsz_Verbräuche[[#This Row],[2025]],"&gt;0")&gt;0,), AVERAGEIF($F85:Refsz_Verbräuche[[#This Row],[2025]],"&lt;&gt;"""), ""),IF(Startseite!$D$68=(Refsz_Verbräuche[[#Headers],[2026]]-1),Refsz_Verbräuche[[#This Row],[2025]],IF(Startseite!$D$68&lt;Refsz_Verbräuche[[#Headers],[2026]],Refsz_Verbräuche[[#This Row],[2025]],Umrechnen!O36)))</f>
        <v/>
      </c>
      <c r="R85" s="110" t="str">
        <f>IF(Refsz_Verbräuche[[#Headers],[2027]]=Startseite!$D$68,IF(OR(SUMIF($F85:Refsz_Verbräuche[[#This Row],[2026]],"&gt;0")&gt;0,), AVERAGEIF($F85:Refsz_Verbräuche[[#This Row],[2026]],"&lt;&gt;"""), ""),IF(Startseite!$D$68=(Refsz_Verbräuche[[#Headers],[2027]]-1),Refsz_Verbräuche[[#This Row],[2026]],IF(Startseite!$D$68&lt;Refsz_Verbräuche[[#Headers],[2027]],Refsz_Verbräuche[[#This Row],[2026]],Umrechnen!P36)))</f>
        <v/>
      </c>
      <c r="S85" s="110" t="str">
        <f>IF(Refsz_Verbräuche[[#Headers],[2028]]=Startseite!$D$68,IF(OR(SUMIF($F85:Refsz_Verbräuche[[#This Row],[2027]],"&gt;0")&gt;0,), AVERAGEIF($F85:Refsz_Verbräuche[[#This Row],[2027]],"&lt;&gt;"""), ""),IF(Startseite!$D$68=(Refsz_Verbräuche[[#Headers],[2028]]-1),Refsz_Verbräuche[[#This Row],[2027]],IF(Startseite!$D$68&lt;Refsz_Verbräuche[[#Headers],[2028]],Refsz_Verbräuche[[#This Row],[2027]],Umrechnen!Q36)))</f>
        <v/>
      </c>
      <c r="T85" s="110" t="str">
        <f>IF(Refsz_Verbräuche[[#Headers],[2029]]=Startseite!$D$68,IF(OR(SUMIF($F85:Refsz_Verbräuche[[#This Row],[2028]],"&gt;0")&gt;0,), AVERAGEIF($F85:Refsz_Verbräuche[[#This Row],[2028]],"&lt;&gt;"""), ""),IF(Startseite!$D$68=(Refsz_Verbräuche[[#Headers],[2029]]-1),Refsz_Verbräuche[[#This Row],[2028]],IF(Startseite!$D$68&lt;Refsz_Verbräuche[[#Headers],[2029]],Refsz_Verbräuche[[#This Row],[2028]],Umrechnen!R36)))</f>
        <v/>
      </c>
      <c r="U85" s="110" t="str">
        <f>IF(Refsz_Verbräuche[[#Headers],[2030]]=Startseite!$D$68,IF(OR(SUMIF($F85:Refsz_Verbräuche[[#This Row],[2029]],"&gt;0")&gt;0,), AVERAGEIF($F85:Refsz_Verbräuche[[#This Row],[2029]],"&lt;&gt;"""), ""),IF(Startseite!$D$68=(Refsz_Verbräuche[[#Headers],[2030]]-1),Refsz_Verbräuche[[#This Row],[2029]],IF(Startseite!$D$68&lt;Refsz_Verbräuche[[#Headers],[2030]],Refsz_Verbräuche[[#This Row],[2029]],Umrechnen!S36)))</f>
        <v/>
      </c>
      <c r="V85" s="110" t="str">
        <f>IF(Refsz_Verbräuche[[#Headers],[2035]]=Startseite!$D$68,IF(OR(SUMIF($F85:Refsz_Verbräuche[[#This Row],[2030]],"&gt;0")&gt;0,), AVERAGEIF($F85:Refsz_Verbräuche[[#This Row],[2030]],"&lt;&gt;"""), ""),IF(Startseite!$D$68=(Refsz_Verbräuche[[#Headers],[2035]]-1),Refsz_Verbräuche[[#This Row],[2030]],IF(Startseite!$D$68&lt;Refsz_Verbräuche[[#Headers],[2035]],Refsz_Verbräuche[[#This Row],[2030]],Umrechnen!T36)))</f>
        <v/>
      </c>
      <c r="W85" s="110" t="str">
        <f>IF(Refsz_Verbräuche[[#Headers],[2040]]=Startseite!$D$68,IF(OR(SUMIF($F85:Refsz_Verbräuche[[#This Row],[2035]],"&gt;0")&gt;0,), AVERAGEIF($F85:Refsz_Verbräuche[[#This Row],[2035]],"&lt;&gt;"""), ""),IF(Startseite!$D$68=(Refsz_Verbräuche[[#Headers],[2040]]-1),Refsz_Verbräuche[[#This Row],[2035]],IF(Startseite!$D$68&lt;Refsz_Verbräuche[[#Headers],[2040]],Refsz_Verbräuche[[#This Row],[2035]],Umrechnen!U36)))</f>
        <v/>
      </c>
      <c r="X85" s="110" t="str">
        <f>IF(Refsz_Verbräuche[[#Headers],[2045]]=Startseite!$D$68,IF(OR(SUMIF($F85:Refsz_Verbräuche[[#This Row],[2040]],"&gt;0")&gt;0,), AVERAGEIF($F85:Refsz_Verbräuche[[#This Row],[2040]],"&lt;&gt;"""), ""),IF(Startseite!$D$68=(Refsz_Verbräuche[[#Headers],[2045]]-1),Refsz_Verbräuche[[#This Row],[2040]],IF(Startseite!$D$68&lt;Refsz_Verbräuche[[#Headers],[2045]],Refsz_Verbräuche[[#This Row],[2040]],Umrechnen!V36)))</f>
        <v/>
      </c>
      <c r="Y85" s="110" t="str">
        <f>IF(Refsz_Verbräuche[[#Headers],[2050]]=Startseite!$D$68,IF(OR(SUMIF($F85:Refsz_Verbräuche[[#This Row],[2045]],"&gt;0")&gt;0,), AVERAGEIF($F85:Refsz_Verbräuche[[#This Row],[2045]],"&lt;&gt;"""), ""),IF(Startseite!$D$68=(Refsz_Verbräuche[[#Headers],[2050]]-1),Refsz_Verbräuche[[#This Row],[2045]],IF(Startseite!$D$68&lt;Refsz_Verbräuche[[#Headers],[2050]],Refsz_Verbräuche[[#This Row],[2045]],Umrechnen!W36)))</f>
        <v/>
      </c>
      <c r="AA85" s="14"/>
    </row>
    <row r="86" spans="2:27">
      <c r="B86" s="14">
        <v>69</v>
      </c>
      <c r="C86" s="14" t="s">
        <v>511</v>
      </c>
      <c r="D86" t="str">
        <f>_xlfn.CONCAT(Startseite!E84," - PKW (E-Auto/ BEV)")</f>
        <v>Pendeln - PKW (E-Auto/ BEV)</v>
      </c>
      <c r="E86" t="s">
        <v>379</v>
      </c>
      <c r="F86" s="110"/>
      <c r="G86" s="110"/>
      <c r="H86" s="110"/>
      <c r="I86" s="110"/>
      <c r="J86" s="110"/>
      <c r="K86" s="110"/>
      <c r="L86" s="110"/>
      <c r="M86" s="110" t="str">
        <f>IF(Refsz_Verbräuche[[#Headers],[2022]]=Startseite!$D$68,IF(OR(SUMIF($F86:Refsz_Verbräuche[[#This Row],[2021]],"&gt;0")&gt;0,), AVERAGEIF($F86:Refsz_Verbräuche[[#This Row],[2021]],"&lt;&gt;"""), ""),IF(Startseite!$D$68=(Refsz_Verbräuche[[#Headers],[2022]]-1),Refsz_Verbräuche[[#This Row],[2021]],IF(Startseite!$D$68&lt;Refsz_Verbräuche[[#Headers],[2022]],Refsz_Verbräuche[[#This Row],[2021]],"")))</f>
        <v/>
      </c>
      <c r="N86" s="110" t="str">
        <f>IF(Refsz_Verbräuche[[#Headers],[2023]]=Startseite!$D$68,IF(OR(SUMIF($F86:Refsz_Verbräuche[[#This Row],[2022]],"&gt;0")&gt;0,), AVERAGEIF($F86:Refsz_Verbräuche[[#This Row],[2022]],"&lt;&gt;"""), ""),IF(Startseite!$D$68=(Refsz_Verbräuche[[#Headers],[2023]]-1),Refsz_Verbräuche[[#This Row],[2022]],IF(Startseite!$D$68&lt;Refsz_Verbräuche[[#Headers],[2023]],Refsz_Verbräuche[[#This Row],[2022]],"")))</f>
        <v/>
      </c>
      <c r="O86" s="110" t="str">
        <f>IF(Refsz_Verbräuche[[#Headers],[2024]]=Startseite!$D$68,IF(OR(SUMIF($F86:Refsz_Verbräuche[[#This Row],[2023]],"&gt;0")&gt;0,), AVERAGEIF($F86:Refsz_Verbräuche[[#This Row],[2023]],"&lt;&gt;"""), ""),IF(Startseite!$D$68=(Refsz_Verbräuche[[#Headers],[2024]]-1),Refsz_Verbräuche[[#This Row],[2023]],IF(Startseite!$D$68&lt;Refsz_Verbräuche[[#Headers],[2024]],Refsz_Verbräuche[[#This Row],[2023]],"")))</f>
        <v/>
      </c>
      <c r="P86" s="110" t="str">
        <f>IF(Refsz_Verbräuche[[#Headers],[2025]]=Startseite!$D$68,IF(OR(SUMIF($F86:Refsz_Verbräuche[[#This Row],[2024]],"&gt;0")&gt;0,), AVERAGEIF($F86:Refsz_Verbräuche[[#This Row],[2024]],"&lt;&gt;"""), ""),IF(Startseite!$D$68=(Refsz_Verbräuche[[#Headers],[2025]]-1),Refsz_Verbräuche[[#This Row],[2024]],IF(Startseite!$D$68&lt;Refsz_Verbräuche[[#Headers],[2025]],Refsz_Verbräuche[[#This Row],[2024]],"")))</f>
        <v/>
      </c>
      <c r="Q86" s="110" t="str">
        <f>IF(Refsz_Verbräuche[[#Headers],[2026]]=Startseite!$D$68,IF(OR(SUMIF($F86:Refsz_Verbräuche[[#This Row],[2025]],"&gt;0")&gt;0,), AVERAGEIF($F86:Refsz_Verbräuche[[#This Row],[2025]],"&lt;&gt;"""), ""),IF(Startseite!$D$68=(Refsz_Verbräuche[[#Headers],[2026]]-1),Refsz_Verbräuche[[#This Row],[2025]],IF(Startseite!$D$68&lt;Refsz_Verbräuche[[#Headers],[2026]],Refsz_Verbräuche[[#This Row],[2025]],"")))</f>
        <v/>
      </c>
      <c r="R86" s="110" t="str">
        <f>IF(Refsz_Verbräuche[[#Headers],[2027]]=Startseite!$D$68,IF(OR(SUMIF($F86:Refsz_Verbräuche[[#This Row],[2026]],"&gt;0")&gt;0,), AVERAGEIF($F86:Refsz_Verbräuche[[#This Row],[2026]],"&lt;&gt;"""), ""),IF(Startseite!$D$68=(Refsz_Verbräuche[[#Headers],[2027]]-1),Refsz_Verbräuche[[#This Row],[2026]],IF(Startseite!$D$68&lt;Refsz_Verbräuche[[#Headers],[2027]],Refsz_Verbräuche[[#This Row],[2026]],"")))</f>
        <v/>
      </c>
      <c r="S86" s="110" t="str">
        <f>IF(Refsz_Verbräuche[[#Headers],[2028]]=Startseite!$D$68,IF(OR(SUMIF($F86:Refsz_Verbräuche[[#This Row],[2027]],"&gt;0")&gt;0,), AVERAGEIF($F86:Refsz_Verbräuche[[#This Row],[2027]],"&lt;&gt;"""), ""),IF(Startseite!$D$68=(Refsz_Verbräuche[[#Headers],[2028]]-1),Refsz_Verbräuche[[#This Row],[2027]],IF(Startseite!$D$68&lt;Refsz_Verbräuche[[#Headers],[2028]],Refsz_Verbräuche[[#This Row],[2027]],"")))</f>
        <v/>
      </c>
      <c r="T86" s="110" t="str">
        <f>IF(Refsz_Verbräuche[[#Headers],[2029]]=Startseite!$D$68,IF(OR(SUMIF($F86:Refsz_Verbräuche[[#This Row],[2028]],"&gt;0")&gt;0,), AVERAGEIF($F86:Refsz_Verbräuche[[#This Row],[2028]],"&lt;&gt;"""), ""),IF(Startseite!$D$68=(Refsz_Verbräuche[[#Headers],[2029]]-1),Refsz_Verbräuche[[#This Row],[2028]],IF(Startseite!$D$68&lt;Refsz_Verbräuche[[#Headers],[2029]],Refsz_Verbräuche[[#This Row],[2028]],"")))</f>
        <v/>
      </c>
      <c r="U86" s="110" t="str">
        <f>IF(Refsz_Verbräuche[[#Headers],[2030]]=Startseite!$D$68,IF(OR(SUMIF($F86:Refsz_Verbräuche[[#This Row],[2029]],"&gt;0")&gt;0,), AVERAGEIF($F86:Refsz_Verbräuche[[#This Row],[2029]],"&lt;&gt;"""), ""),IF(Startseite!$D$68=(Refsz_Verbräuche[[#Headers],[2030]]-1),Refsz_Verbräuche[[#This Row],[2029]],IF(Startseite!$D$68&lt;Refsz_Verbräuche[[#Headers],[2030]],Refsz_Verbräuche[[#This Row],[2029]],"")))</f>
        <v/>
      </c>
      <c r="V86" s="110" t="str">
        <f>IF(Refsz_Verbräuche[[#Headers],[2035]]=Startseite!$D$68,IF(OR(SUMIF($F86:Refsz_Verbräuche[[#This Row],[2030]],"&gt;0")&gt;0,), AVERAGEIF($F86:Refsz_Verbräuche[[#This Row],[2030]],"&lt;&gt;"""), ""),IF(Startseite!$D$68=(Refsz_Verbräuche[[#Headers],[2035]]-1),Refsz_Verbräuche[[#This Row],[2030]],IF(Startseite!$D$68&lt;Refsz_Verbräuche[[#Headers],[2035]],Refsz_Verbräuche[[#This Row],[2030]],"")))</f>
        <v/>
      </c>
      <c r="W86" s="110" t="str">
        <f>IF(Refsz_Verbräuche[[#Headers],[2040]]=Startseite!$D$68,IF(OR(SUMIF($F86:Refsz_Verbräuche[[#This Row],[2035]],"&gt;0")&gt;0,), AVERAGEIF($F86:Refsz_Verbräuche[[#This Row],[2035]],"&lt;&gt;"""), ""),IF(Startseite!$D$68=(Refsz_Verbräuche[[#Headers],[2040]]-1),Refsz_Verbräuche[[#This Row],[2035]],IF(Startseite!$D$68&lt;Refsz_Verbräuche[[#Headers],[2040]],Refsz_Verbräuche[[#This Row],[2035]],"")))</f>
        <v/>
      </c>
      <c r="X86" s="110" t="str">
        <f>IF(Refsz_Verbräuche[[#Headers],[2045]]=Startseite!$D$68,IF(OR(SUMIF($F86:Refsz_Verbräuche[[#This Row],[2040]],"&gt;0")&gt;0,), AVERAGEIF($F86:Refsz_Verbräuche[[#This Row],[2040]],"&lt;&gt;"""), ""),IF(Startseite!$D$68=(Refsz_Verbräuche[[#Headers],[2045]]-1),Refsz_Verbräuche[[#This Row],[2040]],IF(Startseite!$D$68&lt;Refsz_Verbräuche[[#Headers],[2045]],Refsz_Verbräuche[[#This Row],[2040]],"")))</f>
        <v/>
      </c>
      <c r="Y86" s="110" t="str">
        <f>IF(Refsz_Verbräuche[[#Headers],[2050]]=Startseite!$D$68,IF(OR(SUMIF($F86:Refsz_Verbräuche[[#This Row],[2045]],"&gt;0")&gt;0,), AVERAGEIF($F86:Refsz_Verbräuche[[#This Row],[2045]],"&lt;&gt;"""), ""),IF(Startseite!$D$68=(Refsz_Verbräuche[[#Headers],[2050]]-1),Refsz_Verbräuche[[#This Row],[2045]],IF(Startseite!$D$68&lt;Refsz_Verbräuche[[#Headers],[2050]],Refsz_Verbräuche[[#This Row],[2045]],"")))</f>
        <v/>
      </c>
      <c r="AA86" s="14"/>
    </row>
    <row r="87" spans="2:27">
      <c r="B87" s="14">
        <v>70</v>
      </c>
      <c r="C87" s="14" t="s">
        <v>511</v>
      </c>
      <c r="D87" t="str">
        <f>_xlfn.CONCAT(Startseite!E84," - PKW (Wasserstoff/ FCEV)")</f>
        <v>Pendeln - PKW (Wasserstoff/ FCEV)</v>
      </c>
      <c r="E87" t="s">
        <v>379</v>
      </c>
      <c r="F87" s="110"/>
      <c r="G87" s="110"/>
      <c r="H87" s="110"/>
      <c r="I87" s="110"/>
      <c r="J87" s="110"/>
      <c r="K87" s="110"/>
      <c r="L87" s="110"/>
      <c r="M87" s="110" t="str">
        <f>IF(Refsz_Verbräuche[[#Headers],[2022]]=Startseite!$D$68,IF(OR(SUMIF($F87:Refsz_Verbräuche[[#This Row],[2021]],"&gt;0")&gt;0,), AVERAGEIF($F87:Refsz_Verbräuche[[#This Row],[2021]],"&lt;&gt;"""), ""),IF(Startseite!$D$68=(Refsz_Verbräuche[[#Headers],[2022]]-1),Refsz_Verbräuche[[#This Row],[2021]],IF(Startseite!$D$68&lt;Refsz_Verbräuche[[#Headers],[2022]],Refsz_Verbräuche[[#This Row],[2021]],"")))</f>
        <v/>
      </c>
      <c r="N87" s="110" t="str">
        <f>IF(Refsz_Verbräuche[[#Headers],[2023]]=Startseite!$D$68,IF(OR(SUMIF($F87:Refsz_Verbräuche[[#This Row],[2022]],"&gt;0")&gt;0,), AVERAGEIF($F87:Refsz_Verbräuche[[#This Row],[2022]],"&lt;&gt;"""), ""),IF(Startseite!$D$68=(Refsz_Verbräuche[[#Headers],[2023]]-1),Refsz_Verbräuche[[#This Row],[2022]],IF(Startseite!$D$68&lt;Refsz_Verbräuche[[#Headers],[2023]],Refsz_Verbräuche[[#This Row],[2022]],"")))</f>
        <v/>
      </c>
      <c r="O87" s="110" t="str">
        <f>IF(Refsz_Verbräuche[[#Headers],[2024]]=Startseite!$D$68,IF(OR(SUMIF($F87:Refsz_Verbräuche[[#This Row],[2023]],"&gt;0")&gt;0,), AVERAGEIF($F87:Refsz_Verbräuche[[#This Row],[2023]],"&lt;&gt;"""), ""),IF(Startseite!$D$68=(Refsz_Verbräuche[[#Headers],[2024]]-1),Refsz_Verbräuche[[#This Row],[2023]],IF(Startseite!$D$68&lt;Refsz_Verbräuche[[#Headers],[2024]],Refsz_Verbräuche[[#This Row],[2023]],"")))</f>
        <v/>
      </c>
      <c r="P87" s="110" t="str">
        <f>IF(Refsz_Verbräuche[[#Headers],[2025]]=Startseite!$D$68,IF(OR(SUMIF($F87:Refsz_Verbräuche[[#This Row],[2024]],"&gt;0")&gt;0,), AVERAGEIF($F87:Refsz_Verbräuche[[#This Row],[2024]],"&lt;&gt;"""), ""),IF(Startseite!$D$68=(Refsz_Verbräuche[[#Headers],[2025]]-1),Refsz_Verbräuche[[#This Row],[2024]],IF(Startseite!$D$68&lt;Refsz_Verbräuche[[#Headers],[2025]],Refsz_Verbräuche[[#This Row],[2024]],"")))</f>
        <v/>
      </c>
      <c r="Q87" s="110" t="str">
        <f>IF(Refsz_Verbräuche[[#Headers],[2026]]=Startseite!$D$68,IF(OR(SUMIF($F87:Refsz_Verbräuche[[#This Row],[2025]],"&gt;0")&gt;0,), AVERAGEIF($F87:Refsz_Verbräuche[[#This Row],[2025]],"&lt;&gt;"""), ""),IF(Startseite!$D$68=(Refsz_Verbräuche[[#Headers],[2026]]-1),Refsz_Verbräuche[[#This Row],[2025]],IF(Startseite!$D$68&lt;Refsz_Verbräuche[[#Headers],[2026]],Refsz_Verbräuche[[#This Row],[2025]],"")))</f>
        <v/>
      </c>
      <c r="R87" s="110" t="str">
        <f>IF(Refsz_Verbräuche[[#Headers],[2027]]=Startseite!$D$68,IF(OR(SUMIF($F87:Refsz_Verbräuche[[#This Row],[2026]],"&gt;0")&gt;0,), AVERAGEIF($F87:Refsz_Verbräuche[[#This Row],[2026]],"&lt;&gt;"""), ""),IF(Startseite!$D$68=(Refsz_Verbräuche[[#Headers],[2027]]-1),Refsz_Verbräuche[[#This Row],[2026]],IF(Startseite!$D$68&lt;Refsz_Verbräuche[[#Headers],[2027]],Refsz_Verbräuche[[#This Row],[2026]],"")))</f>
        <v/>
      </c>
      <c r="S87" s="110" t="str">
        <f>IF(Refsz_Verbräuche[[#Headers],[2028]]=Startseite!$D$68,IF(OR(SUMIF($F87:Refsz_Verbräuche[[#This Row],[2027]],"&gt;0")&gt;0,), AVERAGEIF($F87:Refsz_Verbräuche[[#This Row],[2027]],"&lt;&gt;"""), ""),IF(Startseite!$D$68=(Refsz_Verbräuche[[#Headers],[2028]]-1),Refsz_Verbräuche[[#This Row],[2027]],IF(Startseite!$D$68&lt;Refsz_Verbräuche[[#Headers],[2028]],Refsz_Verbräuche[[#This Row],[2027]],"")))</f>
        <v/>
      </c>
      <c r="T87" s="110" t="str">
        <f>IF(Refsz_Verbräuche[[#Headers],[2029]]=Startseite!$D$68,IF(OR(SUMIF($F87:Refsz_Verbräuche[[#This Row],[2028]],"&gt;0")&gt;0,), AVERAGEIF($F87:Refsz_Verbräuche[[#This Row],[2028]],"&lt;&gt;"""), ""),IF(Startseite!$D$68=(Refsz_Verbräuche[[#Headers],[2029]]-1),Refsz_Verbräuche[[#This Row],[2028]],IF(Startseite!$D$68&lt;Refsz_Verbräuche[[#Headers],[2029]],Refsz_Verbräuche[[#This Row],[2028]],"")))</f>
        <v/>
      </c>
      <c r="U87" s="110" t="str">
        <f>IF(Refsz_Verbräuche[[#Headers],[2030]]=Startseite!$D$68,IF(OR(SUMIF($F87:Refsz_Verbräuche[[#This Row],[2029]],"&gt;0")&gt;0,), AVERAGEIF($F87:Refsz_Verbräuche[[#This Row],[2029]],"&lt;&gt;"""), ""),IF(Startseite!$D$68=(Refsz_Verbräuche[[#Headers],[2030]]-1),Refsz_Verbräuche[[#This Row],[2029]],IF(Startseite!$D$68&lt;Refsz_Verbräuche[[#Headers],[2030]],Refsz_Verbräuche[[#This Row],[2029]],"")))</f>
        <v/>
      </c>
      <c r="V87" s="110" t="str">
        <f>IF(Refsz_Verbräuche[[#Headers],[2035]]=Startseite!$D$68,IF(OR(SUMIF($F87:Refsz_Verbräuche[[#This Row],[2030]],"&gt;0")&gt;0,), AVERAGEIF($F87:Refsz_Verbräuche[[#This Row],[2030]],"&lt;&gt;"""), ""),IF(Startseite!$D$68=(Refsz_Verbräuche[[#Headers],[2035]]-1),Refsz_Verbräuche[[#This Row],[2030]],IF(Startseite!$D$68&lt;Refsz_Verbräuche[[#Headers],[2035]],Refsz_Verbräuche[[#This Row],[2030]],"")))</f>
        <v/>
      </c>
      <c r="W87" s="110" t="str">
        <f>IF(Refsz_Verbräuche[[#Headers],[2040]]=Startseite!$D$68,IF(OR(SUMIF($F87:Refsz_Verbräuche[[#This Row],[2035]],"&gt;0")&gt;0,), AVERAGEIF($F87:Refsz_Verbräuche[[#This Row],[2035]],"&lt;&gt;"""), ""),IF(Startseite!$D$68=(Refsz_Verbräuche[[#Headers],[2040]]-1),Refsz_Verbräuche[[#This Row],[2035]],IF(Startseite!$D$68&lt;Refsz_Verbräuche[[#Headers],[2040]],Refsz_Verbräuche[[#This Row],[2035]],"")))</f>
        <v/>
      </c>
      <c r="X87" s="110" t="str">
        <f>IF(Refsz_Verbräuche[[#Headers],[2045]]=Startseite!$D$68,IF(OR(SUMIF($F87:Refsz_Verbräuche[[#This Row],[2040]],"&gt;0")&gt;0,), AVERAGEIF($F87:Refsz_Verbräuche[[#This Row],[2040]],"&lt;&gt;"""), ""),IF(Startseite!$D$68=(Refsz_Verbräuche[[#Headers],[2045]]-1),Refsz_Verbräuche[[#This Row],[2040]],IF(Startseite!$D$68&lt;Refsz_Verbräuche[[#Headers],[2045]],Refsz_Verbräuche[[#This Row],[2040]],"")))</f>
        <v/>
      </c>
      <c r="Y87" s="110" t="str">
        <f>IF(Refsz_Verbräuche[[#Headers],[2050]]=Startseite!$D$68,IF(OR(SUMIF($F87:Refsz_Verbräuche[[#This Row],[2045]],"&gt;0")&gt;0,), AVERAGEIF($F87:Refsz_Verbräuche[[#This Row],[2045]],"&lt;&gt;"""), ""),IF(Startseite!$D$68=(Refsz_Verbräuche[[#Headers],[2050]]-1),Refsz_Verbräuche[[#This Row],[2045]],IF(Startseite!$D$68&lt;Refsz_Verbräuche[[#Headers],[2050]],Refsz_Verbräuche[[#This Row],[2045]],"")))</f>
        <v/>
      </c>
      <c r="AA87" s="14"/>
    </row>
    <row r="88" spans="2:27">
      <c r="B88" s="14">
        <v>71</v>
      </c>
      <c r="C88" s="14" t="s">
        <v>511</v>
      </c>
      <c r="D88" t="str">
        <f>_xlfn.CONCAT(Startseite!E84," - PKW (CNG)")</f>
        <v>Pendeln - PKW (CNG)</v>
      </c>
      <c r="E88" t="s">
        <v>379</v>
      </c>
      <c r="F88" s="110"/>
      <c r="G88" s="110"/>
      <c r="H88" s="110"/>
      <c r="I88" s="110"/>
      <c r="J88" s="110"/>
      <c r="K88" s="110"/>
      <c r="L88" s="110"/>
      <c r="M88" s="110" t="str">
        <f>IF(Refsz_Verbräuche[[#Headers],[2022]]=Startseite!$D$68,IF(OR(SUMIF($F88:Refsz_Verbräuche[[#This Row],[2021]],"&gt;0")&gt;0,), AVERAGEIF($F88:Refsz_Verbräuche[[#This Row],[2021]],"&lt;&gt;"""), ""),IF(Startseite!$D$68=(Refsz_Verbräuche[[#Headers],[2022]]-1),Refsz_Verbräuche[[#This Row],[2021]],IF(Startseite!$D$68&lt;Refsz_Verbräuche[[#Headers],[2022]],Refsz_Verbräuche[[#This Row],[2021]],"")))</f>
        <v/>
      </c>
      <c r="N88" s="110" t="str">
        <f>IF(Refsz_Verbräuche[[#Headers],[2023]]=Startseite!$D$68,IF(OR(SUMIF($F88:Refsz_Verbräuche[[#This Row],[2022]],"&gt;0")&gt;0,), AVERAGEIF($F88:Refsz_Verbräuche[[#This Row],[2022]],"&lt;&gt;"""), ""),IF(Startseite!$D$68=(Refsz_Verbräuche[[#Headers],[2023]]-1),Refsz_Verbräuche[[#This Row],[2022]],IF(Startseite!$D$68&lt;Refsz_Verbräuche[[#Headers],[2023]],Refsz_Verbräuche[[#This Row],[2022]],"")))</f>
        <v/>
      </c>
      <c r="O88" s="110" t="str">
        <f>IF(Refsz_Verbräuche[[#Headers],[2024]]=Startseite!$D$68,IF(OR(SUMIF($F88:Refsz_Verbräuche[[#This Row],[2023]],"&gt;0")&gt;0,), AVERAGEIF($F88:Refsz_Verbräuche[[#This Row],[2023]],"&lt;&gt;"""), ""),IF(Startseite!$D$68=(Refsz_Verbräuche[[#Headers],[2024]]-1),Refsz_Verbräuche[[#This Row],[2023]],IF(Startseite!$D$68&lt;Refsz_Verbräuche[[#Headers],[2024]],Refsz_Verbräuche[[#This Row],[2023]],"")))</f>
        <v/>
      </c>
      <c r="P88" s="110" t="str">
        <f>IF(Refsz_Verbräuche[[#Headers],[2025]]=Startseite!$D$68,IF(OR(SUMIF($F88:Refsz_Verbräuche[[#This Row],[2024]],"&gt;0")&gt;0,), AVERAGEIF($F88:Refsz_Verbräuche[[#This Row],[2024]],"&lt;&gt;"""), ""),IF(Startseite!$D$68=(Refsz_Verbräuche[[#Headers],[2025]]-1),Refsz_Verbräuche[[#This Row],[2024]],IF(Startseite!$D$68&lt;Refsz_Verbräuche[[#Headers],[2025]],Refsz_Verbräuche[[#This Row],[2024]],"")))</f>
        <v/>
      </c>
      <c r="Q88" s="110" t="str">
        <f>IF(Refsz_Verbräuche[[#Headers],[2026]]=Startseite!$D$68,IF(OR(SUMIF($F88:Refsz_Verbräuche[[#This Row],[2025]],"&gt;0")&gt;0,), AVERAGEIF($F88:Refsz_Verbräuche[[#This Row],[2025]],"&lt;&gt;"""), ""),IF(Startseite!$D$68=(Refsz_Verbräuche[[#Headers],[2026]]-1),Refsz_Verbräuche[[#This Row],[2025]],IF(Startseite!$D$68&lt;Refsz_Verbräuche[[#Headers],[2026]],Refsz_Verbräuche[[#This Row],[2025]],"")))</f>
        <v/>
      </c>
      <c r="R88" s="110" t="str">
        <f>IF(Refsz_Verbräuche[[#Headers],[2027]]=Startseite!$D$68,IF(OR(SUMIF($F88:Refsz_Verbräuche[[#This Row],[2026]],"&gt;0")&gt;0,), AVERAGEIF($F88:Refsz_Verbräuche[[#This Row],[2026]],"&lt;&gt;"""), ""),IF(Startseite!$D$68=(Refsz_Verbräuche[[#Headers],[2027]]-1),Refsz_Verbräuche[[#This Row],[2026]],IF(Startseite!$D$68&lt;Refsz_Verbräuche[[#Headers],[2027]],Refsz_Verbräuche[[#This Row],[2026]],"")))</f>
        <v/>
      </c>
      <c r="S88" s="110" t="str">
        <f>IF(Refsz_Verbräuche[[#Headers],[2028]]=Startseite!$D$68,IF(OR(SUMIF($F88:Refsz_Verbräuche[[#This Row],[2027]],"&gt;0")&gt;0,), AVERAGEIF($F88:Refsz_Verbräuche[[#This Row],[2027]],"&lt;&gt;"""), ""),IF(Startseite!$D$68=(Refsz_Verbräuche[[#Headers],[2028]]-1),Refsz_Verbräuche[[#This Row],[2027]],IF(Startseite!$D$68&lt;Refsz_Verbräuche[[#Headers],[2028]],Refsz_Verbräuche[[#This Row],[2027]],"")))</f>
        <v/>
      </c>
      <c r="T88" s="110" t="str">
        <f>IF(Refsz_Verbräuche[[#Headers],[2029]]=Startseite!$D$68,IF(OR(SUMIF($F88:Refsz_Verbräuche[[#This Row],[2028]],"&gt;0")&gt;0,), AVERAGEIF($F88:Refsz_Verbräuche[[#This Row],[2028]],"&lt;&gt;"""), ""),IF(Startseite!$D$68=(Refsz_Verbräuche[[#Headers],[2029]]-1),Refsz_Verbräuche[[#This Row],[2028]],IF(Startseite!$D$68&lt;Refsz_Verbräuche[[#Headers],[2029]],Refsz_Verbräuche[[#This Row],[2028]],"")))</f>
        <v/>
      </c>
      <c r="U88" s="110" t="str">
        <f>IF(Refsz_Verbräuche[[#Headers],[2030]]=Startseite!$D$68,IF(OR(SUMIF($F88:Refsz_Verbräuche[[#This Row],[2029]],"&gt;0")&gt;0,), AVERAGEIF($F88:Refsz_Verbräuche[[#This Row],[2029]],"&lt;&gt;"""), ""),IF(Startseite!$D$68=(Refsz_Verbräuche[[#Headers],[2030]]-1),Refsz_Verbräuche[[#This Row],[2029]],IF(Startseite!$D$68&lt;Refsz_Verbräuche[[#Headers],[2030]],Refsz_Verbräuche[[#This Row],[2029]],"")))</f>
        <v/>
      </c>
      <c r="V88" s="110" t="str">
        <f>IF(Refsz_Verbräuche[[#Headers],[2035]]=Startseite!$D$68,IF(OR(SUMIF($F88:Refsz_Verbräuche[[#This Row],[2030]],"&gt;0")&gt;0,), AVERAGEIF($F88:Refsz_Verbräuche[[#This Row],[2030]],"&lt;&gt;"""), ""),IF(Startseite!$D$68=(Refsz_Verbräuche[[#Headers],[2035]]-1),Refsz_Verbräuche[[#This Row],[2030]],IF(Startseite!$D$68&lt;Refsz_Verbräuche[[#Headers],[2035]],Refsz_Verbräuche[[#This Row],[2030]],"")))</f>
        <v/>
      </c>
      <c r="W88" s="110" t="str">
        <f>IF(Refsz_Verbräuche[[#Headers],[2040]]=Startseite!$D$68,IF(OR(SUMIF($F88:Refsz_Verbräuche[[#This Row],[2035]],"&gt;0")&gt;0,), AVERAGEIF($F88:Refsz_Verbräuche[[#This Row],[2035]],"&lt;&gt;"""), ""),IF(Startseite!$D$68=(Refsz_Verbräuche[[#Headers],[2040]]-1),Refsz_Verbräuche[[#This Row],[2035]],IF(Startseite!$D$68&lt;Refsz_Verbräuche[[#Headers],[2040]],Refsz_Verbräuche[[#This Row],[2035]],"")))</f>
        <v/>
      </c>
      <c r="X88" s="110" t="str">
        <f>IF(Refsz_Verbräuche[[#Headers],[2045]]=Startseite!$D$68,IF(OR(SUMIF($F88:Refsz_Verbräuche[[#This Row],[2040]],"&gt;0")&gt;0,), AVERAGEIF($F88:Refsz_Verbräuche[[#This Row],[2040]],"&lt;&gt;"""), ""),IF(Startseite!$D$68=(Refsz_Verbräuche[[#Headers],[2045]]-1),Refsz_Verbräuche[[#This Row],[2040]],IF(Startseite!$D$68&lt;Refsz_Verbräuche[[#Headers],[2045]],Refsz_Verbräuche[[#This Row],[2040]],"")))</f>
        <v/>
      </c>
      <c r="Y88" s="110" t="str">
        <f>IF(Refsz_Verbräuche[[#Headers],[2050]]=Startseite!$D$68,IF(OR(SUMIF($F88:Refsz_Verbräuche[[#This Row],[2045]],"&gt;0")&gt;0,), AVERAGEIF($F88:Refsz_Verbräuche[[#This Row],[2045]],"&lt;&gt;"""), ""),IF(Startseite!$D$68=(Refsz_Verbräuche[[#Headers],[2050]]-1),Refsz_Verbräuche[[#This Row],[2045]],IF(Startseite!$D$68&lt;Refsz_Verbräuche[[#Headers],[2050]],Refsz_Verbräuche[[#This Row],[2045]],"")))</f>
        <v/>
      </c>
      <c r="AA88" s="14"/>
    </row>
    <row r="89" spans="2:27">
      <c r="B89" s="14">
        <v>72</v>
      </c>
      <c r="C89" s="14" t="s">
        <v>511</v>
      </c>
      <c r="D89" s="9" t="str">
        <f>_xlfn.CONCAT(Startseite!E84," - PKW (Plug-In-Hybrid/PHEV)")</f>
        <v>Pendeln - PKW (Plug-In-Hybrid/PHEV)</v>
      </c>
      <c r="E89" t="s">
        <v>379</v>
      </c>
      <c r="F89" s="110"/>
      <c r="G89" s="110"/>
      <c r="H89" s="110"/>
      <c r="I89" s="110"/>
      <c r="J89" s="110"/>
      <c r="K89" s="110"/>
      <c r="L89" s="110"/>
      <c r="M89" s="110" t="str">
        <f>IF(Refsz_Verbräuche[[#Headers],[2022]]=Startseite!$D$68,IF(OR(SUMIF($F89:Refsz_Verbräuche[[#This Row],[2021]],"&gt;0")&gt;0,), AVERAGEIF($F89:Refsz_Verbräuche[[#This Row],[2021]],"&lt;&gt;"""), ""),IF(Startseite!$D$68=(Refsz_Verbräuche[[#Headers],[2022]]-1),Refsz_Verbräuche[[#This Row],[2021]],IF(Startseite!$D$68&lt;Refsz_Verbräuche[[#Headers],[2022]],Refsz_Verbräuche[[#This Row],[2021]],"")))</f>
        <v/>
      </c>
      <c r="N89" s="110" t="str">
        <f>IF(Refsz_Verbräuche[[#Headers],[2023]]=Startseite!$D$68,IF(OR(SUMIF($F89:Refsz_Verbräuche[[#This Row],[2022]],"&gt;0")&gt;0,), AVERAGEIF($F89:Refsz_Verbräuche[[#This Row],[2022]],"&lt;&gt;"""), ""),IF(Startseite!$D$68=(Refsz_Verbräuche[[#Headers],[2023]]-1),Refsz_Verbräuche[[#This Row],[2022]],IF(Startseite!$D$68&lt;Refsz_Verbräuche[[#Headers],[2023]],Refsz_Verbräuche[[#This Row],[2022]],"")))</f>
        <v/>
      </c>
      <c r="O89" s="110" t="str">
        <f>IF(Refsz_Verbräuche[[#Headers],[2024]]=Startseite!$D$68,IF(OR(SUMIF($F89:Refsz_Verbräuche[[#This Row],[2023]],"&gt;0")&gt;0,), AVERAGEIF($F89:Refsz_Verbräuche[[#This Row],[2023]],"&lt;&gt;"""), ""),IF(Startseite!$D$68=(Refsz_Verbräuche[[#Headers],[2024]]-1),Refsz_Verbräuche[[#This Row],[2023]],IF(Startseite!$D$68&lt;Refsz_Verbräuche[[#Headers],[2024]],Refsz_Verbräuche[[#This Row],[2023]],"")))</f>
        <v/>
      </c>
      <c r="P89" s="110" t="str">
        <f>IF(Refsz_Verbräuche[[#Headers],[2025]]=Startseite!$D$68,IF(OR(SUMIF($F89:Refsz_Verbräuche[[#This Row],[2024]],"&gt;0")&gt;0,), AVERAGEIF($F89:Refsz_Verbräuche[[#This Row],[2024]],"&lt;&gt;"""), ""),IF(Startseite!$D$68=(Refsz_Verbräuche[[#Headers],[2025]]-1),Refsz_Verbräuche[[#This Row],[2024]],IF(Startseite!$D$68&lt;Refsz_Verbräuche[[#Headers],[2025]],Refsz_Verbräuche[[#This Row],[2024]],"")))</f>
        <v/>
      </c>
      <c r="Q89" s="110" t="str">
        <f>IF(Refsz_Verbräuche[[#Headers],[2026]]=Startseite!$D$68,IF(OR(SUMIF($F89:Refsz_Verbräuche[[#This Row],[2025]],"&gt;0")&gt;0,), AVERAGEIF($F89:Refsz_Verbräuche[[#This Row],[2025]],"&lt;&gt;"""), ""),IF(Startseite!$D$68=(Refsz_Verbräuche[[#Headers],[2026]]-1),Refsz_Verbräuche[[#This Row],[2025]],IF(Startseite!$D$68&lt;Refsz_Verbräuche[[#Headers],[2026]],Refsz_Verbräuche[[#This Row],[2025]],"")))</f>
        <v/>
      </c>
      <c r="R89" s="110" t="str">
        <f>IF(Refsz_Verbräuche[[#Headers],[2027]]=Startseite!$D$68,IF(OR(SUMIF($F89:Refsz_Verbräuche[[#This Row],[2026]],"&gt;0")&gt;0,), AVERAGEIF($F89:Refsz_Verbräuche[[#This Row],[2026]],"&lt;&gt;"""), ""),IF(Startseite!$D$68=(Refsz_Verbräuche[[#Headers],[2027]]-1),Refsz_Verbräuche[[#This Row],[2026]],IF(Startseite!$D$68&lt;Refsz_Verbräuche[[#Headers],[2027]],Refsz_Verbräuche[[#This Row],[2026]],"")))</f>
        <v/>
      </c>
      <c r="S89" s="110" t="str">
        <f>IF(Refsz_Verbräuche[[#Headers],[2028]]=Startseite!$D$68,IF(OR(SUMIF($F89:Refsz_Verbräuche[[#This Row],[2027]],"&gt;0")&gt;0,), AVERAGEIF($F89:Refsz_Verbräuche[[#This Row],[2027]],"&lt;&gt;"""), ""),IF(Startseite!$D$68=(Refsz_Verbräuche[[#Headers],[2028]]-1),Refsz_Verbräuche[[#This Row],[2027]],IF(Startseite!$D$68&lt;Refsz_Verbräuche[[#Headers],[2028]],Refsz_Verbräuche[[#This Row],[2027]],"")))</f>
        <v/>
      </c>
      <c r="T89" s="110" t="str">
        <f>IF(Refsz_Verbräuche[[#Headers],[2029]]=Startseite!$D$68,IF(OR(SUMIF($F89:Refsz_Verbräuche[[#This Row],[2028]],"&gt;0")&gt;0,), AVERAGEIF($F89:Refsz_Verbräuche[[#This Row],[2028]],"&lt;&gt;"""), ""),IF(Startseite!$D$68=(Refsz_Verbräuche[[#Headers],[2029]]-1),Refsz_Verbräuche[[#This Row],[2028]],IF(Startseite!$D$68&lt;Refsz_Verbräuche[[#Headers],[2029]],Refsz_Verbräuche[[#This Row],[2028]],"")))</f>
        <v/>
      </c>
      <c r="U89" s="110" t="str">
        <f>IF(Refsz_Verbräuche[[#Headers],[2030]]=Startseite!$D$68,IF(OR(SUMIF($F89:Refsz_Verbräuche[[#This Row],[2029]],"&gt;0")&gt;0,), AVERAGEIF($F89:Refsz_Verbräuche[[#This Row],[2029]],"&lt;&gt;"""), ""),IF(Startseite!$D$68=(Refsz_Verbräuche[[#Headers],[2030]]-1),Refsz_Verbräuche[[#This Row],[2029]],IF(Startseite!$D$68&lt;Refsz_Verbräuche[[#Headers],[2030]],Refsz_Verbräuche[[#This Row],[2029]],"")))</f>
        <v/>
      </c>
      <c r="V89" s="110" t="str">
        <f>IF(Refsz_Verbräuche[[#Headers],[2035]]=Startseite!$D$68,IF(OR(SUMIF($F89:Refsz_Verbräuche[[#This Row],[2030]],"&gt;0")&gt;0,), AVERAGEIF($F89:Refsz_Verbräuche[[#This Row],[2030]],"&lt;&gt;"""), ""),IF(Startseite!$D$68=(Refsz_Verbräuche[[#Headers],[2035]]-1),Refsz_Verbräuche[[#This Row],[2030]],IF(Startseite!$D$68&lt;Refsz_Verbräuche[[#Headers],[2035]],Refsz_Verbräuche[[#This Row],[2030]],"")))</f>
        <v/>
      </c>
      <c r="W89" s="110" t="str">
        <f>IF(Refsz_Verbräuche[[#Headers],[2040]]=Startseite!$D$68,IF(OR(SUMIF($F89:Refsz_Verbräuche[[#This Row],[2035]],"&gt;0")&gt;0,), AVERAGEIF($F89:Refsz_Verbräuche[[#This Row],[2035]],"&lt;&gt;"""), ""),IF(Startseite!$D$68=(Refsz_Verbräuche[[#Headers],[2040]]-1),Refsz_Verbräuche[[#This Row],[2035]],IF(Startseite!$D$68&lt;Refsz_Verbräuche[[#Headers],[2040]],Refsz_Verbräuche[[#This Row],[2035]],"")))</f>
        <v/>
      </c>
      <c r="X89" s="110" t="str">
        <f>IF(Refsz_Verbräuche[[#Headers],[2045]]=Startseite!$D$68,IF(OR(SUMIF($F89:Refsz_Verbräuche[[#This Row],[2040]],"&gt;0")&gt;0,), AVERAGEIF($F89:Refsz_Verbräuche[[#This Row],[2040]],"&lt;&gt;"""), ""),IF(Startseite!$D$68=(Refsz_Verbräuche[[#Headers],[2045]]-1),Refsz_Verbräuche[[#This Row],[2040]],IF(Startseite!$D$68&lt;Refsz_Verbräuche[[#Headers],[2045]],Refsz_Verbräuche[[#This Row],[2040]],"")))</f>
        <v/>
      </c>
      <c r="Y89" s="110" t="str">
        <f>IF(Refsz_Verbräuche[[#Headers],[2050]]=Startseite!$D$68,IF(OR(SUMIF($F89:Refsz_Verbräuche[[#This Row],[2045]],"&gt;0")&gt;0,), AVERAGEIF($F89:Refsz_Verbräuche[[#This Row],[2045]],"&lt;&gt;"""), ""),IF(Startseite!$D$68=(Refsz_Verbräuche[[#Headers],[2050]]-1),Refsz_Verbräuche[[#This Row],[2045]],IF(Startseite!$D$68&lt;Refsz_Verbräuche[[#Headers],[2050]],Refsz_Verbräuche[[#This Row],[2045]],"")))</f>
        <v/>
      </c>
      <c r="AA89" s="14"/>
    </row>
    <row r="90" spans="2:27">
      <c r="B90" s="14">
        <v>73</v>
      </c>
      <c r="C90" s="14" t="s">
        <v>511</v>
      </c>
      <c r="D90" s="9" t="str">
        <f>_xlfn.CONCAT(Startseite!E84," - Motorisierte Zweiräder")</f>
        <v>Pendeln - Motorisierte Zweiräder</v>
      </c>
      <c r="E90" t="s">
        <v>379</v>
      </c>
      <c r="F90" s="110"/>
      <c r="G90" s="110"/>
      <c r="H90" s="110"/>
      <c r="I90" s="110"/>
      <c r="J90" s="110"/>
      <c r="K90" s="110"/>
      <c r="L90" s="110"/>
      <c r="M90" s="110" t="str">
        <f>IF(Refsz_Verbräuche[[#Headers],[2022]]=Startseite!$D$68,IF(OR(SUMIF($F90:Refsz_Verbräuche[[#This Row],[2021]],"&gt;0")&gt;0,), AVERAGEIF($F90:Refsz_Verbräuche[[#This Row],[2021]],"&lt;&gt;"""), ""),IF(Startseite!$D$68=(Refsz_Verbräuche[[#Headers],[2022]]-1),Refsz_Verbräuche[[#This Row],[2021]],IF(Startseite!$D$68&lt;Refsz_Verbräuche[[#Headers],[2022]],Refsz_Verbräuche[[#This Row],[2021]],"")))</f>
        <v/>
      </c>
      <c r="N90" s="110" t="str">
        <f>IF(Refsz_Verbräuche[[#Headers],[2023]]=Startseite!$D$68,IF(OR(SUMIF($F90:Refsz_Verbräuche[[#This Row],[2022]],"&gt;0")&gt;0,), AVERAGEIF($F90:Refsz_Verbräuche[[#This Row],[2022]],"&lt;&gt;"""), ""),IF(Startseite!$D$68=(Refsz_Verbräuche[[#Headers],[2023]]-1),Refsz_Verbräuche[[#This Row],[2022]],IF(Startseite!$D$68&lt;Refsz_Verbräuche[[#Headers],[2023]],Refsz_Verbräuche[[#This Row],[2022]],"")))</f>
        <v/>
      </c>
      <c r="O90" s="110" t="str">
        <f>IF(Refsz_Verbräuche[[#Headers],[2024]]=Startseite!$D$68,IF(OR(SUMIF($F90:Refsz_Verbräuche[[#This Row],[2023]],"&gt;0")&gt;0,), AVERAGEIF($F90:Refsz_Verbräuche[[#This Row],[2023]],"&lt;&gt;"""), ""),IF(Startseite!$D$68=(Refsz_Verbräuche[[#Headers],[2024]]-1),Refsz_Verbräuche[[#This Row],[2023]],IF(Startseite!$D$68&lt;Refsz_Verbräuche[[#Headers],[2024]],Refsz_Verbräuche[[#This Row],[2023]],"")))</f>
        <v/>
      </c>
      <c r="P90" s="110" t="str">
        <f>IF(Refsz_Verbräuche[[#Headers],[2025]]=Startseite!$D$68,IF(OR(SUMIF($F90:Refsz_Verbräuche[[#This Row],[2024]],"&gt;0")&gt;0,), AVERAGEIF($F90:Refsz_Verbräuche[[#This Row],[2024]],"&lt;&gt;"""), ""),IF(Startseite!$D$68=(Refsz_Verbräuche[[#Headers],[2025]]-1),Refsz_Verbräuche[[#This Row],[2024]],IF(Startseite!$D$68&lt;Refsz_Verbräuche[[#Headers],[2025]],Refsz_Verbräuche[[#This Row],[2024]],"")))</f>
        <v/>
      </c>
      <c r="Q90" s="110" t="str">
        <f>IF(Refsz_Verbräuche[[#Headers],[2026]]=Startseite!$D$68,IF(OR(SUMIF($F90:Refsz_Verbräuche[[#This Row],[2025]],"&gt;0")&gt;0,), AVERAGEIF($F90:Refsz_Verbräuche[[#This Row],[2025]],"&lt;&gt;"""), ""),IF(Startseite!$D$68=(Refsz_Verbräuche[[#Headers],[2026]]-1),Refsz_Verbräuche[[#This Row],[2025]],IF(Startseite!$D$68&lt;Refsz_Verbräuche[[#Headers],[2026]],Refsz_Verbräuche[[#This Row],[2025]],"")))</f>
        <v/>
      </c>
      <c r="R90" s="110" t="str">
        <f>IF(Refsz_Verbräuche[[#Headers],[2027]]=Startseite!$D$68,IF(OR(SUMIF($F90:Refsz_Verbräuche[[#This Row],[2026]],"&gt;0")&gt;0,), AVERAGEIF($F90:Refsz_Verbräuche[[#This Row],[2026]],"&lt;&gt;"""), ""),IF(Startseite!$D$68=(Refsz_Verbräuche[[#Headers],[2027]]-1),Refsz_Verbräuche[[#This Row],[2026]],IF(Startseite!$D$68&lt;Refsz_Verbräuche[[#Headers],[2027]],Refsz_Verbräuche[[#This Row],[2026]],"")))</f>
        <v/>
      </c>
      <c r="S90" s="110" t="str">
        <f>IF(Refsz_Verbräuche[[#Headers],[2028]]=Startseite!$D$68,IF(OR(SUMIF($F90:Refsz_Verbräuche[[#This Row],[2027]],"&gt;0")&gt;0,), AVERAGEIF($F90:Refsz_Verbräuche[[#This Row],[2027]],"&lt;&gt;"""), ""),IF(Startseite!$D$68=(Refsz_Verbräuche[[#Headers],[2028]]-1),Refsz_Verbräuche[[#This Row],[2027]],IF(Startseite!$D$68&lt;Refsz_Verbräuche[[#Headers],[2028]],Refsz_Verbräuche[[#This Row],[2027]],"")))</f>
        <v/>
      </c>
      <c r="T90" s="110" t="str">
        <f>IF(Refsz_Verbräuche[[#Headers],[2029]]=Startseite!$D$68,IF(OR(SUMIF($F90:Refsz_Verbräuche[[#This Row],[2028]],"&gt;0")&gt;0,), AVERAGEIF($F90:Refsz_Verbräuche[[#This Row],[2028]],"&lt;&gt;"""), ""),IF(Startseite!$D$68=(Refsz_Verbräuche[[#Headers],[2029]]-1),Refsz_Verbräuche[[#This Row],[2028]],IF(Startseite!$D$68&lt;Refsz_Verbräuche[[#Headers],[2029]],Refsz_Verbräuche[[#This Row],[2028]],"")))</f>
        <v/>
      </c>
      <c r="U90" s="110" t="str">
        <f>IF(Refsz_Verbräuche[[#Headers],[2030]]=Startseite!$D$68,IF(OR(SUMIF($F90:Refsz_Verbräuche[[#This Row],[2029]],"&gt;0")&gt;0,), AVERAGEIF($F90:Refsz_Verbräuche[[#This Row],[2029]],"&lt;&gt;"""), ""),IF(Startseite!$D$68=(Refsz_Verbräuche[[#Headers],[2030]]-1),Refsz_Verbräuche[[#This Row],[2029]],IF(Startseite!$D$68&lt;Refsz_Verbräuche[[#Headers],[2030]],Refsz_Verbräuche[[#This Row],[2029]],"")))</f>
        <v/>
      </c>
      <c r="V90" s="110" t="str">
        <f>IF(Refsz_Verbräuche[[#Headers],[2035]]=Startseite!$D$68,IF(OR(SUMIF($F90:Refsz_Verbräuche[[#This Row],[2030]],"&gt;0")&gt;0,), AVERAGEIF($F90:Refsz_Verbräuche[[#This Row],[2030]],"&lt;&gt;"""), ""),IF(Startseite!$D$68=(Refsz_Verbräuche[[#Headers],[2035]]-1),Refsz_Verbräuche[[#This Row],[2030]],IF(Startseite!$D$68&lt;Refsz_Verbräuche[[#Headers],[2035]],Refsz_Verbräuche[[#This Row],[2030]],"")))</f>
        <v/>
      </c>
      <c r="W90" s="110" t="str">
        <f>IF(Refsz_Verbräuche[[#Headers],[2040]]=Startseite!$D$68,IF(OR(SUMIF($F90:Refsz_Verbräuche[[#This Row],[2035]],"&gt;0")&gt;0,), AVERAGEIF($F90:Refsz_Verbräuche[[#This Row],[2035]],"&lt;&gt;"""), ""),IF(Startseite!$D$68=(Refsz_Verbräuche[[#Headers],[2040]]-1),Refsz_Verbräuche[[#This Row],[2035]],IF(Startseite!$D$68&lt;Refsz_Verbräuche[[#Headers],[2040]],Refsz_Verbräuche[[#This Row],[2035]],"")))</f>
        <v/>
      </c>
      <c r="X90" s="110" t="str">
        <f>IF(Refsz_Verbräuche[[#Headers],[2045]]=Startseite!$D$68,IF(OR(SUMIF($F90:Refsz_Verbräuche[[#This Row],[2040]],"&gt;0")&gt;0,), AVERAGEIF($F90:Refsz_Verbräuche[[#This Row],[2040]],"&lt;&gt;"""), ""),IF(Startseite!$D$68=(Refsz_Verbräuche[[#Headers],[2045]]-1),Refsz_Verbräuche[[#This Row],[2040]],IF(Startseite!$D$68&lt;Refsz_Verbräuche[[#Headers],[2045]],Refsz_Verbräuche[[#This Row],[2040]],"")))</f>
        <v/>
      </c>
      <c r="Y90" s="110" t="str">
        <f>IF(Refsz_Verbräuche[[#Headers],[2050]]=Startseite!$D$68,IF(OR(SUMIF($F90:Refsz_Verbräuche[[#This Row],[2045]],"&gt;0")&gt;0,), AVERAGEIF($F90:Refsz_Verbräuche[[#This Row],[2045]],"&lt;&gt;"""), ""),IF(Startseite!$D$68=(Refsz_Verbräuche[[#Headers],[2050]]-1),Refsz_Verbräuche[[#This Row],[2045]],IF(Startseite!$D$68&lt;Refsz_Verbräuche[[#Headers],[2050]],Refsz_Verbräuche[[#This Row],[2045]],"")))</f>
        <v/>
      </c>
      <c r="AA90" s="14"/>
    </row>
    <row r="91" spans="2:27">
      <c r="B91" s="14">
        <v>74</v>
      </c>
      <c r="C91" s="14" t="s">
        <v>511</v>
      </c>
      <c r="D91" s="9" t="str">
        <f>_xlfn.CONCAT(Startseite!E84," - Fahrrad")</f>
        <v>Pendeln - Fahrrad</v>
      </c>
      <c r="E91" t="s">
        <v>379</v>
      </c>
      <c r="F91" s="110"/>
      <c r="G91" s="110"/>
      <c r="H91" s="110"/>
      <c r="I91" s="110"/>
      <c r="J91" s="110"/>
      <c r="K91" s="110"/>
      <c r="L91" s="110"/>
      <c r="M91" s="110" t="str">
        <f>IF(Refsz_Verbräuche[[#Headers],[2022]]=Startseite!$D$68,IF(OR(SUMIF($F91:Refsz_Verbräuche[[#This Row],[2021]],"&gt;0")&gt;0,), AVERAGEIF($F91:Refsz_Verbräuche[[#This Row],[2021]],"&lt;&gt;"""), ""),IF(Startseite!$D$68=(Refsz_Verbräuche[[#Headers],[2022]]-1),Refsz_Verbräuche[[#This Row],[2021]],IF(Startseite!$D$68&lt;Refsz_Verbräuche[[#Headers],[2022]],Refsz_Verbräuche[[#This Row],[2021]],"")))</f>
        <v/>
      </c>
      <c r="N91" s="110" t="str">
        <f>IF(Refsz_Verbräuche[[#Headers],[2023]]=Startseite!$D$68,IF(OR(SUMIF($F91:Refsz_Verbräuche[[#This Row],[2022]],"&gt;0")&gt;0,), AVERAGEIF($F91:Refsz_Verbräuche[[#This Row],[2022]],"&lt;&gt;"""), ""),IF(Startseite!$D$68=(Refsz_Verbräuche[[#Headers],[2023]]-1),Refsz_Verbräuche[[#This Row],[2022]],IF(Startseite!$D$68&lt;Refsz_Verbräuche[[#Headers],[2023]],Refsz_Verbräuche[[#This Row],[2022]],"")))</f>
        <v/>
      </c>
      <c r="O91" s="110" t="str">
        <f>IF(Refsz_Verbräuche[[#Headers],[2024]]=Startseite!$D$68,IF(OR(SUMIF($F91:Refsz_Verbräuche[[#This Row],[2023]],"&gt;0")&gt;0,), AVERAGEIF($F91:Refsz_Verbräuche[[#This Row],[2023]],"&lt;&gt;"""), ""),IF(Startseite!$D$68=(Refsz_Verbräuche[[#Headers],[2024]]-1),Refsz_Verbräuche[[#This Row],[2023]],IF(Startseite!$D$68&lt;Refsz_Verbräuche[[#Headers],[2024]],Refsz_Verbräuche[[#This Row],[2023]],"")))</f>
        <v/>
      </c>
      <c r="P91" s="110" t="str">
        <f>IF(Refsz_Verbräuche[[#Headers],[2025]]=Startseite!$D$68,IF(OR(SUMIF($F91:Refsz_Verbräuche[[#This Row],[2024]],"&gt;0")&gt;0,), AVERAGEIF($F91:Refsz_Verbräuche[[#This Row],[2024]],"&lt;&gt;"""), ""),IF(Startseite!$D$68=(Refsz_Verbräuche[[#Headers],[2025]]-1),Refsz_Verbräuche[[#This Row],[2024]],IF(Startseite!$D$68&lt;Refsz_Verbräuche[[#Headers],[2025]],Refsz_Verbräuche[[#This Row],[2024]],"")))</f>
        <v/>
      </c>
      <c r="Q91" s="110" t="str">
        <f>IF(Refsz_Verbräuche[[#Headers],[2026]]=Startseite!$D$68,IF(OR(SUMIF($F91:Refsz_Verbräuche[[#This Row],[2025]],"&gt;0")&gt;0,), AVERAGEIF($F91:Refsz_Verbräuche[[#This Row],[2025]],"&lt;&gt;"""), ""),IF(Startseite!$D$68=(Refsz_Verbräuche[[#Headers],[2026]]-1),Refsz_Verbräuche[[#This Row],[2025]],IF(Startseite!$D$68&lt;Refsz_Verbräuche[[#Headers],[2026]],Refsz_Verbräuche[[#This Row],[2025]],"")))</f>
        <v/>
      </c>
      <c r="R91" s="110" t="str">
        <f>IF(Refsz_Verbräuche[[#Headers],[2027]]=Startseite!$D$68,IF(OR(SUMIF($F91:Refsz_Verbräuche[[#This Row],[2026]],"&gt;0")&gt;0,), AVERAGEIF($F91:Refsz_Verbräuche[[#This Row],[2026]],"&lt;&gt;"""), ""),IF(Startseite!$D$68=(Refsz_Verbräuche[[#Headers],[2027]]-1),Refsz_Verbräuche[[#This Row],[2026]],IF(Startseite!$D$68&lt;Refsz_Verbräuche[[#Headers],[2027]],Refsz_Verbräuche[[#This Row],[2026]],"")))</f>
        <v/>
      </c>
      <c r="S91" s="110" t="str">
        <f>IF(Refsz_Verbräuche[[#Headers],[2028]]=Startseite!$D$68,IF(OR(SUMIF($F91:Refsz_Verbräuche[[#This Row],[2027]],"&gt;0")&gt;0,), AVERAGEIF($F91:Refsz_Verbräuche[[#This Row],[2027]],"&lt;&gt;"""), ""),IF(Startseite!$D$68=(Refsz_Verbräuche[[#Headers],[2028]]-1),Refsz_Verbräuche[[#This Row],[2027]],IF(Startseite!$D$68&lt;Refsz_Verbräuche[[#Headers],[2028]],Refsz_Verbräuche[[#This Row],[2027]],"")))</f>
        <v/>
      </c>
      <c r="T91" s="110" t="str">
        <f>IF(Refsz_Verbräuche[[#Headers],[2029]]=Startseite!$D$68,IF(OR(SUMIF($F91:Refsz_Verbräuche[[#This Row],[2028]],"&gt;0")&gt;0,), AVERAGEIF($F91:Refsz_Verbräuche[[#This Row],[2028]],"&lt;&gt;"""), ""),IF(Startseite!$D$68=(Refsz_Verbräuche[[#Headers],[2029]]-1),Refsz_Verbräuche[[#This Row],[2028]],IF(Startseite!$D$68&lt;Refsz_Verbräuche[[#Headers],[2029]],Refsz_Verbräuche[[#This Row],[2028]],"")))</f>
        <v/>
      </c>
      <c r="U91" s="110" t="str">
        <f>IF(Refsz_Verbräuche[[#Headers],[2030]]=Startseite!$D$68,IF(OR(SUMIF($F91:Refsz_Verbräuche[[#This Row],[2029]],"&gt;0")&gt;0,), AVERAGEIF($F91:Refsz_Verbräuche[[#This Row],[2029]],"&lt;&gt;"""), ""),IF(Startseite!$D$68=(Refsz_Verbräuche[[#Headers],[2030]]-1),Refsz_Verbräuche[[#This Row],[2029]],IF(Startseite!$D$68&lt;Refsz_Verbräuche[[#Headers],[2030]],Refsz_Verbräuche[[#This Row],[2029]],"")))</f>
        <v/>
      </c>
      <c r="V91" s="110" t="str">
        <f>IF(Refsz_Verbräuche[[#Headers],[2035]]=Startseite!$D$68,IF(OR(SUMIF($F91:Refsz_Verbräuche[[#This Row],[2030]],"&gt;0")&gt;0,), AVERAGEIF($F91:Refsz_Verbräuche[[#This Row],[2030]],"&lt;&gt;"""), ""),IF(Startseite!$D$68=(Refsz_Verbräuche[[#Headers],[2035]]-1),Refsz_Verbräuche[[#This Row],[2030]],IF(Startseite!$D$68&lt;Refsz_Verbräuche[[#Headers],[2035]],Refsz_Verbräuche[[#This Row],[2030]],"")))</f>
        <v/>
      </c>
      <c r="W91" s="110" t="str">
        <f>IF(Refsz_Verbräuche[[#Headers],[2040]]=Startseite!$D$68,IF(OR(SUMIF($F91:Refsz_Verbräuche[[#This Row],[2035]],"&gt;0")&gt;0,), AVERAGEIF($F91:Refsz_Verbräuche[[#This Row],[2035]],"&lt;&gt;"""), ""),IF(Startseite!$D$68=(Refsz_Verbräuche[[#Headers],[2040]]-1),Refsz_Verbräuche[[#This Row],[2035]],IF(Startseite!$D$68&lt;Refsz_Verbräuche[[#Headers],[2040]],Refsz_Verbräuche[[#This Row],[2035]],"")))</f>
        <v/>
      </c>
      <c r="X91" s="110" t="str">
        <f>IF(Refsz_Verbräuche[[#Headers],[2045]]=Startseite!$D$68,IF(OR(SUMIF($F91:Refsz_Verbräuche[[#This Row],[2040]],"&gt;0")&gt;0,), AVERAGEIF($F91:Refsz_Verbräuche[[#This Row],[2040]],"&lt;&gt;"""), ""),IF(Startseite!$D$68=(Refsz_Verbräuche[[#Headers],[2045]]-1),Refsz_Verbräuche[[#This Row],[2040]],IF(Startseite!$D$68&lt;Refsz_Verbräuche[[#Headers],[2045]],Refsz_Verbräuche[[#This Row],[2040]],"")))</f>
        <v/>
      </c>
      <c r="Y91" s="110" t="str">
        <f>IF(Refsz_Verbräuche[[#Headers],[2050]]=Startseite!$D$68,IF(OR(SUMIF($F91:Refsz_Verbräuche[[#This Row],[2045]],"&gt;0")&gt;0,), AVERAGEIF($F91:Refsz_Verbräuche[[#This Row],[2045]],"&lt;&gt;"""), ""),IF(Startseite!$D$68=(Refsz_Verbräuche[[#Headers],[2050]]-1),Refsz_Verbräuche[[#This Row],[2045]],IF(Startseite!$D$68&lt;Refsz_Verbräuche[[#Headers],[2050]],Refsz_Verbräuche[[#This Row],[2045]],"")))</f>
        <v/>
      </c>
      <c r="AA91" s="14"/>
    </row>
    <row r="92" spans="2:27">
      <c r="B92" s="14">
        <v>75</v>
      </c>
      <c r="C92" s="14" t="s">
        <v>511</v>
      </c>
      <c r="D92" s="9" t="str">
        <f>_xlfn.CONCAT(Startseite!E84," - E-Bike")</f>
        <v>Pendeln - E-Bike</v>
      </c>
      <c r="E92" t="s">
        <v>379</v>
      </c>
      <c r="F92" s="110"/>
      <c r="G92" s="110"/>
      <c r="H92" s="110"/>
      <c r="I92" s="110"/>
      <c r="J92" s="110"/>
      <c r="K92" s="110"/>
      <c r="L92" s="110"/>
      <c r="M92" s="110" t="str">
        <f>IF(Refsz_Verbräuche[[#Headers],[2022]]=Startseite!$D$68,IF(OR(SUMIF($F92:Refsz_Verbräuche[[#This Row],[2021]],"&gt;0")&gt;0,), AVERAGEIF($F92:Refsz_Verbräuche[[#This Row],[2021]],"&lt;&gt;"""), ""),IF(Startseite!$D$68=(Refsz_Verbräuche[[#Headers],[2022]]-1),Refsz_Verbräuche[[#This Row],[2021]],IF(Startseite!$D$68&lt;Refsz_Verbräuche[[#Headers],[2022]],Refsz_Verbräuche[[#This Row],[2021]],"")))</f>
        <v/>
      </c>
      <c r="N92" s="110" t="str">
        <f>IF(Refsz_Verbräuche[[#Headers],[2023]]=Startseite!$D$68,IF(OR(SUMIF($F92:Refsz_Verbräuche[[#This Row],[2022]],"&gt;0")&gt;0,), AVERAGEIF($F92:Refsz_Verbräuche[[#This Row],[2022]],"&lt;&gt;"""), ""),IF(Startseite!$D$68=(Refsz_Verbräuche[[#Headers],[2023]]-1),Refsz_Verbräuche[[#This Row],[2022]],IF(Startseite!$D$68&lt;Refsz_Verbräuche[[#Headers],[2023]],Refsz_Verbräuche[[#This Row],[2022]],"")))</f>
        <v/>
      </c>
      <c r="O92" s="110" t="str">
        <f>IF(Refsz_Verbräuche[[#Headers],[2024]]=Startseite!$D$68,IF(OR(SUMIF($F92:Refsz_Verbräuche[[#This Row],[2023]],"&gt;0")&gt;0,), AVERAGEIF($F92:Refsz_Verbräuche[[#This Row],[2023]],"&lt;&gt;"""), ""),IF(Startseite!$D$68=(Refsz_Verbräuche[[#Headers],[2024]]-1),Refsz_Verbräuche[[#This Row],[2023]],IF(Startseite!$D$68&lt;Refsz_Verbräuche[[#Headers],[2024]],Refsz_Verbräuche[[#This Row],[2023]],"")))</f>
        <v/>
      </c>
      <c r="P92" s="110" t="str">
        <f>IF(Refsz_Verbräuche[[#Headers],[2025]]=Startseite!$D$68,IF(OR(SUMIF($F92:Refsz_Verbräuche[[#This Row],[2024]],"&gt;0")&gt;0,), AVERAGEIF($F92:Refsz_Verbräuche[[#This Row],[2024]],"&lt;&gt;"""), ""),IF(Startseite!$D$68=(Refsz_Verbräuche[[#Headers],[2025]]-1),Refsz_Verbräuche[[#This Row],[2024]],IF(Startseite!$D$68&lt;Refsz_Verbräuche[[#Headers],[2025]],Refsz_Verbräuche[[#This Row],[2024]],"")))</f>
        <v/>
      </c>
      <c r="Q92" s="110" t="str">
        <f>IF(Refsz_Verbräuche[[#Headers],[2026]]=Startseite!$D$68,IF(OR(SUMIF($F92:Refsz_Verbräuche[[#This Row],[2025]],"&gt;0")&gt;0,), AVERAGEIF($F92:Refsz_Verbräuche[[#This Row],[2025]],"&lt;&gt;"""), ""),IF(Startseite!$D$68=(Refsz_Verbräuche[[#Headers],[2026]]-1),Refsz_Verbräuche[[#This Row],[2025]],IF(Startseite!$D$68&lt;Refsz_Verbräuche[[#Headers],[2026]],Refsz_Verbräuche[[#This Row],[2025]],"")))</f>
        <v/>
      </c>
      <c r="R92" s="110" t="str">
        <f>IF(Refsz_Verbräuche[[#Headers],[2027]]=Startseite!$D$68,IF(OR(SUMIF($F92:Refsz_Verbräuche[[#This Row],[2026]],"&gt;0")&gt;0,), AVERAGEIF($F92:Refsz_Verbräuche[[#This Row],[2026]],"&lt;&gt;"""), ""),IF(Startseite!$D$68=(Refsz_Verbräuche[[#Headers],[2027]]-1),Refsz_Verbräuche[[#This Row],[2026]],IF(Startseite!$D$68&lt;Refsz_Verbräuche[[#Headers],[2027]],Refsz_Verbräuche[[#This Row],[2026]],"")))</f>
        <v/>
      </c>
      <c r="S92" s="110" t="str">
        <f>IF(Refsz_Verbräuche[[#Headers],[2028]]=Startseite!$D$68,IF(OR(SUMIF($F92:Refsz_Verbräuche[[#This Row],[2027]],"&gt;0")&gt;0,), AVERAGEIF($F92:Refsz_Verbräuche[[#This Row],[2027]],"&lt;&gt;"""), ""),IF(Startseite!$D$68=(Refsz_Verbräuche[[#Headers],[2028]]-1),Refsz_Verbräuche[[#This Row],[2027]],IF(Startseite!$D$68&lt;Refsz_Verbräuche[[#Headers],[2028]],Refsz_Verbräuche[[#This Row],[2027]],"")))</f>
        <v/>
      </c>
      <c r="T92" s="110" t="str">
        <f>IF(Refsz_Verbräuche[[#Headers],[2029]]=Startseite!$D$68,IF(OR(SUMIF($F92:Refsz_Verbräuche[[#This Row],[2028]],"&gt;0")&gt;0,), AVERAGEIF($F92:Refsz_Verbräuche[[#This Row],[2028]],"&lt;&gt;"""), ""),IF(Startseite!$D$68=(Refsz_Verbräuche[[#Headers],[2029]]-1),Refsz_Verbräuche[[#This Row],[2028]],IF(Startseite!$D$68&lt;Refsz_Verbräuche[[#Headers],[2029]],Refsz_Verbräuche[[#This Row],[2028]],"")))</f>
        <v/>
      </c>
      <c r="U92" s="110" t="str">
        <f>IF(Refsz_Verbräuche[[#Headers],[2030]]=Startseite!$D$68,IF(OR(SUMIF($F92:Refsz_Verbräuche[[#This Row],[2029]],"&gt;0")&gt;0,), AVERAGEIF($F92:Refsz_Verbräuche[[#This Row],[2029]],"&lt;&gt;"""), ""),IF(Startseite!$D$68=(Refsz_Verbräuche[[#Headers],[2030]]-1),Refsz_Verbräuche[[#This Row],[2029]],IF(Startseite!$D$68&lt;Refsz_Verbräuche[[#Headers],[2030]],Refsz_Verbräuche[[#This Row],[2029]],"")))</f>
        <v/>
      </c>
      <c r="V92" s="110" t="str">
        <f>IF(Refsz_Verbräuche[[#Headers],[2035]]=Startseite!$D$68,IF(OR(SUMIF($F92:Refsz_Verbräuche[[#This Row],[2030]],"&gt;0")&gt;0,), AVERAGEIF($F92:Refsz_Verbräuche[[#This Row],[2030]],"&lt;&gt;"""), ""),IF(Startseite!$D$68=(Refsz_Verbräuche[[#Headers],[2035]]-1),Refsz_Verbräuche[[#This Row],[2030]],IF(Startseite!$D$68&lt;Refsz_Verbräuche[[#Headers],[2035]],Refsz_Verbräuche[[#This Row],[2030]],"")))</f>
        <v/>
      </c>
      <c r="W92" s="110" t="str">
        <f>IF(Refsz_Verbräuche[[#Headers],[2040]]=Startseite!$D$68,IF(OR(SUMIF($F92:Refsz_Verbräuche[[#This Row],[2035]],"&gt;0")&gt;0,), AVERAGEIF($F92:Refsz_Verbräuche[[#This Row],[2035]],"&lt;&gt;"""), ""),IF(Startseite!$D$68=(Refsz_Verbräuche[[#Headers],[2040]]-1),Refsz_Verbräuche[[#This Row],[2035]],IF(Startseite!$D$68&lt;Refsz_Verbräuche[[#Headers],[2040]],Refsz_Verbräuche[[#This Row],[2035]],"")))</f>
        <v/>
      </c>
      <c r="X92" s="110" t="str">
        <f>IF(Refsz_Verbräuche[[#Headers],[2045]]=Startseite!$D$68,IF(OR(SUMIF($F92:Refsz_Verbräuche[[#This Row],[2040]],"&gt;0")&gt;0,), AVERAGEIF($F92:Refsz_Verbräuche[[#This Row],[2040]],"&lt;&gt;"""), ""),IF(Startseite!$D$68=(Refsz_Verbräuche[[#Headers],[2045]]-1),Refsz_Verbräuche[[#This Row],[2040]],IF(Startseite!$D$68&lt;Refsz_Verbräuche[[#Headers],[2045]],Refsz_Verbräuche[[#This Row],[2040]],"")))</f>
        <v/>
      </c>
      <c r="Y92" s="110" t="str">
        <f>IF(Refsz_Verbräuche[[#Headers],[2050]]=Startseite!$D$68,IF(OR(SUMIF($F92:Refsz_Verbräuche[[#This Row],[2045]],"&gt;0")&gt;0,), AVERAGEIF($F92:Refsz_Verbräuche[[#This Row],[2045]],"&lt;&gt;"""), ""),IF(Startseite!$D$68=(Refsz_Verbräuche[[#Headers],[2050]]-1),Refsz_Verbräuche[[#This Row],[2045]],IF(Startseite!$D$68&lt;Refsz_Verbräuche[[#Headers],[2050]],Refsz_Verbräuche[[#This Row],[2045]],"")))</f>
        <v/>
      </c>
      <c r="AA92" s="14"/>
    </row>
    <row r="93" spans="2:27">
      <c r="B93" s="14">
        <v>76</v>
      </c>
      <c r="C93" s="14" t="s">
        <v>511</v>
      </c>
      <c r="D93" s="9" t="str">
        <f>_xlfn.CONCAT(Startseite!E84," - zu Fuß")</f>
        <v>Pendeln - zu Fuß</v>
      </c>
      <c r="E93" t="s">
        <v>43</v>
      </c>
      <c r="F93" s="110"/>
      <c r="G93" s="110"/>
      <c r="H93" s="110"/>
      <c r="I93" s="110"/>
      <c r="J93" s="110"/>
      <c r="K93" s="110"/>
      <c r="L93" s="110"/>
      <c r="M93" s="110" t="str">
        <f>IF(Refsz_Verbräuche[[#Headers],[2022]]=Startseite!$D$68,IF(OR(SUMIF($F93:Refsz_Verbräuche[[#This Row],[2021]],"&gt;0")&gt;0,), AVERAGEIF($F93:Refsz_Verbräuche[[#This Row],[2021]],"&lt;&gt;"""), ""),IF(Startseite!$D$68=(Refsz_Verbräuche[[#Headers],[2022]]-1),Refsz_Verbräuche[[#This Row],[2021]],IF(Startseite!$D$68&lt;Refsz_Verbräuche[[#Headers],[2022]],Refsz_Verbräuche[[#This Row],[2021]],"")))</f>
        <v/>
      </c>
      <c r="N93" s="110" t="str">
        <f>IF(Refsz_Verbräuche[[#Headers],[2023]]=Startseite!$D$68,IF(OR(SUMIF($F93:Refsz_Verbräuche[[#This Row],[2022]],"&gt;0")&gt;0,), AVERAGEIF($F93:Refsz_Verbräuche[[#This Row],[2022]],"&lt;&gt;"""), ""),IF(Startseite!$D$68=(Refsz_Verbräuche[[#Headers],[2023]]-1),Refsz_Verbräuche[[#This Row],[2022]],IF(Startseite!$D$68&lt;Refsz_Verbräuche[[#Headers],[2023]],Refsz_Verbräuche[[#This Row],[2022]],"")))</f>
        <v/>
      </c>
      <c r="O93" s="110" t="str">
        <f>IF(Refsz_Verbräuche[[#Headers],[2024]]=Startseite!$D$68,IF(OR(SUMIF($F93:Refsz_Verbräuche[[#This Row],[2023]],"&gt;0")&gt;0,), AVERAGEIF($F93:Refsz_Verbräuche[[#This Row],[2023]],"&lt;&gt;"""), ""),IF(Startseite!$D$68=(Refsz_Verbräuche[[#Headers],[2024]]-1),Refsz_Verbräuche[[#This Row],[2023]],IF(Startseite!$D$68&lt;Refsz_Verbräuche[[#Headers],[2024]],Refsz_Verbräuche[[#This Row],[2023]],"")))</f>
        <v/>
      </c>
      <c r="P93" s="110" t="str">
        <f>IF(Refsz_Verbräuche[[#Headers],[2025]]=Startseite!$D$68,IF(OR(SUMIF($F93:Refsz_Verbräuche[[#This Row],[2024]],"&gt;0")&gt;0,), AVERAGEIF($F93:Refsz_Verbräuche[[#This Row],[2024]],"&lt;&gt;"""), ""),IF(Startseite!$D$68=(Refsz_Verbräuche[[#Headers],[2025]]-1),Refsz_Verbräuche[[#This Row],[2024]],IF(Startseite!$D$68&lt;Refsz_Verbräuche[[#Headers],[2025]],Refsz_Verbräuche[[#This Row],[2024]],"")))</f>
        <v/>
      </c>
      <c r="Q93" s="110" t="str">
        <f>IF(Refsz_Verbräuche[[#Headers],[2026]]=Startseite!$D$68,IF(OR(SUMIF($F93:Refsz_Verbräuche[[#This Row],[2025]],"&gt;0")&gt;0,), AVERAGEIF($F93:Refsz_Verbräuche[[#This Row],[2025]],"&lt;&gt;"""), ""),IF(Startseite!$D$68=(Refsz_Verbräuche[[#Headers],[2026]]-1),Refsz_Verbräuche[[#This Row],[2025]],IF(Startseite!$D$68&lt;Refsz_Verbräuche[[#Headers],[2026]],Refsz_Verbräuche[[#This Row],[2025]],"")))</f>
        <v/>
      </c>
      <c r="R93" s="110" t="str">
        <f>IF(Refsz_Verbräuche[[#Headers],[2027]]=Startseite!$D$68,IF(OR(SUMIF($F93:Refsz_Verbräuche[[#This Row],[2026]],"&gt;0")&gt;0,), AVERAGEIF($F93:Refsz_Verbräuche[[#This Row],[2026]],"&lt;&gt;"""), ""),IF(Startseite!$D$68=(Refsz_Verbräuche[[#Headers],[2027]]-1),Refsz_Verbräuche[[#This Row],[2026]],IF(Startseite!$D$68&lt;Refsz_Verbräuche[[#Headers],[2027]],Refsz_Verbräuche[[#This Row],[2026]],"")))</f>
        <v/>
      </c>
      <c r="S93" s="110" t="str">
        <f>IF(Refsz_Verbräuche[[#Headers],[2028]]=Startseite!$D$68,IF(OR(SUMIF($F93:Refsz_Verbräuche[[#This Row],[2027]],"&gt;0")&gt;0,), AVERAGEIF($F93:Refsz_Verbräuche[[#This Row],[2027]],"&lt;&gt;"""), ""),IF(Startseite!$D$68=(Refsz_Verbräuche[[#Headers],[2028]]-1),Refsz_Verbräuche[[#This Row],[2027]],IF(Startseite!$D$68&lt;Refsz_Verbräuche[[#Headers],[2028]],Refsz_Verbräuche[[#This Row],[2027]],"")))</f>
        <v/>
      </c>
      <c r="T93" s="110" t="str">
        <f>IF(Refsz_Verbräuche[[#Headers],[2029]]=Startseite!$D$68,IF(OR(SUMIF($F93:Refsz_Verbräuche[[#This Row],[2028]],"&gt;0")&gt;0,), AVERAGEIF($F93:Refsz_Verbräuche[[#This Row],[2028]],"&lt;&gt;"""), ""),IF(Startseite!$D$68=(Refsz_Verbräuche[[#Headers],[2029]]-1),Refsz_Verbräuche[[#This Row],[2028]],IF(Startseite!$D$68&lt;Refsz_Verbräuche[[#Headers],[2029]],Refsz_Verbräuche[[#This Row],[2028]],"")))</f>
        <v/>
      </c>
      <c r="U93" s="110" t="str">
        <f>IF(Refsz_Verbräuche[[#Headers],[2030]]=Startseite!$D$68,IF(OR(SUMIF($F93:Refsz_Verbräuche[[#This Row],[2029]],"&gt;0")&gt;0,), AVERAGEIF($F93:Refsz_Verbräuche[[#This Row],[2029]],"&lt;&gt;"""), ""),IF(Startseite!$D$68=(Refsz_Verbräuche[[#Headers],[2030]]-1),Refsz_Verbräuche[[#This Row],[2029]],IF(Startseite!$D$68&lt;Refsz_Verbräuche[[#Headers],[2030]],Refsz_Verbräuche[[#This Row],[2029]],"")))</f>
        <v/>
      </c>
      <c r="V93" s="110" t="str">
        <f>IF(Refsz_Verbräuche[[#Headers],[2035]]=Startseite!$D$68,IF(OR(SUMIF($F93:Refsz_Verbräuche[[#This Row],[2030]],"&gt;0")&gt;0,), AVERAGEIF($F93:Refsz_Verbräuche[[#This Row],[2030]],"&lt;&gt;"""), ""),IF(Startseite!$D$68=(Refsz_Verbräuche[[#Headers],[2035]]-1),Refsz_Verbräuche[[#This Row],[2030]],IF(Startseite!$D$68&lt;Refsz_Verbräuche[[#Headers],[2035]],Refsz_Verbräuche[[#This Row],[2030]],"")))</f>
        <v/>
      </c>
      <c r="W93" s="110" t="str">
        <f>IF(Refsz_Verbräuche[[#Headers],[2040]]=Startseite!$D$68,IF(OR(SUMIF($F93:Refsz_Verbräuche[[#This Row],[2035]],"&gt;0")&gt;0,), AVERAGEIF($F93:Refsz_Verbräuche[[#This Row],[2035]],"&lt;&gt;"""), ""),IF(Startseite!$D$68=(Refsz_Verbräuche[[#Headers],[2040]]-1),Refsz_Verbräuche[[#This Row],[2035]],IF(Startseite!$D$68&lt;Refsz_Verbräuche[[#Headers],[2040]],Refsz_Verbräuche[[#This Row],[2035]],"")))</f>
        <v/>
      </c>
      <c r="X93" s="110" t="str">
        <f>IF(Refsz_Verbräuche[[#Headers],[2045]]=Startseite!$D$68,IF(OR(SUMIF($F93:Refsz_Verbräuche[[#This Row],[2040]],"&gt;0")&gt;0,), AVERAGEIF($F93:Refsz_Verbräuche[[#This Row],[2040]],"&lt;&gt;"""), ""),IF(Startseite!$D$68=(Refsz_Verbräuche[[#Headers],[2045]]-1),Refsz_Verbräuche[[#This Row],[2040]],IF(Startseite!$D$68&lt;Refsz_Verbräuche[[#Headers],[2045]],Refsz_Verbräuche[[#This Row],[2040]],"")))</f>
        <v/>
      </c>
      <c r="Y93" s="110" t="str">
        <f>IF(Refsz_Verbräuche[[#Headers],[2050]]=Startseite!$D$68,IF(OR(SUMIF($F93:Refsz_Verbräuche[[#This Row],[2045]],"&gt;0")&gt;0,), AVERAGEIF($F93:Refsz_Verbräuche[[#This Row],[2045]],"&lt;&gt;"""), ""),IF(Startseite!$D$68=(Refsz_Verbräuche[[#Headers],[2050]]-1),Refsz_Verbräuche[[#This Row],[2045]],IF(Startseite!$D$68&lt;Refsz_Verbräuche[[#Headers],[2050]],Refsz_Verbräuche[[#This Row],[2045]],"")))</f>
        <v/>
      </c>
      <c r="AA93" s="14"/>
    </row>
    <row r="94" spans="2:27">
      <c r="B94" s="14">
        <v>77</v>
      </c>
      <c r="C94" s="14"/>
      <c r="D94" s="9"/>
      <c r="E94" s="9"/>
      <c r="F94" s="110"/>
      <c r="G94" s="110"/>
      <c r="H94" s="110"/>
      <c r="I94" s="110"/>
      <c r="J94" s="110"/>
      <c r="K94" s="110"/>
      <c r="L94" s="110"/>
      <c r="M94" s="110" t="str">
        <f>IF(Refsz_Verbräuche[[#Headers],[2022]]=Startseite!$D$68,IF(OR(SUMIF($F94:Refsz_Verbräuche[[#This Row],[2021]],"&gt;0")&gt;0,), AVERAGEIF($F94:Refsz_Verbräuche[[#This Row],[2021]],"&lt;&gt;"""), ""),IF(Startseite!$D$68=(Refsz_Verbräuche[[#Headers],[2022]]-1),Refsz_Verbräuche[[#This Row],[2021]],IF(Startseite!$D$68&lt;Refsz_Verbräuche[[#Headers],[2022]],Refsz_Verbräuche[[#This Row],[2021]],"")))</f>
        <v/>
      </c>
      <c r="N94" s="110" t="str">
        <f>IF(Refsz_Verbräuche[[#Headers],[2023]]=Startseite!$D$68,IF(OR(SUMIF($F94:Refsz_Verbräuche[[#This Row],[2022]],"&gt;0")&gt;0,), AVERAGEIF($F94:Refsz_Verbräuche[[#This Row],[2022]],"&lt;&gt;"""), ""),IF(Startseite!$D$68=(Refsz_Verbräuche[[#Headers],[2023]]-1),Refsz_Verbräuche[[#This Row],[2022]],IF(Startseite!$D$68&lt;Refsz_Verbräuche[[#Headers],[2023]],Refsz_Verbräuche[[#This Row],[2022]],"")))</f>
        <v/>
      </c>
      <c r="O94" s="110" t="str">
        <f>IF(Refsz_Verbräuche[[#Headers],[2024]]=Startseite!$D$68,IF(OR(SUMIF($F94:Refsz_Verbräuche[[#This Row],[2023]],"&gt;0")&gt;0,), AVERAGEIF($F94:Refsz_Verbräuche[[#This Row],[2023]],"&lt;&gt;"""), ""),IF(Startseite!$D$68=(Refsz_Verbräuche[[#Headers],[2024]]-1),Refsz_Verbräuche[[#This Row],[2023]],IF(Startseite!$D$68&lt;Refsz_Verbräuche[[#Headers],[2024]],Refsz_Verbräuche[[#This Row],[2023]],"")))</f>
        <v/>
      </c>
      <c r="P94" s="110" t="str">
        <f>IF(Refsz_Verbräuche[[#Headers],[2025]]=Startseite!$D$68,IF(OR(SUMIF($F94:Refsz_Verbräuche[[#This Row],[2024]],"&gt;0")&gt;0,), AVERAGEIF($F94:Refsz_Verbräuche[[#This Row],[2024]],"&lt;&gt;"""), ""),IF(Startseite!$D$68=(Refsz_Verbräuche[[#Headers],[2025]]-1),Refsz_Verbräuche[[#This Row],[2024]],IF(Startseite!$D$68&lt;Refsz_Verbräuche[[#Headers],[2025]],Refsz_Verbräuche[[#This Row],[2024]],"")))</f>
        <v/>
      </c>
      <c r="Q94" s="110" t="str">
        <f>IF(Refsz_Verbräuche[[#Headers],[2026]]=Startseite!$D$68,IF(OR(SUMIF($F94:Refsz_Verbräuche[[#This Row],[2025]],"&gt;0")&gt;0,), AVERAGEIF($F94:Refsz_Verbräuche[[#This Row],[2025]],"&lt;&gt;"""), ""),IF(Startseite!$D$68=(Refsz_Verbräuche[[#Headers],[2026]]-1),Refsz_Verbräuche[[#This Row],[2025]],IF(Startseite!$D$68&lt;Refsz_Verbräuche[[#Headers],[2026]],Refsz_Verbräuche[[#This Row],[2025]],"")))</f>
        <v/>
      </c>
      <c r="R94" s="110" t="str">
        <f>IF(Refsz_Verbräuche[[#Headers],[2027]]=Startseite!$D$68,IF(OR(SUMIF($F94:Refsz_Verbräuche[[#This Row],[2026]],"&gt;0")&gt;0,), AVERAGEIF($F94:Refsz_Verbräuche[[#This Row],[2026]],"&lt;&gt;"""), ""),IF(Startseite!$D$68=(Refsz_Verbräuche[[#Headers],[2027]]-1),Refsz_Verbräuche[[#This Row],[2026]],IF(Startseite!$D$68&lt;Refsz_Verbräuche[[#Headers],[2027]],Refsz_Verbräuche[[#This Row],[2026]],"")))</f>
        <v/>
      </c>
      <c r="S94" s="110" t="str">
        <f>IF(Refsz_Verbräuche[[#Headers],[2028]]=Startseite!$D$68,IF(OR(SUMIF($F94:Refsz_Verbräuche[[#This Row],[2027]],"&gt;0")&gt;0,), AVERAGEIF($F94:Refsz_Verbräuche[[#This Row],[2027]],"&lt;&gt;"""), ""),IF(Startseite!$D$68=(Refsz_Verbräuche[[#Headers],[2028]]-1),Refsz_Verbräuche[[#This Row],[2027]],IF(Startseite!$D$68&lt;Refsz_Verbräuche[[#Headers],[2028]],Refsz_Verbräuche[[#This Row],[2027]],"")))</f>
        <v/>
      </c>
      <c r="T94" s="110" t="str">
        <f>IF(Refsz_Verbräuche[[#Headers],[2029]]=Startseite!$D$68,IF(OR(SUMIF($F94:Refsz_Verbräuche[[#This Row],[2028]],"&gt;0")&gt;0,), AVERAGEIF($F94:Refsz_Verbräuche[[#This Row],[2028]],"&lt;&gt;"""), ""),IF(Startseite!$D$68=(Refsz_Verbräuche[[#Headers],[2029]]-1),Refsz_Verbräuche[[#This Row],[2028]],IF(Startseite!$D$68&lt;Refsz_Verbräuche[[#Headers],[2029]],Refsz_Verbräuche[[#This Row],[2028]],"")))</f>
        <v/>
      </c>
      <c r="U94" s="110" t="str">
        <f>IF(Refsz_Verbräuche[[#Headers],[2030]]=Startseite!$D$68,IF(OR(SUMIF($F94:Refsz_Verbräuche[[#This Row],[2029]],"&gt;0")&gt;0,), AVERAGEIF($F94:Refsz_Verbräuche[[#This Row],[2029]],"&lt;&gt;"""), ""),IF(Startseite!$D$68=(Refsz_Verbräuche[[#Headers],[2030]]-1),Refsz_Verbräuche[[#This Row],[2029]],IF(Startseite!$D$68&lt;Refsz_Verbräuche[[#Headers],[2030]],Refsz_Verbräuche[[#This Row],[2029]],"")))</f>
        <v/>
      </c>
      <c r="V94" s="110" t="str">
        <f>IF(Refsz_Verbräuche[[#Headers],[2035]]=Startseite!$D$68,IF(OR(SUMIF($F94:Refsz_Verbräuche[[#This Row],[2030]],"&gt;0")&gt;0,), AVERAGEIF($F94:Refsz_Verbräuche[[#This Row],[2030]],"&lt;&gt;"""), ""),IF(Startseite!$D$68=(Refsz_Verbräuche[[#Headers],[2035]]-1),Refsz_Verbräuche[[#This Row],[2030]],IF(Startseite!$D$68&lt;Refsz_Verbräuche[[#Headers],[2035]],Refsz_Verbräuche[[#This Row],[2030]],"")))</f>
        <v/>
      </c>
      <c r="W94" s="110" t="str">
        <f>IF(Refsz_Verbräuche[[#Headers],[2040]]=Startseite!$D$68,IF(OR(SUMIF($F94:Refsz_Verbräuche[[#This Row],[2035]],"&gt;0")&gt;0,), AVERAGEIF($F94:Refsz_Verbräuche[[#This Row],[2035]],"&lt;&gt;"""), ""),IF(Startseite!$D$68=(Refsz_Verbräuche[[#Headers],[2040]]-1),Refsz_Verbräuche[[#This Row],[2035]],IF(Startseite!$D$68&lt;Refsz_Verbräuche[[#Headers],[2040]],Refsz_Verbräuche[[#This Row],[2035]],"")))</f>
        <v/>
      </c>
      <c r="X94" s="110" t="str">
        <f>IF(Refsz_Verbräuche[[#Headers],[2045]]=Startseite!$D$68,IF(OR(SUMIF($F94:Refsz_Verbräuche[[#This Row],[2040]],"&gt;0")&gt;0,), AVERAGEIF($F94:Refsz_Verbräuche[[#This Row],[2040]],"&lt;&gt;"""), ""),IF(Startseite!$D$68=(Refsz_Verbräuche[[#Headers],[2045]]-1),Refsz_Verbräuche[[#This Row],[2040]],IF(Startseite!$D$68&lt;Refsz_Verbräuche[[#Headers],[2045]],Refsz_Verbräuche[[#This Row],[2040]],"")))</f>
        <v/>
      </c>
      <c r="Y94" s="110" t="str">
        <f>IF(Refsz_Verbräuche[[#Headers],[2050]]=Startseite!$D$68,IF(OR(SUMIF($F94:Refsz_Verbräuche[[#This Row],[2045]],"&gt;0")&gt;0,), AVERAGEIF($F94:Refsz_Verbräuche[[#This Row],[2045]],"&lt;&gt;"""), ""),IF(Startseite!$D$68=(Refsz_Verbräuche[[#Headers],[2050]]-1),Refsz_Verbräuche[[#This Row],[2045]],IF(Startseite!$D$68&lt;Refsz_Verbräuche[[#Headers],[2050]],Refsz_Verbräuche[[#This Row],[2045]],"")))</f>
        <v/>
      </c>
      <c r="AA94" s="14"/>
    </row>
    <row r="95" spans="2:27">
      <c r="B95" s="14">
        <v>78</v>
      </c>
      <c r="C95" s="14" t="s">
        <v>511</v>
      </c>
      <c r="D95" s="9" t="str">
        <f>_xlfn.CONCAT(Startseite!E85," - Flugreisen")</f>
        <v>Studierendenreisen (Incoming) - Flugreisen</v>
      </c>
      <c r="E95" t="s">
        <v>43</v>
      </c>
      <c r="F95" s="110"/>
      <c r="G95" s="110"/>
      <c r="H95" s="110"/>
      <c r="I95" s="110"/>
      <c r="J95" s="110"/>
      <c r="K95" s="110"/>
      <c r="L95" s="110"/>
      <c r="M95" s="110" t="str">
        <f>IF(Refsz_Verbräuche[[#Headers],[2022]]=Startseite!$D$68,IF(OR(SUMIF($F95:Refsz_Verbräuche[[#This Row],[2021]],"&gt;0")&gt;0,), AVERAGEIF($F95:Refsz_Verbräuche[[#This Row],[2021]],"&lt;&gt;"""), ""),IF(Startseite!$D$68=(Refsz_Verbräuche[[#Headers],[2022]]-1),Refsz_Verbräuche[[#This Row],[2021]],IF(Startseite!$D$68&lt;Refsz_Verbräuche[[#Headers],[2022]],Refsz_Verbräuche[[#This Row],[2021]],"")))</f>
        <v/>
      </c>
      <c r="N95" s="110" t="str">
        <f>IF(Refsz_Verbräuche[[#Headers],[2023]]=Startseite!$D$68,IF(OR(SUMIF($F95:Refsz_Verbräuche[[#This Row],[2022]],"&gt;0")&gt;0,), AVERAGEIF($F95:Refsz_Verbräuche[[#This Row],[2022]],"&lt;&gt;"""), ""),IF(Startseite!$D$68=(Refsz_Verbräuche[[#Headers],[2023]]-1),Refsz_Verbräuche[[#This Row],[2022]],IF(Startseite!$D$68&lt;Refsz_Verbräuche[[#Headers],[2023]],Refsz_Verbräuche[[#This Row],[2022]],"")))</f>
        <v/>
      </c>
      <c r="O95" s="110" t="str">
        <f>IF(Refsz_Verbräuche[[#Headers],[2024]]=Startseite!$D$68,IF(OR(SUMIF($F95:Refsz_Verbräuche[[#This Row],[2023]],"&gt;0")&gt;0,), AVERAGEIF($F95:Refsz_Verbräuche[[#This Row],[2023]],"&lt;&gt;"""), ""),IF(Startseite!$D$68=(Refsz_Verbräuche[[#Headers],[2024]]-1),Refsz_Verbräuche[[#This Row],[2023]],IF(Startseite!$D$68&lt;Refsz_Verbräuche[[#Headers],[2024]],Refsz_Verbräuche[[#This Row],[2023]],"")))</f>
        <v/>
      </c>
      <c r="P95" s="110" t="str">
        <f>IF(Refsz_Verbräuche[[#Headers],[2025]]=Startseite!$D$68,IF(OR(SUMIF($F95:Refsz_Verbräuche[[#This Row],[2024]],"&gt;0")&gt;0,), AVERAGEIF($F95:Refsz_Verbräuche[[#This Row],[2024]],"&lt;&gt;"""), ""),IF(Startseite!$D$68=(Refsz_Verbräuche[[#Headers],[2025]]-1),Refsz_Verbräuche[[#This Row],[2024]],IF(Startseite!$D$68&lt;Refsz_Verbräuche[[#Headers],[2025]],Refsz_Verbräuche[[#This Row],[2024]],"")))</f>
        <v/>
      </c>
      <c r="Q95" s="110" t="str">
        <f>IF(Refsz_Verbräuche[[#Headers],[2026]]=Startseite!$D$68,IF(OR(SUMIF($F95:Refsz_Verbräuche[[#This Row],[2025]],"&gt;0")&gt;0,), AVERAGEIF($F95:Refsz_Verbräuche[[#This Row],[2025]],"&lt;&gt;"""), ""),IF(Startseite!$D$68=(Refsz_Verbräuche[[#Headers],[2026]]-1),Refsz_Verbräuche[[#This Row],[2025]],IF(Startseite!$D$68&lt;Refsz_Verbräuche[[#Headers],[2026]],Refsz_Verbräuche[[#This Row],[2025]],"")))</f>
        <v/>
      </c>
      <c r="R95" s="110" t="str">
        <f>IF(Refsz_Verbräuche[[#Headers],[2027]]=Startseite!$D$68,IF(OR(SUMIF($F95:Refsz_Verbräuche[[#This Row],[2026]],"&gt;0")&gt;0,), AVERAGEIF($F95:Refsz_Verbräuche[[#This Row],[2026]],"&lt;&gt;"""), ""),IF(Startseite!$D$68=(Refsz_Verbräuche[[#Headers],[2027]]-1),Refsz_Verbräuche[[#This Row],[2026]],IF(Startseite!$D$68&lt;Refsz_Verbräuche[[#Headers],[2027]],Refsz_Verbräuche[[#This Row],[2026]],"")))</f>
        <v/>
      </c>
      <c r="S95" s="110" t="str">
        <f>IF(Refsz_Verbräuche[[#Headers],[2028]]=Startseite!$D$68,IF(OR(SUMIF($F95:Refsz_Verbräuche[[#This Row],[2027]],"&gt;0")&gt;0,), AVERAGEIF($F95:Refsz_Verbräuche[[#This Row],[2027]],"&lt;&gt;"""), ""),IF(Startseite!$D$68=(Refsz_Verbräuche[[#Headers],[2028]]-1),Refsz_Verbräuche[[#This Row],[2027]],IF(Startseite!$D$68&lt;Refsz_Verbräuche[[#Headers],[2028]],Refsz_Verbräuche[[#This Row],[2027]],"")))</f>
        <v/>
      </c>
      <c r="T95" s="110" t="str">
        <f>IF(Refsz_Verbräuche[[#Headers],[2029]]=Startseite!$D$68,IF(OR(SUMIF($F95:Refsz_Verbräuche[[#This Row],[2028]],"&gt;0")&gt;0,), AVERAGEIF($F95:Refsz_Verbräuche[[#This Row],[2028]],"&lt;&gt;"""), ""),IF(Startseite!$D$68=(Refsz_Verbräuche[[#Headers],[2029]]-1),Refsz_Verbräuche[[#This Row],[2028]],IF(Startseite!$D$68&lt;Refsz_Verbräuche[[#Headers],[2029]],Refsz_Verbräuche[[#This Row],[2028]],"")))</f>
        <v/>
      </c>
      <c r="U95" s="110" t="str">
        <f>IF(Refsz_Verbräuche[[#Headers],[2030]]=Startseite!$D$68,IF(OR(SUMIF($F95:Refsz_Verbräuche[[#This Row],[2029]],"&gt;0")&gt;0,), AVERAGEIF($F95:Refsz_Verbräuche[[#This Row],[2029]],"&lt;&gt;"""), ""),IF(Startseite!$D$68=(Refsz_Verbräuche[[#Headers],[2030]]-1),Refsz_Verbräuche[[#This Row],[2029]],IF(Startseite!$D$68&lt;Refsz_Verbräuche[[#Headers],[2030]],Refsz_Verbräuche[[#This Row],[2029]],"")))</f>
        <v/>
      </c>
      <c r="V95" s="110" t="str">
        <f>IF(Refsz_Verbräuche[[#Headers],[2035]]=Startseite!$D$68,IF(OR(SUMIF($F95:Refsz_Verbräuche[[#This Row],[2030]],"&gt;0")&gt;0,), AVERAGEIF($F95:Refsz_Verbräuche[[#This Row],[2030]],"&lt;&gt;"""), ""),IF(Startseite!$D$68=(Refsz_Verbräuche[[#Headers],[2035]]-1),Refsz_Verbräuche[[#This Row],[2030]],IF(Startseite!$D$68&lt;Refsz_Verbräuche[[#Headers],[2035]],Refsz_Verbräuche[[#This Row],[2030]],"")))</f>
        <v/>
      </c>
      <c r="W95" s="110" t="str">
        <f>IF(Refsz_Verbräuche[[#Headers],[2040]]=Startseite!$D$68,IF(OR(SUMIF($F95:Refsz_Verbräuche[[#This Row],[2035]],"&gt;0")&gt;0,), AVERAGEIF($F95:Refsz_Verbräuche[[#This Row],[2035]],"&lt;&gt;"""), ""),IF(Startseite!$D$68=(Refsz_Verbräuche[[#Headers],[2040]]-1),Refsz_Verbräuche[[#This Row],[2035]],IF(Startseite!$D$68&lt;Refsz_Verbräuche[[#Headers],[2040]],Refsz_Verbräuche[[#This Row],[2035]],"")))</f>
        <v/>
      </c>
      <c r="X95" s="110" t="str">
        <f>IF(Refsz_Verbräuche[[#Headers],[2045]]=Startseite!$D$68,IF(OR(SUMIF($F95:Refsz_Verbräuche[[#This Row],[2040]],"&gt;0")&gt;0,), AVERAGEIF($F95:Refsz_Verbräuche[[#This Row],[2040]],"&lt;&gt;"""), ""),IF(Startseite!$D$68=(Refsz_Verbräuche[[#Headers],[2045]]-1),Refsz_Verbräuche[[#This Row],[2040]],IF(Startseite!$D$68&lt;Refsz_Verbräuche[[#Headers],[2045]],Refsz_Verbräuche[[#This Row],[2040]],"")))</f>
        <v/>
      </c>
      <c r="Y95" s="110" t="str">
        <f>IF(Refsz_Verbräuche[[#Headers],[2050]]=Startseite!$D$68,IF(OR(SUMIF($F95:Refsz_Verbräuche[[#This Row],[2045]],"&gt;0")&gt;0,), AVERAGEIF($F95:Refsz_Verbräuche[[#This Row],[2045]],"&lt;&gt;"""), ""),IF(Startseite!$D$68=(Refsz_Verbräuche[[#Headers],[2050]]-1),Refsz_Verbräuche[[#This Row],[2045]],IF(Startseite!$D$68&lt;Refsz_Verbräuche[[#Headers],[2050]],Refsz_Verbräuche[[#This Row],[2045]],"")))</f>
        <v/>
      </c>
      <c r="AA95" s="14"/>
    </row>
    <row r="96" spans="2:27">
      <c r="B96" s="14">
        <v>79</v>
      </c>
      <c r="C96" s="14" t="s">
        <v>511</v>
      </c>
      <c r="D96" s="9" t="str">
        <f>_xlfn.CONCAT(Startseite!E85," - Eisenbahn (Nahverkehr)")</f>
        <v>Studierendenreisen (Incoming) - Eisenbahn (Nahverkehr)</v>
      </c>
      <c r="E96" t="s">
        <v>43</v>
      </c>
      <c r="F96" s="110"/>
      <c r="G96" s="110"/>
      <c r="H96" s="110"/>
      <c r="I96" s="110"/>
      <c r="J96" s="110"/>
      <c r="K96" s="110"/>
      <c r="L96" s="110"/>
      <c r="M96" s="110" t="str">
        <f>IF(Refsz_Verbräuche[[#Headers],[2022]]=Startseite!$D$68,IF(OR(SUMIF($F96:Refsz_Verbräuche[[#This Row],[2021]],"&gt;0")&gt;0,), AVERAGEIF($F96:Refsz_Verbräuche[[#This Row],[2021]],"&lt;&gt;"""), ""),IF(Startseite!$D$68=(Refsz_Verbräuche[[#Headers],[2022]]-1),Refsz_Verbräuche[[#This Row],[2021]],IF(Startseite!$D$68&lt;Refsz_Verbräuche[[#Headers],[2022]],Refsz_Verbräuche[[#This Row],[2021]],"")))</f>
        <v/>
      </c>
      <c r="N96" s="110" t="str">
        <f>IF(Refsz_Verbräuche[[#Headers],[2023]]=Startseite!$D$68,IF(OR(SUMIF($F96:Refsz_Verbräuche[[#This Row],[2022]],"&gt;0")&gt;0,), AVERAGEIF($F96:Refsz_Verbräuche[[#This Row],[2022]],"&lt;&gt;"""), ""),IF(Startseite!$D$68=(Refsz_Verbräuche[[#Headers],[2023]]-1),Refsz_Verbräuche[[#This Row],[2022]],IF(Startseite!$D$68&lt;Refsz_Verbräuche[[#Headers],[2023]],Refsz_Verbräuche[[#This Row],[2022]],"")))</f>
        <v/>
      </c>
      <c r="O96" s="110" t="str">
        <f>IF(Refsz_Verbräuche[[#Headers],[2024]]=Startseite!$D$68,IF(OR(SUMIF($F96:Refsz_Verbräuche[[#This Row],[2023]],"&gt;0")&gt;0,), AVERAGEIF($F96:Refsz_Verbräuche[[#This Row],[2023]],"&lt;&gt;"""), ""),IF(Startseite!$D$68=(Refsz_Verbräuche[[#Headers],[2024]]-1),Refsz_Verbräuche[[#This Row],[2023]],IF(Startseite!$D$68&lt;Refsz_Verbräuche[[#Headers],[2024]],Refsz_Verbräuche[[#This Row],[2023]],"")))</f>
        <v/>
      </c>
      <c r="P96" s="110" t="str">
        <f>IF(Refsz_Verbräuche[[#Headers],[2025]]=Startseite!$D$68,IF(OR(SUMIF($F96:Refsz_Verbräuche[[#This Row],[2024]],"&gt;0")&gt;0,), AVERAGEIF($F96:Refsz_Verbräuche[[#This Row],[2024]],"&lt;&gt;"""), ""),IF(Startseite!$D$68=(Refsz_Verbräuche[[#Headers],[2025]]-1),Refsz_Verbräuche[[#This Row],[2024]],IF(Startseite!$D$68&lt;Refsz_Verbräuche[[#Headers],[2025]],Refsz_Verbräuche[[#This Row],[2024]],"")))</f>
        <v/>
      </c>
      <c r="Q96" s="110" t="str">
        <f>IF(Refsz_Verbräuche[[#Headers],[2026]]=Startseite!$D$68,IF(OR(SUMIF($F96:Refsz_Verbräuche[[#This Row],[2025]],"&gt;0")&gt;0,), AVERAGEIF($F96:Refsz_Verbräuche[[#This Row],[2025]],"&lt;&gt;"""), ""),IF(Startseite!$D$68=(Refsz_Verbräuche[[#Headers],[2026]]-1),Refsz_Verbräuche[[#This Row],[2025]],IF(Startseite!$D$68&lt;Refsz_Verbräuche[[#Headers],[2026]],Refsz_Verbräuche[[#This Row],[2025]],"")))</f>
        <v/>
      </c>
      <c r="R96" s="110" t="str">
        <f>IF(Refsz_Verbräuche[[#Headers],[2027]]=Startseite!$D$68,IF(OR(SUMIF($F96:Refsz_Verbräuche[[#This Row],[2026]],"&gt;0")&gt;0,), AVERAGEIF($F96:Refsz_Verbräuche[[#This Row],[2026]],"&lt;&gt;"""), ""),IF(Startseite!$D$68=(Refsz_Verbräuche[[#Headers],[2027]]-1),Refsz_Verbräuche[[#This Row],[2026]],IF(Startseite!$D$68&lt;Refsz_Verbräuche[[#Headers],[2027]],Refsz_Verbräuche[[#This Row],[2026]],"")))</f>
        <v/>
      </c>
      <c r="S96" s="110" t="str">
        <f>IF(Refsz_Verbräuche[[#Headers],[2028]]=Startseite!$D$68,IF(OR(SUMIF($F96:Refsz_Verbräuche[[#This Row],[2027]],"&gt;0")&gt;0,), AVERAGEIF($F96:Refsz_Verbräuche[[#This Row],[2027]],"&lt;&gt;"""), ""),IF(Startseite!$D$68=(Refsz_Verbräuche[[#Headers],[2028]]-1),Refsz_Verbräuche[[#This Row],[2027]],IF(Startseite!$D$68&lt;Refsz_Verbräuche[[#Headers],[2028]],Refsz_Verbräuche[[#This Row],[2027]],"")))</f>
        <v/>
      </c>
      <c r="T96" s="110" t="str">
        <f>IF(Refsz_Verbräuche[[#Headers],[2029]]=Startseite!$D$68,IF(OR(SUMIF($F96:Refsz_Verbräuche[[#This Row],[2028]],"&gt;0")&gt;0,), AVERAGEIF($F96:Refsz_Verbräuche[[#This Row],[2028]],"&lt;&gt;"""), ""),IF(Startseite!$D$68=(Refsz_Verbräuche[[#Headers],[2029]]-1),Refsz_Verbräuche[[#This Row],[2028]],IF(Startseite!$D$68&lt;Refsz_Verbräuche[[#Headers],[2029]],Refsz_Verbräuche[[#This Row],[2028]],"")))</f>
        <v/>
      </c>
      <c r="U96" s="110" t="str">
        <f>IF(Refsz_Verbräuche[[#Headers],[2030]]=Startseite!$D$68,IF(OR(SUMIF($F96:Refsz_Verbräuche[[#This Row],[2029]],"&gt;0")&gt;0,), AVERAGEIF($F96:Refsz_Verbräuche[[#This Row],[2029]],"&lt;&gt;"""), ""),IF(Startseite!$D$68=(Refsz_Verbräuche[[#Headers],[2030]]-1),Refsz_Verbräuche[[#This Row],[2029]],IF(Startseite!$D$68&lt;Refsz_Verbräuche[[#Headers],[2030]],Refsz_Verbräuche[[#This Row],[2029]],"")))</f>
        <v/>
      </c>
      <c r="V96" s="110" t="str">
        <f>IF(Refsz_Verbräuche[[#Headers],[2035]]=Startseite!$D$68,IF(OR(SUMIF($F96:Refsz_Verbräuche[[#This Row],[2030]],"&gt;0")&gt;0,), AVERAGEIF($F96:Refsz_Verbräuche[[#This Row],[2030]],"&lt;&gt;"""), ""),IF(Startseite!$D$68=(Refsz_Verbräuche[[#Headers],[2035]]-1),Refsz_Verbräuche[[#This Row],[2030]],IF(Startseite!$D$68&lt;Refsz_Verbräuche[[#Headers],[2035]],Refsz_Verbräuche[[#This Row],[2030]],"")))</f>
        <v/>
      </c>
      <c r="W96" s="110" t="str">
        <f>IF(Refsz_Verbräuche[[#Headers],[2040]]=Startseite!$D$68,IF(OR(SUMIF($F96:Refsz_Verbräuche[[#This Row],[2035]],"&gt;0")&gt;0,), AVERAGEIF($F96:Refsz_Verbräuche[[#This Row],[2035]],"&lt;&gt;"""), ""),IF(Startseite!$D$68=(Refsz_Verbräuche[[#Headers],[2040]]-1),Refsz_Verbräuche[[#This Row],[2035]],IF(Startseite!$D$68&lt;Refsz_Verbräuche[[#Headers],[2040]],Refsz_Verbräuche[[#This Row],[2035]],"")))</f>
        <v/>
      </c>
      <c r="X96" s="110" t="str">
        <f>IF(Refsz_Verbräuche[[#Headers],[2045]]=Startseite!$D$68,IF(OR(SUMIF($F96:Refsz_Verbräuche[[#This Row],[2040]],"&gt;0")&gt;0,), AVERAGEIF($F96:Refsz_Verbräuche[[#This Row],[2040]],"&lt;&gt;"""), ""),IF(Startseite!$D$68=(Refsz_Verbräuche[[#Headers],[2045]]-1),Refsz_Verbräuche[[#This Row],[2040]],IF(Startseite!$D$68&lt;Refsz_Verbräuche[[#Headers],[2045]],Refsz_Verbräuche[[#This Row],[2040]],"")))</f>
        <v/>
      </c>
      <c r="Y96" s="110" t="str">
        <f>IF(Refsz_Verbräuche[[#Headers],[2050]]=Startseite!$D$68,IF(OR(SUMIF($F96:Refsz_Verbräuche[[#This Row],[2045]],"&gt;0")&gt;0,), AVERAGEIF($F96:Refsz_Verbräuche[[#This Row],[2045]],"&lt;&gt;"""), ""),IF(Startseite!$D$68=(Refsz_Verbräuche[[#Headers],[2050]]-1),Refsz_Verbräuche[[#This Row],[2045]],IF(Startseite!$D$68&lt;Refsz_Verbräuche[[#Headers],[2050]],Refsz_Verbräuche[[#This Row],[2045]],"")))</f>
        <v/>
      </c>
      <c r="AA96" s="14"/>
    </row>
    <row r="97" spans="2:27">
      <c r="B97" s="14">
        <v>80</v>
      </c>
      <c r="C97" s="14" t="s">
        <v>511</v>
      </c>
      <c r="D97" s="9" t="str">
        <f>_xlfn.CONCAT(Startseite!E85," - Privater PKW (alle Antriebsarten)")</f>
        <v>Studierendenreisen (Incoming) - Privater PKW (alle Antriebsarten)</v>
      </c>
      <c r="E97" t="s">
        <v>379</v>
      </c>
      <c r="F97" s="110"/>
      <c r="G97" s="110"/>
      <c r="H97" s="110"/>
      <c r="I97" s="110"/>
      <c r="J97" s="110"/>
      <c r="K97" s="110"/>
      <c r="L97" s="110"/>
      <c r="M97" s="110" t="str">
        <f>IF(Refsz_Verbräuche[[#Headers],[2022]]=Startseite!$D$68,IF(OR(SUMIF($F97:Refsz_Verbräuche[[#This Row],[2021]],"&gt;0")&gt;0,), AVERAGEIF($F97:Refsz_Verbräuche[[#This Row],[2021]],"&lt;&gt;"""), ""),IF(Startseite!$D$68=(Refsz_Verbräuche[[#Headers],[2022]]-1),Refsz_Verbräuche[[#This Row],[2021]],IF(Startseite!$D$68&lt;Refsz_Verbräuche[[#Headers],[2022]],Refsz_Verbräuche[[#This Row],[2021]],"")))</f>
        <v/>
      </c>
      <c r="N97" s="110" t="str">
        <f>IF(Refsz_Verbräuche[[#Headers],[2023]]=Startseite!$D$68,IF(OR(SUMIF($F97:Refsz_Verbräuche[[#This Row],[2022]],"&gt;0")&gt;0,), AVERAGEIF($F97:Refsz_Verbräuche[[#This Row],[2022]],"&lt;&gt;"""), ""),IF(Startseite!$D$68=(Refsz_Verbräuche[[#Headers],[2023]]-1),Refsz_Verbräuche[[#This Row],[2022]],IF(Startseite!$D$68&lt;Refsz_Verbräuche[[#Headers],[2023]],Refsz_Verbräuche[[#This Row],[2022]],"")))</f>
        <v/>
      </c>
      <c r="O97" s="110" t="str">
        <f>IF(Refsz_Verbräuche[[#Headers],[2024]]=Startseite!$D$68,IF(OR(SUMIF($F97:Refsz_Verbräuche[[#This Row],[2023]],"&gt;0")&gt;0,), AVERAGEIF($F97:Refsz_Verbräuche[[#This Row],[2023]],"&lt;&gt;"""), ""),IF(Startseite!$D$68=(Refsz_Verbräuche[[#Headers],[2024]]-1),Refsz_Verbräuche[[#This Row],[2023]],IF(Startseite!$D$68&lt;Refsz_Verbräuche[[#Headers],[2024]],Refsz_Verbräuche[[#This Row],[2023]],"")))</f>
        <v/>
      </c>
      <c r="P97" s="110" t="str">
        <f>IF(Refsz_Verbräuche[[#Headers],[2025]]=Startseite!$D$68,IF(OR(SUMIF($F97:Refsz_Verbräuche[[#This Row],[2024]],"&gt;0")&gt;0,), AVERAGEIF($F97:Refsz_Verbräuche[[#This Row],[2024]],"&lt;&gt;"""), ""),IF(Startseite!$D$68=(Refsz_Verbräuche[[#Headers],[2025]]-1),Refsz_Verbräuche[[#This Row],[2024]],IF(Startseite!$D$68&lt;Refsz_Verbräuche[[#Headers],[2025]],Refsz_Verbräuche[[#This Row],[2024]],"")))</f>
        <v/>
      </c>
      <c r="Q97" s="110" t="str">
        <f>IF(Refsz_Verbräuche[[#Headers],[2026]]=Startseite!$D$68,IF(OR(SUMIF($F97:Refsz_Verbräuche[[#This Row],[2025]],"&gt;0")&gt;0,), AVERAGEIF($F97:Refsz_Verbräuche[[#This Row],[2025]],"&lt;&gt;"""), ""),IF(Startseite!$D$68=(Refsz_Verbräuche[[#Headers],[2026]]-1),Refsz_Verbräuche[[#This Row],[2025]],IF(Startseite!$D$68&lt;Refsz_Verbräuche[[#Headers],[2026]],Refsz_Verbräuche[[#This Row],[2025]],"")))</f>
        <v/>
      </c>
      <c r="R97" s="110" t="str">
        <f>IF(Refsz_Verbräuche[[#Headers],[2027]]=Startseite!$D$68,IF(OR(SUMIF($F97:Refsz_Verbräuche[[#This Row],[2026]],"&gt;0")&gt;0,), AVERAGEIF($F97:Refsz_Verbräuche[[#This Row],[2026]],"&lt;&gt;"""), ""),IF(Startseite!$D$68=(Refsz_Verbräuche[[#Headers],[2027]]-1),Refsz_Verbräuche[[#This Row],[2026]],IF(Startseite!$D$68&lt;Refsz_Verbräuche[[#Headers],[2027]],Refsz_Verbräuche[[#This Row],[2026]],"")))</f>
        <v/>
      </c>
      <c r="S97" s="110" t="str">
        <f>IF(Refsz_Verbräuche[[#Headers],[2028]]=Startseite!$D$68,IF(OR(SUMIF($F97:Refsz_Verbräuche[[#This Row],[2027]],"&gt;0")&gt;0,), AVERAGEIF($F97:Refsz_Verbräuche[[#This Row],[2027]],"&lt;&gt;"""), ""),IF(Startseite!$D$68=(Refsz_Verbräuche[[#Headers],[2028]]-1),Refsz_Verbräuche[[#This Row],[2027]],IF(Startseite!$D$68&lt;Refsz_Verbräuche[[#Headers],[2028]],Refsz_Verbräuche[[#This Row],[2027]],"")))</f>
        <v/>
      </c>
      <c r="T97" s="110" t="str">
        <f>IF(Refsz_Verbräuche[[#Headers],[2029]]=Startseite!$D$68,IF(OR(SUMIF($F97:Refsz_Verbräuche[[#This Row],[2028]],"&gt;0")&gt;0,), AVERAGEIF($F97:Refsz_Verbräuche[[#This Row],[2028]],"&lt;&gt;"""), ""),IF(Startseite!$D$68=(Refsz_Verbräuche[[#Headers],[2029]]-1),Refsz_Verbräuche[[#This Row],[2028]],IF(Startseite!$D$68&lt;Refsz_Verbräuche[[#Headers],[2029]],Refsz_Verbräuche[[#This Row],[2028]],"")))</f>
        <v/>
      </c>
      <c r="U97" s="110" t="str">
        <f>IF(Refsz_Verbräuche[[#Headers],[2030]]=Startseite!$D$68,IF(OR(SUMIF($F97:Refsz_Verbräuche[[#This Row],[2029]],"&gt;0")&gt;0,), AVERAGEIF($F97:Refsz_Verbräuche[[#This Row],[2029]],"&lt;&gt;"""), ""),IF(Startseite!$D$68=(Refsz_Verbräuche[[#Headers],[2030]]-1),Refsz_Verbräuche[[#This Row],[2029]],IF(Startseite!$D$68&lt;Refsz_Verbräuche[[#Headers],[2030]],Refsz_Verbräuche[[#This Row],[2029]],"")))</f>
        <v/>
      </c>
      <c r="V97" s="110" t="str">
        <f>IF(Refsz_Verbräuche[[#Headers],[2035]]=Startseite!$D$68,IF(OR(SUMIF($F97:Refsz_Verbräuche[[#This Row],[2030]],"&gt;0")&gt;0,), AVERAGEIF($F97:Refsz_Verbräuche[[#This Row],[2030]],"&lt;&gt;"""), ""),IF(Startseite!$D$68=(Refsz_Verbräuche[[#Headers],[2035]]-1),Refsz_Verbräuche[[#This Row],[2030]],IF(Startseite!$D$68&lt;Refsz_Verbräuche[[#Headers],[2035]],Refsz_Verbräuche[[#This Row],[2030]],"")))</f>
        <v/>
      </c>
      <c r="W97" s="110" t="str">
        <f>IF(Refsz_Verbräuche[[#Headers],[2040]]=Startseite!$D$68,IF(OR(SUMIF($F97:Refsz_Verbräuche[[#This Row],[2035]],"&gt;0")&gt;0,), AVERAGEIF($F97:Refsz_Verbräuche[[#This Row],[2035]],"&lt;&gt;"""), ""),IF(Startseite!$D$68=(Refsz_Verbräuche[[#Headers],[2040]]-1),Refsz_Verbräuche[[#This Row],[2035]],IF(Startseite!$D$68&lt;Refsz_Verbräuche[[#Headers],[2040]],Refsz_Verbräuche[[#This Row],[2035]],"")))</f>
        <v/>
      </c>
      <c r="X97" s="110" t="str">
        <f>IF(Refsz_Verbräuche[[#Headers],[2045]]=Startseite!$D$68,IF(OR(SUMIF($F97:Refsz_Verbräuche[[#This Row],[2040]],"&gt;0")&gt;0,), AVERAGEIF($F97:Refsz_Verbräuche[[#This Row],[2040]],"&lt;&gt;"""), ""),IF(Startseite!$D$68=(Refsz_Verbräuche[[#Headers],[2045]]-1),Refsz_Verbräuche[[#This Row],[2040]],IF(Startseite!$D$68&lt;Refsz_Verbräuche[[#Headers],[2045]],Refsz_Verbräuche[[#This Row],[2040]],"")))</f>
        <v/>
      </c>
      <c r="Y97" s="110" t="str">
        <f>IF(Refsz_Verbräuche[[#Headers],[2050]]=Startseite!$D$68,IF(OR(SUMIF($F97:Refsz_Verbräuche[[#This Row],[2045]],"&gt;0")&gt;0,), AVERAGEIF($F97:Refsz_Verbräuche[[#This Row],[2045]],"&lt;&gt;"""), ""),IF(Startseite!$D$68=(Refsz_Verbräuche[[#Headers],[2050]]-1),Refsz_Verbräuche[[#This Row],[2045]],IF(Startseite!$D$68&lt;Refsz_Verbräuche[[#Headers],[2050]],Refsz_Verbräuche[[#This Row],[2045]],"")))</f>
        <v/>
      </c>
      <c r="AA97" s="14"/>
    </row>
    <row r="98" spans="2:27">
      <c r="B98" s="14">
        <v>81</v>
      </c>
      <c r="C98" s="14"/>
      <c r="D98" s="9"/>
      <c r="F98" s="110"/>
      <c r="G98" s="110"/>
      <c r="H98" s="110"/>
      <c r="I98" s="110"/>
      <c r="J98" s="110"/>
      <c r="K98" s="110"/>
      <c r="L98" s="110"/>
      <c r="M98" s="110" t="str">
        <f>IF(Refsz_Verbräuche[[#Headers],[2022]]=Startseite!$D$68,IF(OR(SUMIF($F98:Refsz_Verbräuche[[#This Row],[2021]],"&gt;0")&gt;0,), AVERAGEIF($F98:Refsz_Verbräuche[[#This Row],[2021]],"&lt;&gt;"""), ""),IF(Startseite!$D$68=(Refsz_Verbräuche[[#Headers],[2022]]-1),Refsz_Verbräuche[[#This Row],[2021]],IF(Startseite!$D$68&lt;Refsz_Verbräuche[[#Headers],[2022]],Refsz_Verbräuche[[#This Row],[2021]],"")))</f>
        <v/>
      </c>
      <c r="N98" s="110" t="str">
        <f>IF(Refsz_Verbräuche[[#Headers],[2023]]=Startseite!$D$68,IF(OR(SUMIF($F98:Refsz_Verbräuche[[#This Row],[2022]],"&gt;0")&gt;0,), AVERAGEIF($F98:Refsz_Verbräuche[[#This Row],[2022]],"&lt;&gt;"""), ""),IF(Startseite!$D$68=(Refsz_Verbräuche[[#Headers],[2023]]-1),Refsz_Verbräuche[[#This Row],[2022]],IF(Startseite!$D$68&lt;Refsz_Verbräuche[[#Headers],[2023]],Refsz_Verbräuche[[#This Row],[2022]],"")))</f>
        <v/>
      </c>
      <c r="O98" s="110" t="str">
        <f>IF(Refsz_Verbräuche[[#Headers],[2024]]=Startseite!$D$68,IF(OR(SUMIF($F98:Refsz_Verbräuche[[#This Row],[2023]],"&gt;0")&gt;0,), AVERAGEIF($F98:Refsz_Verbräuche[[#This Row],[2023]],"&lt;&gt;"""), ""),IF(Startseite!$D$68=(Refsz_Verbräuche[[#Headers],[2024]]-1),Refsz_Verbräuche[[#This Row],[2023]],IF(Startseite!$D$68&lt;Refsz_Verbräuche[[#Headers],[2024]],Refsz_Verbräuche[[#This Row],[2023]],"")))</f>
        <v/>
      </c>
      <c r="P98" s="110" t="str">
        <f>IF(Refsz_Verbräuche[[#Headers],[2025]]=Startseite!$D$68,IF(OR(SUMIF($F98:Refsz_Verbräuche[[#This Row],[2024]],"&gt;0")&gt;0,), AVERAGEIF($F98:Refsz_Verbräuche[[#This Row],[2024]],"&lt;&gt;"""), ""),IF(Startseite!$D$68=(Refsz_Verbräuche[[#Headers],[2025]]-1),Refsz_Verbräuche[[#This Row],[2024]],IF(Startseite!$D$68&lt;Refsz_Verbräuche[[#Headers],[2025]],Refsz_Verbräuche[[#This Row],[2024]],"")))</f>
        <v/>
      </c>
      <c r="Q98" s="110" t="str">
        <f>IF(Refsz_Verbräuche[[#Headers],[2026]]=Startseite!$D$68,IF(OR(SUMIF($F98:Refsz_Verbräuche[[#This Row],[2025]],"&gt;0")&gt;0,), AVERAGEIF($F98:Refsz_Verbräuche[[#This Row],[2025]],"&lt;&gt;"""), ""),IF(Startseite!$D$68=(Refsz_Verbräuche[[#Headers],[2026]]-1),Refsz_Verbräuche[[#This Row],[2025]],IF(Startseite!$D$68&lt;Refsz_Verbräuche[[#Headers],[2026]],Refsz_Verbräuche[[#This Row],[2025]],"")))</f>
        <v/>
      </c>
      <c r="R98" s="110" t="str">
        <f>IF(Refsz_Verbräuche[[#Headers],[2027]]=Startseite!$D$68,IF(OR(SUMIF($F98:Refsz_Verbräuche[[#This Row],[2026]],"&gt;0")&gt;0,), AVERAGEIF($F98:Refsz_Verbräuche[[#This Row],[2026]],"&lt;&gt;"""), ""),IF(Startseite!$D$68=(Refsz_Verbräuche[[#Headers],[2027]]-1),Refsz_Verbräuche[[#This Row],[2026]],IF(Startseite!$D$68&lt;Refsz_Verbräuche[[#Headers],[2027]],Refsz_Verbräuche[[#This Row],[2026]],"")))</f>
        <v/>
      </c>
      <c r="S98" s="110" t="str">
        <f>IF(Refsz_Verbräuche[[#Headers],[2028]]=Startseite!$D$68,IF(OR(SUMIF($F98:Refsz_Verbräuche[[#This Row],[2027]],"&gt;0")&gt;0,), AVERAGEIF($F98:Refsz_Verbräuche[[#This Row],[2027]],"&lt;&gt;"""), ""),IF(Startseite!$D$68=(Refsz_Verbräuche[[#Headers],[2028]]-1),Refsz_Verbräuche[[#This Row],[2027]],IF(Startseite!$D$68&lt;Refsz_Verbräuche[[#Headers],[2028]],Refsz_Verbräuche[[#This Row],[2027]],"")))</f>
        <v/>
      </c>
      <c r="T98" s="110" t="str">
        <f>IF(Refsz_Verbräuche[[#Headers],[2029]]=Startseite!$D$68,IF(OR(SUMIF($F98:Refsz_Verbräuche[[#This Row],[2028]],"&gt;0")&gt;0,), AVERAGEIF($F98:Refsz_Verbräuche[[#This Row],[2028]],"&lt;&gt;"""), ""),IF(Startseite!$D$68=(Refsz_Verbräuche[[#Headers],[2029]]-1),Refsz_Verbräuche[[#This Row],[2028]],IF(Startseite!$D$68&lt;Refsz_Verbräuche[[#Headers],[2029]],Refsz_Verbräuche[[#This Row],[2028]],"")))</f>
        <v/>
      </c>
      <c r="U98" s="110" t="str">
        <f>IF(Refsz_Verbräuche[[#Headers],[2030]]=Startseite!$D$68,IF(OR(SUMIF($F98:Refsz_Verbräuche[[#This Row],[2029]],"&gt;0")&gt;0,), AVERAGEIF($F98:Refsz_Verbräuche[[#This Row],[2029]],"&lt;&gt;"""), ""),IF(Startseite!$D$68=(Refsz_Verbräuche[[#Headers],[2030]]-1),Refsz_Verbräuche[[#This Row],[2029]],IF(Startseite!$D$68&lt;Refsz_Verbräuche[[#Headers],[2030]],Refsz_Verbräuche[[#This Row],[2029]],"")))</f>
        <v/>
      </c>
      <c r="V98" s="110" t="str">
        <f>IF(Refsz_Verbräuche[[#Headers],[2035]]=Startseite!$D$68,IF(OR(SUMIF($F98:Refsz_Verbräuche[[#This Row],[2030]],"&gt;0")&gt;0,), AVERAGEIF($F98:Refsz_Verbräuche[[#This Row],[2030]],"&lt;&gt;"""), ""),IF(Startseite!$D$68=(Refsz_Verbräuche[[#Headers],[2035]]-1),Refsz_Verbräuche[[#This Row],[2030]],IF(Startseite!$D$68&lt;Refsz_Verbräuche[[#Headers],[2035]],Refsz_Verbräuche[[#This Row],[2030]],"")))</f>
        <v/>
      </c>
      <c r="W98" s="110" t="str">
        <f>IF(Refsz_Verbräuche[[#Headers],[2040]]=Startseite!$D$68,IF(OR(SUMIF($F98:Refsz_Verbräuche[[#This Row],[2035]],"&gt;0")&gt;0,), AVERAGEIF($F98:Refsz_Verbräuche[[#This Row],[2035]],"&lt;&gt;"""), ""),IF(Startseite!$D$68=(Refsz_Verbräuche[[#Headers],[2040]]-1),Refsz_Verbräuche[[#This Row],[2035]],IF(Startseite!$D$68&lt;Refsz_Verbräuche[[#Headers],[2040]],Refsz_Verbräuche[[#This Row],[2035]],"")))</f>
        <v/>
      </c>
      <c r="X98" s="110" t="str">
        <f>IF(Refsz_Verbräuche[[#Headers],[2045]]=Startseite!$D$68,IF(OR(SUMIF($F98:Refsz_Verbräuche[[#This Row],[2040]],"&gt;0")&gt;0,), AVERAGEIF($F98:Refsz_Verbräuche[[#This Row],[2040]],"&lt;&gt;"""), ""),IF(Startseite!$D$68=(Refsz_Verbräuche[[#Headers],[2045]]-1),Refsz_Verbräuche[[#This Row],[2040]],IF(Startseite!$D$68&lt;Refsz_Verbräuche[[#Headers],[2045]],Refsz_Verbräuche[[#This Row],[2040]],"")))</f>
        <v/>
      </c>
      <c r="Y98" s="110" t="str">
        <f>IF(Refsz_Verbräuche[[#Headers],[2050]]=Startseite!$D$68,IF(OR(SUMIF($F98:Refsz_Verbräuche[[#This Row],[2045]],"&gt;0")&gt;0,), AVERAGEIF($F98:Refsz_Verbräuche[[#This Row],[2045]],"&lt;&gt;"""), ""),IF(Startseite!$D$68=(Refsz_Verbräuche[[#Headers],[2050]]-1),Refsz_Verbräuche[[#This Row],[2045]],IF(Startseite!$D$68&lt;Refsz_Verbräuche[[#Headers],[2050]],Refsz_Verbräuche[[#This Row],[2045]],"")))</f>
        <v/>
      </c>
      <c r="AA98" s="14"/>
    </row>
    <row r="99" spans="2:27">
      <c r="B99" s="14">
        <v>82</v>
      </c>
      <c r="C99" s="14" t="s">
        <v>511</v>
      </c>
      <c r="D99" s="9" t="str">
        <f>_xlfn.CONCAT(Startseite!E86," - Flugreisen")</f>
        <v>An- und Abreise von Gästen - Flugreisen</v>
      </c>
      <c r="E99" t="s">
        <v>43</v>
      </c>
      <c r="F99" s="110"/>
      <c r="G99" s="110"/>
      <c r="H99" s="110"/>
      <c r="I99" s="110"/>
      <c r="J99" s="110"/>
      <c r="K99" s="110"/>
      <c r="L99" s="110"/>
      <c r="M99" s="110" t="str">
        <f>IF(Refsz_Verbräuche[[#Headers],[2022]]=Startseite!$D$68,IF(OR(SUMIF($F99:Refsz_Verbräuche[[#This Row],[2021]],"&gt;0")&gt;0,), AVERAGEIF($F99:Refsz_Verbräuche[[#This Row],[2021]],"&lt;&gt;"""), ""),IF(Startseite!$D$68=(Refsz_Verbräuche[[#Headers],[2022]]-1),Refsz_Verbräuche[[#This Row],[2021]],IF(Startseite!$D$68&lt;Refsz_Verbräuche[[#Headers],[2022]],Refsz_Verbräuche[[#This Row],[2021]],"")))</f>
        <v/>
      </c>
      <c r="N99" s="110" t="str">
        <f>IF(Refsz_Verbräuche[[#Headers],[2023]]=Startseite!$D$68,IF(OR(SUMIF($F99:Refsz_Verbräuche[[#This Row],[2022]],"&gt;0")&gt;0,), AVERAGEIF($F99:Refsz_Verbräuche[[#This Row],[2022]],"&lt;&gt;"""), ""),IF(Startseite!$D$68=(Refsz_Verbräuche[[#Headers],[2023]]-1),Refsz_Verbräuche[[#This Row],[2022]],IF(Startseite!$D$68&lt;Refsz_Verbräuche[[#Headers],[2023]],Refsz_Verbräuche[[#This Row],[2022]],"")))</f>
        <v/>
      </c>
      <c r="O99" s="110" t="str">
        <f>IF(Refsz_Verbräuche[[#Headers],[2024]]=Startseite!$D$68,IF(OR(SUMIF($F99:Refsz_Verbräuche[[#This Row],[2023]],"&gt;0")&gt;0,), AVERAGEIF($F99:Refsz_Verbräuche[[#This Row],[2023]],"&lt;&gt;"""), ""),IF(Startseite!$D$68=(Refsz_Verbräuche[[#Headers],[2024]]-1),Refsz_Verbräuche[[#This Row],[2023]],IF(Startseite!$D$68&lt;Refsz_Verbräuche[[#Headers],[2024]],Refsz_Verbräuche[[#This Row],[2023]],"")))</f>
        <v/>
      </c>
      <c r="P99" s="110" t="str">
        <f>IF(Refsz_Verbräuche[[#Headers],[2025]]=Startseite!$D$68,IF(OR(SUMIF($F99:Refsz_Verbräuche[[#This Row],[2024]],"&gt;0")&gt;0,), AVERAGEIF($F99:Refsz_Verbräuche[[#This Row],[2024]],"&lt;&gt;"""), ""),IF(Startseite!$D$68=(Refsz_Verbräuche[[#Headers],[2025]]-1),Refsz_Verbräuche[[#This Row],[2024]],IF(Startseite!$D$68&lt;Refsz_Verbräuche[[#Headers],[2025]],Refsz_Verbräuche[[#This Row],[2024]],"")))</f>
        <v/>
      </c>
      <c r="Q99" s="110" t="str">
        <f>IF(Refsz_Verbräuche[[#Headers],[2026]]=Startseite!$D$68,IF(OR(SUMIF($F99:Refsz_Verbräuche[[#This Row],[2025]],"&gt;0")&gt;0,), AVERAGEIF($F99:Refsz_Verbräuche[[#This Row],[2025]],"&lt;&gt;"""), ""),IF(Startseite!$D$68=(Refsz_Verbräuche[[#Headers],[2026]]-1),Refsz_Verbräuche[[#This Row],[2025]],IF(Startseite!$D$68&lt;Refsz_Verbräuche[[#Headers],[2026]],Refsz_Verbräuche[[#This Row],[2025]],"")))</f>
        <v/>
      </c>
      <c r="R99" s="110" t="str">
        <f>IF(Refsz_Verbräuche[[#Headers],[2027]]=Startseite!$D$68,IF(OR(SUMIF($F99:Refsz_Verbräuche[[#This Row],[2026]],"&gt;0")&gt;0,), AVERAGEIF($F99:Refsz_Verbräuche[[#This Row],[2026]],"&lt;&gt;"""), ""),IF(Startseite!$D$68=(Refsz_Verbräuche[[#Headers],[2027]]-1),Refsz_Verbräuche[[#This Row],[2026]],IF(Startseite!$D$68&lt;Refsz_Verbräuche[[#Headers],[2027]],Refsz_Verbräuche[[#This Row],[2026]],"")))</f>
        <v/>
      </c>
      <c r="S99" s="110" t="str">
        <f>IF(Refsz_Verbräuche[[#Headers],[2028]]=Startseite!$D$68,IF(OR(SUMIF($F99:Refsz_Verbräuche[[#This Row],[2027]],"&gt;0")&gt;0,), AVERAGEIF($F99:Refsz_Verbräuche[[#This Row],[2027]],"&lt;&gt;"""), ""),IF(Startseite!$D$68=(Refsz_Verbräuche[[#Headers],[2028]]-1),Refsz_Verbräuche[[#This Row],[2027]],IF(Startseite!$D$68&lt;Refsz_Verbräuche[[#Headers],[2028]],Refsz_Verbräuche[[#This Row],[2027]],"")))</f>
        <v/>
      </c>
      <c r="T99" s="110" t="str">
        <f>IF(Refsz_Verbräuche[[#Headers],[2029]]=Startseite!$D$68,IF(OR(SUMIF($F99:Refsz_Verbräuche[[#This Row],[2028]],"&gt;0")&gt;0,), AVERAGEIF($F99:Refsz_Verbräuche[[#This Row],[2028]],"&lt;&gt;"""), ""),IF(Startseite!$D$68=(Refsz_Verbräuche[[#Headers],[2029]]-1),Refsz_Verbräuche[[#This Row],[2028]],IF(Startseite!$D$68&lt;Refsz_Verbräuche[[#Headers],[2029]],Refsz_Verbräuche[[#This Row],[2028]],"")))</f>
        <v/>
      </c>
      <c r="U99" s="110" t="str">
        <f>IF(Refsz_Verbräuche[[#Headers],[2030]]=Startseite!$D$68,IF(OR(SUMIF($F99:Refsz_Verbräuche[[#This Row],[2029]],"&gt;0")&gt;0,), AVERAGEIF($F99:Refsz_Verbräuche[[#This Row],[2029]],"&lt;&gt;"""), ""),IF(Startseite!$D$68=(Refsz_Verbräuche[[#Headers],[2030]]-1),Refsz_Verbräuche[[#This Row],[2029]],IF(Startseite!$D$68&lt;Refsz_Verbräuche[[#Headers],[2030]],Refsz_Verbräuche[[#This Row],[2029]],"")))</f>
        <v/>
      </c>
      <c r="V99" s="110" t="str">
        <f>IF(Refsz_Verbräuche[[#Headers],[2035]]=Startseite!$D$68,IF(OR(SUMIF($F99:Refsz_Verbräuche[[#This Row],[2030]],"&gt;0")&gt;0,), AVERAGEIF($F99:Refsz_Verbräuche[[#This Row],[2030]],"&lt;&gt;"""), ""),IF(Startseite!$D$68=(Refsz_Verbräuche[[#Headers],[2035]]-1),Refsz_Verbräuche[[#This Row],[2030]],IF(Startseite!$D$68&lt;Refsz_Verbräuche[[#Headers],[2035]],Refsz_Verbräuche[[#This Row],[2030]],"")))</f>
        <v/>
      </c>
      <c r="W99" s="110" t="str">
        <f>IF(Refsz_Verbräuche[[#Headers],[2040]]=Startseite!$D$68,IF(OR(SUMIF($F99:Refsz_Verbräuche[[#This Row],[2035]],"&gt;0")&gt;0,), AVERAGEIF($F99:Refsz_Verbräuche[[#This Row],[2035]],"&lt;&gt;"""), ""),IF(Startseite!$D$68=(Refsz_Verbräuche[[#Headers],[2040]]-1),Refsz_Verbräuche[[#This Row],[2035]],IF(Startseite!$D$68&lt;Refsz_Verbräuche[[#Headers],[2040]],Refsz_Verbräuche[[#This Row],[2035]],"")))</f>
        <v/>
      </c>
      <c r="X99" s="110" t="str">
        <f>IF(Refsz_Verbräuche[[#Headers],[2045]]=Startseite!$D$68,IF(OR(SUMIF($F99:Refsz_Verbräuche[[#This Row],[2040]],"&gt;0")&gt;0,), AVERAGEIF($F99:Refsz_Verbräuche[[#This Row],[2040]],"&lt;&gt;"""), ""),IF(Startseite!$D$68=(Refsz_Verbräuche[[#Headers],[2045]]-1),Refsz_Verbräuche[[#This Row],[2040]],IF(Startseite!$D$68&lt;Refsz_Verbräuche[[#Headers],[2045]],Refsz_Verbräuche[[#This Row],[2040]],"")))</f>
        <v/>
      </c>
      <c r="Y99" s="110" t="str">
        <f>IF(Refsz_Verbräuche[[#Headers],[2050]]=Startseite!$D$68,IF(OR(SUMIF($F99:Refsz_Verbräuche[[#This Row],[2045]],"&gt;0")&gt;0,), AVERAGEIF($F99:Refsz_Verbräuche[[#This Row],[2045]],"&lt;&gt;"""), ""),IF(Startseite!$D$68=(Refsz_Verbräuche[[#Headers],[2050]]-1),Refsz_Verbräuche[[#This Row],[2045]],IF(Startseite!$D$68&lt;Refsz_Verbräuche[[#Headers],[2050]],Refsz_Verbräuche[[#This Row],[2045]],"")))</f>
        <v/>
      </c>
      <c r="AA99" s="14"/>
    </row>
    <row r="100" spans="2:27">
      <c r="B100" s="14">
        <v>83</v>
      </c>
      <c r="C100" s="14" t="s">
        <v>511</v>
      </c>
      <c r="D100" s="9" t="str">
        <f>_xlfn.CONCAT(Startseite!E86," - Eisenbahn (Nahverkehr)")</f>
        <v>An- und Abreise von Gästen - Eisenbahn (Nahverkehr)</v>
      </c>
      <c r="E100" t="s">
        <v>43</v>
      </c>
      <c r="F100" s="110"/>
      <c r="G100" s="110"/>
      <c r="H100" s="110"/>
      <c r="I100" s="110"/>
      <c r="J100" s="110"/>
      <c r="K100" s="110"/>
      <c r="L100" s="110"/>
      <c r="M100" s="110" t="str">
        <f>IF(Refsz_Verbräuche[[#Headers],[2022]]=Startseite!$D$68,IF(OR(SUMIF($F100:Refsz_Verbräuche[[#This Row],[2021]],"&gt;0")&gt;0,), AVERAGEIF($F100:Refsz_Verbräuche[[#This Row],[2021]],"&lt;&gt;"""), ""),IF(Startseite!$D$68=(Refsz_Verbräuche[[#Headers],[2022]]-1),Refsz_Verbräuche[[#This Row],[2021]],IF(Startseite!$D$68&lt;Refsz_Verbräuche[[#Headers],[2022]],Refsz_Verbräuche[[#This Row],[2021]],"")))</f>
        <v/>
      </c>
      <c r="N100" s="110" t="str">
        <f>IF(Refsz_Verbräuche[[#Headers],[2023]]=Startseite!$D$68,IF(OR(SUMIF($F100:Refsz_Verbräuche[[#This Row],[2022]],"&gt;0")&gt;0,), AVERAGEIF($F100:Refsz_Verbräuche[[#This Row],[2022]],"&lt;&gt;"""), ""),IF(Startseite!$D$68=(Refsz_Verbräuche[[#Headers],[2023]]-1),Refsz_Verbräuche[[#This Row],[2022]],IF(Startseite!$D$68&lt;Refsz_Verbräuche[[#Headers],[2023]],Refsz_Verbräuche[[#This Row],[2022]],"")))</f>
        <v/>
      </c>
      <c r="O100" s="110" t="str">
        <f>IF(Refsz_Verbräuche[[#Headers],[2024]]=Startseite!$D$68,IF(OR(SUMIF($F100:Refsz_Verbräuche[[#This Row],[2023]],"&gt;0")&gt;0,), AVERAGEIF($F100:Refsz_Verbräuche[[#This Row],[2023]],"&lt;&gt;"""), ""),IF(Startseite!$D$68=(Refsz_Verbräuche[[#Headers],[2024]]-1),Refsz_Verbräuche[[#This Row],[2023]],IF(Startseite!$D$68&lt;Refsz_Verbräuche[[#Headers],[2024]],Refsz_Verbräuche[[#This Row],[2023]],"")))</f>
        <v/>
      </c>
      <c r="P100" s="110" t="str">
        <f>IF(Refsz_Verbräuche[[#Headers],[2025]]=Startseite!$D$68,IF(OR(SUMIF($F100:Refsz_Verbräuche[[#This Row],[2024]],"&gt;0")&gt;0,), AVERAGEIF($F100:Refsz_Verbräuche[[#This Row],[2024]],"&lt;&gt;"""), ""),IF(Startseite!$D$68=(Refsz_Verbräuche[[#Headers],[2025]]-1),Refsz_Verbräuche[[#This Row],[2024]],IF(Startseite!$D$68&lt;Refsz_Verbräuche[[#Headers],[2025]],Refsz_Verbräuche[[#This Row],[2024]],"")))</f>
        <v/>
      </c>
      <c r="Q100" s="110" t="str">
        <f>IF(Refsz_Verbräuche[[#Headers],[2026]]=Startseite!$D$68,IF(OR(SUMIF($F100:Refsz_Verbräuche[[#This Row],[2025]],"&gt;0")&gt;0,), AVERAGEIF($F100:Refsz_Verbräuche[[#This Row],[2025]],"&lt;&gt;"""), ""),IF(Startseite!$D$68=(Refsz_Verbräuche[[#Headers],[2026]]-1),Refsz_Verbräuche[[#This Row],[2025]],IF(Startseite!$D$68&lt;Refsz_Verbräuche[[#Headers],[2026]],Refsz_Verbräuche[[#This Row],[2025]],"")))</f>
        <v/>
      </c>
      <c r="R100" s="110" t="str">
        <f>IF(Refsz_Verbräuche[[#Headers],[2027]]=Startseite!$D$68,IF(OR(SUMIF($F100:Refsz_Verbräuche[[#This Row],[2026]],"&gt;0")&gt;0,), AVERAGEIF($F100:Refsz_Verbräuche[[#This Row],[2026]],"&lt;&gt;"""), ""),IF(Startseite!$D$68=(Refsz_Verbräuche[[#Headers],[2027]]-1),Refsz_Verbräuche[[#This Row],[2026]],IF(Startseite!$D$68&lt;Refsz_Verbräuche[[#Headers],[2027]],Refsz_Verbräuche[[#This Row],[2026]],"")))</f>
        <v/>
      </c>
      <c r="S100" s="110" t="str">
        <f>IF(Refsz_Verbräuche[[#Headers],[2028]]=Startseite!$D$68,IF(OR(SUMIF($F100:Refsz_Verbräuche[[#This Row],[2027]],"&gt;0")&gt;0,), AVERAGEIF($F100:Refsz_Verbräuche[[#This Row],[2027]],"&lt;&gt;"""), ""),IF(Startseite!$D$68=(Refsz_Verbräuche[[#Headers],[2028]]-1),Refsz_Verbräuche[[#This Row],[2027]],IF(Startseite!$D$68&lt;Refsz_Verbräuche[[#Headers],[2028]],Refsz_Verbräuche[[#This Row],[2027]],"")))</f>
        <v/>
      </c>
      <c r="T100" s="110" t="str">
        <f>IF(Refsz_Verbräuche[[#Headers],[2029]]=Startseite!$D$68,IF(OR(SUMIF($F100:Refsz_Verbräuche[[#This Row],[2028]],"&gt;0")&gt;0,), AVERAGEIF($F100:Refsz_Verbräuche[[#This Row],[2028]],"&lt;&gt;"""), ""),IF(Startseite!$D$68=(Refsz_Verbräuche[[#Headers],[2029]]-1),Refsz_Verbräuche[[#This Row],[2028]],IF(Startseite!$D$68&lt;Refsz_Verbräuche[[#Headers],[2029]],Refsz_Verbräuche[[#This Row],[2028]],"")))</f>
        <v/>
      </c>
      <c r="U100" s="110" t="str">
        <f>IF(Refsz_Verbräuche[[#Headers],[2030]]=Startseite!$D$68,IF(OR(SUMIF($F100:Refsz_Verbräuche[[#This Row],[2029]],"&gt;0")&gt;0,), AVERAGEIF($F100:Refsz_Verbräuche[[#This Row],[2029]],"&lt;&gt;"""), ""),IF(Startseite!$D$68=(Refsz_Verbräuche[[#Headers],[2030]]-1),Refsz_Verbräuche[[#This Row],[2029]],IF(Startseite!$D$68&lt;Refsz_Verbräuche[[#Headers],[2030]],Refsz_Verbräuche[[#This Row],[2029]],"")))</f>
        <v/>
      </c>
      <c r="V100" s="110" t="str">
        <f>IF(Refsz_Verbräuche[[#Headers],[2035]]=Startseite!$D$68,IF(OR(SUMIF($F100:Refsz_Verbräuche[[#This Row],[2030]],"&gt;0")&gt;0,), AVERAGEIF($F100:Refsz_Verbräuche[[#This Row],[2030]],"&lt;&gt;"""), ""),IF(Startseite!$D$68=(Refsz_Verbräuche[[#Headers],[2035]]-1),Refsz_Verbräuche[[#This Row],[2030]],IF(Startseite!$D$68&lt;Refsz_Verbräuche[[#Headers],[2035]],Refsz_Verbräuche[[#This Row],[2030]],"")))</f>
        <v/>
      </c>
      <c r="W100" s="110" t="str">
        <f>IF(Refsz_Verbräuche[[#Headers],[2040]]=Startseite!$D$68,IF(OR(SUMIF($F100:Refsz_Verbräuche[[#This Row],[2035]],"&gt;0")&gt;0,), AVERAGEIF($F100:Refsz_Verbräuche[[#This Row],[2035]],"&lt;&gt;"""), ""),IF(Startseite!$D$68=(Refsz_Verbräuche[[#Headers],[2040]]-1),Refsz_Verbräuche[[#This Row],[2035]],IF(Startseite!$D$68&lt;Refsz_Verbräuche[[#Headers],[2040]],Refsz_Verbräuche[[#This Row],[2035]],"")))</f>
        <v/>
      </c>
      <c r="X100" s="110" t="str">
        <f>IF(Refsz_Verbräuche[[#Headers],[2045]]=Startseite!$D$68,IF(OR(SUMIF($F100:Refsz_Verbräuche[[#This Row],[2040]],"&gt;0")&gt;0,), AVERAGEIF($F100:Refsz_Verbräuche[[#This Row],[2040]],"&lt;&gt;"""), ""),IF(Startseite!$D$68=(Refsz_Verbräuche[[#Headers],[2045]]-1),Refsz_Verbräuche[[#This Row],[2040]],IF(Startseite!$D$68&lt;Refsz_Verbräuche[[#Headers],[2045]],Refsz_Verbräuche[[#This Row],[2040]],"")))</f>
        <v/>
      </c>
      <c r="Y100" s="110" t="str">
        <f>IF(Refsz_Verbräuche[[#Headers],[2050]]=Startseite!$D$68,IF(OR(SUMIF($F100:Refsz_Verbräuche[[#This Row],[2045]],"&gt;0")&gt;0,), AVERAGEIF($F100:Refsz_Verbräuche[[#This Row],[2045]],"&lt;&gt;"""), ""),IF(Startseite!$D$68=(Refsz_Verbräuche[[#Headers],[2050]]-1),Refsz_Verbräuche[[#This Row],[2045]],IF(Startseite!$D$68&lt;Refsz_Verbräuche[[#Headers],[2050]],Refsz_Verbräuche[[#This Row],[2045]],"")))</f>
        <v/>
      </c>
      <c r="AA100" s="14"/>
    </row>
    <row r="101" spans="2:27">
      <c r="B101" s="14">
        <v>84</v>
      </c>
      <c r="C101" s="14" t="s">
        <v>511</v>
      </c>
      <c r="D101" s="9" t="str">
        <f>_xlfn.CONCAT(Startseite!E86," - Privater PKW (alle Antriebsarten)")</f>
        <v>An- und Abreise von Gästen - Privater PKW (alle Antriebsarten)</v>
      </c>
      <c r="E101" t="s">
        <v>379</v>
      </c>
      <c r="F101" s="110"/>
      <c r="G101" s="110"/>
      <c r="H101" s="110"/>
      <c r="I101" s="110"/>
      <c r="J101" s="110"/>
      <c r="K101" s="110"/>
      <c r="L101" s="110"/>
      <c r="M101" s="110" t="str">
        <f>IF(Refsz_Verbräuche[[#Headers],[2022]]=Startseite!$D$68,IF(OR(SUMIF($F101:Refsz_Verbräuche[[#This Row],[2021]],"&gt;0")&gt;0,), AVERAGEIF($F101:Refsz_Verbräuche[[#This Row],[2021]],"&lt;&gt;"""), ""),IF(Startseite!$D$68=(Refsz_Verbräuche[[#Headers],[2022]]-1),Refsz_Verbräuche[[#This Row],[2021]],IF(Startseite!$D$68&lt;Refsz_Verbräuche[[#Headers],[2022]],Refsz_Verbräuche[[#This Row],[2021]],"")))</f>
        <v/>
      </c>
      <c r="N101" s="110" t="str">
        <f>IF(Refsz_Verbräuche[[#Headers],[2023]]=Startseite!$D$68,IF(OR(SUMIF($F101:Refsz_Verbräuche[[#This Row],[2022]],"&gt;0")&gt;0,), AVERAGEIF($F101:Refsz_Verbräuche[[#This Row],[2022]],"&lt;&gt;"""), ""),IF(Startseite!$D$68=(Refsz_Verbräuche[[#Headers],[2023]]-1),Refsz_Verbräuche[[#This Row],[2022]],IF(Startseite!$D$68&lt;Refsz_Verbräuche[[#Headers],[2023]],Refsz_Verbräuche[[#This Row],[2022]],"")))</f>
        <v/>
      </c>
      <c r="O101" s="110" t="str">
        <f>IF(Refsz_Verbräuche[[#Headers],[2024]]=Startseite!$D$68,IF(OR(SUMIF($F101:Refsz_Verbräuche[[#This Row],[2023]],"&gt;0")&gt;0,), AVERAGEIF($F101:Refsz_Verbräuche[[#This Row],[2023]],"&lt;&gt;"""), ""),IF(Startseite!$D$68=(Refsz_Verbräuche[[#Headers],[2024]]-1),Refsz_Verbräuche[[#This Row],[2023]],IF(Startseite!$D$68&lt;Refsz_Verbräuche[[#Headers],[2024]],Refsz_Verbräuche[[#This Row],[2023]],"")))</f>
        <v/>
      </c>
      <c r="P101" s="110" t="str">
        <f>IF(Refsz_Verbräuche[[#Headers],[2025]]=Startseite!$D$68,IF(OR(SUMIF($F101:Refsz_Verbräuche[[#This Row],[2024]],"&gt;0")&gt;0,), AVERAGEIF($F101:Refsz_Verbräuche[[#This Row],[2024]],"&lt;&gt;"""), ""),IF(Startseite!$D$68=(Refsz_Verbräuche[[#Headers],[2025]]-1),Refsz_Verbräuche[[#This Row],[2024]],IF(Startseite!$D$68&lt;Refsz_Verbräuche[[#Headers],[2025]],Refsz_Verbräuche[[#This Row],[2024]],"")))</f>
        <v/>
      </c>
      <c r="Q101" s="110" t="str">
        <f>IF(Refsz_Verbräuche[[#Headers],[2026]]=Startseite!$D$68,IF(OR(SUMIF($F101:Refsz_Verbräuche[[#This Row],[2025]],"&gt;0")&gt;0,), AVERAGEIF($F101:Refsz_Verbräuche[[#This Row],[2025]],"&lt;&gt;"""), ""),IF(Startseite!$D$68=(Refsz_Verbräuche[[#Headers],[2026]]-1),Refsz_Verbräuche[[#This Row],[2025]],IF(Startseite!$D$68&lt;Refsz_Verbräuche[[#Headers],[2026]],Refsz_Verbräuche[[#This Row],[2025]],"")))</f>
        <v/>
      </c>
      <c r="R101" s="110" t="str">
        <f>IF(Refsz_Verbräuche[[#Headers],[2027]]=Startseite!$D$68,IF(OR(SUMIF($F101:Refsz_Verbräuche[[#This Row],[2026]],"&gt;0")&gt;0,), AVERAGEIF($F101:Refsz_Verbräuche[[#This Row],[2026]],"&lt;&gt;"""), ""),IF(Startseite!$D$68=(Refsz_Verbräuche[[#Headers],[2027]]-1),Refsz_Verbräuche[[#This Row],[2026]],IF(Startseite!$D$68&lt;Refsz_Verbräuche[[#Headers],[2027]],Refsz_Verbräuche[[#This Row],[2026]],"")))</f>
        <v/>
      </c>
      <c r="S101" s="110" t="str">
        <f>IF(Refsz_Verbräuche[[#Headers],[2028]]=Startseite!$D$68,IF(OR(SUMIF($F101:Refsz_Verbräuche[[#This Row],[2027]],"&gt;0")&gt;0,), AVERAGEIF($F101:Refsz_Verbräuche[[#This Row],[2027]],"&lt;&gt;"""), ""),IF(Startseite!$D$68=(Refsz_Verbräuche[[#Headers],[2028]]-1),Refsz_Verbräuche[[#This Row],[2027]],IF(Startseite!$D$68&lt;Refsz_Verbräuche[[#Headers],[2028]],Refsz_Verbräuche[[#This Row],[2027]],"")))</f>
        <v/>
      </c>
      <c r="T101" s="110" t="str">
        <f>IF(Refsz_Verbräuche[[#Headers],[2029]]=Startseite!$D$68,IF(OR(SUMIF($F101:Refsz_Verbräuche[[#This Row],[2028]],"&gt;0")&gt;0,), AVERAGEIF($F101:Refsz_Verbräuche[[#This Row],[2028]],"&lt;&gt;"""), ""),IF(Startseite!$D$68=(Refsz_Verbräuche[[#Headers],[2029]]-1),Refsz_Verbräuche[[#This Row],[2028]],IF(Startseite!$D$68&lt;Refsz_Verbräuche[[#Headers],[2029]],Refsz_Verbräuche[[#This Row],[2028]],"")))</f>
        <v/>
      </c>
      <c r="U101" s="110" t="str">
        <f>IF(Refsz_Verbräuche[[#Headers],[2030]]=Startseite!$D$68,IF(OR(SUMIF($F101:Refsz_Verbräuche[[#This Row],[2029]],"&gt;0")&gt;0,), AVERAGEIF($F101:Refsz_Verbräuche[[#This Row],[2029]],"&lt;&gt;"""), ""),IF(Startseite!$D$68=(Refsz_Verbräuche[[#Headers],[2030]]-1),Refsz_Verbräuche[[#This Row],[2029]],IF(Startseite!$D$68&lt;Refsz_Verbräuche[[#Headers],[2030]],Refsz_Verbräuche[[#This Row],[2029]],"")))</f>
        <v/>
      </c>
      <c r="V101" s="110" t="str">
        <f>IF(Refsz_Verbräuche[[#Headers],[2035]]=Startseite!$D$68,IF(OR(SUMIF($F101:Refsz_Verbräuche[[#This Row],[2030]],"&gt;0")&gt;0,), AVERAGEIF($F101:Refsz_Verbräuche[[#This Row],[2030]],"&lt;&gt;"""), ""),IF(Startseite!$D$68=(Refsz_Verbräuche[[#Headers],[2035]]-1),Refsz_Verbräuche[[#This Row],[2030]],IF(Startseite!$D$68&lt;Refsz_Verbräuche[[#Headers],[2035]],Refsz_Verbräuche[[#This Row],[2030]],"")))</f>
        <v/>
      </c>
      <c r="W101" s="110" t="str">
        <f>IF(Refsz_Verbräuche[[#Headers],[2040]]=Startseite!$D$68,IF(OR(SUMIF($F101:Refsz_Verbräuche[[#This Row],[2035]],"&gt;0")&gt;0,), AVERAGEIF($F101:Refsz_Verbräuche[[#This Row],[2035]],"&lt;&gt;"""), ""),IF(Startseite!$D$68=(Refsz_Verbräuche[[#Headers],[2040]]-1),Refsz_Verbräuche[[#This Row],[2035]],IF(Startseite!$D$68&lt;Refsz_Verbräuche[[#Headers],[2040]],Refsz_Verbräuche[[#This Row],[2035]],"")))</f>
        <v/>
      </c>
      <c r="X101" s="110" t="str">
        <f>IF(Refsz_Verbräuche[[#Headers],[2045]]=Startseite!$D$68,IF(OR(SUMIF($F101:Refsz_Verbräuche[[#This Row],[2040]],"&gt;0")&gt;0,), AVERAGEIF($F101:Refsz_Verbräuche[[#This Row],[2040]],"&lt;&gt;"""), ""),IF(Startseite!$D$68=(Refsz_Verbräuche[[#Headers],[2045]]-1),Refsz_Verbräuche[[#This Row],[2040]],IF(Startseite!$D$68&lt;Refsz_Verbräuche[[#Headers],[2045]],Refsz_Verbräuche[[#This Row],[2040]],"")))</f>
        <v/>
      </c>
      <c r="Y101" s="110" t="str">
        <f>IF(Refsz_Verbräuche[[#Headers],[2050]]=Startseite!$D$68,IF(OR(SUMIF($F101:Refsz_Verbräuche[[#This Row],[2045]],"&gt;0")&gt;0,), AVERAGEIF($F101:Refsz_Verbräuche[[#This Row],[2045]],"&lt;&gt;"""), ""),IF(Startseite!$D$68=(Refsz_Verbräuche[[#Headers],[2050]]-1),Refsz_Verbräuche[[#This Row],[2045]],IF(Startseite!$D$68&lt;Refsz_Verbräuche[[#Headers],[2050]],Refsz_Verbräuche[[#This Row],[2045]],"")))</f>
        <v/>
      </c>
      <c r="AA101" s="14"/>
    </row>
    <row r="102" spans="2:27">
      <c r="B102" s="14">
        <v>85</v>
      </c>
      <c r="C102" s="14"/>
      <c r="D102" s="9"/>
      <c r="F102" s="110"/>
      <c r="G102" s="110"/>
      <c r="H102" s="110"/>
      <c r="I102" s="110"/>
      <c r="J102" s="110"/>
      <c r="K102" s="110"/>
      <c r="L102" s="110"/>
      <c r="M102" s="110" t="str">
        <f>IF(Refsz_Verbräuche[[#Headers],[2022]]=Startseite!$D$68,IF(OR(SUMIF($F102:Refsz_Verbräuche[[#This Row],[2021]],"&gt;0")&gt;0,), AVERAGEIF($F102:Refsz_Verbräuche[[#This Row],[2021]],"&lt;&gt;"""), ""),IF(Startseite!$D$68=(Refsz_Verbräuche[[#Headers],[2022]]-1),Refsz_Verbräuche[[#This Row],[2021]],IF(Startseite!$D$68&lt;Refsz_Verbräuche[[#Headers],[2022]],Refsz_Verbräuche[[#This Row],[2021]],"")))</f>
        <v/>
      </c>
      <c r="N102" s="110" t="str">
        <f>IF(Refsz_Verbräuche[[#Headers],[2023]]=Startseite!$D$68,IF(OR(SUMIF($F102:Refsz_Verbräuche[[#This Row],[2022]],"&gt;0")&gt;0,), AVERAGEIF($F102:Refsz_Verbräuche[[#This Row],[2022]],"&lt;&gt;"""), ""),IF(Startseite!$D$68=(Refsz_Verbräuche[[#Headers],[2023]]-1),Refsz_Verbräuche[[#This Row],[2022]],IF(Startseite!$D$68&lt;Refsz_Verbräuche[[#Headers],[2023]],Refsz_Verbräuche[[#This Row],[2022]],"")))</f>
        <v/>
      </c>
      <c r="O102" s="110" t="str">
        <f>IF(Refsz_Verbräuche[[#Headers],[2024]]=Startseite!$D$68,IF(OR(SUMIF($F102:Refsz_Verbräuche[[#This Row],[2023]],"&gt;0")&gt;0,), AVERAGEIF($F102:Refsz_Verbräuche[[#This Row],[2023]],"&lt;&gt;"""), ""),IF(Startseite!$D$68=(Refsz_Verbräuche[[#Headers],[2024]]-1),Refsz_Verbräuche[[#This Row],[2023]],IF(Startseite!$D$68&lt;Refsz_Verbräuche[[#Headers],[2024]],Refsz_Verbräuche[[#This Row],[2023]],"")))</f>
        <v/>
      </c>
      <c r="P102" s="110" t="str">
        <f>IF(Refsz_Verbräuche[[#Headers],[2025]]=Startseite!$D$68,IF(OR(SUMIF($F102:Refsz_Verbräuche[[#This Row],[2024]],"&gt;0")&gt;0,), AVERAGEIF($F102:Refsz_Verbräuche[[#This Row],[2024]],"&lt;&gt;"""), ""),IF(Startseite!$D$68=(Refsz_Verbräuche[[#Headers],[2025]]-1),Refsz_Verbräuche[[#This Row],[2024]],IF(Startseite!$D$68&lt;Refsz_Verbräuche[[#Headers],[2025]],Refsz_Verbräuche[[#This Row],[2024]],"")))</f>
        <v/>
      </c>
      <c r="Q102" s="110" t="str">
        <f>IF(Refsz_Verbräuche[[#Headers],[2026]]=Startseite!$D$68,IF(OR(SUMIF($F102:Refsz_Verbräuche[[#This Row],[2025]],"&gt;0")&gt;0,), AVERAGEIF($F102:Refsz_Verbräuche[[#This Row],[2025]],"&lt;&gt;"""), ""),IF(Startseite!$D$68=(Refsz_Verbräuche[[#Headers],[2026]]-1),Refsz_Verbräuche[[#This Row],[2025]],IF(Startseite!$D$68&lt;Refsz_Verbräuche[[#Headers],[2026]],Refsz_Verbräuche[[#This Row],[2025]],"")))</f>
        <v/>
      </c>
      <c r="R102" s="110" t="str">
        <f>IF(Refsz_Verbräuche[[#Headers],[2027]]=Startseite!$D$68,IF(OR(SUMIF($F102:Refsz_Verbräuche[[#This Row],[2026]],"&gt;0")&gt;0,), AVERAGEIF($F102:Refsz_Verbräuche[[#This Row],[2026]],"&lt;&gt;"""), ""),IF(Startseite!$D$68=(Refsz_Verbräuche[[#Headers],[2027]]-1),Refsz_Verbräuche[[#This Row],[2026]],IF(Startseite!$D$68&lt;Refsz_Verbräuche[[#Headers],[2027]],Refsz_Verbräuche[[#This Row],[2026]],"")))</f>
        <v/>
      </c>
      <c r="S102" s="110" t="str">
        <f>IF(Refsz_Verbräuche[[#Headers],[2028]]=Startseite!$D$68,IF(OR(SUMIF($F102:Refsz_Verbräuche[[#This Row],[2027]],"&gt;0")&gt;0,), AVERAGEIF($F102:Refsz_Verbräuche[[#This Row],[2027]],"&lt;&gt;"""), ""),IF(Startseite!$D$68=(Refsz_Verbräuche[[#Headers],[2028]]-1),Refsz_Verbräuche[[#This Row],[2027]],IF(Startseite!$D$68&lt;Refsz_Verbräuche[[#Headers],[2028]],Refsz_Verbräuche[[#This Row],[2027]],"")))</f>
        <v/>
      </c>
      <c r="T102" s="110" t="str">
        <f>IF(Refsz_Verbräuche[[#Headers],[2029]]=Startseite!$D$68,IF(OR(SUMIF($F102:Refsz_Verbräuche[[#This Row],[2028]],"&gt;0")&gt;0,), AVERAGEIF($F102:Refsz_Verbräuche[[#This Row],[2028]],"&lt;&gt;"""), ""),IF(Startseite!$D$68=(Refsz_Verbräuche[[#Headers],[2029]]-1),Refsz_Verbräuche[[#This Row],[2028]],IF(Startseite!$D$68&lt;Refsz_Verbräuche[[#Headers],[2029]],Refsz_Verbräuche[[#This Row],[2028]],"")))</f>
        <v/>
      </c>
      <c r="U102" s="110" t="str">
        <f>IF(Refsz_Verbräuche[[#Headers],[2030]]=Startseite!$D$68,IF(OR(SUMIF($F102:Refsz_Verbräuche[[#This Row],[2029]],"&gt;0")&gt;0,), AVERAGEIF($F102:Refsz_Verbräuche[[#This Row],[2029]],"&lt;&gt;"""), ""),IF(Startseite!$D$68=(Refsz_Verbräuche[[#Headers],[2030]]-1),Refsz_Verbräuche[[#This Row],[2029]],IF(Startseite!$D$68&lt;Refsz_Verbräuche[[#Headers],[2030]],Refsz_Verbräuche[[#This Row],[2029]],"")))</f>
        <v/>
      </c>
      <c r="V102" s="110" t="str">
        <f>IF(Refsz_Verbräuche[[#Headers],[2035]]=Startseite!$D$68,IF(OR(SUMIF($F102:Refsz_Verbräuche[[#This Row],[2030]],"&gt;0")&gt;0,), AVERAGEIF($F102:Refsz_Verbräuche[[#This Row],[2030]],"&lt;&gt;"""), ""),IF(Startseite!$D$68=(Refsz_Verbräuche[[#Headers],[2035]]-1),Refsz_Verbräuche[[#This Row],[2030]],IF(Startseite!$D$68&lt;Refsz_Verbräuche[[#Headers],[2035]],Refsz_Verbräuche[[#This Row],[2030]],"")))</f>
        <v/>
      </c>
      <c r="W102" s="110" t="str">
        <f>IF(Refsz_Verbräuche[[#Headers],[2040]]=Startseite!$D$68,IF(OR(SUMIF($F102:Refsz_Verbräuche[[#This Row],[2035]],"&gt;0")&gt;0,), AVERAGEIF($F102:Refsz_Verbräuche[[#This Row],[2035]],"&lt;&gt;"""), ""),IF(Startseite!$D$68=(Refsz_Verbräuche[[#Headers],[2040]]-1),Refsz_Verbräuche[[#This Row],[2035]],IF(Startseite!$D$68&lt;Refsz_Verbräuche[[#Headers],[2040]],Refsz_Verbräuche[[#This Row],[2035]],"")))</f>
        <v/>
      </c>
      <c r="X102" s="110" t="str">
        <f>IF(Refsz_Verbräuche[[#Headers],[2045]]=Startseite!$D$68,IF(OR(SUMIF($F102:Refsz_Verbräuche[[#This Row],[2040]],"&gt;0")&gt;0,), AVERAGEIF($F102:Refsz_Verbräuche[[#This Row],[2040]],"&lt;&gt;"""), ""),IF(Startseite!$D$68=(Refsz_Verbräuche[[#Headers],[2045]]-1),Refsz_Verbräuche[[#This Row],[2040]],IF(Startseite!$D$68&lt;Refsz_Verbräuche[[#Headers],[2045]],Refsz_Verbräuche[[#This Row],[2040]],"")))</f>
        <v/>
      </c>
      <c r="Y102" s="110" t="str">
        <f>IF(Refsz_Verbräuche[[#Headers],[2050]]=Startseite!$D$68,IF(OR(SUMIF($F102:Refsz_Verbräuche[[#This Row],[2045]],"&gt;0")&gt;0,), AVERAGEIF($F102:Refsz_Verbräuche[[#This Row],[2045]],"&lt;&gt;"""), ""),IF(Startseite!$D$68=(Refsz_Verbräuche[[#Headers],[2050]]-1),Refsz_Verbräuche[[#This Row],[2045]],IF(Startseite!$D$68&lt;Refsz_Verbräuche[[#Headers],[2050]],Refsz_Verbräuche[[#This Row],[2045]],"")))</f>
        <v/>
      </c>
      <c r="AA102" s="14"/>
    </row>
    <row r="103" spans="2:27">
      <c r="B103" s="14">
        <v>86</v>
      </c>
      <c r="C103" s="14" t="s">
        <v>515</v>
      </c>
      <c r="D103" s="9" t="s">
        <v>32</v>
      </c>
      <c r="E103" t="s">
        <v>20</v>
      </c>
      <c r="F103" s="110"/>
      <c r="G103" s="110"/>
      <c r="H103" s="110"/>
      <c r="I103" s="110"/>
      <c r="J103" s="110"/>
      <c r="K103" s="110"/>
      <c r="L103" s="110"/>
      <c r="M103" s="110" t="str">
        <f>IF(Refsz_Verbräuche[[#Headers],[2022]]=Startseite!$D$68,IF(OR(SUMIF($F103:Refsz_Verbräuche[[#This Row],[2021]],"&gt;0")&gt;0,), AVERAGEIF($F103:Refsz_Verbräuche[[#This Row],[2021]],"&lt;&gt;"""), ""),IF(Startseite!$D$68=(Refsz_Verbräuche[[#Headers],[2022]]-1),Refsz_Verbräuche[[#This Row],[2021]],IF(Startseite!$D$68&lt;Refsz_Verbräuche[[#Headers],[2022]],Refsz_Verbräuche[[#This Row],[2021]],"")))</f>
        <v/>
      </c>
      <c r="N103" s="110" t="str">
        <f>IF(Refsz_Verbräuche[[#Headers],[2023]]=Startseite!$D$68,IF(OR(SUMIF($F103:Refsz_Verbräuche[[#This Row],[2022]],"&gt;0")&gt;0,), AVERAGEIF($F103:Refsz_Verbräuche[[#This Row],[2022]],"&lt;&gt;"""), ""),IF(Startseite!$D$68=(Refsz_Verbräuche[[#Headers],[2023]]-1),Refsz_Verbräuche[[#This Row],[2022]],IF(Startseite!$D$68&lt;Refsz_Verbräuche[[#Headers],[2023]],Refsz_Verbräuche[[#This Row],[2022]],"")))</f>
        <v/>
      </c>
      <c r="O103" s="110" t="str">
        <f>IF(Refsz_Verbräuche[[#Headers],[2024]]=Startseite!$D$68,IF(OR(SUMIF($F103:Refsz_Verbräuche[[#This Row],[2023]],"&gt;0")&gt;0,), AVERAGEIF($F103:Refsz_Verbräuche[[#This Row],[2023]],"&lt;&gt;"""), ""),IF(Startseite!$D$68=(Refsz_Verbräuche[[#Headers],[2024]]-1),Refsz_Verbräuche[[#This Row],[2023]],IF(Startseite!$D$68&lt;Refsz_Verbräuche[[#Headers],[2024]],Refsz_Verbräuche[[#This Row],[2023]],"")))</f>
        <v/>
      </c>
      <c r="P103" s="110" t="str">
        <f>IF(Refsz_Verbräuche[[#Headers],[2025]]=Startseite!$D$68,IF(OR(SUMIF($F103:Refsz_Verbräuche[[#This Row],[2024]],"&gt;0")&gt;0,), AVERAGEIF($F103:Refsz_Verbräuche[[#This Row],[2024]],"&lt;&gt;"""), ""),IF(Startseite!$D$68=(Refsz_Verbräuche[[#Headers],[2025]]-1),Refsz_Verbräuche[[#This Row],[2024]],IF(Startseite!$D$68&lt;Refsz_Verbräuche[[#Headers],[2025]],Refsz_Verbräuche[[#This Row],[2024]],"")))</f>
        <v/>
      </c>
      <c r="Q103" s="110" t="str">
        <f>IF(Refsz_Verbräuche[[#Headers],[2026]]=Startseite!$D$68,IF(OR(SUMIF($F103:Refsz_Verbräuche[[#This Row],[2025]],"&gt;0")&gt;0,), AVERAGEIF($F103:Refsz_Verbräuche[[#This Row],[2025]],"&lt;&gt;"""), ""),IF(Startseite!$D$68=(Refsz_Verbräuche[[#Headers],[2026]]-1),Refsz_Verbräuche[[#This Row],[2025]],IF(Startseite!$D$68&lt;Refsz_Verbräuche[[#Headers],[2026]],Refsz_Verbräuche[[#This Row],[2025]],"")))</f>
        <v/>
      </c>
      <c r="R103" s="110" t="str">
        <f>IF(Refsz_Verbräuche[[#Headers],[2027]]=Startseite!$D$68,IF(OR(SUMIF($F103:Refsz_Verbräuche[[#This Row],[2026]],"&gt;0")&gt;0,), AVERAGEIF($F103:Refsz_Verbräuche[[#This Row],[2026]],"&lt;&gt;"""), ""),IF(Startseite!$D$68=(Refsz_Verbräuche[[#Headers],[2027]]-1),Refsz_Verbräuche[[#This Row],[2026]],IF(Startseite!$D$68&lt;Refsz_Verbräuche[[#Headers],[2027]],Refsz_Verbräuche[[#This Row],[2026]],"")))</f>
        <v/>
      </c>
      <c r="S103" s="110" t="str">
        <f>IF(Refsz_Verbräuche[[#Headers],[2028]]=Startseite!$D$68,IF(OR(SUMIF($F103:Refsz_Verbräuche[[#This Row],[2027]],"&gt;0")&gt;0,), AVERAGEIF($F103:Refsz_Verbräuche[[#This Row],[2027]],"&lt;&gt;"""), ""),IF(Startseite!$D$68=(Refsz_Verbräuche[[#Headers],[2028]]-1),Refsz_Verbräuche[[#This Row],[2027]],IF(Startseite!$D$68&lt;Refsz_Verbräuche[[#Headers],[2028]],Refsz_Verbräuche[[#This Row],[2027]],"")))</f>
        <v/>
      </c>
      <c r="T103" s="110" t="str">
        <f>IF(Refsz_Verbräuche[[#Headers],[2029]]=Startseite!$D$68,IF(OR(SUMIF($F103:Refsz_Verbräuche[[#This Row],[2028]],"&gt;0")&gt;0,), AVERAGEIF($F103:Refsz_Verbräuche[[#This Row],[2028]],"&lt;&gt;"""), ""),IF(Startseite!$D$68=(Refsz_Verbräuche[[#Headers],[2029]]-1),Refsz_Verbräuche[[#This Row],[2028]],IF(Startseite!$D$68&lt;Refsz_Verbräuche[[#Headers],[2029]],Refsz_Verbräuche[[#This Row],[2028]],"")))</f>
        <v/>
      </c>
      <c r="U103" s="110" t="str">
        <f>IF(Refsz_Verbräuche[[#Headers],[2030]]=Startseite!$D$68,IF(OR(SUMIF($F103:Refsz_Verbräuche[[#This Row],[2029]],"&gt;0")&gt;0,), AVERAGEIF($F103:Refsz_Verbräuche[[#This Row],[2029]],"&lt;&gt;"""), ""),IF(Startseite!$D$68=(Refsz_Verbräuche[[#Headers],[2030]]-1),Refsz_Verbräuche[[#This Row],[2029]],IF(Startseite!$D$68&lt;Refsz_Verbräuche[[#Headers],[2030]],Refsz_Verbräuche[[#This Row],[2029]],"")))</f>
        <v/>
      </c>
      <c r="V103" s="110" t="str">
        <f>IF(Refsz_Verbräuche[[#Headers],[2035]]=Startseite!$D$68,IF(OR(SUMIF($F103:Refsz_Verbräuche[[#This Row],[2030]],"&gt;0")&gt;0,), AVERAGEIF($F103:Refsz_Verbräuche[[#This Row],[2030]],"&lt;&gt;"""), ""),IF(Startseite!$D$68=(Refsz_Verbräuche[[#Headers],[2035]]-1),Refsz_Verbräuche[[#This Row],[2030]],IF(Startseite!$D$68&lt;Refsz_Verbräuche[[#Headers],[2035]],Refsz_Verbräuche[[#This Row],[2030]],"")))</f>
        <v/>
      </c>
      <c r="W103" s="110" t="str">
        <f>IF(Refsz_Verbräuche[[#Headers],[2040]]=Startseite!$D$68,IF(OR(SUMIF($F103:Refsz_Verbräuche[[#This Row],[2035]],"&gt;0")&gt;0,), AVERAGEIF($F103:Refsz_Verbräuche[[#This Row],[2035]],"&lt;&gt;"""), ""),IF(Startseite!$D$68=(Refsz_Verbräuche[[#Headers],[2040]]-1),Refsz_Verbräuche[[#This Row],[2035]],IF(Startseite!$D$68&lt;Refsz_Verbräuche[[#Headers],[2040]],Refsz_Verbräuche[[#This Row],[2035]],"")))</f>
        <v/>
      </c>
      <c r="X103" s="110" t="str">
        <f>IF(Refsz_Verbräuche[[#Headers],[2045]]=Startseite!$D$68,IF(OR(SUMIF($F103:Refsz_Verbräuche[[#This Row],[2040]],"&gt;0")&gt;0,), AVERAGEIF($F103:Refsz_Verbräuche[[#This Row],[2040]],"&lt;&gt;"""), ""),IF(Startseite!$D$68=(Refsz_Verbräuche[[#Headers],[2045]]-1),Refsz_Verbräuche[[#This Row],[2040]],IF(Startseite!$D$68&lt;Refsz_Verbräuche[[#Headers],[2045]],Refsz_Verbräuche[[#This Row],[2040]],"")))</f>
        <v/>
      </c>
      <c r="Y103" s="110" t="str">
        <f>IF(Refsz_Verbräuche[[#Headers],[2050]]=Startseite!$D$68,IF(OR(SUMIF($F103:Refsz_Verbräuche[[#This Row],[2045]],"&gt;0")&gt;0,), AVERAGEIF($F103:Refsz_Verbräuche[[#This Row],[2045]],"&lt;&gt;"""), ""),IF(Startseite!$D$68=(Refsz_Verbräuche[[#Headers],[2050]]-1),Refsz_Verbräuche[[#This Row],[2045]],IF(Startseite!$D$68&lt;Refsz_Verbräuche[[#Headers],[2050]],Refsz_Verbräuche[[#This Row],[2045]],"")))</f>
        <v/>
      </c>
      <c r="AA103" s="14"/>
    </row>
    <row r="104" spans="2:27">
      <c r="B104" s="14">
        <v>87</v>
      </c>
      <c r="C104" s="14" t="s">
        <v>515</v>
      </c>
      <c r="D104" s="9" t="s">
        <v>34</v>
      </c>
      <c r="E104" t="s">
        <v>20</v>
      </c>
      <c r="F104" s="110"/>
      <c r="G104" s="110"/>
      <c r="H104" s="110"/>
      <c r="I104" s="110"/>
      <c r="J104" s="110"/>
      <c r="K104" s="110"/>
      <c r="L104" s="110"/>
      <c r="M104" s="110" t="str">
        <f>IF(Refsz_Verbräuche[[#Headers],[2022]]=Startseite!$D$68,IF(OR(SUMIF($F104:Refsz_Verbräuche[[#This Row],[2021]],"&gt;0")&gt;0,), AVERAGEIF($F104:Refsz_Verbräuche[[#This Row],[2021]],"&lt;&gt;"""), ""),IF(Startseite!$D$68=(Refsz_Verbräuche[[#Headers],[2022]]-1),Refsz_Verbräuche[[#This Row],[2021]],IF(Startseite!$D$68&lt;Refsz_Verbräuche[[#Headers],[2022]],Refsz_Verbräuche[[#This Row],[2021]],"")))</f>
        <v/>
      </c>
      <c r="N104" s="110" t="str">
        <f>IF(Refsz_Verbräuche[[#Headers],[2023]]=Startseite!$D$68,IF(OR(SUMIF($F104:Refsz_Verbräuche[[#This Row],[2022]],"&gt;0")&gt;0,), AVERAGEIF($F104:Refsz_Verbräuche[[#This Row],[2022]],"&lt;&gt;"""), ""),IF(Startseite!$D$68=(Refsz_Verbräuche[[#Headers],[2023]]-1),Refsz_Verbräuche[[#This Row],[2022]],IF(Startseite!$D$68&lt;Refsz_Verbräuche[[#Headers],[2023]],Refsz_Verbräuche[[#This Row],[2022]],"")))</f>
        <v/>
      </c>
      <c r="O104" s="110" t="str">
        <f>IF(Refsz_Verbräuche[[#Headers],[2024]]=Startseite!$D$68,IF(OR(SUMIF($F104:Refsz_Verbräuche[[#This Row],[2023]],"&gt;0")&gt;0,), AVERAGEIF($F104:Refsz_Verbräuche[[#This Row],[2023]],"&lt;&gt;"""), ""),IF(Startseite!$D$68=(Refsz_Verbräuche[[#Headers],[2024]]-1),Refsz_Verbräuche[[#This Row],[2023]],IF(Startseite!$D$68&lt;Refsz_Verbräuche[[#Headers],[2024]],Refsz_Verbräuche[[#This Row],[2023]],"")))</f>
        <v/>
      </c>
      <c r="P104" s="110" t="str">
        <f>IF(Refsz_Verbräuche[[#Headers],[2025]]=Startseite!$D$68,IF(OR(SUMIF($F104:Refsz_Verbräuche[[#This Row],[2024]],"&gt;0")&gt;0,), AVERAGEIF($F104:Refsz_Verbräuche[[#This Row],[2024]],"&lt;&gt;"""), ""),IF(Startseite!$D$68=(Refsz_Verbräuche[[#Headers],[2025]]-1),Refsz_Verbräuche[[#This Row],[2024]],IF(Startseite!$D$68&lt;Refsz_Verbräuche[[#Headers],[2025]],Refsz_Verbräuche[[#This Row],[2024]],"")))</f>
        <v/>
      </c>
      <c r="Q104" s="110" t="str">
        <f>IF(Refsz_Verbräuche[[#Headers],[2026]]=Startseite!$D$68,IF(OR(SUMIF($F104:Refsz_Verbräuche[[#This Row],[2025]],"&gt;0")&gt;0,), AVERAGEIF($F104:Refsz_Verbräuche[[#This Row],[2025]],"&lt;&gt;"""), ""),IF(Startseite!$D$68=(Refsz_Verbräuche[[#Headers],[2026]]-1),Refsz_Verbräuche[[#This Row],[2025]],IF(Startseite!$D$68&lt;Refsz_Verbräuche[[#Headers],[2026]],Refsz_Verbräuche[[#This Row],[2025]],"")))</f>
        <v/>
      </c>
      <c r="R104" s="110" t="str">
        <f>IF(Refsz_Verbräuche[[#Headers],[2027]]=Startseite!$D$68,IF(OR(SUMIF($F104:Refsz_Verbräuche[[#This Row],[2026]],"&gt;0")&gt;0,), AVERAGEIF($F104:Refsz_Verbräuche[[#This Row],[2026]],"&lt;&gt;"""), ""),IF(Startseite!$D$68=(Refsz_Verbräuche[[#Headers],[2027]]-1),Refsz_Verbräuche[[#This Row],[2026]],IF(Startseite!$D$68&lt;Refsz_Verbräuche[[#Headers],[2027]],Refsz_Verbräuche[[#This Row],[2026]],"")))</f>
        <v/>
      </c>
      <c r="S104" s="110" t="str">
        <f>IF(Refsz_Verbräuche[[#Headers],[2028]]=Startseite!$D$68,IF(OR(SUMIF($F104:Refsz_Verbräuche[[#This Row],[2027]],"&gt;0")&gt;0,), AVERAGEIF($F104:Refsz_Verbräuche[[#This Row],[2027]],"&lt;&gt;"""), ""),IF(Startseite!$D$68=(Refsz_Verbräuche[[#Headers],[2028]]-1),Refsz_Verbräuche[[#This Row],[2027]],IF(Startseite!$D$68&lt;Refsz_Verbräuche[[#Headers],[2028]],Refsz_Verbräuche[[#This Row],[2027]],"")))</f>
        <v/>
      </c>
      <c r="T104" s="110" t="str">
        <f>IF(Refsz_Verbräuche[[#Headers],[2029]]=Startseite!$D$68,IF(OR(SUMIF($F104:Refsz_Verbräuche[[#This Row],[2028]],"&gt;0")&gt;0,), AVERAGEIF($F104:Refsz_Verbräuche[[#This Row],[2028]],"&lt;&gt;"""), ""),IF(Startseite!$D$68=(Refsz_Verbräuche[[#Headers],[2029]]-1),Refsz_Verbräuche[[#This Row],[2028]],IF(Startseite!$D$68&lt;Refsz_Verbräuche[[#Headers],[2029]],Refsz_Verbräuche[[#This Row],[2028]],"")))</f>
        <v/>
      </c>
      <c r="U104" s="110" t="str">
        <f>IF(Refsz_Verbräuche[[#Headers],[2030]]=Startseite!$D$68,IF(OR(SUMIF($F104:Refsz_Verbräuche[[#This Row],[2029]],"&gt;0")&gt;0,), AVERAGEIF($F104:Refsz_Verbräuche[[#This Row],[2029]],"&lt;&gt;"""), ""),IF(Startseite!$D$68=(Refsz_Verbräuche[[#Headers],[2030]]-1),Refsz_Verbräuche[[#This Row],[2029]],IF(Startseite!$D$68&lt;Refsz_Verbräuche[[#Headers],[2030]],Refsz_Verbräuche[[#This Row],[2029]],"")))</f>
        <v/>
      </c>
      <c r="V104" s="110" t="str">
        <f>IF(Refsz_Verbräuche[[#Headers],[2035]]=Startseite!$D$68,IF(OR(SUMIF($F104:Refsz_Verbräuche[[#This Row],[2030]],"&gt;0")&gt;0,), AVERAGEIF($F104:Refsz_Verbräuche[[#This Row],[2030]],"&lt;&gt;"""), ""),IF(Startseite!$D$68=(Refsz_Verbräuche[[#Headers],[2035]]-1),Refsz_Verbräuche[[#This Row],[2030]],IF(Startseite!$D$68&lt;Refsz_Verbräuche[[#Headers],[2035]],Refsz_Verbräuche[[#This Row],[2030]],"")))</f>
        <v/>
      </c>
      <c r="W104" s="110" t="str">
        <f>IF(Refsz_Verbräuche[[#Headers],[2040]]=Startseite!$D$68,IF(OR(SUMIF($F104:Refsz_Verbräuche[[#This Row],[2035]],"&gt;0")&gt;0,), AVERAGEIF($F104:Refsz_Verbräuche[[#This Row],[2035]],"&lt;&gt;"""), ""),IF(Startseite!$D$68=(Refsz_Verbräuche[[#Headers],[2040]]-1),Refsz_Verbräuche[[#This Row],[2035]],IF(Startseite!$D$68&lt;Refsz_Verbräuche[[#Headers],[2040]],Refsz_Verbräuche[[#This Row],[2035]],"")))</f>
        <v/>
      </c>
      <c r="X104" s="110" t="str">
        <f>IF(Refsz_Verbräuche[[#Headers],[2045]]=Startseite!$D$68,IF(OR(SUMIF($F104:Refsz_Verbräuche[[#This Row],[2040]],"&gt;0")&gt;0,), AVERAGEIF($F104:Refsz_Verbräuche[[#This Row],[2040]],"&lt;&gt;"""), ""),IF(Startseite!$D$68=(Refsz_Verbräuche[[#Headers],[2045]]-1),Refsz_Verbräuche[[#This Row],[2040]],IF(Startseite!$D$68&lt;Refsz_Verbräuche[[#Headers],[2045]],Refsz_Verbräuche[[#This Row],[2040]],"")))</f>
        <v/>
      </c>
      <c r="Y104" s="110" t="str">
        <f>IF(Refsz_Verbräuche[[#Headers],[2050]]=Startseite!$D$68,IF(OR(SUMIF($F104:Refsz_Verbräuche[[#This Row],[2045]],"&gt;0")&gt;0,), AVERAGEIF($F104:Refsz_Verbräuche[[#This Row],[2045]],"&lt;&gt;"""), ""),IF(Startseite!$D$68=(Refsz_Verbräuche[[#Headers],[2050]]-1),Refsz_Verbräuche[[#This Row],[2045]],IF(Startseite!$D$68&lt;Refsz_Verbräuche[[#Headers],[2050]],Refsz_Verbräuche[[#This Row],[2045]],"")))</f>
        <v/>
      </c>
      <c r="AA104" s="14"/>
    </row>
    <row r="105" spans="2:27">
      <c r="B105" s="14">
        <v>88</v>
      </c>
      <c r="C105" s="14"/>
      <c r="D105" s="9"/>
      <c r="E105" s="9"/>
      <c r="F105" s="110"/>
      <c r="G105" s="110"/>
      <c r="H105" s="110"/>
      <c r="I105" s="110"/>
      <c r="J105" s="110"/>
      <c r="K105" s="110"/>
      <c r="L105" s="110"/>
      <c r="M105" s="110" t="str">
        <f>IF(Refsz_Verbräuche[[#Headers],[2022]]=Startseite!$D$68,IF(OR(SUMIF($F105:Refsz_Verbräuche[[#This Row],[2021]],"&gt;0")&gt;0,), AVERAGEIF($F105:Refsz_Verbräuche[[#This Row],[2021]],"&lt;&gt;"""), ""),IF(Startseite!$D$68=(Refsz_Verbräuche[[#Headers],[2022]]-1),Refsz_Verbräuche[[#This Row],[2021]],IF(Startseite!$D$68&lt;Refsz_Verbräuche[[#Headers],[2022]],Refsz_Verbräuche[[#This Row],[2021]],"")))</f>
        <v/>
      </c>
      <c r="N105" s="110" t="str">
        <f>IF(Refsz_Verbräuche[[#Headers],[2023]]=Startseite!$D$68,IF(OR(SUMIF($F105:Refsz_Verbräuche[[#This Row],[2022]],"&gt;0")&gt;0,), AVERAGEIF($F105:Refsz_Verbräuche[[#This Row],[2022]],"&lt;&gt;"""), ""),IF(Startseite!$D$68=(Refsz_Verbräuche[[#Headers],[2023]]-1),Refsz_Verbräuche[[#This Row],[2022]],IF(Startseite!$D$68&lt;Refsz_Verbräuche[[#Headers],[2023]],Refsz_Verbräuche[[#This Row],[2022]],"")))</f>
        <v/>
      </c>
      <c r="O105" s="110" t="str">
        <f>IF(Refsz_Verbräuche[[#Headers],[2024]]=Startseite!$D$68,IF(OR(SUMIF($F105:Refsz_Verbräuche[[#This Row],[2023]],"&gt;0")&gt;0,), AVERAGEIF($F105:Refsz_Verbräuche[[#This Row],[2023]],"&lt;&gt;"""), ""),IF(Startseite!$D$68=(Refsz_Verbräuche[[#Headers],[2024]]-1),Refsz_Verbräuche[[#This Row],[2023]],IF(Startseite!$D$68&lt;Refsz_Verbräuche[[#Headers],[2024]],Refsz_Verbräuche[[#This Row],[2023]],"")))</f>
        <v/>
      </c>
      <c r="P105" s="110" t="str">
        <f>IF(Refsz_Verbräuche[[#Headers],[2025]]=Startseite!$D$68,IF(OR(SUMIF($F105:Refsz_Verbräuche[[#This Row],[2024]],"&gt;0")&gt;0,), AVERAGEIF($F105:Refsz_Verbräuche[[#This Row],[2024]],"&lt;&gt;"""), ""),IF(Startseite!$D$68=(Refsz_Verbräuche[[#Headers],[2025]]-1),Refsz_Verbräuche[[#This Row],[2024]],IF(Startseite!$D$68&lt;Refsz_Verbräuche[[#Headers],[2025]],Refsz_Verbräuche[[#This Row],[2024]],"")))</f>
        <v/>
      </c>
      <c r="Q105" s="110" t="str">
        <f>IF(Refsz_Verbräuche[[#Headers],[2026]]=Startseite!$D$68,IF(OR(SUMIF($F105:Refsz_Verbräuche[[#This Row],[2025]],"&gt;0")&gt;0,), AVERAGEIF($F105:Refsz_Verbräuche[[#This Row],[2025]],"&lt;&gt;"""), ""),IF(Startseite!$D$68=(Refsz_Verbräuche[[#Headers],[2026]]-1),Refsz_Verbräuche[[#This Row],[2025]],IF(Startseite!$D$68&lt;Refsz_Verbräuche[[#Headers],[2026]],Refsz_Verbräuche[[#This Row],[2025]],"")))</f>
        <v/>
      </c>
      <c r="R105" s="110" t="str">
        <f>IF(Refsz_Verbräuche[[#Headers],[2027]]=Startseite!$D$68,IF(OR(SUMIF($F105:Refsz_Verbräuche[[#This Row],[2026]],"&gt;0")&gt;0,), AVERAGEIF($F105:Refsz_Verbräuche[[#This Row],[2026]],"&lt;&gt;"""), ""),IF(Startseite!$D$68=(Refsz_Verbräuche[[#Headers],[2027]]-1),Refsz_Verbräuche[[#This Row],[2026]],IF(Startseite!$D$68&lt;Refsz_Verbräuche[[#Headers],[2027]],Refsz_Verbräuche[[#This Row],[2026]],"")))</f>
        <v/>
      </c>
      <c r="S105" s="110" t="str">
        <f>IF(Refsz_Verbräuche[[#Headers],[2028]]=Startseite!$D$68,IF(OR(SUMIF($F105:Refsz_Verbräuche[[#This Row],[2027]],"&gt;0")&gt;0,), AVERAGEIF($F105:Refsz_Verbräuche[[#This Row],[2027]],"&lt;&gt;"""), ""),IF(Startseite!$D$68=(Refsz_Verbräuche[[#Headers],[2028]]-1),Refsz_Verbräuche[[#This Row],[2027]],IF(Startseite!$D$68&lt;Refsz_Verbräuche[[#Headers],[2028]],Refsz_Verbräuche[[#This Row],[2027]],"")))</f>
        <v/>
      </c>
      <c r="T105" s="110" t="str">
        <f>IF(Refsz_Verbräuche[[#Headers],[2029]]=Startseite!$D$68,IF(OR(SUMIF($F105:Refsz_Verbräuche[[#This Row],[2028]],"&gt;0")&gt;0,), AVERAGEIF($F105:Refsz_Verbräuche[[#This Row],[2028]],"&lt;&gt;"""), ""),IF(Startseite!$D$68=(Refsz_Verbräuche[[#Headers],[2029]]-1),Refsz_Verbräuche[[#This Row],[2028]],IF(Startseite!$D$68&lt;Refsz_Verbräuche[[#Headers],[2029]],Refsz_Verbräuche[[#This Row],[2028]],"")))</f>
        <v/>
      </c>
      <c r="U105" s="110" t="str">
        <f>IF(Refsz_Verbräuche[[#Headers],[2030]]=Startseite!$D$68,IF(OR(SUMIF($F105:Refsz_Verbräuche[[#This Row],[2029]],"&gt;0")&gt;0,), AVERAGEIF($F105:Refsz_Verbräuche[[#This Row],[2029]],"&lt;&gt;"""), ""),IF(Startseite!$D$68=(Refsz_Verbräuche[[#Headers],[2030]]-1),Refsz_Verbräuche[[#This Row],[2029]],IF(Startseite!$D$68&lt;Refsz_Verbräuche[[#Headers],[2030]],Refsz_Verbräuche[[#This Row],[2029]],"")))</f>
        <v/>
      </c>
      <c r="V105" s="110" t="str">
        <f>IF(Refsz_Verbräuche[[#Headers],[2035]]=Startseite!$D$68,IF(OR(SUMIF($F105:Refsz_Verbräuche[[#This Row],[2030]],"&gt;0")&gt;0,), AVERAGEIF($F105:Refsz_Verbräuche[[#This Row],[2030]],"&lt;&gt;"""), ""),IF(Startseite!$D$68=(Refsz_Verbräuche[[#Headers],[2035]]-1),Refsz_Verbräuche[[#This Row],[2030]],IF(Startseite!$D$68&lt;Refsz_Verbräuche[[#Headers],[2035]],Refsz_Verbräuche[[#This Row],[2030]],"")))</f>
        <v/>
      </c>
      <c r="W105" s="110" t="str">
        <f>IF(Refsz_Verbräuche[[#Headers],[2040]]=Startseite!$D$68,IF(OR(SUMIF($F105:Refsz_Verbräuche[[#This Row],[2035]],"&gt;0")&gt;0,), AVERAGEIF($F105:Refsz_Verbräuche[[#This Row],[2035]],"&lt;&gt;"""), ""),IF(Startseite!$D$68=(Refsz_Verbräuche[[#Headers],[2040]]-1),Refsz_Verbräuche[[#This Row],[2035]],IF(Startseite!$D$68&lt;Refsz_Verbräuche[[#Headers],[2040]],Refsz_Verbräuche[[#This Row],[2035]],"")))</f>
        <v/>
      </c>
      <c r="X105" s="110" t="str">
        <f>IF(Refsz_Verbräuche[[#Headers],[2045]]=Startseite!$D$68,IF(OR(SUMIF($F105:Refsz_Verbräuche[[#This Row],[2040]],"&gt;0")&gt;0,), AVERAGEIF($F105:Refsz_Verbräuche[[#This Row],[2040]],"&lt;&gt;"""), ""),IF(Startseite!$D$68=(Refsz_Verbräuche[[#Headers],[2045]]-1),Refsz_Verbräuche[[#This Row],[2040]],IF(Startseite!$D$68&lt;Refsz_Verbräuche[[#Headers],[2045]],Refsz_Verbräuche[[#This Row],[2040]],"")))</f>
        <v/>
      </c>
      <c r="Y105" s="110" t="str">
        <f>IF(Refsz_Verbräuche[[#Headers],[2050]]=Startseite!$D$68,IF(OR(SUMIF($F105:Refsz_Verbräuche[[#This Row],[2045]],"&gt;0")&gt;0,), AVERAGEIF($F105:Refsz_Verbräuche[[#This Row],[2045]],"&lt;&gt;"""), ""),IF(Startseite!$D$68=(Refsz_Verbräuche[[#Headers],[2050]]-1),Refsz_Verbräuche[[#This Row],[2045]],IF(Startseite!$D$68&lt;Refsz_Verbräuche[[#Headers],[2050]],Refsz_Verbräuche[[#This Row],[2045]],"")))</f>
        <v/>
      </c>
      <c r="AA105" s="14"/>
    </row>
    <row r="106" spans="2:27">
      <c r="B106" s="14">
        <v>89</v>
      </c>
      <c r="C106" s="14" t="s">
        <v>516</v>
      </c>
      <c r="D106" s="35" t="s">
        <v>21</v>
      </c>
      <c r="E106" t="s">
        <v>44</v>
      </c>
      <c r="F106" s="110" t="str">
        <f>Umrechnen!D55</f>
        <v/>
      </c>
      <c r="G106" s="110" t="str">
        <f>Umrechnen!E55</f>
        <v/>
      </c>
      <c r="H106" s="110" t="str">
        <f>Umrechnen!F55</f>
        <v/>
      </c>
      <c r="I106" s="110" t="str">
        <f>Umrechnen!G55</f>
        <v/>
      </c>
      <c r="J106" s="110" t="str">
        <f>Umrechnen!H55</f>
        <v/>
      </c>
      <c r="K106" s="110" t="str">
        <f>Umrechnen!I55</f>
        <v/>
      </c>
      <c r="L106" s="110" t="str">
        <f>Umrechnen!J55</f>
        <v/>
      </c>
      <c r="M106" s="110" t="str">
        <f>IF(Refsz_Verbräuche[[#Headers],[2022]]=Startseite!$D$68,IF(OR(SUMIF($F106:Refsz_Verbräuche[[#This Row],[2021]],"&gt;0")&gt;0,), AVERAGEIF($F106:Refsz_Verbräuche[[#This Row],[2021]],"&lt;&gt;"""), ""),IF(Startseite!$D$68=(Refsz_Verbräuche[[#Headers],[2022]]-1),Refsz_Verbräuche[[#This Row],[2021]],IF(Startseite!$D$68&lt;Refsz_Verbräuche[[#Headers],[2022]],Refsz_Verbräuche[[#This Row],[2021]],Umrechnen!K55)))</f>
        <v/>
      </c>
      <c r="N106" s="110" t="str">
        <f>IF(Refsz_Verbräuche[[#Headers],[2023]]=Startseite!$D$68,IF(OR(SUMIF($F106:Refsz_Verbräuche[[#This Row],[2022]],"&gt;0")&gt;0,), AVERAGEIF($F106:Refsz_Verbräuche[[#This Row],[2022]],"&lt;&gt;"""), ""),IF(Startseite!$D$68=(Refsz_Verbräuche[[#Headers],[2023]]-1),Refsz_Verbräuche[[#This Row],[2022]],IF(Startseite!$D$68&lt;Refsz_Verbräuche[[#Headers],[2023]],Refsz_Verbräuche[[#This Row],[2022]],Umrechnen!L55)))</f>
        <v/>
      </c>
      <c r="O106" s="110" t="str">
        <f>IF(Refsz_Verbräuche[[#Headers],[2024]]=Startseite!$D$68,IF(OR(SUMIF($F106:Refsz_Verbräuche[[#This Row],[2023]],"&gt;0")&gt;0,), AVERAGEIF($F106:Refsz_Verbräuche[[#This Row],[2023]],"&lt;&gt;"""), ""),IF(Startseite!$D$68=(Refsz_Verbräuche[[#Headers],[2024]]-1),Refsz_Verbräuche[[#This Row],[2023]],IF(Startseite!$D$68&lt;Refsz_Verbräuche[[#Headers],[2024]],Refsz_Verbräuche[[#This Row],[2023]],Umrechnen!M55)))</f>
        <v/>
      </c>
      <c r="P106" s="110" t="str">
        <f>IF(Refsz_Verbräuche[[#Headers],[2025]]=Startseite!$D$68,IF(OR(SUMIF($F106:Refsz_Verbräuche[[#This Row],[2024]],"&gt;0")&gt;0,), AVERAGEIF($F106:Refsz_Verbräuche[[#This Row],[2024]],"&lt;&gt;"""), ""),IF(Startseite!$D$68=(Refsz_Verbräuche[[#Headers],[2025]]-1),Refsz_Verbräuche[[#This Row],[2024]],IF(Startseite!$D$68&lt;Refsz_Verbräuche[[#Headers],[2025]],Refsz_Verbräuche[[#This Row],[2024]],Umrechnen!N55)))</f>
        <v/>
      </c>
      <c r="Q106" s="110" t="str">
        <f>IF(Refsz_Verbräuche[[#Headers],[2026]]=Startseite!$D$68,IF(OR(SUMIF($F106:Refsz_Verbräuche[[#This Row],[2025]],"&gt;0")&gt;0,), AVERAGEIF($F106:Refsz_Verbräuche[[#This Row],[2025]],"&lt;&gt;"""), ""),IF(Startseite!$D$68=(Refsz_Verbräuche[[#Headers],[2026]]-1),Refsz_Verbräuche[[#This Row],[2025]],IF(Startseite!$D$68&lt;Refsz_Verbräuche[[#Headers],[2026]],Refsz_Verbräuche[[#This Row],[2025]],Umrechnen!O55)))</f>
        <v/>
      </c>
      <c r="R106" s="110" t="str">
        <f>IF(Refsz_Verbräuche[[#Headers],[2027]]=Startseite!$D$68,IF(OR(SUMIF($F106:Refsz_Verbräuche[[#This Row],[2026]],"&gt;0")&gt;0,), AVERAGEIF($F106:Refsz_Verbräuche[[#This Row],[2026]],"&lt;&gt;"""), ""),IF(Startseite!$D$68=(Refsz_Verbräuche[[#Headers],[2027]]-1),Refsz_Verbräuche[[#This Row],[2026]],IF(Startseite!$D$68&lt;Refsz_Verbräuche[[#Headers],[2027]],Refsz_Verbräuche[[#This Row],[2026]],Umrechnen!P55)))</f>
        <v/>
      </c>
      <c r="S106" s="110" t="str">
        <f>IF(Refsz_Verbräuche[[#Headers],[2028]]=Startseite!$D$68,IF(OR(SUMIF($F106:Refsz_Verbräuche[[#This Row],[2027]],"&gt;0")&gt;0,), AVERAGEIF($F106:Refsz_Verbräuche[[#This Row],[2027]],"&lt;&gt;"""), ""),IF(Startseite!$D$68=(Refsz_Verbräuche[[#Headers],[2028]]-1),Refsz_Verbräuche[[#This Row],[2027]],IF(Startseite!$D$68&lt;Refsz_Verbräuche[[#Headers],[2028]],Refsz_Verbräuche[[#This Row],[2027]],Umrechnen!Q55)))</f>
        <v/>
      </c>
      <c r="T106" s="110" t="str">
        <f>IF(Refsz_Verbräuche[[#Headers],[2029]]=Startseite!$D$68,IF(OR(SUMIF($F106:Refsz_Verbräuche[[#This Row],[2028]],"&gt;0")&gt;0,), AVERAGEIF($F106:Refsz_Verbräuche[[#This Row],[2028]],"&lt;&gt;"""), ""),IF(Startseite!$D$68=(Refsz_Verbräuche[[#Headers],[2029]]-1),Refsz_Verbräuche[[#This Row],[2028]],IF(Startseite!$D$68&lt;Refsz_Verbräuche[[#Headers],[2029]],Refsz_Verbräuche[[#This Row],[2028]],Umrechnen!R55)))</f>
        <v/>
      </c>
      <c r="U106" s="110" t="str">
        <f>IF(Refsz_Verbräuche[[#Headers],[2030]]=Startseite!$D$68,IF(OR(SUMIF($F106:Refsz_Verbräuche[[#This Row],[2029]],"&gt;0")&gt;0,), AVERAGEIF($F106:Refsz_Verbräuche[[#This Row],[2029]],"&lt;&gt;"""), ""),IF(Startseite!$D$68=(Refsz_Verbräuche[[#Headers],[2030]]-1),Refsz_Verbräuche[[#This Row],[2029]],IF(Startseite!$D$68&lt;Refsz_Verbräuche[[#Headers],[2030]],Refsz_Verbräuche[[#This Row],[2029]],Umrechnen!S55)))</f>
        <v/>
      </c>
      <c r="V106" s="110" t="str">
        <f>IF(Refsz_Verbräuche[[#Headers],[2035]]=Startseite!$D$68,IF(OR(SUMIF($F106:Refsz_Verbräuche[[#This Row],[2030]],"&gt;0")&gt;0,), AVERAGEIF($F106:Refsz_Verbräuche[[#This Row],[2030]],"&lt;&gt;"""), ""),IF(Startseite!$D$68=(Refsz_Verbräuche[[#Headers],[2035]]-1),Refsz_Verbräuche[[#This Row],[2030]],IF(Startseite!$D$68&lt;Refsz_Verbräuche[[#Headers],[2035]],Refsz_Verbräuche[[#This Row],[2030]],Umrechnen!T55)))</f>
        <v/>
      </c>
      <c r="W106" s="110" t="str">
        <f>IF(Refsz_Verbräuche[[#Headers],[2040]]=Startseite!$D$68,IF(OR(SUMIF($F106:Refsz_Verbräuche[[#This Row],[2035]],"&gt;0")&gt;0,), AVERAGEIF($F106:Refsz_Verbräuche[[#This Row],[2035]],"&lt;&gt;"""), ""),IF(Startseite!$D$68=(Refsz_Verbräuche[[#Headers],[2040]]-1),Refsz_Verbräuche[[#This Row],[2035]],IF(Startseite!$D$68&lt;Refsz_Verbräuche[[#Headers],[2040]],Refsz_Verbräuche[[#This Row],[2035]],Umrechnen!U55)))</f>
        <v/>
      </c>
      <c r="X106" s="110" t="str">
        <f>IF(Refsz_Verbräuche[[#Headers],[2045]]=Startseite!$D$68,IF(OR(SUMIF($F106:Refsz_Verbräuche[[#This Row],[2040]],"&gt;0")&gt;0,), AVERAGEIF($F106:Refsz_Verbräuche[[#This Row],[2040]],"&lt;&gt;"""), ""),IF(Startseite!$D$68=(Refsz_Verbräuche[[#Headers],[2045]]-1),Refsz_Verbräuche[[#This Row],[2040]],IF(Startseite!$D$68&lt;Refsz_Verbräuche[[#Headers],[2045]],Refsz_Verbräuche[[#This Row],[2040]],Umrechnen!V55)))</f>
        <v/>
      </c>
      <c r="Y106" s="110" t="str">
        <f>IF(Refsz_Verbräuche[[#Headers],[2050]]=Startseite!$D$68,IF(OR(SUMIF($F106:Refsz_Verbräuche[[#This Row],[2045]],"&gt;0")&gt;0,), AVERAGEIF($F106:Refsz_Verbräuche[[#This Row],[2045]],"&lt;&gt;"""), ""),IF(Startseite!$D$68=(Refsz_Verbräuche[[#Headers],[2050]]-1),Refsz_Verbräuche[[#This Row],[2045]],IF(Startseite!$D$68&lt;Refsz_Verbräuche[[#Headers],[2050]],Refsz_Verbräuche[[#This Row],[2045]],Umrechnen!W55)))</f>
        <v/>
      </c>
      <c r="AA106" s="14"/>
    </row>
    <row r="107" spans="2:27">
      <c r="B107" s="14">
        <v>90</v>
      </c>
      <c r="C107" s="14" t="s">
        <v>516</v>
      </c>
      <c r="D107" s="35" t="s">
        <v>23</v>
      </c>
      <c r="E107" t="s">
        <v>44</v>
      </c>
      <c r="F107" s="110" t="str">
        <f>Umrechnen!D54</f>
        <v/>
      </c>
      <c r="G107" s="110" t="str">
        <f>Umrechnen!E54</f>
        <v/>
      </c>
      <c r="H107" s="110" t="str">
        <f>Umrechnen!F54</f>
        <v/>
      </c>
      <c r="I107" s="110" t="str">
        <f>Umrechnen!G54</f>
        <v/>
      </c>
      <c r="J107" s="110" t="str">
        <f>Umrechnen!H54</f>
        <v/>
      </c>
      <c r="K107" s="110" t="str">
        <f>Umrechnen!I54</f>
        <v/>
      </c>
      <c r="L107" s="110" t="str">
        <f>Umrechnen!J54</f>
        <v/>
      </c>
      <c r="M107" s="110" t="str">
        <f>IF(Refsz_Verbräuche[[#Headers],[2022]]=Startseite!$D$68,IF(OR(SUMIF($F107:Refsz_Verbräuche[[#This Row],[2021]],"&gt;0")&gt;0,), AVERAGEIF($F107:Refsz_Verbräuche[[#This Row],[2021]],"&lt;&gt;"""), ""),IF(Startseite!$D$68=(Refsz_Verbräuche[[#Headers],[2022]]-1),Refsz_Verbräuche[[#This Row],[2021]],IF(Startseite!$D$68&lt;Refsz_Verbräuche[[#Headers],[2022]],Refsz_Verbräuche[[#This Row],[2021]],Umrechnen!K54)))</f>
        <v/>
      </c>
      <c r="N107" s="110" t="str">
        <f>IF(Refsz_Verbräuche[[#Headers],[2023]]=Startseite!$D$68,IF(OR(SUMIF($F107:Refsz_Verbräuche[[#This Row],[2022]],"&gt;0")&gt;0,), AVERAGEIF($F107:Refsz_Verbräuche[[#This Row],[2022]],"&lt;&gt;"""), ""),IF(Startseite!$D$68=(Refsz_Verbräuche[[#Headers],[2023]]-1),Refsz_Verbräuche[[#This Row],[2022]],IF(Startseite!$D$68&lt;Refsz_Verbräuche[[#Headers],[2023]],Refsz_Verbräuche[[#This Row],[2022]],Umrechnen!L54)))</f>
        <v/>
      </c>
      <c r="O107" s="110" t="str">
        <f>IF(Refsz_Verbräuche[[#Headers],[2024]]=Startseite!$D$68,IF(OR(SUMIF($F107:Refsz_Verbräuche[[#This Row],[2023]],"&gt;0")&gt;0,), AVERAGEIF($F107:Refsz_Verbräuche[[#This Row],[2023]],"&lt;&gt;"""), ""),IF(Startseite!$D$68=(Refsz_Verbräuche[[#Headers],[2024]]-1),Refsz_Verbräuche[[#This Row],[2023]],IF(Startseite!$D$68&lt;Refsz_Verbräuche[[#Headers],[2024]],Refsz_Verbräuche[[#This Row],[2023]],Umrechnen!M54)))</f>
        <v/>
      </c>
      <c r="P107" s="110" t="str">
        <f>IF(Refsz_Verbräuche[[#Headers],[2025]]=Startseite!$D$68,IF(OR(SUMIF($F107:Refsz_Verbräuche[[#This Row],[2024]],"&gt;0")&gt;0,), AVERAGEIF($F107:Refsz_Verbräuche[[#This Row],[2024]],"&lt;&gt;"""), ""),IF(Startseite!$D$68=(Refsz_Verbräuche[[#Headers],[2025]]-1),Refsz_Verbräuche[[#This Row],[2024]],IF(Startseite!$D$68&lt;Refsz_Verbräuche[[#Headers],[2025]],Refsz_Verbräuche[[#This Row],[2024]],Umrechnen!N54)))</f>
        <v/>
      </c>
      <c r="Q107" s="110" t="str">
        <f>IF(Refsz_Verbräuche[[#Headers],[2026]]=Startseite!$D$68,IF(OR(SUMIF($F107:Refsz_Verbräuche[[#This Row],[2025]],"&gt;0")&gt;0,), AVERAGEIF($F107:Refsz_Verbräuche[[#This Row],[2025]],"&lt;&gt;"""), ""),IF(Startseite!$D$68=(Refsz_Verbräuche[[#Headers],[2026]]-1),Refsz_Verbräuche[[#This Row],[2025]],IF(Startseite!$D$68&lt;Refsz_Verbräuche[[#Headers],[2026]],Refsz_Verbräuche[[#This Row],[2025]],Umrechnen!O54)))</f>
        <v/>
      </c>
      <c r="R107" s="110" t="str">
        <f>IF(Refsz_Verbräuche[[#Headers],[2027]]=Startseite!$D$68,IF(OR(SUMIF($F107:Refsz_Verbräuche[[#This Row],[2026]],"&gt;0")&gt;0,), AVERAGEIF($F107:Refsz_Verbräuche[[#This Row],[2026]],"&lt;&gt;"""), ""),IF(Startseite!$D$68=(Refsz_Verbräuche[[#Headers],[2027]]-1),Refsz_Verbräuche[[#This Row],[2026]],IF(Startseite!$D$68&lt;Refsz_Verbräuche[[#Headers],[2027]],Refsz_Verbräuche[[#This Row],[2026]],Umrechnen!P54)))</f>
        <v/>
      </c>
      <c r="S107" s="110" t="str">
        <f>IF(Refsz_Verbräuche[[#Headers],[2028]]=Startseite!$D$68,IF(OR(SUMIF($F107:Refsz_Verbräuche[[#This Row],[2027]],"&gt;0")&gt;0,), AVERAGEIF($F107:Refsz_Verbräuche[[#This Row],[2027]],"&lt;&gt;"""), ""),IF(Startseite!$D$68=(Refsz_Verbräuche[[#Headers],[2028]]-1),Refsz_Verbräuche[[#This Row],[2027]],IF(Startseite!$D$68&lt;Refsz_Verbräuche[[#Headers],[2028]],Refsz_Verbräuche[[#This Row],[2027]],Umrechnen!Q54)))</f>
        <v/>
      </c>
      <c r="T107" s="110" t="str">
        <f>IF(Refsz_Verbräuche[[#Headers],[2029]]=Startseite!$D$68,IF(OR(SUMIF($F107:Refsz_Verbräuche[[#This Row],[2028]],"&gt;0")&gt;0,), AVERAGEIF($F107:Refsz_Verbräuche[[#This Row],[2028]],"&lt;&gt;"""), ""),IF(Startseite!$D$68=(Refsz_Verbräuche[[#Headers],[2029]]-1),Refsz_Verbräuche[[#This Row],[2028]],IF(Startseite!$D$68&lt;Refsz_Verbräuche[[#Headers],[2029]],Refsz_Verbräuche[[#This Row],[2028]],Umrechnen!R54)))</f>
        <v/>
      </c>
      <c r="U107" s="110" t="str">
        <f>IF(Refsz_Verbräuche[[#Headers],[2030]]=Startseite!$D$68,IF(OR(SUMIF($F107:Refsz_Verbräuche[[#This Row],[2029]],"&gt;0")&gt;0,), AVERAGEIF($F107:Refsz_Verbräuche[[#This Row],[2029]],"&lt;&gt;"""), ""),IF(Startseite!$D$68=(Refsz_Verbräuche[[#Headers],[2030]]-1),Refsz_Verbräuche[[#This Row],[2029]],IF(Startseite!$D$68&lt;Refsz_Verbräuche[[#Headers],[2030]],Refsz_Verbräuche[[#This Row],[2029]],Umrechnen!S54)))</f>
        <v/>
      </c>
      <c r="V107" s="110" t="str">
        <f>IF(Refsz_Verbräuche[[#Headers],[2035]]=Startseite!$D$68,IF(OR(SUMIF($F107:Refsz_Verbräuche[[#This Row],[2030]],"&gt;0")&gt;0,), AVERAGEIF($F107:Refsz_Verbräuche[[#This Row],[2030]],"&lt;&gt;"""), ""),IF(Startseite!$D$68=(Refsz_Verbräuche[[#Headers],[2035]]-1),Refsz_Verbräuche[[#This Row],[2030]],IF(Startseite!$D$68&lt;Refsz_Verbräuche[[#Headers],[2035]],Refsz_Verbräuche[[#This Row],[2030]],Umrechnen!T54)))</f>
        <v/>
      </c>
      <c r="W107" s="110" t="str">
        <f>IF(Refsz_Verbräuche[[#Headers],[2040]]=Startseite!$D$68,IF(OR(SUMIF($F107:Refsz_Verbräuche[[#This Row],[2035]],"&gt;0")&gt;0,), AVERAGEIF($F107:Refsz_Verbräuche[[#This Row],[2035]],"&lt;&gt;"""), ""),IF(Startseite!$D$68=(Refsz_Verbräuche[[#Headers],[2040]]-1),Refsz_Verbräuche[[#This Row],[2035]],IF(Startseite!$D$68&lt;Refsz_Verbräuche[[#Headers],[2040]],Refsz_Verbräuche[[#This Row],[2035]],Umrechnen!U54)))</f>
        <v/>
      </c>
      <c r="X107" s="110" t="str">
        <f>IF(Refsz_Verbräuche[[#Headers],[2045]]=Startseite!$D$68,IF(OR(SUMIF($F107:Refsz_Verbräuche[[#This Row],[2040]],"&gt;0")&gt;0,), AVERAGEIF($F107:Refsz_Verbräuche[[#This Row],[2040]],"&lt;&gt;"""), ""),IF(Startseite!$D$68=(Refsz_Verbräuche[[#Headers],[2045]]-1),Refsz_Verbräuche[[#This Row],[2040]],IF(Startseite!$D$68&lt;Refsz_Verbräuche[[#Headers],[2045]],Refsz_Verbräuche[[#This Row],[2040]],Umrechnen!V54)))</f>
        <v/>
      </c>
      <c r="Y107" s="110" t="str">
        <f>IF(Refsz_Verbräuche[[#Headers],[2050]]=Startseite!$D$68,IF(OR(SUMIF($F107:Refsz_Verbräuche[[#This Row],[2045]],"&gt;0")&gt;0,), AVERAGEIF($F107:Refsz_Verbräuche[[#This Row],[2045]],"&lt;&gt;"""), ""),IF(Startseite!$D$68=(Refsz_Verbräuche[[#Headers],[2050]]-1),Refsz_Verbräuche[[#This Row],[2045]],IF(Startseite!$D$68&lt;Refsz_Verbräuche[[#Headers],[2050]],Refsz_Verbräuche[[#This Row],[2045]],Umrechnen!W54)))</f>
        <v/>
      </c>
      <c r="AA107" s="14"/>
    </row>
    <row r="108" spans="2:27">
      <c r="B108" s="14">
        <v>91</v>
      </c>
      <c r="C108" s="14" t="s">
        <v>516</v>
      </c>
      <c r="D108" s="9" t="s">
        <v>58</v>
      </c>
      <c r="E108" t="s">
        <v>178</v>
      </c>
      <c r="F108" s="110"/>
      <c r="G108" s="110"/>
      <c r="H108" s="110"/>
      <c r="I108" s="110"/>
      <c r="J108" s="110"/>
      <c r="K108" s="110"/>
      <c r="L108" s="110"/>
      <c r="M108" s="110" t="str">
        <f>IF(Refsz_Verbräuche[[#Headers],[2022]]=Startseite!$D$68,IF(OR(SUMIF($F108:Refsz_Verbräuche[[#This Row],[2021]],"&gt;0")&gt;0,), AVERAGEIF($F108:Refsz_Verbräuche[[#This Row],[2021]],"&lt;&gt;"""), ""),IF(Startseite!$D$68=(Refsz_Verbräuche[[#Headers],[2022]]-1),Refsz_Verbräuche[[#This Row],[2021]],IF(Startseite!$D$68&lt;Refsz_Verbräuche[[#Headers],[2022]],Refsz_Verbräuche[[#This Row],[2021]],"")))</f>
        <v/>
      </c>
      <c r="N108" s="110" t="str">
        <f>IF(Refsz_Verbräuche[[#Headers],[2023]]=Startseite!$D$68,IF(OR(SUMIF($F108:Refsz_Verbräuche[[#This Row],[2022]],"&gt;0")&gt;0,), AVERAGEIF($F108:Refsz_Verbräuche[[#This Row],[2022]],"&lt;&gt;"""), ""),IF(Startseite!$D$68=(Refsz_Verbräuche[[#Headers],[2023]]-1),Refsz_Verbräuche[[#This Row],[2022]],IF(Startseite!$D$68&lt;Refsz_Verbräuche[[#Headers],[2023]],Refsz_Verbräuche[[#This Row],[2022]],"")))</f>
        <v/>
      </c>
      <c r="O108" s="110" t="str">
        <f>IF(Refsz_Verbräuche[[#Headers],[2024]]=Startseite!$D$68,IF(OR(SUMIF($F108:Refsz_Verbräuche[[#This Row],[2023]],"&gt;0")&gt;0,), AVERAGEIF($F108:Refsz_Verbräuche[[#This Row],[2023]],"&lt;&gt;"""), ""),IF(Startseite!$D$68=(Refsz_Verbräuche[[#Headers],[2024]]-1),Refsz_Verbräuche[[#This Row],[2023]],IF(Startseite!$D$68&lt;Refsz_Verbräuche[[#Headers],[2024]],Refsz_Verbräuche[[#This Row],[2023]],"")))</f>
        <v/>
      </c>
      <c r="P108" s="110" t="str">
        <f>IF(Refsz_Verbräuche[[#Headers],[2025]]=Startseite!$D$68,IF(OR(SUMIF($F108:Refsz_Verbräuche[[#This Row],[2024]],"&gt;0")&gt;0,), AVERAGEIF($F108:Refsz_Verbräuche[[#This Row],[2024]],"&lt;&gt;"""), ""),IF(Startseite!$D$68=(Refsz_Verbräuche[[#Headers],[2025]]-1),Refsz_Verbräuche[[#This Row],[2024]],IF(Startseite!$D$68&lt;Refsz_Verbräuche[[#Headers],[2025]],Refsz_Verbräuche[[#This Row],[2024]],"")))</f>
        <v/>
      </c>
      <c r="Q108" s="110" t="str">
        <f>IF(Refsz_Verbräuche[[#Headers],[2026]]=Startseite!$D$68,IF(OR(SUMIF($F108:Refsz_Verbräuche[[#This Row],[2025]],"&gt;0")&gt;0,), AVERAGEIF($F108:Refsz_Verbräuche[[#This Row],[2025]],"&lt;&gt;"""), ""),IF(Startseite!$D$68=(Refsz_Verbräuche[[#Headers],[2026]]-1),Refsz_Verbräuche[[#This Row],[2025]],IF(Startseite!$D$68&lt;Refsz_Verbräuche[[#Headers],[2026]],Refsz_Verbräuche[[#This Row],[2025]],"")))</f>
        <v/>
      </c>
      <c r="R108" s="110" t="str">
        <f>IF(Refsz_Verbräuche[[#Headers],[2027]]=Startseite!$D$68,IF(OR(SUMIF($F108:Refsz_Verbräuche[[#This Row],[2026]],"&gt;0")&gt;0,), AVERAGEIF($F108:Refsz_Verbräuche[[#This Row],[2026]],"&lt;&gt;"""), ""),IF(Startseite!$D$68=(Refsz_Verbräuche[[#Headers],[2027]]-1),Refsz_Verbräuche[[#This Row],[2026]],IF(Startseite!$D$68&lt;Refsz_Verbräuche[[#Headers],[2027]],Refsz_Verbräuche[[#This Row],[2026]],"")))</f>
        <v/>
      </c>
      <c r="S108" s="110" t="str">
        <f>IF(Refsz_Verbräuche[[#Headers],[2028]]=Startseite!$D$68,IF(OR(SUMIF($F108:Refsz_Verbräuche[[#This Row],[2027]],"&gt;0")&gt;0,), AVERAGEIF($F108:Refsz_Verbräuche[[#This Row],[2027]],"&lt;&gt;"""), ""),IF(Startseite!$D$68=(Refsz_Verbräuche[[#Headers],[2028]]-1),Refsz_Verbräuche[[#This Row],[2027]],IF(Startseite!$D$68&lt;Refsz_Verbräuche[[#Headers],[2028]],Refsz_Verbräuche[[#This Row],[2027]],"")))</f>
        <v/>
      </c>
      <c r="T108" s="110" t="str">
        <f>IF(Refsz_Verbräuche[[#Headers],[2029]]=Startseite!$D$68,IF(OR(SUMIF($F108:Refsz_Verbräuche[[#This Row],[2028]],"&gt;0")&gt;0,), AVERAGEIF($F108:Refsz_Verbräuche[[#This Row],[2028]],"&lt;&gt;"""), ""),IF(Startseite!$D$68=(Refsz_Verbräuche[[#Headers],[2029]]-1),Refsz_Verbräuche[[#This Row],[2028]],IF(Startseite!$D$68&lt;Refsz_Verbräuche[[#Headers],[2029]],Refsz_Verbräuche[[#This Row],[2028]],"")))</f>
        <v/>
      </c>
      <c r="U108" s="110" t="str">
        <f>IF(Refsz_Verbräuche[[#Headers],[2030]]=Startseite!$D$68,IF(OR(SUMIF($F108:Refsz_Verbräuche[[#This Row],[2029]],"&gt;0")&gt;0,), AVERAGEIF($F108:Refsz_Verbräuche[[#This Row],[2029]],"&lt;&gt;"""), ""),IF(Startseite!$D$68=(Refsz_Verbräuche[[#Headers],[2030]]-1),Refsz_Verbräuche[[#This Row],[2029]],IF(Startseite!$D$68&lt;Refsz_Verbräuche[[#Headers],[2030]],Refsz_Verbräuche[[#This Row],[2029]],"")))</f>
        <v/>
      </c>
      <c r="V108" s="110" t="str">
        <f>IF(Refsz_Verbräuche[[#Headers],[2035]]=Startseite!$D$68,IF(OR(SUMIF($F108:Refsz_Verbräuche[[#This Row],[2030]],"&gt;0")&gt;0,), AVERAGEIF($F108:Refsz_Verbräuche[[#This Row],[2030]],"&lt;&gt;"""), ""),IF(Startseite!$D$68=(Refsz_Verbräuche[[#Headers],[2035]]-1),Refsz_Verbräuche[[#This Row],[2030]],IF(Startseite!$D$68&lt;Refsz_Verbräuche[[#Headers],[2035]],Refsz_Verbräuche[[#This Row],[2030]],"")))</f>
        <v/>
      </c>
      <c r="W108" s="110" t="str">
        <f>IF(Refsz_Verbräuche[[#Headers],[2040]]=Startseite!$D$68,IF(OR(SUMIF($F108:Refsz_Verbräuche[[#This Row],[2035]],"&gt;0")&gt;0,), AVERAGEIF($F108:Refsz_Verbräuche[[#This Row],[2035]],"&lt;&gt;"""), ""),IF(Startseite!$D$68=(Refsz_Verbräuche[[#Headers],[2040]]-1),Refsz_Verbräuche[[#This Row],[2035]],IF(Startseite!$D$68&lt;Refsz_Verbräuche[[#Headers],[2040]],Refsz_Verbräuche[[#This Row],[2035]],"")))</f>
        <v/>
      </c>
      <c r="X108" s="110" t="str">
        <f>IF(Refsz_Verbräuche[[#Headers],[2045]]=Startseite!$D$68,IF(OR(SUMIF($F108:Refsz_Verbräuche[[#This Row],[2040]],"&gt;0")&gt;0,), AVERAGEIF($F108:Refsz_Verbräuche[[#This Row],[2040]],"&lt;&gt;"""), ""),IF(Startseite!$D$68=(Refsz_Verbräuche[[#Headers],[2045]]-1),Refsz_Verbräuche[[#This Row],[2040]],IF(Startseite!$D$68&lt;Refsz_Verbräuche[[#Headers],[2045]],Refsz_Verbräuche[[#This Row],[2040]],"")))</f>
        <v/>
      </c>
      <c r="Y108" s="110" t="str">
        <f>IF(Refsz_Verbräuche[[#Headers],[2050]]=Startseite!$D$68,IF(OR(SUMIF($F108:Refsz_Verbräuche[[#This Row],[2045]],"&gt;0")&gt;0,), AVERAGEIF($F108:Refsz_Verbräuche[[#This Row],[2045]],"&lt;&gt;"""), ""),IF(Startseite!$D$68=(Refsz_Verbräuche[[#Headers],[2050]]-1),Refsz_Verbräuche[[#This Row],[2045]],IF(Startseite!$D$68&lt;Refsz_Verbräuche[[#Headers],[2050]],Refsz_Verbräuche[[#This Row],[2045]],"")))</f>
        <v/>
      </c>
      <c r="AA108" s="14"/>
    </row>
    <row r="109" spans="2:27">
      <c r="B109" s="14">
        <v>92</v>
      </c>
      <c r="C109" s="14" t="s">
        <v>516</v>
      </c>
      <c r="D109" s="9" t="s">
        <v>59</v>
      </c>
      <c r="E109" t="s">
        <v>178</v>
      </c>
      <c r="F109" s="110"/>
      <c r="G109" s="110"/>
      <c r="H109" s="110"/>
      <c r="I109" s="110"/>
      <c r="J109" s="110"/>
      <c r="K109" s="110"/>
      <c r="L109" s="110"/>
      <c r="M109" s="110" t="str">
        <f>IF(Refsz_Verbräuche[[#Headers],[2022]]=Startseite!$D$68,IF(OR(SUMIF($F109:Refsz_Verbräuche[[#This Row],[2021]],"&gt;0")&gt;0,), AVERAGEIF($F109:Refsz_Verbräuche[[#This Row],[2021]],"&lt;&gt;"""), ""),IF(Startseite!$D$68=(Refsz_Verbräuche[[#Headers],[2022]]-1),Refsz_Verbräuche[[#This Row],[2021]],IF(Startseite!$D$68&lt;Refsz_Verbräuche[[#Headers],[2022]],Refsz_Verbräuche[[#This Row],[2021]],"")))</f>
        <v/>
      </c>
      <c r="N109" s="110" t="str">
        <f>IF(Refsz_Verbräuche[[#Headers],[2023]]=Startseite!$D$68,IF(OR(SUMIF($F109:Refsz_Verbräuche[[#This Row],[2022]],"&gt;0")&gt;0,), AVERAGEIF($F109:Refsz_Verbräuche[[#This Row],[2022]],"&lt;&gt;"""), ""),IF(Startseite!$D$68=(Refsz_Verbräuche[[#Headers],[2023]]-1),Refsz_Verbräuche[[#This Row],[2022]],IF(Startseite!$D$68&lt;Refsz_Verbräuche[[#Headers],[2023]],Refsz_Verbräuche[[#This Row],[2022]],"")))</f>
        <v/>
      </c>
      <c r="O109" s="110" t="str">
        <f>IF(Refsz_Verbräuche[[#Headers],[2024]]=Startseite!$D$68,IF(OR(SUMIF($F109:Refsz_Verbräuche[[#This Row],[2023]],"&gt;0")&gt;0,), AVERAGEIF($F109:Refsz_Verbräuche[[#This Row],[2023]],"&lt;&gt;"""), ""),IF(Startseite!$D$68=(Refsz_Verbräuche[[#Headers],[2024]]-1),Refsz_Verbräuche[[#This Row],[2023]],IF(Startseite!$D$68&lt;Refsz_Verbräuche[[#Headers],[2024]],Refsz_Verbräuche[[#This Row],[2023]],"")))</f>
        <v/>
      </c>
      <c r="P109" s="110" t="str">
        <f>IF(Refsz_Verbräuche[[#Headers],[2025]]=Startseite!$D$68,IF(OR(SUMIF($F109:Refsz_Verbräuche[[#This Row],[2024]],"&gt;0")&gt;0,), AVERAGEIF($F109:Refsz_Verbräuche[[#This Row],[2024]],"&lt;&gt;"""), ""),IF(Startseite!$D$68=(Refsz_Verbräuche[[#Headers],[2025]]-1),Refsz_Verbräuche[[#This Row],[2024]],IF(Startseite!$D$68&lt;Refsz_Verbräuche[[#Headers],[2025]],Refsz_Verbräuche[[#This Row],[2024]],"")))</f>
        <v/>
      </c>
      <c r="Q109" s="110" t="str">
        <f>IF(Refsz_Verbräuche[[#Headers],[2026]]=Startseite!$D$68,IF(OR(SUMIF($F109:Refsz_Verbräuche[[#This Row],[2025]],"&gt;0")&gt;0,), AVERAGEIF($F109:Refsz_Verbräuche[[#This Row],[2025]],"&lt;&gt;"""), ""),IF(Startseite!$D$68=(Refsz_Verbräuche[[#Headers],[2026]]-1),Refsz_Verbräuche[[#This Row],[2025]],IF(Startseite!$D$68&lt;Refsz_Verbräuche[[#Headers],[2026]],Refsz_Verbräuche[[#This Row],[2025]],"")))</f>
        <v/>
      </c>
      <c r="R109" s="110" t="str">
        <f>IF(Refsz_Verbräuche[[#Headers],[2027]]=Startseite!$D$68,IF(OR(SUMIF($F109:Refsz_Verbräuche[[#This Row],[2026]],"&gt;0")&gt;0,), AVERAGEIF($F109:Refsz_Verbräuche[[#This Row],[2026]],"&lt;&gt;"""), ""),IF(Startseite!$D$68=(Refsz_Verbräuche[[#Headers],[2027]]-1),Refsz_Verbräuche[[#This Row],[2026]],IF(Startseite!$D$68&lt;Refsz_Verbräuche[[#Headers],[2027]],Refsz_Verbräuche[[#This Row],[2026]],"")))</f>
        <v/>
      </c>
      <c r="S109" s="110" t="str">
        <f>IF(Refsz_Verbräuche[[#Headers],[2028]]=Startseite!$D$68,IF(OR(SUMIF($F109:Refsz_Verbräuche[[#This Row],[2027]],"&gt;0")&gt;0,), AVERAGEIF($F109:Refsz_Verbräuche[[#This Row],[2027]],"&lt;&gt;"""), ""),IF(Startseite!$D$68=(Refsz_Verbräuche[[#Headers],[2028]]-1),Refsz_Verbräuche[[#This Row],[2027]],IF(Startseite!$D$68&lt;Refsz_Verbräuche[[#Headers],[2028]],Refsz_Verbräuche[[#This Row],[2027]],"")))</f>
        <v/>
      </c>
      <c r="T109" s="110" t="str">
        <f>IF(Refsz_Verbräuche[[#Headers],[2029]]=Startseite!$D$68,IF(OR(SUMIF($F109:Refsz_Verbräuche[[#This Row],[2028]],"&gt;0")&gt;0,), AVERAGEIF($F109:Refsz_Verbräuche[[#This Row],[2028]],"&lt;&gt;"""), ""),IF(Startseite!$D$68=(Refsz_Verbräuche[[#Headers],[2029]]-1),Refsz_Verbräuche[[#This Row],[2028]],IF(Startseite!$D$68&lt;Refsz_Verbräuche[[#Headers],[2029]],Refsz_Verbräuche[[#This Row],[2028]],"")))</f>
        <v/>
      </c>
      <c r="U109" s="110" t="str">
        <f>IF(Refsz_Verbräuche[[#Headers],[2030]]=Startseite!$D$68,IF(OR(SUMIF($F109:Refsz_Verbräuche[[#This Row],[2029]],"&gt;0")&gt;0,), AVERAGEIF($F109:Refsz_Verbräuche[[#This Row],[2029]],"&lt;&gt;"""), ""),IF(Startseite!$D$68=(Refsz_Verbräuche[[#Headers],[2030]]-1),Refsz_Verbräuche[[#This Row],[2029]],IF(Startseite!$D$68&lt;Refsz_Verbräuche[[#Headers],[2030]],Refsz_Verbräuche[[#This Row],[2029]],"")))</f>
        <v/>
      </c>
      <c r="V109" s="110" t="str">
        <f>IF(Refsz_Verbräuche[[#Headers],[2035]]=Startseite!$D$68,IF(OR(SUMIF($F109:Refsz_Verbräuche[[#This Row],[2030]],"&gt;0")&gt;0,), AVERAGEIF($F109:Refsz_Verbräuche[[#This Row],[2030]],"&lt;&gt;"""), ""),IF(Startseite!$D$68=(Refsz_Verbräuche[[#Headers],[2035]]-1),Refsz_Verbräuche[[#This Row],[2030]],IF(Startseite!$D$68&lt;Refsz_Verbräuche[[#Headers],[2035]],Refsz_Verbräuche[[#This Row],[2030]],"")))</f>
        <v/>
      </c>
      <c r="W109" s="110" t="str">
        <f>IF(Refsz_Verbräuche[[#Headers],[2040]]=Startseite!$D$68,IF(OR(SUMIF($F109:Refsz_Verbräuche[[#This Row],[2035]],"&gt;0")&gt;0,), AVERAGEIF($F109:Refsz_Verbräuche[[#This Row],[2035]],"&lt;&gt;"""), ""),IF(Startseite!$D$68=(Refsz_Verbräuche[[#Headers],[2040]]-1),Refsz_Verbräuche[[#This Row],[2035]],IF(Startseite!$D$68&lt;Refsz_Verbräuche[[#Headers],[2040]],Refsz_Verbräuche[[#This Row],[2035]],"")))</f>
        <v/>
      </c>
      <c r="X109" s="110" t="str">
        <f>IF(Refsz_Verbräuche[[#Headers],[2045]]=Startseite!$D$68,IF(OR(SUMIF($F109:Refsz_Verbräuche[[#This Row],[2040]],"&gt;0")&gt;0,), AVERAGEIF($F109:Refsz_Verbräuche[[#This Row],[2040]],"&lt;&gt;"""), ""),IF(Startseite!$D$68=(Refsz_Verbräuche[[#Headers],[2045]]-1),Refsz_Verbräuche[[#This Row],[2040]],IF(Startseite!$D$68&lt;Refsz_Verbräuche[[#Headers],[2045]],Refsz_Verbräuche[[#This Row],[2040]],"")))</f>
        <v/>
      </c>
      <c r="Y109" s="110" t="str">
        <f>IF(Refsz_Verbräuche[[#Headers],[2050]]=Startseite!$D$68,IF(OR(SUMIF($F109:Refsz_Verbräuche[[#This Row],[2045]],"&gt;0")&gt;0,), AVERAGEIF($F109:Refsz_Verbräuche[[#This Row],[2045]],"&lt;&gt;"""), ""),IF(Startseite!$D$68=(Refsz_Verbräuche[[#Headers],[2050]]-1),Refsz_Verbräuche[[#This Row],[2045]],IF(Startseite!$D$68&lt;Refsz_Verbräuche[[#Headers],[2050]],Refsz_Verbräuche[[#This Row],[2045]],"")))</f>
        <v/>
      </c>
      <c r="AA109" s="14"/>
    </row>
    <row r="110" spans="2:27">
      <c r="B110" s="14">
        <v>93</v>
      </c>
      <c r="C110" s="14"/>
      <c r="D110" s="9"/>
      <c r="E110" s="9"/>
      <c r="F110" s="110"/>
      <c r="G110" s="110"/>
      <c r="H110" s="110"/>
      <c r="I110" s="110"/>
      <c r="J110" s="110"/>
      <c r="K110" s="110"/>
      <c r="L110" s="110"/>
      <c r="M110" s="110" t="str">
        <f>IF(Refsz_Verbräuche[[#Headers],[2022]]=Startseite!$D$68,IF(OR(SUMIF($F110:Refsz_Verbräuche[[#This Row],[2021]],"&gt;0")&gt;0,), AVERAGEIF($F110:Refsz_Verbräuche[[#This Row],[2021]],"&lt;&gt;"""), ""),IF(Startseite!$D$68=(Refsz_Verbräuche[[#Headers],[2022]]-1),Refsz_Verbräuche[[#This Row],[2021]],IF(Startseite!$D$68&lt;Refsz_Verbräuche[[#Headers],[2022]],Refsz_Verbräuche[[#This Row],[2021]],"")))</f>
        <v/>
      </c>
      <c r="N110" s="110" t="str">
        <f>IF(Refsz_Verbräuche[[#Headers],[2023]]=Startseite!$D$68,IF(OR(SUMIF($F110:Refsz_Verbräuche[[#This Row],[2022]],"&gt;0")&gt;0,), AVERAGEIF($F110:Refsz_Verbräuche[[#This Row],[2022]],"&lt;&gt;"""), ""),IF(Startseite!$D$68=(Refsz_Verbräuche[[#Headers],[2023]]-1),Refsz_Verbräuche[[#This Row],[2022]],IF(Startseite!$D$68&lt;Refsz_Verbräuche[[#Headers],[2023]],Refsz_Verbräuche[[#This Row],[2022]],"")))</f>
        <v/>
      </c>
      <c r="O110" s="110" t="str">
        <f>IF(Refsz_Verbräuche[[#Headers],[2024]]=Startseite!$D$68,IF(OR(SUMIF($F110:Refsz_Verbräuche[[#This Row],[2023]],"&gt;0")&gt;0,), AVERAGEIF($F110:Refsz_Verbräuche[[#This Row],[2023]],"&lt;&gt;"""), ""),IF(Startseite!$D$68=(Refsz_Verbräuche[[#Headers],[2024]]-1),Refsz_Verbräuche[[#This Row],[2023]],IF(Startseite!$D$68&lt;Refsz_Verbräuche[[#Headers],[2024]],Refsz_Verbräuche[[#This Row],[2023]],"")))</f>
        <v/>
      </c>
      <c r="P110" s="110" t="str">
        <f>IF(Refsz_Verbräuche[[#Headers],[2025]]=Startseite!$D$68,IF(OR(SUMIF($F110:Refsz_Verbräuche[[#This Row],[2024]],"&gt;0")&gt;0,), AVERAGEIF($F110:Refsz_Verbräuche[[#This Row],[2024]],"&lt;&gt;"""), ""),IF(Startseite!$D$68=(Refsz_Verbräuche[[#Headers],[2025]]-1),Refsz_Verbräuche[[#This Row],[2024]],IF(Startseite!$D$68&lt;Refsz_Verbräuche[[#Headers],[2025]],Refsz_Verbräuche[[#This Row],[2024]],"")))</f>
        <v/>
      </c>
      <c r="Q110" s="110" t="str">
        <f>IF(Refsz_Verbräuche[[#Headers],[2026]]=Startseite!$D$68,IF(OR(SUMIF($F110:Refsz_Verbräuche[[#This Row],[2025]],"&gt;0")&gt;0,), AVERAGEIF($F110:Refsz_Verbräuche[[#This Row],[2025]],"&lt;&gt;"""), ""),IF(Startseite!$D$68=(Refsz_Verbräuche[[#Headers],[2026]]-1),Refsz_Verbräuche[[#This Row],[2025]],IF(Startseite!$D$68&lt;Refsz_Verbräuche[[#Headers],[2026]],Refsz_Verbräuche[[#This Row],[2025]],"")))</f>
        <v/>
      </c>
      <c r="R110" s="110" t="str">
        <f>IF(Refsz_Verbräuche[[#Headers],[2027]]=Startseite!$D$68,IF(OR(SUMIF($F110:Refsz_Verbräuche[[#This Row],[2026]],"&gt;0")&gt;0,), AVERAGEIF($F110:Refsz_Verbräuche[[#This Row],[2026]],"&lt;&gt;"""), ""),IF(Startseite!$D$68=(Refsz_Verbräuche[[#Headers],[2027]]-1),Refsz_Verbräuche[[#This Row],[2026]],IF(Startseite!$D$68&lt;Refsz_Verbräuche[[#Headers],[2027]],Refsz_Verbräuche[[#This Row],[2026]],"")))</f>
        <v/>
      </c>
      <c r="S110" s="110" t="str">
        <f>IF(Refsz_Verbräuche[[#Headers],[2028]]=Startseite!$D$68,IF(OR(SUMIF($F110:Refsz_Verbräuche[[#This Row],[2027]],"&gt;0")&gt;0,), AVERAGEIF($F110:Refsz_Verbräuche[[#This Row],[2027]],"&lt;&gt;"""), ""),IF(Startseite!$D$68=(Refsz_Verbräuche[[#Headers],[2028]]-1),Refsz_Verbräuche[[#This Row],[2027]],IF(Startseite!$D$68&lt;Refsz_Verbräuche[[#Headers],[2028]],Refsz_Verbräuche[[#This Row],[2027]],"")))</f>
        <v/>
      </c>
      <c r="T110" s="110" t="str">
        <f>IF(Refsz_Verbräuche[[#Headers],[2029]]=Startseite!$D$68,IF(OR(SUMIF($F110:Refsz_Verbräuche[[#This Row],[2028]],"&gt;0")&gt;0,), AVERAGEIF($F110:Refsz_Verbräuche[[#This Row],[2028]],"&lt;&gt;"""), ""),IF(Startseite!$D$68=(Refsz_Verbräuche[[#Headers],[2029]]-1),Refsz_Verbräuche[[#This Row],[2028]],IF(Startseite!$D$68&lt;Refsz_Verbräuche[[#Headers],[2029]],Refsz_Verbräuche[[#This Row],[2028]],"")))</f>
        <v/>
      </c>
      <c r="U110" s="110" t="str">
        <f>IF(Refsz_Verbräuche[[#Headers],[2030]]=Startseite!$D$68,IF(OR(SUMIF($F110:Refsz_Verbräuche[[#This Row],[2029]],"&gt;0")&gt;0,), AVERAGEIF($F110:Refsz_Verbräuche[[#This Row],[2029]],"&lt;&gt;"""), ""),IF(Startseite!$D$68=(Refsz_Verbräuche[[#Headers],[2030]]-1),Refsz_Verbräuche[[#This Row],[2029]],IF(Startseite!$D$68&lt;Refsz_Verbräuche[[#Headers],[2030]],Refsz_Verbräuche[[#This Row],[2029]],"")))</f>
        <v/>
      </c>
      <c r="V110" s="110" t="str">
        <f>IF(Refsz_Verbräuche[[#Headers],[2035]]=Startseite!$D$68,IF(OR(SUMIF($F110:Refsz_Verbräuche[[#This Row],[2030]],"&gt;0")&gt;0,), AVERAGEIF($F110:Refsz_Verbräuche[[#This Row],[2030]],"&lt;&gt;"""), ""),IF(Startseite!$D$68=(Refsz_Verbräuche[[#Headers],[2035]]-1),Refsz_Verbräuche[[#This Row],[2030]],IF(Startseite!$D$68&lt;Refsz_Verbräuche[[#Headers],[2035]],Refsz_Verbräuche[[#This Row],[2030]],"")))</f>
        <v/>
      </c>
      <c r="W110" s="110" t="str">
        <f>IF(Refsz_Verbräuche[[#Headers],[2040]]=Startseite!$D$68,IF(OR(SUMIF($F110:Refsz_Verbräuche[[#This Row],[2035]],"&gt;0")&gt;0,), AVERAGEIF($F110:Refsz_Verbräuche[[#This Row],[2035]],"&lt;&gt;"""), ""),IF(Startseite!$D$68=(Refsz_Verbräuche[[#Headers],[2040]]-1),Refsz_Verbräuche[[#This Row],[2035]],IF(Startseite!$D$68&lt;Refsz_Verbräuche[[#Headers],[2040]],Refsz_Verbräuche[[#This Row],[2035]],"")))</f>
        <v/>
      </c>
      <c r="X110" s="110" t="str">
        <f>IF(Refsz_Verbräuche[[#Headers],[2045]]=Startseite!$D$68,IF(OR(SUMIF($F110:Refsz_Verbräuche[[#This Row],[2040]],"&gt;0")&gt;0,), AVERAGEIF($F110:Refsz_Verbräuche[[#This Row],[2040]],"&lt;&gt;"""), ""),IF(Startseite!$D$68=(Refsz_Verbräuche[[#Headers],[2045]]-1),Refsz_Verbräuche[[#This Row],[2040]],IF(Startseite!$D$68&lt;Refsz_Verbräuche[[#Headers],[2045]],Refsz_Verbräuche[[#This Row],[2040]],"")))</f>
        <v/>
      </c>
      <c r="Y110" s="110" t="str">
        <f>IF(Refsz_Verbräuche[[#Headers],[2050]]=Startseite!$D$68,IF(OR(SUMIF($F110:Refsz_Verbräuche[[#This Row],[2045]],"&gt;0")&gt;0,), AVERAGEIF($F110:Refsz_Verbräuche[[#This Row],[2045]],"&lt;&gt;"""), ""),IF(Startseite!$D$68=(Refsz_Verbräuche[[#Headers],[2050]]-1),Refsz_Verbräuche[[#This Row],[2045]],IF(Startseite!$D$68&lt;Refsz_Verbräuche[[#Headers],[2050]],Refsz_Verbräuche[[#This Row],[2045]],"")))</f>
        <v/>
      </c>
      <c r="AA110" s="14"/>
    </row>
    <row r="111" spans="2:27">
      <c r="B111" s="14">
        <v>94</v>
      </c>
      <c r="C111" s="14" t="s">
        <v>516</v>
      </c>
      <c r="D111" s="9" t="s">
        <v>149</v>
      </c>
      <c r="E111" t="s">
        <v>179</v>
      </c>
      <c r="F111" s="110"/>
      <c r="G111" s="110"/>
      <c r="H111" s="110"/>
      <c r="I111" s="110"/>
      <c r="J111" s="110"/>
      <c r="K111" s="110"/>
      <c r="L111" s="110"/>
      <c r="M111" s="110" t="str">
        <f>IF(Refsz_Verbräuche[[#Headers],[2022]]=Startseite!$D$68,IF(OR(SUMIF($F111:Refsz_Verbräuche[[#This Row],[2021]],"&gt;0")&gt;0,), AVERAGEIF($F111:Refsz_Verbräuche[[#This Row],[2021]],"&lt;&gt;"""), ""),IF(Startseite!$D$68=(Refsz_Verbräuche[[#Headers],[2022]]-1),Refsz_Verbräuche[[#This Row],[2021]],IF(Startseite!$D$68&lt;Refsz_Verbräuche[[#Headers],[2022]],Refsz_Verbräuche[[#This Row],[2021]],"")))</f>
        <v/>
      </c>
      <c r="N111" s="110" t="str">
        <f>IF(Refsz_Verbräuche[[#Headers],[2023]]=Startseite!$D$68,IF(OR(SUMIF($F111:Refsz_Verbräuche[[#This Row],[2022]],"&gt;0")&gt;0,), AVERAGEIF($F111:Refsz_Verbräuche[[#This Row],[2022]],"&lt;&gt;"""), ""),IF(Startseite!$D$68=(Refsz_Verbräuche[[#Headers],[2023]]-1),Refsz_Verbräuche[[#This Row],[2022]],IF(Startseite!$D$68&lt;Refsz_Verbräuche[[#Headers],[2023]],Refsz_Verbräuche[[#This Row],[2022]],"")))</f>
        <v/>
      </c>
      <c r="O111" s="110" t="str">
        <f>IF(Refsz_Verbräuche[[#Headers],[2024]]=Startseite!$D$68,IF(OR(SUMIF($F111:Refsz_Verbräuche[[#This Row],[2023]],"&gt;0")&gt;0,), AVERAGEIF($F111:Refsz_Verbräuche[[#This Row],[2023]],"&lt;&gt;"""), ""),IF(Startseite!$D$68=(Refsz_Verbräuche[[#Headers],[2024]]-1),Refsz_Verbräuche[[#This Row],[2023]],IF(Startseite!$D$68&lt;Refsz_Verbräuche[[#Headers],[2024]],Refsz_Verbräuche[[#This Row],[2023]],"")))</f>
        <v/>
      </c>
      <c r="P111" s="110" t="str">
        <f>IF(Refsz_Verbräuche[[#Headers],[2025]]=Startseite!$D$68,IF(OR(SUMIF($F111:Refsz_Verbräuche[[#This Row],[2024]],"&gt;0")&gt;0,), AVERAGEIF($F111:Refsz_Verbräuche[[#This Row],[2024]],"&lt;&gt;"""), ""),IF(Startseite!$D$68=(Refsz_Verbräuche[[#Headers],[2025]]-1),Refsz_Verbräuche[[#This Row],[2024]],IF(Startseite!$D$68&lt;Refsz_Verbräuche[[#Headers],[2025]],Refsz_Verbräuche[[#This Row],[2024]],"")))</f>
        <v/>
      </c>
      <c r="Q111" s="110" t="str">
        <f>IF(Refsz_Verbräuche[[#Headers],[2026]]=Startseite!$D$68,IF(OR(SUMIF($F111:Refsz_Verbräuche[[#This Row],[2025]],"&gt;0")&gt;0,), AVERAGEIF($F111:Refsz_Verbräuche[[#This Row],[2025]],"&lt;&gt;"""), ""),IF(Startseite!$D$68=(Refsz_Verbräuche[[#Headers],[2026]]-1),Refsz_Verbräuche[[#This Row],[2025]],IF(Startseite!$D$68&lt;Refsz_Verbräuche[[#Headers],[2026]],Refsz_Verbräuche[[#This Row],[2025]],"")))</f>
        <v/>
      </c>
      <c r="R111" s="110" t="str">
        <f>IF(Refsz_Verbräuche[[#Headers],[2027]]=Startseite!$D$68,IF(OR(SUMIF($F111:Refsz_Verbräuche[[#This Row],[2026]],"&gt;0")&gt;0,), AVERAGEIF($F111:Refsz_Verbräuche[[#This Row],[2026]],"&lt;&gt;"""), ""),IF(Startseite!$D$68=(Refsz_Verbräuche[[#Headers],[2027]]-1),Refsz_Verbräuche[[#This Row],[2026]],IF(Startseite!$D$68&lt;Refsz_Verbräuche[[#Headers],[2027]],Refsz_Verbräuche[[#This Row],[2026]],"")))</f>
        <v/>
      </c>
      <c r="S111" s="110" t="str">
        <f>IF(Refsz_Verbräuche[[#Headers],[2028]]=Startseite!$D$68,IF(OR(SUMIF($F111:Refsz_Verbräuche[[#This Row],[2027]],"&gt;0")&gt;0,), AVERAGEIF($F111:Refsz_Verbräuche[[#This Row],[2027]],"&lt;&gt;"""), ""),IF(Startseite!$D$68=(Refsz_Verbräuche[[#Headers],[2028]]-1),Refsz_Verbräuche[[#This Row],[2027]],IF(Startseite!$D$68&lt;Refsz_Verbräuche[[#Headers],[2028]],Refsz_Verbräuche[[#This Row],[2027]],"")))</f>
        <v/>
      </c>
      <c r="T111" s="110" t="str">
        <f>IF(Refsz_Verbräuche[[#Headers],[2029]]=Startseite!$D$68,IF(OR(SUMIF($F111:Refsz_Verbräuche[[#This Row],[2028]],"&gt;0")&gt;0,), AVERAGEIF($F111:Refsz_Verbräuche[[#This Row],[2028]],"&lt;&gt;"""), ""),IF(Startseite!$D$68=(Refsz_Verbräuche[[#Headers],[2029]]-1),Refsz_Verbräuche[[#This Row],[2028]],IF(Startseite!$D$68&lt;Refsz_Verbräuche[[#Headers],[2029]],Refsz_Verbräuche[[#This Row],[2028]],"")))</f>
        <v/>
      </c>
      <c r="U111" s="110" t="str">
        <f>IF(Refsz_Verbräuche[[#Headers],[2030]]=Startseite!$D$68,IF(OR(SUMIF($F111:Refsz_Verbräuche[[#This Row],[2029]],"&gt;0")&gt;0,), AVERAGEIF($F111:Refsz_Verbräuche[[#This Row],[2029]],"&lt;&gt;"""), ""),IF(Startseite!$D$68=(Refsz_Verbräuche[[#Headers],[2030]]-1),Refsz_Verbräuche[[#This Row],[2029]],IF(Startseite!$D$68&lt;Refsz_Verbräuche[[#Headers],[2030]],Refsz_Verbräuche[[#This Row],[2029]],"")))</f>
        <v/>
      </c>
      <c r="V111" s="110" t="str">
        <f>IF(Refsz_Verbräuche[[#Headers],[2035]]=Startseite!$D$68,IF(OR(SUMIF($F111:Refsz_Verbräuche[[#This Row],[2030]],"&gt;0")&gt;0,), AVERAGEIF($F111:Refsz_Verbräuche[[#This Row],[2030]],"&lt;&gt;"""), ""),IF(Startseite!$D$68=(Refsz_Verbräuche[[#Headers],[2035]]-1),Refsz_Verbräuche[[#This Row],[2030]],IF(Startseite!$D$68&lt;Refsz_Verbräuche[[#Headers],[2035]],Refsz_Verbräuche[[#This Row],[2030]],"")))</f>
        <v/>
      </c>
      <c r="W111" s="110" t="str">
        <f>IF(Refsz_Verbräuche[[#Headers],[2040]]=Startseite!$D$68,IF(OR(SUMIF($F111:Refsz_Verbräuche[[#This Row],[2035]],"&gt;0")&gt;0,), AVERAGEIF($F111:Refsz_Verbräuche[[#This Row],[2035]],"&lt;&gt;"""), ""),IF(Startseite!$D$68=(Refsz_Verbräuche[[#Headers],[2040]]-1),Refsz_Verbräuche[[#This Row],[2035]],IF(Startseite!$D$68&lt;Refsz_Verbräuche[[#Headers],[2040]],Refsz_Verbräuche[[#This Row],[2035]],"")))</f>
        <v/>
      </c>
      <c r="X111" s="110" t="str">
        <f>IF(Refsz_Verbräuche[[#Headers],[2045]]=Startseite!$D$68,IF(OR(SUMIF($F111:Refsz_Verbräuche[[#This Row],[2040]],"&gt;0")&gt;0,), AVERAGEIF($F111:Refsz_Verbräuche[[#This Row],[2040]],"&lt;&gt;"""), ""),IF(Startseite!$D$68=(Refsz_Verbräuche[[#Headers],[2045]]-1),Refsz_Verbräuche[[#This Row],[2040]],IF(Startseite!$D$68&lt;Refsz_Verbräuche[[#Headers],[2045]],Refsz_Verbräuche[[#This Row],[2040]],"")))</f>
        <v/>
      </c>
      <c r="Y111" s="110" t="str">
        <f>IF(Refsz_Verbräuche[[#Headers],[2050]]=Startseite!$D$68,IF(OR(SUMIF($F111:Refsz_Verbräuche[[#This Row],[2045]],"&gt;0")&gt;0,), AVERAGEIF($F111:Refsz_Verbräuche[[#This Row],[2045]],"&lt;&gt;"""), ""),IF(Startseite!$D$68=(Refsz_Verbräuche[[#Headers],[2050]]-1),Refsz_Verbräuche[[#This Row],[2045]],IF(Startseite!$D$68&lt;Refsz_Verbräuche[[#Headers],[2050]],Refsz_Verbräuche[[#This Row],[2045]],"")))</f>
        <v/>
      </c>
      <c r="AA111" s="14"/>
    </row>
    <row r="112" spans="2:27">
      <c r="B112" s="14">
        <v>95</v>
      </c>
      <c r="C112" s="14" t="s">
        <v>516</v>
      </c>
      <c r="D112" s="9" t="s">
        <v>54</v>
      </c>
      <c r="E112" t="s">
        <v>180</v>
      </c>
      <c r="F112" s="110"/>
      <c r="G112" s="110"/>
      <c r="H112" s="110"/>
      <c r="I112" s="110"/>
      <c r="J112" s="110"/>
      <c r="K112" s="110"/>
      <c r="L112" s="110"/>
      <c r="M112" s="110" t="str">
        <f>IF(Refsz_Verbräuche[[#Headers],[2022]]=Startseite!$D$68,IF(OR(SUMIF($F112:Refsz_Verbräuche[[#This Row],[2021]],"&gt;0")&gt;0,), AVERAGEIF($F112:Refsz_Verbräuche[[#This Row],[2021]],"&lt;&gt;"""), ""),IF(Startseite!$D$68=(Refsz_Verbräuche[[#Headers],[2022]]-1),Refsz_Verbräuche[[#This Row],[2021]],IF(Startseite!$D$68&lt;Refsz_Verbräuche[[#Headers],[2022]],Refsz_Verbräuche[[#This Row],[2021]],"")))</f>
        <v/>
      </c>
      <c r="N112" s="110" t="str">
        <f>IF(Refsz_Verbräuche[[#Headers],[2023]]=Startseite!$D$68,IF(OR(SUMIF($F112:Refsz_Verbräuche[[#This Row],[2022]],"&gt;0")&gt;0,), AVERAGEIF($F112:Refsz_Verbräuche[[#This Row],[2022]],"&lt;&gt;"""), ""),IF(Startseite!$D$68=(Refsz_Verbräuche[[#Headers],[2023]]-1),Refsz_Verbräuche[[#This Row],[2022]],IF(Startseite!$D$68&lt;Refsz_Verbräuche[[#Headers],[2023]],Refsz_Verbräuche[[#This Row],[2022]],"")))</f>
        <v/>
      </c>
      <c r="O112" s="110" t="str">
        <f>IF(Refsz_Verbräuche[[#Headers],[2024]]=Startseite!$D$68,IF(OR(SUMIF($F112:Refsz_Verbräuche[[#This Row],[2023]],"&gt;0")&gt;0,), AVERAGEIF($F112:Refsz_Verbräuche[[#This Row],[2023]],"&lt;&gt;"""), ""),IF(Startseite!$D$68=(Refsz_Verbräuche[[#Headers],[2024]]-1),Refsz_Verbräuche[[#This Row],[2023]],IF(Startseite!$D$68&lt;Refsz_Verbräuche[[#Headers],[2024]],Refsz_Verbräuche[[#This Row],[2023]],"")))</f>
        <v/>
      </c>
      <c r="P112" s="110" t="str">
        <f>IF(Refsz_Verbräuche[[#Headers],[2025]]=Startseite!$D$68,IF(OR(SUMIF($F112:Refsz_Verbräuche[[#This Row],[2024]],"&gt;0")&gt;0,), AVERAGEIF($F112:Refsz_Verbräuche[[#This Row],[2024]],"&lt;&gt;"""), ""),IF(Startseite!$D$68=(Refsz_Verbräuche[[#Headers],[2025]]-1),Refsz_Verbräuche[[#This Row],[2024]],IF(Startseite!$D$68&lt;Refsz_Verbräuche[[#Headers],[2025]],Refsz_Verbräuche[[#This Row],[2024]],"")))</f>
        <v/>
      </c>
      <c r="Q112" s="110" t="str">
        <f>IF(Refsz_Verbräuche[[#Headers],[2026]]=Startseite!$D$68,IF(OR(SUMIF($F112:Refsz_Verbräuche[[#This Row],[2025]],"&gt;0")&gt;0,), AVERAGEIF($F112:Refsz_Verbräuche[[#This Row],[2025]],"&lt;&gt;"""), ""),IF(Startseite!$D$68=(Refsz_Verbräuche[[#Headers],[2026]]-1),Refsz_Verbräuche[[#This Row],[2025]],IF(Startseite!$D$68&lt;Refsz_Verbräuche[[#Headers],[2026]],Refsz_Verbräuche[[#This Row],[2025]],"")))</f>
        <v/>
      </c>
      <c r="R112" s="110" t="str">
        <f>IF(Refsz_Verbräuche[[#Headers],[2027]]=Startseite!$D$68,IF(OR(SUMIF($F112:Refsz_Verbräuche[[#This Row],[2026]],"&gt;0")&gt;0,), AVERAGEIF($F112:Refsz_Verbräuche[[#This Row],[2026]],"&lt;&gt;"""), ""),IF(Startseite!$D$68=(Refsz_Verbräuche[[#Headers],[2027]]-1),Refsz_Verbräuche[[#This Row],[2026]],IF(Startseite!$D$68&lt;Refsz_Verbräuche[[#Headers],[2027]],Refsz_Verbräuche[[#This Row],[2026]],"")))</f>
        <v/>
      </c>
      <c r="S112" s="110" t="str">
        <f>IF(Refsz_Verbräuche[[#Headers],[2028]]=Startseite!$D$68,IF(OR(SUMIF($F112:Refsz_Verbräuche[[#This Row],[2027]],"&gt;0")&gt;0,), AVERAGEIF($F112:Refsz_Verbräuche[[#This Row],[2027]],"&lt;&gt;"""), ""),IF(Startseite!$D$68=(Refsz_Verbräuche[[#Headers],[2028]]-1),Refsz_Verbräuche[[#This Row],[2027]],IF(Startseite!$D$68&lt;Refsz_Verbräuche[[#Headers],[2028]],Refsz_Verbräuche[[#This Row],[2027]],"")))</f>
        <v/>
      </c>
      <c r="T112" s="110" t="str">
        <f>IF(Refsz_Verbräuche[[#Headers],[2029]]=Startseite!$D$68,IF(OR(SUMIF($F112:Refsz_Verbräuche[[#This Row],[2028]],"&gt;0")&gt;0,), AVERAGEIF($F112:Refsz_Verbräuche[[#This Row],[2028]],"&lt;&gt;"""), ""),IF(Startseite!$D$68=(Refsz_Verbräuche[[#Headers],[2029]]-1),Refsz_Verbräuche[[#This Row],[2028]],IF(Startseite!$D$68&lt;Refsz_Verbräuche[[#Headers],[2029]],Refsz_Verbräuche[[#This Row],[2028]],"")))</f>
        <v/>
      </c>
      <c r="U112" s="110" t="str">
        <f>IF(Refsz_Verbräuche[[#Headers],[2030]]=Startseite!$D$68,IF(OR(SUMIF($F112:Refsz_Verbräuche[[#This Row],[2029]],"&gt;0")&gt;0,), AVERAGEIF($F112:Refsz_Verbräuche[[#This Row],[2029]],"&lt;&gt;"""), ""),IF(Startseite!$D$68=(Refsz_Verbräuche[[#Headers],[2030]]-1),Refsz_Verbräuche[[#This Row],[2029]],IF(Startseite!$D$68&lt;Refsz_Verbräuche[[#Headers],[2030]],Refsz_Verbräuche[[#This Row],[2029]],"")))</f>
        <v/>
      </c>
      <c r="V112" s="110" t="str">
        <f>IF(Refsz_Verbräuche[[#Headers],[2035]]=Startseite!$D$68,IF(OR(SUMIF($F112:Refsz_Verbräuche[[#This Row],[2030]],"&gt;0")&gt;0,), AVERAGEIF($F112:Refsz_Verbräuche[[#This Row],[2030]],"&lt;&gt;"""), ""),IF(Startseite!$D$68=(Refsz_Verbräuche[[#Headers],[2035]]-1),Refsz_Verbräuche[[#This Row],[2030]],IF(Startseite!$D$68&lt;Refsz_Verbräuche[[#Headers],[2035]],Refsz_Verbräuche[[#This Row],[2030]],"")))</f>
        <v/>
      </c>
      <c r="W112" s="110" t="str">
        <f>IF(Refsz_Verbräuche[[#Headers],[2040]]=Startseite!$D$68,IF(OR(SUMIF($F112:Refsz_Verbräuche[[#This Row],[2035]],"&gt;0")&gt;0,), AVERAGEIF($F112:Refsz_Verbräuche[[#This Row],[2035]],"&lt;&gt;"""), ""),IF(Startseite!$D$68=(Refsz_Verbräuche[[#Headers],[2040]]-1),Refsz_Verbräuche[[#This Row],[2035]],IF(Startseite!$D$68&lt;Refsz_Verbräuche[[#Headers],[2040]],Refsz_Verbräuche[[#This Row],[2035]],"")))</f>
        <v/>
      </c>
      <c r="X112" s="110" t="str">
        <f>IF(Refsz_Verbräuche[[#Headers],[2045]]=Startseite!$D$68,IF(OR(SUMIF($F112:Refsz_Verbräuche[[#This Row],[2040]],"&gt;0")&gt;0,), AVERAGEIF($F112:Refsz_Verbräuche[[#This Row],[2040]],"&lt;&gt;"""), ""),IF(Startseite!$D$68=(Refsz_Verbräuche[[#Headers],[2045]]-1),Refsz_Verbräuche[[#This Row],[2040]],IF(Startseite!$D$68&lt;Refsz_Verbräuche[[#Headers],[2045]],Refsz_Verbräuche[[#This Row],[2040]],"")))</f>
        <v/>
      </c>
      <c r="Y112" s="110" t="str">
        <f>IF(Refsz_Verbräuche[[#Headers],[2050]]=Startseite!$D$68,IF(OR(SUMIF($F112:Refsz_Verbräuche[[#This Row],[2045]],"&gt;0")&gt;0,), AVERAGEIF($F112:Refsz_Verbräuche[[#This Row],[2045]],"&lt;&gt;"""), ""),IF(Startseite!$D$68=(Refsz_Verbräuche[[#Headers],[2050]]-1),Refsz_Verbräuche[[#This Row],[2045]],IF(Startseite!$D$68&lt;Refsz_Verbräuche[[#Headers],[2050]],Refsz_Verbräuche[[#This Row],[2045]],"")))</f>
        <v/>
      </c>
      <c r="AA112" s="14"/>
    </row>
    <row r="113" spans="2:27">
      <c r="B113" s="14">
        <v>96</v>
      </c>
      <c r="C113" s="14" t="s">
        <v>516</v>
      </c>
      <c r="D113" s="9" t="s">
        <v>57</v>
      </c>
      <c r="E113" t="s">
        <v>180</v>
      </c>
      <c r="F113" s="110"/>
      <c r="G113" s="110"/>
      <c r="H113" s="110"/>
      <c r="I113" s="110"/>
      <c r="J113" s="110"/>
      <c r="K113" s="110"/>
      <c r="L113" s="110"/>
      <c r="M113" s="110" t="str">
        <f>IF(Refsz_Verbräuche[[#Headers],[2022]]=Startseite!$D$68,IF(OR(SUMIF($F113:Refsz_Verbräuche[[#This Row],[2021]],"&gt;0")&gt;0,), AVERAGEIF($F113:Refsz_Verbräuche[[#This Row],[2021]],"&lt;&gt;"""), ""),IF(Startseite!$D$68=(Refsz_Verbräuche[[#Headers],[2022]]-1),Refsz_Verbräuche[[#This Row],[2021]],IF(Startseite!$D$68&lt;Refsz_Verbräuche[[#Headers],[2022]],Refsz_Verbräuche[[#This Row],[2021]],"")))</f>
        <v/>
      </c>
      <c r="N113" s="110" t="str">
        <f>IF(Refsz_Verbräuche[[#Headers],[2023]]=Startseite!$D$68,IF(OR(SUMIF($F113:Refsz_Verbräuche[[#This Row],[2022]],"&gt;0")&gt;0,), AVERAGEIF($F113:Refsz_Verbräuche[[#This Row],[2022]],"&lt;&gt;"""), ""),IF(Startseite!$D$68=(Refsz_Verbräuche[[#Headers],[2023]]-1),Refsz_Verbräuche[[#This Row],[2022]],IF(Startseite!$D$68&lt;Refsz_Verbräuche[[#Headers],[2023]],Refsz_Verbräuche[[#This Row],[2022]],"")))</f>
        <v/>
      </c>
      <c r="O113" s="110" t="str">
        <f>IF(Refsz_Verbräuche[[#Headers],[2024]]=Startseite!$D$68,IF(OR(SUMIF($F113:Refsz_Verbräuche[[#This Row],[2023]],"&gt;0")&gt;0,), AVERAGEIF($F113:Refsz_Verbräuche[[#This Row],[2023]],"&lt;&gt;"""), ""),IF(Startseite!$D$68=(Refsz_Verbräuche[[#Headers],[2024]]-1),Refsz_Verbräuche[[#This Row],[2023]],IF(Startseite!$D$68&lt;Refsz_Verbräuche[[#Headers],[2024]],Refsz_Verbräuche[[#This Row],[2023]],"")))</f>
        <v/>
      </c>
      <c r="P113" s="110" t="str">
        <f>IF(Refsz_Verbräuche[[#Headers],[2025]]=Startseite!$D$68,IF(OR(SUMIF($F113:Refsz_Verbräuche[[#This Row],[2024]],"&gt;0")&gt;0,), AVERAGEIF($F113:Refsz_Verbräuche[[#This Row],[2024]],"&lt;&gt;"""), ""),IF(Startseite!$D$68=(Refsz_Verbräuche[[#Headers],[2025]]-1),Refsz_Verbräuche[[#This Row],[2024]],IF(Startseite!$D$68&lt;Refsz_Verbräuche[[#Headers],[2025]],Refsz_Verbräuche[[#This Row],[2024]],"")))</f>
        <v/>
      </c>
      <c r="Q113" s="110" t="str">
        <f>IF(Refsz_Verbräuche[[#Headers],[2026]]=Startseite!$D$68,IF(OR(SUMIF($F113:Refsz_Verbräuche[[#This Row],[2025]],"&gt;0")&gt;0,), AVERAGEIF($F113:Refsz_Verbräuche[[#This Row],[2025]],"&lt;&gt;"""), ""),IF(Startseite!$D$68=(Refsz_Verbräuche[[#Headers],[2026]]-1),Refsz_Verbräuche[[#This Row],[2025]],IF(Startseite!$D$68&lt;Refsz_Verbräuche[[#Headers],[2026]],Refsz_Verbräuche[[#This Row],[2025]],"")))</f>
        <v/>
      </c>
      <c r="R113" s="110" t="str">
        <f>IF(Refsz_Verbräuche[[#Headers],[2027]]=Startseite!$D$68,IF(OR(SUMIF($F113:Refsz_Verbräuche[[#This Row],[2026]],"&gt;0")&gt;0,), AVERAGEIF($F113:Refsz_Verbräuche[[#This Row],[2026]],"&lt;&gt;"""), ""),IF(Startseite!$D$68=(Refsz_Verbräuche[[#Headers],[2027]]-1),Refsz_Verbräuche[[#This Row],[2026]],IF(Startseite!$D$68&lt;Refsz_Verbräuche[[#Headers],[2027]],Refsz_Verbräuche[[#This Row],[2026]],"")))</f>
        <v/>
      </c>
      <c r="S113" s="110" t="str">
        <f>IF(Refsz_Verbräuche[[#Headers],[2028]]=Startseite!$D$68,IF(OR(SUMIF($F113:Refsz_Verbräuche[[#This Row],[2027]],"&gt;0")&gt;0,), AVERAGEIF($F113:Refsz_Verbräuche[[#This Row],[2027]],"&lt;&gt;"""), ""),IF(Startseite!$D$68=(Refsz_Verbräuche[[#Headers],[2028]]-1),Refsz_Verbräuche[[#This Row],[2027]],IF(Startseite!$D$68&lt;Refsz_Verbräuche[[#Headers],[2028]],Refsz_Verbräuche[[#This Row],[2027]],"")))</f>
        <v/>
      </c>
      <c r="T113" s="110" t="str">
        <f>IF(Refsz_Verbräuche[[#Headers],[2029]]=Startseite!$D$68,IF(OR(SUMIF($F113:Refsz_Verbräuche[[#This Row],[2028]],"&gt;0")&gt;0,), AVERAGEIF($F113:Refsz_Verbräuche[[#This Row],[2028]],"&lt;&gt;"""), ""),IF(Startseite!$D$68=(Refsz_Verbräuche[[#Headers],[2029]]-1),Refsz_Verbräuche[[#This Row],[2028]],IF(Startseite!$D$68&lt;Refsz_Verbräuche[[#Headers],[2029]],Refsz_Verbräuche[[#This Row],[2028]],"")))</f>
        <v/>
      </c>
      <c r="U113" s="110" t="str">
        <f>IF(Refsz_Verbräuche[[#Headers],[2030]]=Startseite!$D$68,IF(OR(SUMIF($F113:Refsz_Verbräuche[[#This Row],[2029]],"&gt;0")&gt;0,), AVERAGEIF($F113:Refsz_Verbräuche[[#This Row],[2029]],"&lt;&gt;"""), ""),IF(Startseite!$D$68=(Refsz_Verbräuche[[#Headers],[2030]]-1),Refsz_Verbräuche[[#This Row],[2029]],IF(Startseite!$D$68&lt;Refsz_Verbräuche[[#Headers],[2030]],Refsz_Verbräuche[[#This Row],[2029]],"")))</f>
        <v/>
      </c>
      <c r="V113" s="110" t="str">
        <f>IF(Refsz_Verbräuche[[#Headers],[2035]]=Startseite!$D$68,IF(OR(SUMIF($F113:Refsz_Verbräuche[[#This Row],[2030]],"&gt;0")&gt;0,), AVERAGEIF($F113:Refsz_Verbräuche[[#This Row],[2030]],"&lt;&gt;"""), ""),IF(Startseite!$D$68=(Refsz_Verbräuche[[#Headers],[2035]]-1),Refsz_Verbräuche[[#This Row],[2030]],IF(Startseite!$D$68&lt;Refsz_Verbräuche[[#Headers],[2035]],Refsz_Verbräuche[[#This Row],[2030]],"")))</f>
        <v/>
      </c>
      <c r="W113" s="110" t="str">
        <f>IF(Refsz_Verbräuche[[#Headers],[2040]]=Startseite!$D$68,IF(OR(SUMIF($F113:Refsz_Verbräuche[[#This Row],[2035]],"&gt;0")&gt;0,), AVERAGEIF($F113:Refsz_Verbräuche[[#This Row],[2035]],"&lt;&gt;"""), ""),IF(Startseite!$D$68=(Refsz_Verbräuche[[#Headers],[2040]]-1),Refsz_Verbräuche[[#This Row],[2035]],IF(Startseite!$D$68&lt;Refsz_Verbräuche[[#Headers],[2040]],Refsz_Verbräuche[[#This Row],[2035]],"")))</f>
        <v/>
      </c>
      <c r="X113" s="110" t="str">
        <f>IF(Refsz_Verbräuche[[#Headers],[2045]]=Startseite!$D$68,IF(OR(SUMIF($F113:Refsz_Verbräuche[[#This Row],[2040]],"&gt;0")&gt;0,), AVERAGEIF($F113:Refsz_Verbräuche[[#This Row],[2040]],"&lt;&gt;"""), ""),IF(Startseite!$D$68=(Refsz_Verbräuche[[#Headers],[2045]]-1),Refsz_Verbräuche[[#This Row],[2040]],IF(Startseite!$D$68&lt;Refsz_Verbräuche[[#Headers],[2045]],Refsz_Verbräuche[[#This Row],[2040]],"")))</f>
        <v/>
      </c>
      <c r="Y113" s="110" t="str">
        <f>IF(Refsz_Verbräuche[[#Headers],[2050]]=Startseite!$D$68,IF(OR(SUMIF($F113:Refsz_Verbräuche[[#This Row],[2045]],"&gt;0")&gt;0,), AVERAGEIF($F113:Refsz_Verbräuche[[#This Row],[2045]],"&lt;&gt;"""), ""),IF(Startseite!$D$68=(Refsz_Verbräuche[[#Headers],[2050]]-1),Refsz_Verbräuche[[#This Row],[2045]],IF(Startseite!$D$68&lt;Refsz_Verbräuche[[#Headers],[2050]],Refsz_Verbräuche[[#This Row],[2045]],"")))</f>
        <v/>
      </c>
      <c r="AA113" s="14"/>
    </row>
    <row r="114" spans="2:27">
      <c r="B114" s="14">
        <v>97</v>
      </c>
      <c r="C114" s="14" t="s">
        <v>516</v>
      </c>
      <c r="D114" s="9" t="s">
        <v>127</v>
      </c>
      <c r="E114" t="s">
        <v>180</v>
      </c>
      <c r="F114" s="110"/>
      <c r="G114" s="110"/>
      <c r="H114" s="110"/>
      <c r="I114" s="110"/>
      <c r="J114" s="110"/>
      <c r="K114" s="110"/>
      <c r="L114" s="110"/>
      <c r="M114" s="110" t="str">
        <f>IF(Refsz_Verbräuche[[#Headers],[2022]]=Startseite!$D$68,IF(OR(SUMIF($F114:Refsz_Verbräuche[[#This Row],[2021]],"&gt;0")&gt;0,), AVERAGEIF($F114:Refsz_Verbräuche[[#This Row],[2021]],"&lt;&gt;"""), ""),IF(Startseite!$D$68=(Refsz_Verbräuche[[#Headers],[2022]]-1),Refsz_Verbräuche[[#This Row],[2021]],IF(Startseite!$D$68&lt;Refsz_Verbräuche[[#Headers],[2022]],Refsz_Verbräuche[[#This Row],[2021]],"")))</f>
        <v/>
      </c>
      <c r="N114" s="110" t="str">
        <f>IF(Refsz_Verbräuche[[#Headers],[2023]]=Startseite!$D$68,IF(OR(SUMIF($F114:Refsz_Verbräuche[[#This Row],[2022]],"&gt;0")&gt;0,), AVERAGEIF($F114:Refsz_Verbräuche[[#This Row],[2022]],"&lt;&gt;"""), ""),IF(Startseite!$D$68=(Refsz_Verbräuche[[#Headers],[2023]]-1),Refsz_Verbräuche[[#This Row],[2022]],IF(Startseite!$D$68&lt;Refsz_Verbräuche[[#Headers],[2023]],Refsz_Verbräuche[[#This Row],[2022]],"")))</f>
        <v/>
      </c>
      <c r="O114" s="110" t="str">
        <f>IF(Refsz_Verbräuche[[#Headers],[2024]]=Startseite!$D$68,IF(OR(SUMIF($F114:Refsz_Verbräuche[[#This Row],[2023]],"&gt;0")&gt;0,), AVERAGEIF($F114:Refsz_Verbräuche[[#This Row],[2023]],"&lt;&gt;"""), ""),IF(Startseite!$D$68=(Refsz_Verbräuche[[#Headers],[2024]]-1),Refsz_Verbräuche[[#This Row],[2023]],IF(Startseite!$D$68&lt;Refsz_Verbräuche[[#Headers],[2024]],Refsz_Verbräuche[[#This Row],[2023]],"")))</f>
        <v/>
      </c>
      <c r="P114" s="110" t="str">
        <f>IF(Refsz_Verbräuche[[#Headers],[2025]]=Startseite!$D$68,IF(OR(SUMIF($F114:Refsz_Verbräuche[[#This Row],[2024]],"&gt;0")&gt;0,), AVERAGEIF($F114:Refsz_Verbräuche[[#This Row],[2024]],"&lt;&gt;"""), ""),IF(Startseite!$D$68=(Refsz_Verbräuche[[#Headers],[2025]]-1),Refsz_Verbräuche[[#This Row],[2024]],IF(Startseite!$D$68&lt;Refsz_Verbräuche[[#Headers],[2025]],Refsz_Verbräuche[[#This Row],[2024]],"")))</f>
        <v/>
      </c>
      <c r="Q114" s="110" t="str">
        <f>IF(Refsz_Verbräuche[[#Headers],[2026]]=Startseite!$D$68,IF(OR(SUMIF($F114:Refsz_Verbräuche[[#This Row],[2025]],"&gt;0")&gt;0,), AVERAGEIF($F114:Refsz_Verbräuche[[#This Row],[2025]],"&lt;&gt;"""), ""),IF(Startseite!$D$68=(Refsz_Verbräuche[[#Headers],[2026]]-1),Refsz_Verbräuche[[#This Row],[2025]],IF(Startseite!$D$68&lt;Refsz_Verbräuche[[#Headers],[2026]],Refsz_Verbräuche[[#This Row],[2025]],"")))</f>
        <v/>
      </c>
      <c r="R114" s="110" t="str">
        <f>IF(Refsz_Verbräuche[[#Headers],[2027]]=Startseite!$D$68,IF(OR(SUMIF($F114:Refsz_Verbräuche[[#This Row],[2026]],"&gt;0")&gt;0,), AVERAGEIF($F114:Refsz_Verbräuche[[#This Row],[2026]],"&lt;&gt;"""), ""),IF(Startseite!$D$68=(Refsz_Verbräuche[[#Headers],[2027]]-1),Refsz_Verbräuche[[#This Row],[2026]],IF(Startseite!$D$68&lt;Refsz_Verbräuche[[#Headers],[2027]],Refsz_Verbräuche[[#This Row],[2026]],"")))</f>
        <v/>
      </c>
      <c r="S114" s="110" t="str">
        <f>IF(Refsz_Verbräuche[[#Headers],[2028]]=Startseite!$D$68,IF(OR(SUMIF($F114:Refsz_Verbräuche[[#This Row],[2027]],"&gt;0")&gt;0,), AVERAGEIF($F114:Refsz_Verbräuche[[#This Row],[2027]],"&lt;&gt;"""), ""),IF(Startseite!$D$68=(Refsz_Verbräuche[[#Headers],[2028]]-1),Refsz_Verbräuche[[#This Row],[2027]],IF(Startseite!$D$68&lt;Refsz_Verbräuche[[#Headers],[2028]],Refsz_Verbräuche[[#This Row],[2027]],"")))</f>
        <v/>
      </c>
      <c r="T114" s="110" t="str">
        <f>IF(Refsz_Verbräuche[[#Headers],[2029]]=Startseite!$D$68,IF(OR(SUMIF($F114:Refsz_Verbräuche[[#This Row],[2028]],"&gt;0")&gt;0,), AVERAGEIF($F114:Refsz_Verbräuche[[#This Row],[2028]],"&lt;&gt;"""), ""),IF(Startseite!$D$68=(Refsz_Verbräuche[[#Headers],[2029]]-1),Refsz_Verbräuche[[#This Row],[2028]],IF(Startseite!$D$68&lt;Refsz_Verbräuche[[#Headers],[2029]],Refsz_Verbräuche[[#This Row],[2028]],"")))</f>
        <v/>
      </c>
      <c r="U114" s="110" t="str">
        <f>IF(Refsz_Verbräuche[[#Headers],[2030]]=Startseite!$D$68,IF(OR(SUMIF($F114:Refsz_Verbräuche[[#This Row],[2029]],"&gt;0")&gt;0,), AVERAGEIF($F114:Refsz_Verbräuche[[#This Row],[2029]],"&lt;&gt;"""), ""),IF(Startseite!$D$68=(Refsz_Verbräuche[[#Headers],[2030]]-1),Refsz_Verbräuche[[#This Row],[2029]],IF(Startseite!$D$68&lt;Refsz_Verbräuche[[#Headers],[2030]],Refsz_Verbräuche[[#This Row],[2029]],"")))</f>
        <v/>
      </c>
      <c r="V114" s="110" t="str">
        <f>IF(Refsz_Verbräuche[[#Headers],[2035]]=Startseite!$D$68,IF(OR(SUMIF($F114:Refsz_Verbräuche[[#This Row],[2030]],"&gt;0")&gt;0,), AVERAGEIF($F114:Refsz_Verbräuche[[#This Row],[2030]],"&lt;&gt;"""), ""),IF(Startseite!$D$68=(Refsz_Verbräuche[[#Headers],[2035]]-1),Refsz_Verbräuche[[#This Row],[2030]],IF(Startseite!$D$68&lt;Refsz_Verbräuche[[#Headers],[2035]],Refsz_Verbräuche[[#This Row],[2030]],"")))</f>
        <v/>
      </c>
      <c r="W114" s="110" t="str">
        <f>IF(Refsz_Verbräuche[[#Headers],[2040]]=Startseite!$D$68,IF(OR(SUMIF($F114:Refsz_Verbräuche[[#This Row],[2035]],"&gt;0")&gt;0,), AVERAGEIF($F114:Refsz_Verbräuche[[#This Row],[2035]],"&lt;&gt;"""), ""),IF(Startseite!$D$68=(Refsz_Verbräuche[[#Headers],[2040]]-1),Refsz_Verbräuche[[#This Row],[2035]],IF(Startseite!$D$68&lt;Refsz_Verbräuche[[#Headers],[2040]],Refsz_Verbräuche[[#This Row],[2035]],"")))</f>
        <v/>
      </c>
      <c r="X114" s="110" t="str">
        <f>IF(Refsz_Verbräuche[[#Headers],[2045]]=Startseite!$D$68,IF(OR(SUMIF($F114:Refsz_Verbräuche[[#This Row],[2040]],"&gt;0")&gt;0,), AVERAGEIF($F114:Refsz_Verbräuche[[#This Row],[2040]],"&lt;&gt;"""), ""),IF(Startseite!$D$68=(Refsz_Verbräuche[[#Headers],[2045]]-1),Refsz_Verbräuche[[#This Row],[2040]],IF(Startseite!$D$68&lt;Refsz_Verbräuche[[#Headers],[2045]],Refsz_Verbräuche[[#This Row],[2040]],"")))</f>
        <v/>
      </c>
      <c r="Y114" s="110" t="str">
        <f>IF(Refsz_Verbräuche[[#Headers],[2050]]=Startseite!$D$68,IF(OR(SUMIF($F114:Refsz_Verbräuche[[#This Row],[2045]],"&gt;0")&gt;0,), AVERAGEIF($F114:Refsz_Verbräuche[[#This Row],[2045]],"&lt;&gt;"""), ""),IF(Startseite!$D$68=(Refsz_Verbräuche[[#Headers],[2050]]-1),Refsz_Verbräuche[[#This Row],[2045]],IF(Startseite!$D$68&lt;Refsz_Verbräuche[[#Headers],[2050]],Refsz_Verbräuche[[#This Row],[2045]],"")))</f>
        <v/>
      </c>
      <c r="AA114" s="14"/>
    </row>
    <row r="115" spans="2:27">
      <c r="B115" s="14">
        <v>98</v>
      </c>
      <c r="C115" s="14" t="s">
        <v>516</v>
      </c>
      <c r="D115" s="9" t="s">
        <v>55</v>
      </c>
      <c r="E115" t="s">
        <v>180</v>
      </c>
      <c r="F115" s="110"/>
      <c r="G115" s="110"/>
      <c r="H115" s="110"/>
      <c r="I115" s="110"/>
      <c r="J115" s="110"/>
      <c r="K115" s="110"/>
      <c r="L115" s="110"/>
      <c r="M115" s="110" t="str">
        <f>IF(Refsz_Verbräuche[[#Headers],[2022]]=Startseite!$D$68,IF(OR(SUMIF($F115:Refsz_Verbräuche[[#This Row],[2021]],"&gt;0")&gt;0,), AVERAGEIF($F115:Refsz_Verbräuche[[#This Row],[2021]],"&lt;&gt;"""), ""),IF(Startseite!$D$68=(Refsz_Verbräuche[[#Headers],[2022]]-1),Refsz_Verbräuche[[#This Row],[2021]],IF(Startseite!$D$68&lt;Refsz_Verbräuche[[#Headers],[2022]],Refsz_Verbräuche[[#This Row],[2021]],"")))</f>
        <v/>
      </c>
      <c r="N115" s="110" t="str">
        <f>IF(Refsz_Verbräuche[[#Headers],[2023]]=Startseite!$D$68,IF(OR(SUMIF($F115:Refsz_Verbräuche[[#This Row],[2022]],"&gt;0")&gt;0,), AVERAGEIF($F115:Refsz_Verbräuche[[#This Row],[2022]],"&lt;&gt;"""), ""),IF(Startseite!$D$68=(Refsz_Verbräuche[[#Headers],[2023]]-1),Refsz_Verbräuche[[#This Row],[2022]],IF(Startseite!$D$68&lt;Refsz_Verbräuche[[#Headers],[2023]],Refsz_Verbräuche[[#This Row],[2022]],"")))</f>
        <v/>
      </c>
      <c r="O115" s="110" t="str">
        <f>IF(Refsz_Verbräuche[[#Headers],[2024]]=Startseite!$D$68,IF(OR(SUMIF($F115:Refsz_Verbräuche[[#This Row],[2023]],"&gt;0")&gt;0,), AVERAGEIF($F115:Refsz_Verbräuche[[#This Row],[2023]],"&lt;&gt;"""), ""),IF(Startseite!$D$68=(Refsz_Verbräuche[[#Headers],[2024]]-1),Refsz_Verbräuche[[#This Row],[2023]],IF(Startseite!$D$68&lt;Refsz_Verbräuche[[#Headers],[2024]],Refsz_Verbräuche[[#This Row],[2023]],"")))</f>
        <v/>
      </c>
      <c r="P115" s="110" t="str">
        <f>IF(Refsz_Verbräuche[[#Headers],[2025]]=Startseite!$D$68,IF(OR(SUMIF($F115:Refsz_Verbräuche[[#This Row],[2024]],"&gt;0")&gt;0,), AVERAGEIF($F115:Refsz_Verbräuche[[#This Row],[2024]],"&lt;&gt;"""), ""),IF(Startseite!$D$68=(Refsz_Verbräuche[[#Headers],[2025]]-1),Refsz_Verbräuche[[#This Row],[2024]],IF(Startseite!$D$68&lt;Refsz_Verbräuche[[#Headers],[2025]],Refsz_Verbräuche[[#This Row],[2024]],"")))</f>
        <v/>
      </c>
      <c r="Q115" s="110" t="str">
        <f>IF(Refsz_Verbräuche[[#Headers],[2026]]=Startseite!$D$68,IF(OR(SUMIF($F115:Refsz_Verbräuche[[#This Row],[2025]],"&gt;0")&gt;0,), AVERAGEIF($F115:Refsz_Verbräuche[[#This Row],[2025]],"&lt;&gt;"""), ""),IF(Startseite!$D$68=(Refsz_Verbräuche[[#Headers],[2026]]-1),Refsz_Verbräuche[[#This Row],[2025]],IF(Startseite!$D$68&lt;Refsz_Verbräuche[[#Headers],[2026]],Refsz_Verbräuche[[#This Row],[2025]],"")))</f>
        <v/>
      </c>
      <c r="R115" s="110" t="str">
        <f>IF(Refsz_Verbräuche[[#Headers],[2027]]=Startseite!$D$68,IF(OR(SUMIF($F115:Refsz_Verbräuche[[#This Row],[2026]],"&gt;0")&gt;0,), AVERAGEIF($F115:Refsz_Verbräuche[[#This Row],[2026]],"&lt;&gt;"""), ""),IF(Startseite!$D$68=(Refsz_Verbräuche[[#Headers],[2027]]-1),Refsz_Verbräuche[[#This Row],[2026]],IF(Startseite!$D$68&lt;Refsz_Verbräuche[[#Headers],[2027]],Refsz_Verbräuche[[#This Row],[2026]],"")))</f>
        <v/>
      </c>
      <c r="S115" s="110" t="str">
        <f>IF(Refsz_Verbräuche[[#Headers],[2028]]=Startseite!$D$68,IF(OR(SUMIF($F115:Refsz_Verbräuche[[#This Row],[2027]],"&gt;0")&gt;0,), AVERAGEIF($F115:Refsz_Verbräuche[[#This Row],[2027]],"&lt;&gt;"""), ""),IF(Startseite!$D$68=(Refsz_Verbräuche[[#Headers],[2028]]-1),Refsz_Verbräuche[[#This Row],[2027]],IF(Startseite!$D$68&lt;Refsz_Verbräuche[[#Headers],[2028]],Refsz_Verbräuche[[#This Row],[2027]],"")))</f>
        <v/>
      </c>
      <c r="T115" s="110" t="str">
        <f>IF(Refsz_Verbräuche[[#Headers],[2029]]=Startseite!$D$68,IF(OR(SUMIF($F115:Refsz_Verbräuche[[#This Row],[2028]],"&gt;0")&gt;0,), AVERAGEIF($F115:Refsz_Verbräuche[[#This Row],[2028]],"&lt;&gt;"""), ""),IF(Startseite!$D$68=(Refsz_Verbräuche[[#Headers],[2029]]-1),Refsz_Verbräuche[[#This Row],[2028]],IF(Startseite!$D$68&lt;Refsz_Verbräuche[[#Headers],[2029]],Refsz_Verbräuche[[#This Row],[2028]],"")))</f>
        <v/>
      </c>
      <c r="U115" s="110" t="str">
        <f>IF(Refsz_Verbräuche[[#Headers],[2030]]=Startseite!$D$68,IF(OR(SUMIF($F115:Refsz_Verbräuche[[#This Row],[2029]],"&gt;0")&gt;0,), AVERAGEIF($F115:Refsz_Verbräuche[[#This Row],[2029]],"&lt;&gt;"""), ""),IF(Startseite!$D$68=(Refsz_Verbräuche[[#Headers],[2030]]-1),Refsz_Verbräuche[[#This Row],[2029]],IF(Startseite!$D$68&lt;Refsz_Verbräuche[[#Headers],[2030]],Refsz_Verbräuche[[#This Row],[2029]],"")))</f>
        <v/>
      </c>
      <c r="V115" s="110" t="str">
        <f>IF(Refsz_Verbräuche[[#Headers],[2035]]=Startseite!$D$68,IF(OR(SUMIF($F115:Refsz_Verbräuche[[#This Row],[2030]],"&gt;0")&gt;0,), AVERAGEIF($F115:Refsz_Verbräuche[[#This Row],[2030]],"&lt;&gt;"""), ""),IF(Startseite!$D$68=(Refsz_Verbräuche[[#Headers],[2035]]-1),Refsz_Verbräuche[[#This Row],[2030]],IF(Startseite!$D$68&lt;Refsz_Verbräuche[[#Headers],[2035]],Refsz_Verbräuche[[#This Row],[2030]],"")))</f>
        <v/>
      </c>
      <c r="W115" s="110" t="str">
        <f>IF(Refsz_Verbräuche[[#Headers],[2040]]=Startseite!$D$68,IF(OR(SUMIF($F115:Refsz_Verbräuche[[#This Row],[2035]],"&gt;0")&gt;0,), AVERAGEIF($F115:Refsz_Verbräuche[[#This Row],[2035]],"&lt;&gt;"""), ""),IF(Startseite!$D$68=(Refsz_Verbräuche[[#Headers],[2040]]-1),Refsz_Verbräuche[[#This Row],[2035]],IF(Startseite!$D$68&lt;Refsz_Verbräuche[[#Headers],[2040]],Refsz_Verbräuche[[#This Row],[2035]],"")))</f>
        <v/>
      </c>
      <c r="X115" s="110" t="str">
        <f>IF(Refsz_Verbräuche[[#Headers],[2045]]=Startseite!$D$68,IF(OR(SUMIF($F115:Refsz_Verbräuche[[#This Row],[2040]],"&gt;0")&gt;0,), AVERAGEIF($F115:Refsz_Verbräuche[[#This Row],[2040]],"&lt;&gt;"""), ""),IF(Startseite!$D$68=(Refsz_Verbräuche[[#Headers],[2045]]-1),Refsz_Verbräuche[[#This Row],[2040]],IF(Startseite!$D$68&lt;Refsz_Verbräuche[[#Headers],[2045]],Refsz_Verbräuche[[#This Row],[2040]],"")))</f>
        <v/>
      </c>
      <c r="Y115" s="110" t="str">
        <f>IF(Refsz_Verbräuche[[#Headers],[2050]]=Startseite!$D$68,IF(OR(SUMIF($F115:Refsz_Verbräuche[[#This Row],[2045]],"&gt;0")&gt;0,), AVERAGEIF($F115:Refsz_Verbräuche[[#This Row],[2045]],"&lt;&gt;"""), ""),IF(Startseite!$D$68=(Refsz_Verbräuche[[#Headers],[2050]]-1),Refsz_Verbräuche[[#This Row],[2045]],IF(Startseite!$D$68&lt;Refsz_Verbräuche[[#Headers],[2050]],Refsz_Verbräuche[[#This Row],[2045]],"")))</f>
        <v/>
      </c>
      <c r="AA115" s="14"/>
    </row>
    <row r="116" spans="2:27">
      <c r="B116" s="14">
        <v>99</v>
      </c>
      <c r="C116" s="14" t="s">
        <v>516</v>
      </c>
      <c r="D116" s="9" t="s">
        <v>183</v>
      </c>
      <c r="E116" t="s">
        <v>180</v>
      </c>
      <c r="F116" s="110"/>
      <c r="G116" s="110"/>
      <c r="H116" s="110"/>
      <c r="I116" s="110"/>
      <c r="J116" s="110"/>
      <c r="K116" s="110"/>
      <c r="L116" s="110"/>
      <c r="M116" s="110" t="str">
        <f>IF(Refsz_Verbräuche[[#Headers],[2022]]=Startseite!$D$68,IF(OR(SUMIF($F116:Refsz_Verbräuche[[#This Row],[2021]],"&gt;0")&gt;0,), AVERAGEIF($F116:Refsz_Verbräuche[[#This Row],[2021]],"&lt;&gt;"""), ""),IF(Startseite!$D$68=(Refsz_Verbräuche[[#Headers],[2022]]-1),Refsz_Verbräuche[[#This Row],[2021]],IF(Startseite!$D$68&lt;Refsz_Verbräuche[[#Headers],[2022]],Refsz_Verbräuche[[#This Row],[2021]],"")))</f>
        <v/>
      </c>
      <c r="N116" s="110" t="str">
        <f>IF(Refsz_Verbräuche[[#Headers],[2023]]=Startseite!$D$68,IF(OR(SUMIF($F116:Refsz_Verbräuche[[#This Row],[2022]],"&gt;0")&gt;0,), AVERAGEIF($F116:Refsz_Verbräuche[[#This Row],[2022]],"&lt;&gt;"""), ""),IF(Startseite!$D$68=(Refsz_Verbräuche[[#Headers],[2023]]-1),Refsz_Verbräuche[[#This Row],[2022]],IF(Startseite!$D$68&lt;Refsz_Verbräuche[[#Headers],[2023]],Refsz_Verbräuche[[#This Row],[2022]],"")))</f>
        <v/>
      </c>
      <c r="O116" s="110" t="str">
        <f>IF(Refsz_Verbräuche[[#Headers],[2024]]=Startseite!$D$68,IF(OR(SUMIF($F116:Refsz_Verbräuche[[#This Row],[2023]],"&gt;0")&gt;0,), AVERAGEIF($F116:Refsz_Verbräuche[[#This Row],[2023]],"&lt;&gt;"""), ""),IF(Startseite!$D$68=(Refsz_Verbräuche[[#Headers],[2024]]-1),Refsz_Verbräuche[[#This Row],[2023]],IF(Startseite!$D$68&lt;Refsz_Verbräuche[[#Headers],[2024]],Refsz_Verbräuche[[#This Row],[2023]],"")))</f>
        <v/>
      </c>
      <c r="P116" s="110" t="str">
        <f>IF(Refsz_Verbräuche[[#Headers],[2025]]=Startseite!$D$68,IF(OR(SUMIF($F116:Refsz_Verbräuche[[#This Row],[2024]],"&gt;0")&gt;0,), AVERAGEIF($F116:Refsz_Verbräuche[[#This Row],[2024]],"&lt;&gt;"""), ""),IF(Startseite!$D$68=(Refsz_Verbräuche[[#Headers],[2025]]-1),Refsz_Verbräuche[[#This Row],[2024]],IF(Startseite!$D$68&lt;Refsz_Verbräuche[[#Headers],[2025]],Refsz_Verbräuche[[#This Row],[2024]],"")))</f>
        <v/>
      </c>
      <c r="Q116" s="110" t="str">
        <f>IF(Refsz_Verbräuche[[#Headers],[2026]]=Startseite!$D$68,IF(OR(SUMIF($F116:Refsz_Verbräuche[[#This Row],[2025]],"&gt;0")&gt;0,), AVERAGEIF($F116:Refsz_Verbräuche[[#This Row],[2025]],"&lt;&gt;"""), ""),IF(Startseite!$D$68=(Refsz_Verbräuche[[#Headers],[2026]]-1),Refsz_Verbräuche[[#This Row],[2025]],IF(Startseite!$D$68&lt;Refsz_Verbräuche[[#Headers],[2026]],Refsz_Verbräuche[[#This Row],[2025]],"")))</f>
        <v/>
      </c>
      <c r="R116" s="110" t="str">
        <f>IF(Refsz_Verbräuche[[#Headers],[2027]]=Startseite!$D$68,IF(OR(SUMIF($F116:Refsz_Verbräuche[[#This Row],[2026]],"&gt;0")&gt;0,), AVERAGEIF($F116:Refsz_Verbräuche[[#This Row],[2026]],"&lt;&gt;"""), ""),IF(Startseite!$D$68=(Refsz_Verbräuche[[#Headers],[2027]]-1),Refsz_Verbräuche[[#This Row],[2026]],IF(Startseite!$D$68&lt;Refsz_Verbräuche[[#Headers],[2027]],Refsz_Verbräuche[[#This Row],[2026]],"")))</f>
        <v/>
      </c>
      <c r="S116" s="110" t="str">
        <f>IF(Refsz_Verbräuche[[#Headers],[2028]]=Startseite!$D$68,IF(OR(SUMIF($F116:Refsz_Verbräuche[[#This Row],[2027]],"&gt;0")&gt;0,), AVERAGEIF($F116:Refsz_Verbräuche[[#This Row],[2027]],"&lt;&gt;"""), ""),IF(Startseite!$D$68=(Refsz_Verbräuche[[#Headers],[2028]]-1),Refsz_Verbräuche[[#This Row],[2027]],IF(Startseite!$D$68&lt;Refsz_Verbräuche[[#Headers],[2028]],Refsz_Verbräuche[[#This Row],[2027]],"")))</f>
        <v/>
      </c>
      <c r="T116" s="110" t="str">
        <f>IF(Refsz_Verbräuche[[#Headers],[2029]]=Startseite!$D$68,IF(OR(SUMIF($F116:Refsz_Verbräuche[[#This Row],[2028]],"&gt;0")&gt;0,), AVERAGEIF($F116:Refsz_Verbräuche[[#This Row],[2028]],"&lt;&gt;"""), ""),IF(Startseite!$D$68=(Refsz_Verbräuche[[#Headers],[2029]]-1),Refsz_Verbräuche[[#This Row],[2028]],IF(Startseite!$D$68&lt;Refsz_Verbräuche[[#Headers],[2029]],Refsz_Verbräuche[[#This Row],[2028]],"")))</f>
        <v/>
      </c>
      <c r="U116" s="110" t="str">
        <f>IF(Refsz_Verbräuche[[#Headers],[2030]]=Startseite!$D$68,IF(OR(SUMIF($F116:Refsz_Verbräuche[[#This Row],[2029]],"&gt;0")&gt;0,), AVERAGEIF($F116:Refsz_Verbräuche[[#This Row],[2029]],"&lt;&gt;"""), ""),IF(Startseite!$D$68=(Refsz_Verbräuche[[#Headers],[2030]]-1),Refsz_Verbräuche[[#This Row],[2029]],IF(Startseite!$D$68&lt;Refsz_Verbräuche[[#Headers],[2030]],Refsz_Verbräuche[[#This Row],[2029]],"")))</f>
        <v/>
      </c>
      <c r="V116" s="110" t="str">
        <f>IF(Refsz_Verbräuche[[#Headers],[2035]]=Startseite!$D$68,IF(OR(SUMIF($F116:Refsz_Verbräuche[[#This Row],[2030]],"&gt;0")&gt;0,), AVERAGEIF($F116:Refsz_Verbräuche[[#This Row],[2030]],"&lt;&gt;"""), ""),IF(Startseite!$D$68=(Refsz_Verbräuche[[#Headers],[2035]]-1),Refsz_Verbräuche[[#This Row],[2030]],IF(Startseite!$D$68&lt;Refsz_Verbräuche[[#Headers],[2035]],Refsz_Verbräuche[[#This Row],[2030]],"")))</f>
        <v/>
      </c>
      <c r="W116" s="110" t="str">
        <f>IF(Refsz_Verbräuche[[#Headers],[2040]]=Startseite!$D$68,IF(OR(SUMIF($F116:Refsz_Verbräuche[[#This Row],[2035]],"&gt;0")&gt;0,), AVERAGEIF($F116:Refsz_Verbräuche[[#This Row],[2035]],"&lt;&gt;"""), ""),IF(Startseite!$D$68=(Refsz_Verbräuche[[#Headers],[2040]]-1),Refsz_Verbräuche[[#This Row],[2035]],IF(Startseite!$D$68&lt;Refsz_Verbräuche[[#Headers],[2040]],Refsz_Verbräuche[[#This Row],[2035]],"")))</f>
        <v/>
      </c>
      <c r="X116" s="110" t="str">
        <f>IF(Refsz_Verbräuche[[#Headers],[2045]]=Startseite!$D$68,IF(OR(SUMIF($F116:Refsz_Verbräuche[[#This Row],[2040]],"&gt;0")&gt;0,), AVERAGEIF($F116:Refsz_Verbräuche[[#This Row],[2040]],"&lt;&gt;"""), ""),IF(Startseite!$D$68=(Refsz_Verbräuche[[#Headers],[2045]]-1),Refsz_Verbräuche[[#This Row],[2040]],IF(Startseite!$D$68&lt;Refsz_Verbräuche[[#Headers],[2045]],Refsz_Verbräuche[[#This Row],[2040]],"")))</f>
        <v/>
      </c>
      <c r="Y116" s="110" t="str">
        <f>IF(Refsz_Verbräuche[[#Headers],[2050]]=Startseite!$D$68,IF(OR(SUMIF($F116:Refsz_Verbräuche[[#This Row],[2045]],"&gt;0")&gt;0,), AVERAGEIF($F116:Refsz_Verbräuche[[#This Row],[2045]],"&lt;&gt;"""), ""),IF(Startseite!$D$68=(Refsz_Verbräuche[[#Headers],[2050]]-1),Refsz_Verbräuche[[#This Row],[2045]],IF(Startseite!$D$68&lt;Refsz_Verbräuche[[#Headers],[2050]],Refsz_Verbräuche[[#This Row],[2045]],"")))</f>
        <v/>
      </c>
      <c r="AA116" s="14"/>
    </row>
    <row r="117" spans="2:27">
      <c r="B117" s="14">
        <v>100</v>
      </c>
      <c r="C117" s="14" t="s">
        <v>516</v>
      </c>
      <c r="D117" s="146" t="s">
        <v>192</v>
      </c>
      <c r="E117" t="s">
        <v>180</v>
      </c>
      <c r="F117" s="110"/>
      <c r="G117" s="110"/>
      <c r="H117" s="110"/>
      <c r="I117" s="110"/>
      <c r="J117" s="110"/>
      <c r="K117" s="110"/>
      <c r="L117" s="110"/>
      <c r="M117" s="110" t="str">
        <f>IF(Refsz_Verbräuche[[#Headers],[2022]]=Startseite!$D$68,IF(OR(SUMIF($F117:Refsz_Verbräuche[[#This Row],[2021]],"&gt;0")&gt;0,), AVERAGEIF($F117:Refsz_Verbräuche[[#This Row],[2021]],"&lt;&gt;"""), ""),IF(Startseite!$D$68=(Refsz_Verbräuche[[#Headers],[2022]]-1),Refsz_Verbräuche[[#This Row],[2021]],IF(Startseite!$D$68&lt;Refsz_Verbräuche[[#Headers],[2022]],Refsz_Verbräuche[[#This Row],[2021]],"")))</f>
        <v/>
      </c>
      <c r="N117" s="110" t="str">
        <f>IF(Refsz_Verbräuche[[#Headers],[2023]]=Startseite!$D$68,IF(OR(SUMIF($F117:Refsz_Verbräuche[[#This Row],[2022]],"&gt;0")&gt;0,), AVERAGEIF($F117:Refsz_Verbräuche[[#This Row],[2022]],"&lt;&gt;"""), ""),IF(Startseite!$D$68=(Refsz_Verbräuche[[#Headers],[2023]]-1),Refsz_Verbräuche[[#This Row],[2022]],IF(Startseite!$D$68&lt;Refsz_Verbräuche[[#Headers],[2023]],Refsz_Verbräuche[[#This Row],[2022]],"")))</f>
        <v/>
      </c>
      <c r="O117" s="110" t="str">
        <f>IF(Refsz_Verbräuche[[#Headers],[2024]]=Startseite!$D$68,IF(OR(SUMIF($F117:Refsz_Verbräuche[[#This Row],[2023]],"&gt;0")&gt;0,), AVERAGEIF($F117:Refsz_Verbräuche[[#This Row],[2023]],"&lt;&gt;"""), ""),IF(Startseite!$D$68=(Refsz_Verbräuche[[#Headers],[2024]]-1),Refsz_Verbräuche[[#This Row],[2023]],IF(Startseite!$D$68&lt;Refsz_Verbräuche[[#Headers],[2024]],Refsz_Verbräuche[[#This Row],[2023]],"")))</f>
        <v/>
      </c>
      <c r="P117" s="110" t="str">
        <f>IF(Refsz_Verbräuche[[#Headers],[2025]]=Startseite!$D$68,IF(OR(SUMIF($F117:Refsz_Verbräuche[[#This Row],[2024]],"&gt;0")&gt;0,), AVERAGEIF($F117:Refsz_Verbräuche[[#This Row],[2024]],"&lt;&gt;"""), ""),IF(Startseite!$D$68=(Refsz_Verbräuche[[#Headers],[2025]]-1),Refsz_Verbräuche[[#This Row],[2024]],IF(Startseite!$D$68&lt;Refsz_Verbräuche[[#Headers],[2025]],Refsz_Verbräuche[[#This Row],[2024]],"")))</f>
        <v/>
      </c>
      <c r="Q117" s="110" t="str">
        <f>IF(Refsz_Verbräuche[[#Headers],[2026]]=Startseite!$D$68,IF(OR(SUMIF($F117:Refsz_Verbräuche[[#This Row],[2025]],"&gt;0")&gt;0,), AVERAGEIF($F117:Refsz_Verbräuche[[#This Row],[2025]],"&lt;&gt;"""), ""),IF(Startseite!$D$68=(Refsz_Verbräuche[[#Headers],[2026]]-1),Refsz_Verbräuche[[#This Row],[2025]],IF(Startseite!$D$68&lt;Refsz_Verbräuche[[#Headers],[2026]],Refsz_Verbräuche[[#This Row],[2025]],"")))</f>
        <v/>
      </c>
      <c r="R117" s="110" t="str">
        <f>IF(Refsz_Verbräuche[[#Headers],[2027]]=Startseite!$D$68,IF(OR(SUMIF($F117:Refsz_Verbräuche[[#This Row],[2026]],"&gt;0")&gt;0,), AVERAGEIF($F117:Refsz_Verbräuche[[#This Row],[2026]],"&lt;&gt;"""), ""),IF(Startseite!$D$68=(Refsz_Verbräuche[[#Headers],[2027]]-1),Refsz_Verbräuche[[#This Row],[2026]],IF(Startseite!$D$68&lt;Refsz_Verbräuche[[#Headers],[2027]],Refsz_Verbräuche[[#This Row],[2026]],"")))</f>
        <v/>
      </c>
      <c r="S117" s="110" t="str">
        <f>IF(Refsz_Verbräuche[[#Headers],[2028]]=Startseite!$D$68,IF(OR(SUMIF($F117:Refsz_Verbräuche[[#This Row],[2027]],"&gt;0")&gt;0,), AVERAGEIF($F117:Refsz_Verbräuche[[#This Row],[2027]],"&lt;&gt;"""), ""),IF(Startseite!$D$68=(Refsz_Verbräuche[[#Headers],[2028]]-1),Refsz_Verbräuche[[#This Row],[2027]],IF(Startseite!$D$68&lt;Refsz_Verbräuche[[#Headers],[2028]],Refsz_Verbräuche[[#This Row],[2027]],"")))</f>
        <v/>
      </c>
      <c r="T117" s="110" t="str">
        <f>IF(Refsz_Verbräuche[[#Headers],[2029]]=Startseite!$D$68,IF(OR(SUMIF($F117:Refsz_Verbräuche[[#This Row],[2028]],"&gt;0")&gt;0,), AVERAGEIF($F117:Refsz_Verbräuche[[#This Row],[2028]],"&lt;&gt;"""), ""),IF(Startseite!$D$68=(Refsz_Verbräuche[[#Headers],[2029]]-1),Refsz_Verbräuche[[#This Row],[2028]],IF(Startseite!$D$68&lt;Refsz_Verbräuche[[#Headers],[2029]],Refsz_Verbräuche[[#This Row],[2028]],"")))</f>
        <v/>
      </c>
      <c r="U117" s="110" t="str">
        <f>IF(Refsz_Verbräuche[[#Headers],[2030]]=Startseite!$D$68,IF(OR(SUMIF($F117:Refsz_Verbräuche[[#This Row],[2029]],"&gt;0")&gt;0,), AVERAGEIF($F117:Refsz_Verbräuche[[#This Row],[2029]],"&lt;&gt;"""), ""),IF(Startseite!$D$68=(Refsz_Verbräuche[[#Headers],[2030]]-1),Refsz_Verbräuche[[#This Row],[2029]],IF(Startseite!$D$68&lt;Refsz_Verbräuche[[#Headers],[2030]],Refsz_Verbräuche[[#This Row],[2029]],"")))</f>
        <v/>
      </c>
      <c r="V117" s="110" t="str">
        <f>IF(Refsz_Verbräuche[[#Headers],[2035]]=Startseite!$D$68,IF(OR(SUMIF($F117:Refsz_Verbräuche[[#This Row],[2030]],"&gt;0")&gt;0,), AVERAGEIF($F117:Refsz_Verbräuche[[#This Row],[2030]],"&lt;&gt;"""), ""),IF(Startseite!$D$68=(Refsz_Verbräuche[[#Headers],[2035]]-1),Refsz_Verbräuche[[#This Row],[2030]],IF(Startseite!$D$68&lt;Refsz_Verbräuche[[#Headers],[2035]],Refsz_Verbräuche[[#This Row],[2030]],"")))</f>
        <v/>
      </c>
      <c r="W117" s="110" t="str">
        <f>IF(Refsz_Verbräuche[[#Headers],[2040]]=Startseite!$D$68,IF(OR(SUMIF($F117:Refsz_Verbräuche[[#This Row],[2035]],"&gt;0")&gt;0,), AVERAGEIF($F117:Refsz_Verbräuche[[#This Row],[2035]],"&lt;&gt;"""), ""),IF(Startseite!$D$68=(Refsz_Verbräuche[[#Headers],[2040]]-1),Refsz_Verbräuche[[#This Row],[2035]],IF(Startseite!$D$68&lt;Refsz_Verbräuche[[#Headers],[2040]],Refsz_Verbräuche[[#This Row],[2035]],"")))</f>
        <v/>
      </c>
      <c r="X117" s="110" t="str">
        <f>IF(Refsz_Verbräuche[[#Headers],[2045]]=Startseite!$D$68,IF(OR(SUMIF($F117:Refsz_Verbräuche[[#This Row],[2040]],"&gt;0")&gt;0,), AVERAGEIF($F117:Refsz_Verbräuche[[#This Row],[2040]],"&lt;&gt;"""), ""),IF(Startseite!$D$68=(Refsz_Verbräuche[[#Headers],[2045]]-1),Refsz_Verbräuche[[#This Row],[2040]],IF(Startseite!$D$68&lt;Refsz_Verbräuche[[#Headers],[2045]],Refsz_Verbräuche[[#This Row],[2040]],"")))</f>
        <v/>
      </c>
      <c r="Y117" s="110" t="str">
        <f>IF(Refsz_Verbräuche[[#Headers],[2050]]=Startseite!$D$68,IF(OR(SUMIF($F117:Refsz_Verbräuche[[#This Row],[2045]],"&gt;0")&gt;0,), AVERAGEIF($F117:Refsz_Verbräuche[[#This Row],[2045]],"&lt;&gt;"""), ""),IF(Startseite!$D$68=(Refsz_Verbräuche[[#Headers],[2050]]-1),Refsz_Verbräuche[[#This Row],[2045]],IF(Startseite!$D$68&lt;Refsz_Verbräuche[[#Headers],[2050]],Refsz_Verbräuche[[#This Row],[2045]],"")))</f>
        <v/>
      </c>
      <c r="AA117" s="14"/>
    </row>
    <row r="118" spans="2:27">
      <c r="B118" s="14">
        <v>101</v>
      </c>
      <c r="C118" s="14" t="s">
        <v>516</v>
      </c>
      <c r="D118" s="146" t="s">
        <v>193</v>
      </c>
      <c r="E118" t="s">
        <v>180</v>
      </c>
      <c r="F118" s="110"/>
      <c r="G118" s="110"/>
      <c r="H118" s="110"/>
      <c r="I118" s="110"/>
      <c r="J118" s="110"/>
      <c r="K118" s="110"/>
      <c r="L118" s="110"/>
      <c r="M118" s="110" t="str">
        <f>IF(Refsz_Verbräuche[[#Headers],[2022]]=Startseite!$D$68,IF(OR(SUMIF($F118:Refsz_Verbräuche[[#This Row],[2021]],"&gt;0")&gt;0,), AVERAGEIF($F118:Refsz_Verbräuche[[#This Row],[2021]],"&lt;&gt;"""), ""),IF(Startseite!$D$68=(Refsz_Verbräuche[[#Headers],[2022]]-1),Refsz_Verbräuche[[#This Row],[2021]],IF(Startseite!$D$68&lt;Refsz_Verbräuche[[#Headers],[2022]],Refsz_Verbräuche[[#This Row],[2021]],"")))</f>
        <v/>
      </c>
      <c r="N118" s="110" t="str">
        <f>IF(Refsz_Verbräuche[[#Headers],[2023]]=Startseite!$D$68,IF(OR(SUMIF($F118:Refsz_Verbräuche[[#This Row],[2022]],"&gt;0")&gt;0,), AVERAGEIF($F118:Refsz_Verbräuche[[#This Row],[2022]],"&lt;&gt;"""), ""),IF(Startseite!$D$68=(Refsz_Verbräuche[[#Headers],[2023]]-1),Refsz_Verbräuche[[#This Row],[2022]],IF(Startseite!$D$68&lt;Refsz_Verbräuche[[#Headers],[2023]],Refsz_Verbräuche[[#This Row],[2022]],"")))</f>
        <v/>
      </c>
      <c r="O118" s="110" t="str">
        <f>IF(Refsz_Verbräuche[[#Headers],[2024]]=Startseite!$D$68,IF(OR(SUMIF($F118:Refsz_Verbräuche[[#This Row],[2023]],"&gt;0")&gt;0,), AVERAGEIF($F118:Refsz_Verbräuche[[#This Row],[2023]],"&lt;&gt;"""), ""),IF(Startseite!$D$68=(Refsz_Verbräuche[[#Headers],[2024]]-1),Refsz_Verbräuche[[#This Row],[2023]],IF(Startseite!$D$68&lt;Refsz_Verbräuche[[#Headers],[2024]],Refsz_Verbräuche[[#This Row],[2023]],"")))</f>
        <v/>
      </c>
      <c r="P118" s="110" t="str">
        <f>IF(Refsz_Verbräuche[[#Headers],[2025]]=Startseite!$D$68,IF(OR(SUMIF($F118:Refsz_Verbräuche[[#This Row],[2024]],"&gt;0")&gt;0,), AVERAGEIF($F118:Refsz_Verbräuche[[#This Row],[2024]],"&lt;&gt;"""), ""),IF(Startseite!$D$68=(Refsz_Verbräuche[[#Headers],[2025]]-1),Refsz_Verbräuche[[#This Row],[2024]],IF(Startseite!$D$68&lt;Refsz_Verbräuche[[#Headers],[2025]],Refsz_Verbräuche[[#This Row],[2024]],"")))</f>
        <v/>
      </c>
      <c r="Q118" s="110" t="str">
        <f>IF(Refsz_Verbräuche[[#Headers],[2026]]=Startseite!$D$68,IF(OR(SUMIF($F118:Refsz_Verbräuche[[#This Row],[2025]],"&gt;0")&gt;0,), AVERAGEIF($F118:Refsz_Verbräuche[[#This Row],[2025]],"&lt;&gt;"""), ""),IF(Startseite!$D$68=(Refsz_Verbräuche[[#Headers],[2026]]-1),Refsz_Verbräuche[[#This Row],[2025]],IF(Startseite!$D$68&lt;Refsz_Verbräuche[[#Headers],[2026]],Refsz_Verbräuche[[#This Row],[2025]],"")))</f>
        <v/>
      </c>
      <c r="R118" s="110" t="str">
        <f>IF(Refsz_Verbräuche[[#Headers],[2027]]=Startseite!$D$68,IF(OR(SUMIF($F118:Refsz_Verbräuche[[#This Row],[2026]],"&gt;0")&gt;0,), AVERAGEIF($F118:Refsz_Verbräuche[[#This Row],[2026]],"&lt;&gt;"""), ""),IF(Startseite!$D$68=(Refsz_Verbräuche[[#Headers],[2027]]-1),Refsz_Verbräuche[[#This Row],[2026]],IF(Startseite!$D$68&lt;Refsz_Verbräuche[[#Headers],[2027]],Refsz_Verbräuche[[#This Row],[2026]],"")))</f>
        <v/>
      </c>
      <c r="S118" s="110" t="str">
        <f>IF(Refsz_Verbräuche[[#Headers],[2028]]=Startseite!$D$68,IF(OR(SUMIF($F118:Refsz_Verbräuche[[#This Row],[2027]],"&gt;0")&gt;0,), AVERAGEIF($F118:Refsz_Verbräuche[[#This Row],[2027]],"&lt;&gt;"""), ""),IF(Startseite!$D$68=(Refsz_Verbräuche[[#Headers],[2028]]-1),Refsz_Verbräuche[[#This Row],[2027]],IF(Startseite!$D$68&lt;Refsz_Verbräuche[[#Headers],[2028]],Refsz_Verbräuche[[#This Row],[2027]],"")))</f>
        <v/>
      </c>
      <c r="T118" s="110" t="str">
        <f>IF(Refsz_Verbräuche[[#Headers],[2029]]=Startseite!$D$68,IF(OR(SUMIF($F118:Refsz_Verbräuche[[#This Row],[2028]],"&gt;0")&gt;0,), AVERAGEIF($F118:Refsz_Verbräuche[[#This Row],[2028]],"&lt;&gt;"""), ""),IF(Startseite!$D$68=(Refsz_Verbräuche[[#Headers],[2029]]-1),Refsz_Verbräuche[[#This Row],[2028]],IF(Startseite!$D$68&lt;Refsz_Verbräuche[[#Headers],[2029]],Refsz_Verbräuche[[#This Row],[2028]],"")))</f>
        <v/>
      </c>
      <c r="U118" s="110" t="str">
        <f>IF(Refsz_Verbräuche[[#Headers],[2030]]=Startseite!$D$68,IF(OR(SUMIF($F118:Refsz_Verbräuche[[#This Row],[2029]],"&gt;0")&gt;0,), AVERAGEIF($F118:Refsz_Verbräuche[[#This Row],[2029]],"&lt;&gt;"""), ""),IF(Startseite!$D$68=(Refsz_Verbräuche[[#Headers],[2030]]-1),Refsz_Verbräuche[[#This Row],[2029]],IF(Startseite!$D$68&lt;Refsz_Verbräuche[[#Headers],[2030]],Refsz_Verbräuche[[#This Row],[2029]],"")))</f>
        <v/>
      </c>
      <c r="V118" s="110" t="str">
        <f>IF(Refsz_Verbräuche[[#Headers],[2035]]=Startseite!$D$68,IF(OR(SUMIF($F118:Refsz_Verbräuche[[#This Row],[2030]],"&gt;0")&gt;0,), AVERAGEIF($F118:Refsz_Verbräuche[[#This Row],[2030]],"&lt;&gt;"""), ""),IF(Startseite!$D$68=(Refsz_Verbräuche[[#Headers],[2035]]-1),Refsz_Verbräuche[[#This Row],[2030]],IF(Startseite!$D$68&lt;Refsz_Verbräuche[[#Headers],[2035]],Refsz_Verbräuche[[#This Row],[2030]],"")))</f>
        <v/>
      </c>
      <c r="W118" s="110" t="str">
        <f>IF(Refsz_Verbräuche[[#Headers],[2040]]=Startseite!$D$68,IF(OR(SUMIF($F118:Refsz_Verbräuche[[#This Row],[2035]],"&gt;0")&gt;0,), AVERAGEIF($F118:Refsz_Verbräuche[[#This Row],[2035]],"&lt;&gt;"""), ""),IF(Startseite!$D$68=(Refsz_Verbräuche[[#Headers],[2040]]-1),Refsz_Verbräuche[[#This Row],[2035]],IF(Startseite!$D$68&lt;Refsz_Verbräuche[[#Headers],[2040]],Refsz_Verbräuche[[#This Row],[2035]],"")))</f>
        <v/>
      </c>
      <c r="X118" s="110" t="str">
        <f>IF(Refsz_Verbräuche[[#Headers],[2045]]=Startseite!$D$68,IF(OR(SUMIF($F118:Refsz_Verbräuche[[#This Row],[2040]],"&gt;0")&gt;0,), AVERAGEIF($F118:Refsz_Verbräuche[[#This Row],[2040]],"&lt;&gt;"""), ""),IF(Startseite!$D$68=(Refsz_Verbräuche[[#Headers],[2045]]-1),Refsz_Verbräuche[[#This Row],[2040]],IF(Startseite!$D$68&lt;Refsz_Verbräuche[[#Headers],[2045]],Refsz_Verbräuche[[#This Row],[2040]],"")))</f>
        <v/>
      </c>
      <c r="Y118" s="110" t="str">
        <f>IF(Refsz_Verbräuche[[#Headers],[2050]]=Startseite!$D$68,IF(OR(SUMIF($F118:Refsz_Verbräuche[[#This Row],[2045]],"&gt;0")&gt;0,), AVERAGEIF($F118:Refsz_Verbräuche[[#This Row],[2045]],"&lt;&gt;"""), ""),IF(Startseite!$D$68=(Refsz_Verbräuche[[#Headers],[2050]]-1),Refsz_Verbräuche[[#This Row],[2045]],IF(Startseite!$D$68&lt;Refsz_Verbräuche[[#Headers],[2050]],Refsz_Verbräuche[[#This Row],[2045]],"")))</f>
        <v/>
      </c>
      <c r="AA118" s="14"/>
    </row>
    <row r="119" spans="2:27">
      <c r="B119" s="14">
        <v>102</v>
      </c>
      <c r="C119" s="14" t="s">
        <v>516</v>
      </c>
      <c r="D119" s="146" t="s">
        <v>194</v>
      </c>
      <c r="E119" t="s">
        <v>180</v>
      </c>
      <c r="F119" s="110"/>
      <c r="G119" s="110"/>
      <c r="H119" s="110"/>
      <c r="I119" s="110"/>
      <c r="J119" s="110"/>
      <c r="K119" s="110"/>
      <c r="L119" s="110"/>
      <c r="M119" s="110" t="str">
        <f>IF(Refsz_Verbräuche[[#Headers],[2022]]=Startseite!$D$68,IF(OR(SUMIF($F119:Refsz_Verbräuche[[#This Row],[2021]],"&gt;0")&gt;0,), AVERAGEIF($F119:Refsz_Verbräuche[[#This Row],[2021]],"&lt;&gt;"""), ""),IF(Startseite!$D$68=(Refsz_Verbräuche[[#Headers],[2022]]-1),Refsz_Verbräuche[[#This Row],[2021]],IF(Startseite!$D$68&lt;Refsz_Verbräuche[[#Headers],[2022]],Refsz_Verbräuche[[#This Row],[2021]],"")))</f>
        <v/>
      </c>
      <c r="N119" s="110" t="str">
        <f>IF(Refsz_Verbräuche[[#Headers],[2023]]=Startseite!$D$68,IF(OR(SUMIF($F119:Refsz_Verbräuche[[#This Row],[2022]],"&gt;0")&gt;0,), AVERAGEIF($F119:Refsz_Verbräuche[[#This Row],[2022]],"&lt;&gt;"""), ""),IF(Startseite!$D$68=(Refsz_Verbräuche[[#Headers],[2023]]-1),Refsz_Verbräuche[[#This Row],[2022]],IF(Startseite!$D$68&lt;Refsz_Verbräuche[[#Headers],[2023]],Refsz_Verbräuche[[#This Row],[2022]],"")))</f>
        <v/>
      </c>
      <c r="O119" s="110" t="str">
        <f>IF(Refsz_Verbräuche[[#Headers],[2024]]=Startseite!$D$68,IF(OR(SUMIF($F119:Refsz_Verbräuche[[#This Row],[2023]],"&gt;0")&gt;0,), AVERAGEIF($F119:Refsz_Verbräuche[[#This Row],[2023]],"&lt;&gt;"""), ""),IF(Startseite!$D$68=(Refsz_Verbräuche[[#Headers],[2024]]-1),Refsz_Verbräuche[[#This Row],[2023]],IF(Startseite!$D$68&lt;Refsz_Verbräuche[[#Headers],[2024]],Refsz_Verbräuche[[#This Row],[2023]],"")))</f>
        <v/>
      </c>
      <c r="P119" s="110" t="str">
        <f>IF(Refsz_Verbräuche[[#Headers],[2025]]=Startseite!$D$68,IF(OR(SUMIF($F119:Refsz_Verbräuche[[#This Row],[2024]],"&gt;0")&gt;0,), AVERAGEIF($F119:Refsz_Verbräuche[[#This Row],[2024]],"&lt;&gt;"""), ""),IF(Startseite!$D$68=(Refsz_Verbräuche[[#Headers],[2025]]-1),Refsz_Verbräuche[[#This Row],[2024]],IF(Startseite!$D$68&lt;Refsz_Verbräuche[[#Headers],[2025]],Refsz_Verbräuche[[#This Row],[2024]],"")))</f>
        <v/>
      </c>
      <c r="Q119" s="110" t="str">
        <f>IF(Refsz_Verbräuche[[#Headers],[2026]]=Startseite!$D$68,IF(OR(SUMIF($F119:Refsz_Verbräuche[[#This Row],[2025]],"&gt;0")&gt;0,), AVERAGEIF($F119:Refsz_Verbräuche[[#This Row],[2025]],"&lt;&gt;"""), ""),IF(Startseite!$D$68=(Refsz_Verbräuche[[#Headers],[2026]]-1),Refsz_Verbräuche[[#This Row],[2025]],IF(Startseite!$D$68&lt;Refsz_Verbräuche[[#Headers],[2026]],Refsz_Verbräuche[[#This Row],[2025]],"")))</f>
        <v/>
      </c>
      <c r="R119" s="110" t="str">
        <f>IF(Refsz_Verbräuche[[#Headers],[2027]]=Startseite!$D$68,IF(OR(SUMIF($F119:Refsz_Verbräuche[[#This Row],[2026]],"&gt;0")&gt;0,), AVERAGEIF($F119:Refsz_Verbräuche[[#This Row],[2026]],"&lt;&gt;"""), ""),IF(Startseite!$D$68=(Refsz_Verbräuche[[#Headers],[2027]]-1),Refsz_Verbräuche[[#This Row],[2026]],IF(Startseite!$D$68&lt;Refsz_Verbräuche[[#Headers],[2027]],Refsz_Verbräuche[[#This Row],[2026]],"")))</f>
        <v/>
      </c>
      <c r="S119" s="110" t="str">
        <f>IF(Refsz_Verbräuche[[#Headers],[2028]]=Startseite!$D$68,IF(OR(SUMIF($F119:Refsz_Verbräuche[[#This Row],[2027]],"&gt;0")&gt;0,), AVERAGEIF($F119:Refsz_Verbräuche[[#This Row],[2027]],"&lt;&gt;"""), ""),IF(Startseite!$D$68=(Refsz_Verbräuche[[#Headers],[2028]]-1),Refsz_Verbräuche[[#This Row],[2027]],IF(Startseite!$D$68&lt;Refsz_Verbräuche[[#Headers],[2028]],Refsz_Verbräuche[[#This Row],[2027]],"")))</f>
        <v/>
      </c>
      <c r="T119" s="110" t="str">
        <f>IF(Refsz_Verbräuche[[#Headers],[2029]]=Startseite!$D$68,IF(OR(SUMIF($F119:Refsz_Verbräuche[[#This Row],[2028]],"&gt;0")&gt;0,), AVERAGEIF($F119:Refsz_Verbräuche[[#This Row],[2028]],"&lt;&gt;"""), ""),IF(Startseite!$D$68=(Refsz_Verbräuche[[#Headers],[2029]]-1),Refsz_Verbräuche[[#This Row],[2028]],IF(Startseite!$D$68&lt;Refsz_Verbräuche[[#Headers],[2029]],Refsz_Verbräuche[[#This Row],[2028]],"")))</f>
        <v/>
      </c>
      <c r="U119" s="110" t="str">
        <f>IF(Refsz_Verbräuche[[#Headers],[2030]]=Startseite!$D$68,IF(OR(SUMIF($F119:Refsz_Verbräuche[[#This Row],[2029]],"&gt;0")&gt;0,), AVERAGEIF($F119:Refsz_Verbräuche[[#This Row],[2029]],"&lt;&gt;"""), ""),IF(Startseite!$D$68=(Refsz_Verbräuche[[#Headers],[2030]]-1),Refsz_Verbräuche[[#This Row],[2029]],IF(Startseite!$D$68&lt;Refsz_Verbräuche[[#Headers],[2030]],Refsz_Verbräuche[[#This Row],[2029]],"")))</f>
        <v/>
      </c>
      <c r="V119" s="110" t="str">
        <f>IF(Refsz_Verbräuche[[#Headers],[2035]]=Startseite!$D$68,IF(OR(SUMIF($F119:Refsz_Verbräuche[[#This Row],[2030]],"&gt;0")&gt;0,), AVERAGEIF($F119:Refsz_Verbräuche[[#This Row],[2030]],"&lt;&gt;"""), ""),IF(Startseite!$D$68=(Refsz_Verbräuche[[#Headers],[2035]]-1),Refsz_Verbräuche[[#This Row],[2030]],IF(Startseite!$D$68&lt;Refsz_Verbräuche[[#Headers],[2035]],Refsz_Verbräuche[[#This Row],[2030]],"")))</f>
        <v/>
      </c>
      <c r="W119" s="110" t="str">
        <f>IF(Refsz_Verbräuche[[#Headers],[2040]]=Startseite!$D$68,IF(OR(SUMIF($F119:Refsz_Verbräuche[[#This Row],[2035]],"&gt;0")&gt;0,), AVERAGEIF($F119:Refsz_Verbräuche[[#This Row],[2035]],"&lt;&gt;"""), ""),IF(Startseite!$D$68=(Refsz_Verbräuche[[#Headers],[2040]]-1),Refsz_Verbräuche[[#This Row],[2035]],IF(Startseite!$D$68&lt;Refsz_Verbräuche[[#Headers],[2040]],Refsz_Verbräuche[[#This Row],[2035]],"")))</f>
        <v/>
      </c>
      <c r="X119" s="110" t="str">
        <f>IF(Refsz_Verbräuche[[#Headers],[2045]]=Startseite!$D$68,IF(OR(SUMIF($F119:Refsz_Verbräuche[[#This Row],[2040]],"&gt;0")&gt;0,), AVERAGEIF($F119:Refsz_Verbräuche[[#This Row],[2040]],"&lt;&gt;"""), ""),IF(Startseite!$D$68=(Refsz_Verbräuche[[#Headers],[2045]]-1),Refsz_Verbräuche[[#This Row],[2040]],IF(Startseite!$D$68&lt;Refsz_Verbräuche[[#Headers],[2045]],Refsz_Verbräuche[[#This Row],[2040]],"")))</f>
        <v/>
      </c>
      <c r="Y119" s="110" t="str">
        <f>IF(Refsz_Verbräuche[[#Headers],[2050]]=Startseite!$D$68,IF(OR(SUMIF($F119:Refsz_Verbräuche[[#This Row],[2045]],"&gt;0")&gt;0,), AVERAGEIF($F119:Refsz_Verbräuche[[#This Row],[2045]],"&lt;&gt;"""), ""),IF(Startseite!$D$68=(Refsz_Verbräuche[[#Headers],[2050]]-1),Refsz_Verbräuche[[#This Row],[2045]],IF(Startseite!$D$68&lt;Refsz_Verbräuche[[#Headers],[2050]],Refsz_Verbräuche[[#This Row],[2045]],"")))</f>
        <v/>
      </c>
      <c r="AA119" s="14"/>
    </row>
    <row r="120" spans="2:27">
      <c r="B120" s="14">
        <v>103</v>
      </c>
      <c r="C120" s="14" t="s">
        <v>516</v>
      </c>
      <c r="D120" s="9" t="s">
        <v>56</v>
      </c>
      <c r="E120" t="s">
        <v>180</v>
      </c>
      <c r="F120" s="110"/>
      <c r="G120" s="110"/>
      <c r="H120" s="110"/>
      <c r="I120" s="110"/>
      <c r="J120" s="110"/>
      <c r="K120" s="110"/>
      <c r="L120" s="110"/>
      <c r="M120" s="110" t="str">
        <f>IF(Refsz_Verbräuche[[#Headers],[2022]]=Startseite!$D$68,IF(OR(SUMIF($F120:Refsz_Verbräuche[[#This Row],[2021]],"&gt;0")&gt;0,), AVERAGEIF($F120:Refsz_Verbräuche[[#This Row],[2021]],"&lt;&gt;"""), ""),IF(Startseite!$D$68=(Refsz_Verbräuche[[#Headers],[2022]]-1),Refsz_Verbräuche[[#This Row],[2021]],IF(Startseite!$D$68&lt;Refsz_Verbräuche[[#Headers],[2022]],Refsz_Verbräuche[[#This Row],[2021]],"")))</f>
        <v/>
      </c>
      <c r="N120" s="110" t="str">
        <f>IF(Refsz_Verbräuche[[#Headers],[2023]]=Startseite!$D$68,IF(OR(SUMIF($F120:Refsz_Verbräuche[[#This Row],[2022]],"&gt;0")&gt;0,), AVERAGEIF($F120:Refsz_Verbräuche[[#This Row],[2022]],"&lt;&gt;"""), ""),IF(Startseite!$D$68=(Refsz_Verbräuche[[#Headers],[2023]]-1),Refsz_Verbräuche[[#This Row],[2022]],IF(Startseite!$D$68&lt;Refsz_Verbräuche[[#Headers],[2023]],Refsz_Verbräuche[[#This Row],[2022]],"")))</f>
        <v/>
      </c>
      <c r="O120" s="110" t="str">
        <f>IF(Refsz_Verbräuche[[#Headers],[2024]]=Startseite!$D$68,IF(OR(SUMIF($F120:Refsz_Verbräuche[[#This Row],[2023]],"&gt;0")&gt;0,), AVERAGEIF($F120:Refsz_Verbräuche[[#This Row],[2023]],"&lt;&gt;"""), ""),IF(Startseite!$D$68=(Refsz_Verbräuche[[#Headers],[2024]]-1),Refsz_Verbräuche[[#This Row],[2023]],IF(Startseite!$D$68&lt;Refsz_Verbräuche[[#Headers],[2024]],Refsz_Verbräuche[[#This Row],[2023]],"")))</f>
        <v/>
      </c>
      <c r="P120" s="110" t="str">
        <f>IF(Refsz_Verbräuche[[#Headers],[2025]]=Startseite!$D$68,IF(OR(SUMIF($F120:Refsz_Verbräuche[[#This Row],[2024]],"&gt;0")&gt;0,), AVERAGEIF($F120:Refsz_Verbräuche[[#This Row],[2024]],"&lt;&gt;"""), ""),IF(Startseite!$D$68=(Refsz_Verbräuche[[#Headers],[2025]]-1),Refsz_Verbräuche[[#This Row],[2024]],IF(Startseite!$D$68&lt;Refsz_Verbräuche[[#Headers],[2025]],Refsz_Verbräuche[[#This Row],[2024]],"")))</f>
        <v/>
      </c>
      <c r="Q120" s="110" t="str">
        <f>IF(Refsz_Verbräuche[[#Headers],[2026]]=Startseite!$D$68,IF(OR(SUMIF($F120:Refsz_Verbräuche[[#This Row],[2025]],"&gt;0")&gt;0,), AVERAGEIF($F120:Refsz_Verbräuche[[#This Row],[2025]],"&lt;&gt;"""), ""),IF(Startseite!$D$68=(Refsz_Verbräuche[[#Headers],[2026]]-1),Refsz_Verbräuche[[#This Row],[2025]],IF(Startseite!$D$68&lt;Refsz_Verbräuche[[#Headers],[2026]],Refsz_Verbräuche[[#This Row],[2025]],"")))</f>
        <v/>
      </c>
      <c r="R120" s="110" t="str">
        <f>IF(Refsz_Verbräuche[[#Headers],[2027]]=Startseite!$D$68,IF(OR(SUMIF($F120:Refsz_Verbräuche[[#This Row],[2026]],"&gt;0")&gt;0,), AVERAGEIF($F120:Refsz_Verbräuche[[#This Row],[2026]],"&lt;&gt;"""), ""),IF(Startseite!$D$68=(Refsz_Verbräuche[[#Headers],[2027]]-1),Refsz_Verbräuche[[#This Row],[2026]],IF(Startseite!$D$68&lt;Refsz_Verbräuche[[#Headers],[2027]],Refsz_Verbräuche[[#This Row],[2026]],"")))</f>
        <v/>
      </c>
      <c r="S120" s="110" t="str">
        <f>IF(Refsz_Verbräuche[[#Headers],[2028]]=Startseite!$D$68,IF(OR(SUMIF($F120:Refsz_Verbräuche[[#This Row],[2027]],"&gt;0")&gt;0,), AVERAGEIF($F120:Refsz_Verbräuche[[#This Row],[2027]],"&lt;&gt;"""), ""),IF(Startseite!$D$68=(Refsz_Verbräuche[[#Headers],[2028]]-1),Refsz_Verbräuche[[#This Row],[2027]],IF(Startseite!$D$68&lt;Refsz_Verbräuche[[#Headers],[2028]],Refsz_Verbräuche[[#This Row],[2027]],"")))</f>
        <v/>
      </c>
      <c r="T120" s="110" t="str">
        <f>IF(Refsz_Verbräuche[[#Headers],[2029]]=Startseite!$D$68,IF(OR(SUMIF($F120:Refsz_Verbräuche[[#This Row],[2028]],"&gt;0")&gt;0,), AVERAGEIF($F120:Refsz_Verbräuche[[#This Row],[2028]],"&lt;&gt;"""), ""),IF(Startseite!$D$68=(Refsz_Verbräuche[[#Headers],[2029]]-1),Refsz_Verbräuche[[#This Row],[2028]],IF(Startseite!$D$68&lt;Refsz_Verbräuche[[#Headers],[2029]],Refsz_Verbräuche[[#This Row],[2028]],"")))</f>
        <v/>
      </c>
      <c r="U120" s="110" t="str">
        <f>IF(Refsz_Verbräuche[[#Headers],[2030]]=Startseite!$D$68,IF(OR(SUMIF($F120:Refsz_Verbräuche[[#This Row],[2029]],"&gt;0")&gt;0,), AVERAGEIF($F120:Refsz_Verbräuche[[#This Row],[2029]],"&lt;&gt;"""), ""),IF(Startseite!$D$68=(Refsz_Verbräuche[[#Headers],[2030]]-1),Refsz_Verbräuche[[#This Row],[2029]],IF(Startseite!$D$68&lt;Refsz_Verbräuche[[#Headers],[2030]],Refsz_Verbräuche[[#This Row],[2029]],"")))</f>
        <v/>
      </c>
      <c r="V120" s="110" t="str">
        <f>IF(Refsz_Verbräuche[[#Headers],[2035]]=Startseite!$D$68,IF(OR(SUMIF($F120:Refsz_Verbräuche[[#This Row],[2030]],"&gt;0")&gt;0,), AVERAGEIF($F120:Refsz_Verbräuche[[#This Row],[2030]],"&lt;&gt;"""), ""),IF(Startseite!$D$68=(Refsz_Verbräuche[[#Headers],[2035]]-1),Refsz_Verbräuche[[#This Row],[2030]],IF(Startseite!$D$68&lt;Refsz_Verbräuche[[#Headers],[2035]],Refsz_Verbräuche[[#This Row],[2030]],"")))</f>
        <v/>
      </c>
      <c r="W120" s="110" t="str">
        <f>IF(Refsz_Verbräuche[[#Headers],[2040]]=Startseite!$D$68,IF(OR(SUMIF($F120:Refsz_Verbräuche[[#This Row],[2035]],"&gt;0")&gt;0,), AVERAGEIF($F120:Refsz_Verbräuche[[#This Row],[2035]],"&lt;&gt;"""), ""),IF(Startseite!$D$68=(Refsz_Verbräuche[[#Headers],[2040]]-1),Refsz_Verbräuche[[#This Row],[2035]],IF(Startseite!$D$68&lt;Refsz_Verbräuche[[#Headers],[2040]],Refsz_Verbräuche[[#This Row],[2035]],"")))</f>
        <v/>
      </c>
      <c r="X120" s="110" t="str">
        <f>IF(Refsz_Verbräuche[[#Headers],[2045]]=Startseite!$D$68,IF(OR(SUMIF($F120:Refsz_Verbräuche[[#This Row],[2040]],"&gt;0")&gt;0,), AVERAGEIF($F120:Refsz_Verbräuche[[#This Row],[2040]],"&lt;&gt;"""), ""),IF(Startseite!$D$68=(Refsz_Verbräuche[[#Headers],[2045]]-1),Refsz_Verbräuche[[#This Row],[2040]],IF(Startseite!$D$68&lt;Refsz_Verbräuche[[#Headers],[2045]],Refsz_Verbräuche[[#This Row],[2040]],"")))</f>
        <v/>
      </c>
      <c r="Y120" s="110" t="str">
        <f>IF(Refsz_Verbräuche[[#Headers],[2050]]=Startseite!$D$68,IF(OR(SUMIF($F120:Refsz_Verbräuche[[#This Row],[2045]],"&gt;0")&gt;0,), AVERAGEIF($F120:Refsz_Verbräuche[[#This Row],[2045]],"&lt;&gt;"""), ""),IF(Startseite!$D$68=(Refsz_Verbräuche[[#Headers],[2050]]-1),Refsz_Verbräuche[[#This Row],[2045]],IF(Startseite!$D$68&lt;Refsz_Verbräuche[[#Headers],[2050]],Refsz_Verbräuche[[#This Row],[2045]],"")))</f>
        <v/>
      </c>
      <c r="AA120" s="14"/>
    </row>
    <row r="121" spans="2:27">
      <c r="B121" s="14">
        <v>104</v>
      </c>
      <c r="C121" s="14"/>
      <c r="D121" s="9"/>
      <c r="E121" s="9"/>
      <c r="F121" s="110"/>
      <c r="G121" s="110"/>
      <c r="H121" s="110"/>
      <c r="I121" s="110"/>
      <c r="J121" s="110"/>
      <c r="K121" s="110"/>
      <c r="L121" s="110"/>
      <c r="M121" s="110" t="str">
        <f>IF(Refsz_Verbräuche[[#Headers],[2022]]=Startseite!$D$68,IF(OR(SUMIF($F121:Refsz_Verbräuche[[#This Row],[2021]],"&gt;0")&gt;0,), AVERAGEIF($F121:Refsz_Verbräuche[[#This Row],[2021]],"&lt;&gt;"""), ""),IF(Startseite!$D$68=(Refsz_Verbräuche[[#Headers],[2022]]-1),Refsz_Verbräuche[[#This Row],[2021]],IF(Startseite!$D$68&lt;Refsz_Verbräuche[[#Headers],[2022]],Refsz_Verbräuche[[#This Row],[2021]],"")))</f>
        <v/>
      </c>
      <c r="N121" s="110" t="str">
        <f>IF(Refsz_Verbräuche[[#Headers],[2023]]=Startseite!$D$68,IF(OR(SUMIF($F121:Refsz_Verbräuche[[#This Row],[2022]],"&gt;0")&gt;0,), AVERAGEIF($F121:Refsz_Verbräuche[[#This Row],[2022]],"&lt;&gt;"""), ""),IF(Startseite!$D$68=(Refsz_Verbräuche[[#Headers],[2023]]-1),Refsz_Verbräuche[[#This Row],[2022]],IF(Startseite!$D$68&lt;Refsz_Verbräuche[[#Headers],[2023]],Refsz_Verbräuche[[#This Row],[2022]],"")))</f>
        <v/>
      </c>
      <c r="O121" s="110" t="str">
        <f>IF(Refsz_Verbräuche[[#Headers],[2024]]=Startseite!$D$68,IF(OR(SUMIF($F121:Refsz_Verbräuche[[#This Row],[2023]],"&gt;0")&gt;0,), AVERAGEIF($F121:Refsz_Verbräuche[[#This Row],[2023]],"&lt;&gt;"""), ""),IF(Startseite!$D$68=(Refsz_Verbräuche[[#Headers],[2024]]-1),Refsz_Verbräuche[[#This Row],[2023]],IF(Startseite!$D$68&lt;Refsz_Verbräuche[[#Headers],[2024]],Refsz_Verbräuche[[#This Row],[2023]],"")))</f>
        <v/>
      </c>
      <c r="P121" s="110" t="str">
        <f>IF(Refsz_Verbräuche[[#Headers],[2025]]=Startseite!$D$68,IF(OR(SUMIF($F121:Refsz_Verbräuche[[#This Row],[2024]],"&gt;0")&gt;0,), AVERAGEIF($F121:Refsz_Verbräuche[[#This Row],[2024]],"&lt;&gt;"""), ""),IF(Startseite!$D$68=(Refsz_Verbräuche[[#Headers],[2025]]-1),Refsz_Verbräuche[[#This Row],[2024]],IF(Startseite!$D$68&lt;Refsz_Verbräuche[[#Headers],[2025]],Refsz_Verbräuche[[#This Row],[2024]],"")))</f>
        <v/>
      </c>
      <c r="Q121" s="110" t="str">
        <f>IF(Refsz_Verbräuche[[#Headers],[2026]]=Startseite!$D$68,IF(OR(SUMIF($F121:Refsz_Verbräuche[[#This Row],[2025]],"&gt;0")&gt;0,), AVERAGEIF($F121:Refsz_Verbräuche[[#This Row],[2025]],"&lt;&gt;"""), ""),IF(Startseite!$D$68=(Refsz_Verbräuche[[#Headers],[2026]]-1),Refsz_Verbräuche[[#This Row],[2025]],IF(Startseite!$D$68&lt;Refsz_Verbräuche[[#Headers],[2026]],Refsz_Verbräuche[[#This Row],[2025]],"")))</f>
        <v/>
      </c>
      <c r="R121" s="110" t="str">
        <f>IF(Refsz_Verbräuche[[#Headers],[2027]]=Startseite!$D$68,IF(OR(SUMIF($F121:Refsz_Verbräuche[[#This Row],[2026]],"&gt;0")&gt;0,), AVERAGEIF($F121:Refsz_Verbräuche[[#This Row],[2026]],"&lt;&gt;"""), ""),IF(Startseite!$D$68=(Refsz_Verbräuche[[#Headers],[2027]]-1),Refsz_Verbräuche[[#This Row],[2026]],IF(Startseite!$D$68&lt;Refsz_Verbräuche[[#Headers],[2027]],Refsz_Verbräuche[[#This Row],[2026]],"")))</f>
        <v/>
      </c>
      <c r="S121" s="110" t="str">
        <f>IF(Refsz_Verbräuche[[#Headers],[2028]]=Startseite!$D$68,IF(OR(SUMIF($F121:Refsz_Verbräuche[[#This Row],[2027]],"&gt;0")&gt;0,), AVERAGEIF($F121:Refsz_Verbräuche[[#This Row],[2027]],"&lt;&gt;"""), ""),IF(Startseite!$D$68=(Refsz_Verbräuche[[#Headers],[2028]]-1),Refsz_Verbräuche[[#This Row],[2027]],IF(Startseite!$D$68&lt;Refsz_Verbräuche[[#Headers],[2028]],Refsz_Verbräuche[[#This Row],[2027]],"")))</f>
        <v/>
      </c>
      <c r="T121" s="110" t="str">
        <f>IF(Refsz_Verbräuche[[#Headers],[2029]]=Startseite!$D$68,IF(OR(SUMIF($F121:Refsz_Verbräuche[[#This Row],[2028]],"&gt;0")&gt;0,), AVERAGEIF($F121:Refsz_Verbräuche[[#This Row],[2028]],"&lt;&gt;"""), ""),IF(Startseite!$D$68=(Refsz_Verbräuche[[#Headers],[2029]]-1),Refsz_Verbräuche[[#This Row],[2028]],IF(Startseite!$D$68&lt;Refsz_Verbräuche[[#Headers],[2029]],Refsz_Verbräuche[[#This Row],[2028]],"")))</f>
        <v/>
      </c>
      <c r="U121" s="110" t="str">
        <f>IF(Refsz_Verbräuche[[#Headers],[2030]]=Startseite!$D$68,IF(OR(SUMIF($F121:Refsz_Verbräuche[[#This Row],[2029]],"&gt;0")&gt;0,), AVERAGEIF($F121:Refsz_Verbräuche[[#This Row],[2029]],"&lt;&gt;"""), ""),IF(Startseite!$D$68=(Refsz_Verbräuche[[#Headers],[2030]]-1),Refsz_Verbräuche[[#This Row],[2029]],IF(Startseite!$D$68&lt;Refsz_Verbräuche[[#Headers],[2030]],Refsz_Verbräuche[[#This Row],[2029]],"")))</f>
        <v/>
      </c>
      <c r="V121" s="110" t="str">
        <f>IF(Refsz_Verbräuche[[#Headers],[2035]]=Startseite!$D$68,IF(OR(SUMIF($F121:Refsz_Verbräuche[[#This Row],[2030]],"&gt;0")&gt;0,), AVERAGEIF($F121:Refsz_Verbräuche[[#This Row],[2030]],"&lt;&gt;"""), ""),IF(Startseite!$D$68=(Refsz_Verbräuche[[#Headers],[2035]]-1),Refsz_Verbräuche[[#This Row],[2030]],IF(Startseite!$D$68&lt;Refsz_Verbräuche[[#Headers],[2035]],Refsz_Verbräuche[[#This Row],[2030]],"")))</f>
        <v/>
      </c>
      <c r="W121" s="110" t="str">
        <f>IF(Refsz_Verbräuche[[#Headers],[2040]]=Startseite!$D$68,IF(OR(SUMIF($F121:Refsz_Verbräuche[[#This Row],[2035]],"&gt;0")&gt;0,), AVERAGEIF($F121:Refsz_Verbräuche[[#This Row],[2035]],"&lt;&gt;"""), ""),IF(Startseite!$D$68=(Refsz_Verbräuche[[#Headers],[2040]]-1),Refsz_Verbräuche[[#This Row],[2035]],IF(Startseite!$D$68&lt;Refsz_Verbräuche[[#Headers],[2040]],Refsz_Verbräuche[[#This Row],[2035]],"")))</f>
        <v/>
      </c>
      <c r="X121" s="110" t="str">
        <f>IF(Refsz_Verbräuche[[#Headers],[2045]]=Startseite!$D$68,IF(OR(SUMIF($F121:Refsz_Verbräuche[[#This Row],[2040]],"&gt;0")&gt;0,), AVERAGEIF($F121:Refsz_Verbräuche[[#This Row],[2040]],"&lt;&gt;"""), ""),IF(Startseite!$D$68=(Refsz_Verbräuche[[#Headers],[2045]]-1),Refsz_Verbräuche[[#This Row],[2040]],IF(Startseite!$D$68&lt;Refsz_Verbräuche[[#Headers],[2045]],Refsz_Verbräuche[[#This Row],[2040]],"")))</f>
        <v/>
      </c>
      <c r="Y121" s="110" t="str">
        <f>IF(Refsz_Verbräuche[[#Headers],[2050]]=Startseite!$D$68,IF(OR(SUMIF($F121:Refsz_Verbräuche[[#This Row],[2045]],"&gt;0")&gt;0,), AVERAGEIF($F121:Refsz_Verbräuche[[#This Row],[2045]],"&lt;&gt;"""), ""),IF(Startseite!$D$68=(Refsz_Verbräuche[[#Headers],[2050]]-1),Refsz_Verbräuche[[#This Row],[2045]],IF(Startseite!$D$68&lt;Refsz_Verbräuche[[#Headers],[2050]],Refsz_Verbräuche[[#This Row],[2045]],"")))</f>
        <v/>
      </c>
      <c r="AA121" s="14"/>
    </row>
    <row r="122" spans="2:27">
      <c r="B122" s="14">
        <v>105</v>
      </c>
      <c r="C122" s="14" t="s">
        <v>201</v>
      </c>
      <c r="D122" s="9" t="s">
        <v>52</v>
      </c>
      <c r="E122" t="s">
        <v>178</v>
      </c>
      <c r="F122" s="110"/>
      <c r="G122" s="110"/>
      <c r="H122" s="110"/>
      <c r="I122" s="110"/>
      <c r="J122" s="110"/>
      <c r="K122" s="110"/>
      <c r="L122" s="110"/>
      <c r="M122" s="110" t="str">
        <f>IF(Refsz_Verbräuche[[#Headers],[2022]]=Startseite!$D$68,IF(OR(SUMIF($F122:Refsz_Verbräuche[[#This Row],[2021]],"&gt;0")&gt;0,), AVERAGEIF($F122:Refsz_Verbräuche[[#This Row],[2021]],"&lt;&gt;"""), ""),IF(Startseite!$D$68=(Refsz_Verbräuche[[#Headers],[2022]]-1),Refsz_Verbräuche[[#This Row],[2021]],IF(Startseite!$D$68&lt;Refsz_Verbräuche[[#Headers],[2022]],Refsz_Verbräuche[[#This Row],[2021]],"")))</f>
        <v/>
      </c>
      <c r="N122" s="110" t="str">
        <f>IF(Refsz_Verbräuche[[#Headers],[2023]]=Startseite!$D$68,IF(OR(SUMIF($F122:Refsz_Verbräuche[[#This Row],[2022]],"&gt;0")&gt;0,), AVERAGEIF($F122:Refsz_Verbräuche[[#This Row],[2022]],"&lt;&gt;"""), ""),IF(Startseite!$D$68=(Refsz_Verbräuche[[#Headers],[2023]]-1),Refsz_Verbräuche[[#This Row],[2022]],IF(Startseite!$D$68&lt;Refsz_Verbräuche[[#Headers],[2023]],Refsz_Verbräuche[[#This Row],[2022]],"")))</f>
        <v/>
      </c>
      <c r="O122" s="110" t="str">
        <f>IF(Refsz_Verbräuche[[#Headers],[2024]]=Startseite!$D$68,IF(OR(SUMIF($F122:Refsz_Verbräuche[[#This Row],[2023]],"&gt;0")&gt;0,), AVERAGEIF($F122:Refsz_Verbräuche[[#This Row],[2023]],"&lt;&gt;"""), ""),IF(Startseite!$D$68=(Refsz_Verbräuche[[#Headers],[2024]]-1),Refsz_Verbräuche[[#This Row],[2023]],IF(Startseite!$D$68&lt;Refsz_Verbräuche[[#Headers],[2024]],Refsz_Verbräuche[[#This Row],[2023]],"")))</f>
        <v/>
      </c>
      <c r="P122" s="110" t="str">
        <f>IF(Refsz_Verbräuche[[#Headers],[2025]]=Startseite!$D$68,IF(OR(SUMIF($F122:Refsz_Verbräuche[[#This Row],[2024]],"&gt;0")&gt;0,), AVERAGEIF($F122:Refsz_Verbräuche[[#This Row],[2024]],"&lt;&gt;"""), ""),IF(Startseite!$D$68=(Refsz_Verbräuche[[#Headers],[2025]]-1),Refsz_Verbräuche[[#This Row],[2024]],IF(Startseite!$D$68&lt;Refsz_Verbräuche[[#Headers],[2025]],Refsz_Verbräuche[[#This Row],[2024]],"")))</f>
        <v/>
      </c>
      <c r="Q122" s="110" t="str">
        <f>IF(Refsz_Verbräuche[[#Headers],[2026]]=Startseite!$D$68,IF(OR(SUMIF($F122:Refsz_Verbräuche[[#This Row],[2025]],"&gt;0")&gt;0,), AVERAGEIF($F122:Refsz_Verbräuche[[#This Row],[2025]],"&lt;&gt;"""), ""),IF(Startseite!$D$68=(Refsz_Verbräuche[[#Headers],[2026]]-1),Refsz_Verbräuche[[#This Row],[2025]],IF(Startseite!$D$68&lt;Refsz_Verbräuche[[#Headers],[2026]],Refsz_Verbräuche[[#This Row],[2025]],"")))</f>
        <v/>
      </c>
      <c r="R122" s="110" t="str">
        <f>IF(Refsz_Verbräuche[[#Headers],[2027]]=Startseite!$D$68,IF(OR(SUMIF($F122:Refsz_Verbräuche[[#This Row],[2026]],"&gt;0")&gt;0,), AVERAGEIF($F122:Refsz_Verbräuche[[#This Row],[2026]],"&lt;&gt;"""), ""),IF(Startseite!$D$68=(Refsz_Verbräuche[[#Headers],[2027]]-1),Refsz_Verbräuche[[#This Row],[2026]],IF(Startseite!$D$68&lt;Refsz_Verbräuche[[#Headers],[2027]],Refsz_Verbräuche[[#This Row],[2026]],"")))</f>
        <v/>
      </c>
      <c r="S122" s="110" t="str">
        <f>IF(Refsz_Verbräuche[[#Headers],[2028]]=Startseite!$D$68,IF(OR(SUMIF($F122:Refsz_Verbräuche[[#This Row],[2027]],"&gt;0")&gt;0,), AVERAGEIF($F122:Refsz_Verbräuche[[#This Row],[2027]],"&lt;&gt;"""), ""),IF(Startseite!$D$68=(Refsz_Verbräuche[[#Headers],[2028]]-1),Refsz_Verbräuche[[#This Row],[2027]],IF(Startseite!$D$68&lt;Refsz_Verbräuche[[#Headers],[2028]],Refsz_Verbräuche[[#This Row],[2027]],"")))</f>
        <v/>
      </c>
      <c r="T122" s="110" t="str">
        <f>IF(Refsz_Verbräuche[[#Headers],[2029]]=Startseite!$D$68,IF(OR(SUMIF($F122:Refsz_Verbräuche[[#This Row],[2028]],"&gt;0")&gt;0,), AVERAGEIF($F122:Refsz_Verbräuche[[#This Row],[2028]],"&lt;&gt;"""), ""),IF(Startseite!$D$68=(Refsz_Verbräuche[[#Headers],[2029]]-1),Refsz_Verbräuche[[#This Row],[2028]],IF(Startseite!$D$68&lt;Refsz_Verbräuche[[#Headers],[2029]],Refsz_Verbräuche[[#This Row],[2028]],"")))</f>
        <v/>
      </c>
      <c r="U122" s="110" t="str">
        <f>IF(Refsz_Verbräuche[[#Headers],[2030]]=Startseite!$D$68,IF(OR(SUMIF($F122:Refsz_Verbräuche[[#This Row],[2029]],"&gt;0")&gt;0,), AVERAGEIF($F122:Refsz_Verbräuche[[#This Row],[2029]],"&lt;&gt;"""), ""),IF(Startseite!$D$68=(Refsz_Verbräuche[[#Headers],[2030]]-1),Refsz_Verbräuche[[#This Row],[2029]],IF(Startseite!$D$68&lt;Refsz_Verbräuche[[#Headers],[2030]],Refsz_Verbräuche[[#This Row],[2029]],"")))</f>
        <v/>
      </c>
      <c r="V122" s="110" t="str">
        <f>IF(Refsz_Verbräuche[[#Headers],[2035]]=Startseite!$D$68,IF(OR(SUMIF($F122:Refsz_Verbräuche[[#This Row],[2030]],"&gt;0")&gt;0,), AVERAGEIF($F122:Refsz_Verbräuche[[#This Row],[2030]],"&lt;&gt;"""), ""),IF(Startseite!$D$68=(Refsz_Verbräuche[[#Headers],[2035]]-1),Refsz_Verbräuche[[#This Row],[2030]],IF(Startseite!$D$68&lt;Refsz_Verbräuche[[#Headers],[2035]],Refsz_Verbräuche[[#This Row],[2030]],"")))</f>
        <v/>
      </c>
      <c r="W122" s="110" t="str">
        <f>IF(Refsz_Verbräuche[[#Headers],[2040]]=Startseite!$D$68,IF(OR(SUMIF($F122:Refsz_Verbräuche[[#This Row],[2035]],"&gt;0")&gt;0,), AVERAGEIF($F122:Refsz_Verbräuche[[#This Row],[2035]],"&lt;&gt;"""), ""),IF(Startseite!$D$68=(Refsz_Verbräuche[[#Headers],[2040]]-1),Refsz_Verbräuche[[#This Row],[2035]],IF(Startseite!$D$68&lt;Refsz_Verbräuche[[#Headers],[2040]],Refsz_Verbräuche[[#This Row],[2035]],"")))</f>
        <v/>
      </c>
      <c r="X122" s="110" t="str">
        <f>IF(Refsz_Verbräuche[[#Headers],[2045]]=Startseite!$D$68,IF(OR(SUMIF($F122:Refsz_Verbräuche[[#This Row],[2040]],"&gt;0")&gt;0,), AVERAGEIF($F122:Refsz_Verbräuche[[#This Row],[2040]],"&lt;&gt;"""), ""),IF(Startseite!$D$68=(Refsz_Verbräuche[[#Headers],[2045]]-1),Refsz_Verbräuche[[#This Row],[2040]],IF(Startseite!$D$68&lt;Refsz_Verbräuche[[#Headers],[2045]],Refsz_Verbräuche[[#This Row],[2040]],"")))</f>
        <v/>
      </c>
      <c r="Y122" s="110" t="str">
        <f>IF(Refsz_Verbräuche[[#Headers],[2050]]=Startseite!$D$68,IF(OR(SUMIF($F122:Refsz_Verbräuche[[#This Row],[2045]],"&gt;0")&gt;0,), AVERAGEIF($F122:Refsz_Verbräuche[[#This Row],[2045]],"&lt;&gt;"""), ""),IF(Startseite!$D$68=(Refsz_Verbräuche[[#Headers],[2050]]-1),Refsz_Verbräuche[[#This Row],[2045]],IF(Startseite!$D$68&lt;Refsz_Verbräuche[[#Headers],[2050]],Refsz_Verbräuche[[#This Row],[2045]],"")))</f>
        <v/>
      </c>
      <c r="AA122" s="14"/>
    </row>
    <row r="123" spans="2:27">
      <c r="B123" s="14">
        <v>106</v>
      </c>
      <c r="C123" s="14" t="s">
        <v>201</v>
      </c>
      <c r="D123" s="9" t="s">
        <v>51</v>
      </c>
      <c r="E123" t="s">
        <v>178</v>
      </c>
      <c r="F123" s="110"/>
      <c r="G123" s="110"/>
      <c r="H123" s="110"/>
      <c r="I123" s="110"/>
      <c r="J123" s="110"/>
      <c r="K123" s="110"/>
      <c r="L123" s="110"/>
      <c r="M123" s="110" t="str">
        <f>IF(Refsz_Verbräuche[[#Headers],[2022]]=Startseite!$D$68,IF(OR(SUMIF($F123:Refsz_Verbräuche[[#This Row],[2021]],"&gt;0")&gt;0,), AVERAGEIF($F123:Refsz_Verbräuche[[#This Row],[2021]],"&lt;&gt;"""), ""),IF(Startseite!$D$68=(Refsz_Verbräuche[[#Headers],[2022]]-1),Refsz_Verbräuche[[#This Row],[2021]],IF(Startseite!$D$68&lt;Refsz_Verbräuche[[#Headers],[2022]],Refsz_Verbräuche[[#This Row],[2021]],"")))</f>
        <v/>
      </c>
      <c r="N123" s="110" t="str">
        <f>IF(Refsz_Verbräuche[[#Headers],[2023]]=Startseite!$D$68,IF(OR(SUMIF($F123:Refsz_Verbräuche[[#This Row],[2022]],"&gt;0")&gt;0,), AVERAGEIF($F123:Refsz_Verbräuche[[#This Row],[2022]],"&lt;&gt;"""), ""),IF(Startseite!$D$68=(Refsz_Verbräuche[[#Headers],[2023]]-1),Refsz_Verbräuche[[#This Row],[2022]],IF(Startseite!$D$68&lt;Refsz_Verbräuche[[#Headers],[2023]],Refsz_Verbräuche[[#This Row],[2022]],"")))</f>
        <v/>
      </c>
      <c r="O123" s="110" t="str">
        <f>IF(Refsz_Verbräuche[[#Headers],[2024]]=Startseite!$D$68,IF(OR(SUMIF($F123:Refsz_Verbräuche[[#This Row],[2023]],"&gt;0")&gt;0,), AVERAGEIF($F123:Refsz_Verbräuche[[#This Row],[2023]],"&lt;&gt;"""), ""),IF(Startseite!$D$68=(Refsz_Verbräuche[[#Headers],[2024]]-1),Refsz_Verbräuche[[#This Row],[2023]],IF(Startseite!$D$68&lt;Refsz_Verbräuche[[#Headers],[2024]],Refsz_Verbräuche[[#This Row],[2023]],"")))</f>
        <v/>
      </c>
      <c r="P123" s="110" t="str">
        <f>IF(Refsz_Verbräuche[[#Headers],[2025]]=Startseite!$D$68,IF(OR(SUMIF($F123:Refsz_Verbräuche[[#This Row],[2024]],"&gt;0")&gt;0,), AVERAGEIF($F123:Refsz_Verbräuche[[#This Row],[2024]],"&lt;&gt;"""), ""),IF(Startseite!$D$68=(Refsz_Verbräuche[[#Headers],[2025]]-1),Refsz_Verbräuche[[#This Row],[2024]],IF(Startseite!$D$68&lt;Refsz_Verbräuche[[#Headers],[2025]],Refsz_Verbräuche[[#This Row],[2024]],"")))</f>
        <v/>
      </c>
      <c r="Q123" s="110" t="str">
        <f>IF(Refsz_Verbräuche[[#Headers],[2026]]=Startseite!$D$68,IF(OR(SUMIF($F123:Refsz_Verbräuche[[#This Row],[2025]],"&gt;0")&gt;0,), AVERAGEIF($F123:Refsz_Verbräuche[[#This Row],[2025]],"&lt;&gt;"""), ""),IF(Startseite!$D$68=(Refsz_Verbräuche[[#Headers],[2026]]-1),Refsz_Verbräuche[[#This Row],[2025]],IF(Startseite!$D$68&lt;Refsz_Verbräuche[[#Headers],[2026]],Refsz_Verbräuche[[#This Row],[2025]],"")))</f>
        <v/>
      </c>
      <c r="R123" s="110" t="str">
        <f>IF(Refsz_Verbräuche[[#Headers],[2027]]=Startseite!$D$68,IF(OR(SUMIF($F123:Refsz_Verbräuche[[#This Row],[2026]],"&gt;0")&gt;0,), AVERAGEIF($F123:Refsz_Verbräuche[[#This Row],[2026]],"&lt;&gt;"""), ""),IF(Startseite!$D$68=(Refsz_Verbräuche[[#Headers],[2027]]-1),Refsz_Verbräuche[[#This Row],[2026]],IF(Startseite!$D$68&lt;Refsz_Verbräuche[[#Headers],[2027]],Refsz_Verbräuche[[#This Row],[2026]],"")))</f>
        <v/>
      </c>
      <c r="S123" s="110" t="str">
        <f>IF(Refsz_Verbräuche[[#Headers],[2028]]=Startseite!$D$68,IF(OR(SUMIF($F123:Refsz_Verbräuche[[#This Row],[2027]],"&gt;0")&gt;0,), AVERAGEIF($F123:Refsz_Verbräuche[[#This Row],[2027]],"&lt;&gt;"""), ""),IF(Startseite!$D$68=(Refsz_Verbräuche[[#Headers],[2028]]-1),Refsz_Verbräuche[[#This Row],[2027]],IF(Startseite!$D$68&lt;Refsz_Verbräuche[[#Headers],[2028]],Refsz_Verbräuche[[#This Row],[2027]],"")))</f>
        <v/>
      </c>
      <c r="T123" s="110" t="str">
        <f>IF(Refsz_Verbräuche[[#Headers],[2029]]=Startseite!$D$68,IF(OR(SUMIF($F123:Refsz_Verbräuche[[#This Row],[2028]],"&gt;0")&gt;0,), AVERAGEIF($F123:Refsz_Verbräuche[[#This Row],[2028]],"&lt;&gt;"""), ""),IF(Startseite!$D$68=(Refsz_Verbräuche[[#Headers],[2029]]-1),Refsz_Verbräuche[[#This Row],[2028]],IF(Startseite!$D$68&lt;Refsz_Verbräuche[[#Headers],[2029]],Refsz_Verbräuche[[#This Row],[2028]],"")))</f>
        <v/>
      </c>
      <c r="U123" s="110" t="str">
        <f>IF(Refsz_Verbräuche[[#Headers],[2030]]=Startseite!$D$68,IF(OR(SUMIF($F123:Refsz_Verbräuche[[#This Row],[2029]],"&gt;0")&gt;0,), AVERAGEIF($F123:Refsz_Verbräuche[[#This Row],[2029]],"&lt;&gt;"""), ""),IF(Startseite!$D$68=(Refsz_Verbräuche[[#Headers],[2030]]-1),Refsz_Verbräuche[[#This Row],[2029]],IF(Startseite!$D$68&lt;Refsz_Verbräuche[[#Headers],[2030]],Refsz_Verbräuche[[#This Row],[2029]],"")))</f>
        <v/>
      </c>
      <c r="V123" s="110" t="str">
        <f>IF(Refsz_Verbräuche[[#Headers],[2035]]=Startseite!$D$68,IF(OR(SUMIF($F123:Refsz_Verbräuche[[#This Row],[2030]],"&gt;0")&gt;0,), AVERAGEIF($F123:Refsz_Verbräuche[[#This Row],[2030]],"&lt;&gt;"""), ""),IF(Startseite!$D$68=(Refsz_Verbräuche[[#Headers],[2035]]-1),Refsz_Verbräuche[[#This Row],[2030]],IF(Startseite!$D$68&lt;Refsz_Verbräuche[[#Headers],[2035]],Refsz_Verbräuche[[#This Row],[2030]],"")))</f>
        <v/>
      </c>
      <c r="W123" s="110" t="str">
        <f>IF(Refsz_Verbräuche[[#Headers],[2040]]=Startseite!$D$68,IF(OR(SUMIF($F123:Refsz_Verbräuche[[#This Row],[2035]],"&gt;0")&gt;0,), AVERAGEIF($F123:Refsz_Verbräuche[[#This Row],[2035]],"&lt;&gt;"""), ""),IF(Startseite!$D$68=(Refsz_Verbräuche[[#Headers],[2040]]-1),Refsz_Verbräuche[[#This Row],[2035]],IF(Startseite!$D$68&lt;Refsz_Verbräuche[[#Headers],[2040]],Refsz_Verbräuche[[#This Row],[2035]],"")))</f>
        <v/>
      </c>
      <c r="X123" s="110" t="str">
        <f>IF(Refsz_Verbräuche[[#Headers],[2045]]=Startseite!$D$68,IF(OR(SUMIF($F123:Refsz_Verbräuche[[#This Row],[2040]],"&gt;0")&gt;0,), AVERAGEIF($F123:Refsz_Verbräuche[[#This Row],[2040]],"&lt;&gt;"""), ""),IF(Startseite!$D$68=(Refsz_Verbräuche[[#Headers],[2045]]-1),Refsz_Verbräuche[[#This Row],[2040]],IF(Startseite!$D$68&lt;Refsz_Verbräuche[[#Headers],[2045]],Refsz_Verbräuche[[#This Row],[2040]],"")))</f>
        <v/>
      </c>
      <c r="Y123" s="110" t="str">
        <f>IF(Refsz_Verbräuche[[#Headers],[2050]]=Startseite!$D$68,IF(OR(SUMIF($F123:Refsz_Verbräuche[[#This Row],[2045]],"&gt;0")&gt;0,), AVERAGEIF($F123:Refsz_Verbräuche[[#This Row],[2045]],"&lt;&gt;"""), ""),IF(Startseite!$D$68=(Refsz_Verbräuche[[#Headers],[2050]]-1),Refsz_Verbräuche[[#This Row],[2045]],IF(Startseite!$D$68&lt;Refsz_Verbräuche[[#Headers],[2050]],Refsz_Verbräuche[[#This Row],[2045]],"")))</f>
        <v/>
      </c>
      <c r="AA123" s="14"/>
    </row>
    <row r="124" spans="2:27">
      <c r="B124" s="14">
        <v>107</v>
      </c>
      <c r="C124" s="14" t="s">
        <v>201</v>
      </c>
      <c r="D124" s="9" t="s">
        <v>111</v>
      </c>
      <c r="E124" t="s">
        <v>178</v>
      </c>
      <c r="F124" s="110"/>
      <c r="G124" s="110"/>
      <c r="H124" s="110"/>
      <c r="I124" s="110"/>
      <c r="J124" s="110"/>
      <c r="K124" s="110"/>
      <c r="L124" s="110"/>
      <c r="M124" s="110" t="str">
        <f>IF(Refsz_Verbräuche[[#Headers],[2022]]=Startseite!$D$68,IF(OR(SUMIF($F124:Refsz_Verbräuche[[#This Row],[2021]],"&gt;0")&gt;0,), AVERAGEIF($F124:Refsz_Verbräuche[[#This Row],[2021]],"&lt;&gt;"""), ""),IF(Startseite!$D$68=(Refsz_Verbräuche[[#Headers],[2022]]-1),Refsz_Verbräuche[[#This Row],[2021]],IF(Startseite!$D$68&lt;Refsz_Verbräuche[[#Headers],[2022]],Refsz_Verbräuche[[#This Row],[2021]],"")))</f>
        <v/>
      </c>
      <c r="N124" s="110" t="str">
        <f>IF(Refsz_Verbräuche[[#Headers],[2023]]=Startseite!$D$68,IF(OR(SUMIF($F124:Refsz_Verbräuche[[#This Row],[2022]],"&gt;0")&gt;0,), AVERAGEIF($F124:Refsz_Verbräuche[[#This Row],[2022]],"&lt;&gt;"""), ""),IF(Startseite!$D$68=(Refsz_Verbräuche[[#Headers],[2023]]-1),Refsz_Verbräuche[[#This Row],[2022]],IF(Startseite!$D$68&lt;Refsz_Verbräuche[[#Headers],[2023]],Refsz_Verbräuche[[#This Row],[2022]],"")))</f>
        <v/>
      </c>
      <c r="O124" s="110" t="str">
        <f>IF(Refsz_Verbräuche[[#Headers],[2024]]=Startseite!$D$68,IF(OR(SUMIF($F124:Refsz_Verbräuche[[#This Row],[2023]],"&gt;0")&gt;0,), AVERAGEIF($F124:Refsz_Verbräuche[[#This Row],[2023]],"&lt;&gt;"""), ""),IF(Startseite!$D$68=(Refsz_Verbräuche[[#Headers],[2024]]-1),Refsz_Verbräuche[[#This Row],[2023]],IF(Startseite!$D$68&lt;Refsz_Verbräuche[[#Headers],[2024]],Refsz_Verbräuche[[#This Row],[2023]],"")))</f>
        <v/>
      </c>
      <c r="P124" s="110" t="str">
        <f>IF(Refsz_Verbräuche[[#Headers],[2025]]=Startseite!$D$68,IF(OR(SUMIF($F124:Refsz_Verbräuche[[#This Row],[2024]],"&gt;0")&gt;0,), AVERAGEIF($F124:Refsz_Verbräuche[[#This Row],[2024]],"&lt;&gt;"""), ""),IF(Startseite!$D$68=(Refsz_Verbräuche[[#Headers],[2025]]-1),Refsz_Verbräuche[[#This Row],[2024]],IF(Startseite!$D$68&lt;Refsz_Verbräuche[[#Headers],[2025]],Refsz_Verbräuche[[#This Row],[2024]],"")))</f>
        <v/>
      </c>
      <c r="Q124" s="110" t="str">
        <f>IF(Refsz_Verbräuche[[#Headers],[2026]]=Startseite!$D$68,IF(OR(SUMIF($F124:Refsz_Verbräuche[[#This Row],[2025]],"&gt;0")&gt;0,), AVERAGEIF($F124:Refsz_Verbräuche[[#This Row],[2025]],"&lt;&gt;"""), ""),IF(Startseite!$D$68=(Refsz_Verbräuche[[#Headers],[2026]]-1),Refsz_Verbräuche[[#This Row],[2025]],IF(Startseite!$D$68&lt;Refsz_Verbräuche[[#Headers],[2026]],Refsz_Verbräuche[[#This Row],[2025]],"")))</f>
        <v/>
      </c>
      <c r="R124" s="110" t="str">
        <f>IF(Refsz_Verbräuche[[#Headers],[2027]]=Startseite!$D$68,IF(OR(SUMIF($F124:Refsz_Verbräuche[[#This Row],[2026]],"&gt;0")&gt;0,), AVERAGEIF($F124:Refsz_Verbräuche[[#This Row],[2026]],"&lt;&gt;"""), ""),IF(Startseite!$D$68=(Refsz_Verbräuche[[#Headers],[2027]]-1),Refsz_Verbräuche[[#This Row],[2026]],IF(Startseite!$D$68&lt;Refsz_Verbräuche[[#Headers],[2027]],Refsz_Verbräuche[[#This Row],[2026]],"")))</f>
        <v/>
      </c>
      <c r="S124" s="110" t="str">
        <f>IF(Refsz_Verbräuche[[#Headers],[2028]]=Startseite!$D$68,IF(OR(SUMIF($F124:Refsz_Verbräuche[[#This Row],[2027]],"&gt;0")&gt;0,), AVERAGEIF($F124:Refsz_Verbräuche[[#This Row],[2027]],"&lt;&gt;"""), ""),IF(Startseite!$D$68=(Refsz_Verbräuche[[#Headers],[2028]]-1),Refsz_Verbräuche[[#This Row],[2027]],IF(Startseite!$D$68&lt;Refsz_Verbräuche[[#Headers],[2028]],Refsz_Verbräuche[[#This Row],[2027]],"")))</f>
        <v/>
      </c>
      <c r="T124" s="110" t="str">
        <f>IF(Refsz_Verbräuche[[#Headers],[2029]]=Startseite!$D$68,IF(OR(SUMIF($F124:Refsz_Verbräuche[[#This Row],[2028]],"&gt;0")&gt;0,), AVERAGEIF($F124:Refsz_Verbräuche[[#This Row],[2028]],"&lt;&gt;"""), ""),IF(Startseite!$D$68=(Refsz_Verbräuche[[#Headers],[2029]]-1),Refsz_Verbräuche[[#This Row],[2028]],IF(Startseite!$D$68&lt;Refsz_Verbräuche[[#Headers],[2029]],Refsz_Verbräuche[[#This Row],[2028]],"")))</f>
        <v/>
      </c>
      <c r="U124" s="110" t="str">
        <f>IF(Refsz_Verbräuche[[#Headers],[2030]]=Startseite!$D$68,IF(OR(SUMIF($F124:Refsz_Verbräuche[[#This Row],[2029]],"&gt;0")&gt;0,), AVERAGEIF($F124:Refsz_Verbräuche[[#This Row],[2029]],"&lt;&gt;"""), ""),IF(Startseite!$D$68=(Refsz_Verbräuche[[#Headers],[2030]]-1),Refsz_Verbräuche[[#This Row],[2029]],IF(Startseite!$D$68&lt;Refsz_Verbräuche[[#Headers],[2030]],Refsz_Verbräuche[[#This Row],[2029]],"")))</f>
        <v/>
      </c>
      <c r="V124" s="110" t="str">
        <f>IF(Refsz_Verbräuche[[#Headers],[2035]]=Startseite!$D$68,IF(OR(SUMIF($F124:Refsz_Verbräuche[[#This Row],[2030]],"&gt;0")&gt;0,), AVERAGEIF($F124:Refsz_Verbräuche[[#This Row],[2030]],"&lt;&gt;"""), ""),IF(Startseite!$D$68=(Refsz_Verbräuche[[#Headers],[2035]]-1),Refsz_Verbräuche[[#This Row],[2030]],IF(Startseite!$D$68&lt;Refsz_Verbräuche[[#Headers],[2035]],Refsz_Verbräuche[[#This Row],[2030]],"")))</f>
        <v/>
      </c>
      <c r="W124" s="110" t="str">
        <f>IF(Refsz_Verbräuche[[#Headers],[2040]]=Startseite!$D$68,IF(OR(SUMIF($F124:Refsz_Verbräuche[[#This Row],[2035]],"&gt;0")&gt;0,), AVERAGEIF($F124:Refsz_Verbräuche[[#This Row],[2035]],"&lt;&gt;"""), ""),IF(Startseite!$D$68=(Refsz_Verbräuche[[#Headers],[2040]]-1),Refsz_Verbräuche[[#This Row],[2035]],IF(Startseite!$D$68&lt;Refsz_Verbräuche[[#Headers],[2040]],Refsz_Verbräuche[[#This Row],[2035]],"")))</f>
        <v/>
      </c>
      <c r="X124" s="110" t="str">
        <f>IF(Refsz_Verbräuche[[#Headers],[2045]]=Startseite!$D$68,IF(OR(SUMIF($F124:Refsz_Verbräuche[[#This Row],[2040]],"&gt;0")&gt;0,), AVERAGEIF($F124:Refsz_Verbräuche[[#This Row],[2040]],"&lt;&gt;"""), ""),IF(Startseite!$D$68=(Refsz_Verbräuche[[#Headers],[2045]]-1),Refsz_Verbräuche[[#This Row],[2040]],IF(Startseite!$D$68&lt;Refsz_Verbräuche[[#Headers],[2045]],Refsz_Verbräuche[[#This Row],[2040]],"")))</f>
        <v/>
      </c>
      <c r="Y124" s="110" t="str">
        <f>IF(Refsz_Verbräuche[[#Headers],[2050]]=Startseite!$D$68,IF(OR(SUMIF($F124:Refsz_Verbräuche[[#This Row],[2045]],"&gt;0")&gt;0,), AVERAGEIF($F124:Refsz_Verbräuche[[#This Row],[2045]],"&lt;&gt;"""), ""),IF(Startseite!$D$68=(Refsz_Verbräuche[[#Headers],[2050]]-1),Refsz_Verbräuche[[#This Row],[2045]],IF(Startseite!$D$68&lt;Refsz_Verbräuche[[#Headers],[2050]],Refsz_Verbräuche[[#This Row],[2045]],"")))</f>
        <v/>
      </c>
      <c r="AA124" s="14"/>
    </row>
    <row r="125" spans="2:27">
      <c r="B125" s="14">
        <v>108</v>
      </c>
      <c r="C125" s="14" t="s">
        <v>201</v>
      </c>
      <c r="D125" s="9" t="s">
        <v>110</v>
      </c>
      <c r="E125" t="s">
        <v>178</v>
      </c>
      <c r="F125" s="110"/>
      <c r="G125" s="110"/>
      <c r="H125" s="110"/>
      <c r="I125" s="110"/>
      <c r="J125" s="110"/>
      <c r="K125" s="110"/>
      <c r="L125" s="110"/>
      <c r="M125" s="110" t="str">
        <f>IF(Refsz_Verbräuche[[#Headers],[2022]]=Startseite!$D$68,IF(OR(SUMIF($F125:Refsz_Verbräuche[[#This Row],[2021]],"&gt;0")&gt;0,), AVERAGEIF($F125:Refsz_Verbräuche[[#This Row],[2021]],"&lt;&gt;"""), ""),IF(Startseite!$D$68=(Refsz_Verbräuche[[#Headers],[2022]]-1),Refsz_Verbräuche[[#This Row],[2021]],IF(Startseite!$D$68&lt;Refsz_Verbräuche[[#Headers],[2022]],Refsz_Verbräuche[[#This Row],[2021]],"")))</f>
        <v/>
      </c>
      <c r="N125" s="110" t="str">
        <f>IF(Refsz_Verbräuche[[#Headers],[2023]]=Startseite!$D$68,IF(OR(SUMIF($F125:Refsz_Verbräuche[[#This Row],[2022]],"&gt;0")&gt;0,), AVERAGEIF($F125:Refsz_Verbräuche[[#This Row],[2022]],"&lt;&gt;"""), ""),IF(Startseite!$D$68=(Refsz_Verbräuche[[#Headers],[2023]]-1),Refsz_Verbräuche[[#This Row],[2022]],IF(Startseite!$D$68&lt;Refsz_Verbräuche[[#Headers],[2023]],Refsz_Verbräuche[[#This Row],[2022]],"")))</f>
        <v/>
      </c>
      <c r="O125" s="110" t="str">
        <f>IF(Refsz_Verbräuche[[#Headers],[2024]]=Startseite!$D$68,IF(OR(SUMIF($F125:Refsz_Verbräuche[[#This Row],[2023]],"&gt;0")&gt;0,), AVERAGEIF($F125:Refsz_Verbräuche[[#This Row],[2023]],"&lt;&gt;"""), ""),IF(Startseite!$D$68=(Refsz_Verbräuche[[#Headers],[2024]]-1),Refsz_Verbräuche[[#This Row],[2023]],IF(Startseite!$D$68&lt;Refsz_Verbräuche[[#Headers],[2024]],Refsz_Verbräuche[[#This Row],[2023]],"")))</f>
        <v/>
      </c>
      <c r="P125" s="110" t="str">
        <f>IF(Refsz_Verbräuche[[#Headers],[2025]]=Startseite!$D$68,IF(OR(SUMIF($F125:Refsz_Verbräuche[[#This Row],[2024]],"&gt;0")&gt;0,), AVERAGEIF($F125:Refsz_Verbräuche[[#This Row],[2024]],"&lt;&gt;"""), ""),IF(Startseite!$D$68=(Refsz_Verbräuche[[#Headers],[2025]]-1),Refsz_Verbräuche[[#This Row],[2024]],IF(Startseite!$D$68&lt;Refsz_Verbräuche[[#Headers],[2025]],Refsz_Verbräuche[[#This Row],[2024]],"")))</f>
        <v/>
      </c>
      <c r="Q125" s="110" t="str">
        <f>IF(Refsz_Verbräuche[[#Headers],[2026]]=Startseite!$D$68,IF(OR(SUMIF($F125:Refsz_Verbräuche[[#This Row],[2025]],"&gt;0")&gt;0,), AVERAGEIF($F125:Refsz_Verbräuche[[#This Row],[2025]],"&lt;&gt;"""), ""),IF(Startseite!$D$68=(Refsz_Verbräuche[[#Headers],[2026]]-1),Refsz_Verbräuche[[#This Row],[2025]],IF(Startseite!$D$68&lt;Refsz_Verbräuche[[#Headers],[2026]],Refsz_Verbräuche[[#This Row],[2025]],"")))</f>
        <v/>
      </c>
      <c r="R125" s="110" t="str">
        <f>IF(Refsz_Verbräuche[[#Headers],[2027]]=Startseite!$D$68,IF(OR(SUMIF($F125:Refsz_Verbräuche[[#This Row],[2026]],"&gt;0")&gt;0,), AVERAGEIF($F125:Refsz_Verbräuche[[#This Row],[2026]],"&lt;&gt;"""), ""),IF(Startseite!$D$68=(Refsz_Verbräuche[[#Headers],[2027]]-1),Refsz_Verbräuche[[#This Row],[2026]],IF(Startseite!$D$68&lt;Refsz_Verbräuche[[#Headers],[2027]],Refsz_Verbräuche[[#This Row],[2026]],"")))</f>
        <v/>
      </c>
      <c r="S125" s="110" t="str">
        <f>IF(Refsz_Verbräuche[[#Headers],[2028]]=Startseite!$D$68,IF(OR(SUMIF($F125:Refsz_Verbräuche[[#This Row],[2027]],"&gt;0")&gt;0,), AVERAGEIF($F125:Refsz_Verbräuche[[#This Row],[2027]],"&lt;&gt;"""), ""),IF(Startseite!$D$68=(Refsz_Verbräuche[[#Headers],[2028]]-1),Refsz_Verbräuche[[#This Row],[2027]],IF(Startseite!$D$68&lt;Refsz_Verbräuche[[#Headers],[2028]],Refsz_Verbräuche[[#This Row],[2027]],"")))</f>
        <v/>
      </c>
      <c r="T125" s="110" t="str">
        <f>IF(Refsz_Verbräuche[[#Headers],[2029]]=Startseite!$D$68,IF(OR(SUMIF($F125:Refsz_Verbräuche[[#This Row],[2028]],"&gt;0")&gt;0,), AVERAGEIF($F125:Refsz_Verbräuche[[#This Row],[2028]],"&lt;&gt;"""), ""),IF(Startseite!$D$68=(Refsz_Verbräuche[[#Headers],[2029]]-1),Refsz_Verbräuche[[#This Row],[2028]],IF(Startseite!$D$68&lt;Refsz_Verbräuche[[#Headers],[2029]],Refsz_Verbräuche[[#This Row],[2028]],"")))</f>
        <v/>
      </c>
      <c r="U125" s="110" t="str">
        <f>IF(Refsz_Verbräuche[[#Headers],[2030]]=Startseite!$D$68,IF(OR(SUMIF($F125:Refsz_Verbräuche[[#This Row],[2029]],"&gt;0")&gt;0,), AVERAGEIF($F125:Refsz_Verbräuche[[#This Row],[2029]],"&lt;&gt;"""), ""),IF(Startseite!$D$68=(Refsz_Verbräuche[[#Headers],[2030]]-1),Refsz_Verbräuche[[#This Row],[2029]],IF(Startseite!$D$68&lt;Refsz_Verbräuche[[#Headers],[2030]],Refsz_Verbräuche[[#This Row],[2029]],"")))</f>
        <v/>
      </c>
      <c r="V125" s="110" t="str">
        <f>IF(Refsz_Verbräuche[[#Headers],[2035]]=Startseite!$D$68,IF(OR(SUMIF($F125:Refsz_Verbräuche[[#This Row],[2030]],"&gt;0")&gt;0,), AVERAGEIF($F125:Refsz_Verbräuche[[#This Row],[2030]],"&lt;&gt;"""), ""),IF(Startseite!$D$68=(Refsz_Verbräuche[[#Headers],[2035]]-1),Refsz_Verbräuche[[#This Row],[2030]],IF(Startseite!$D$68&lt;Refsz_Verbräuche[[#Headers],[2035]],Refsz_Verbräuche[[#This Row],[2030]],"")))</f>
        <v/>
      </c>
      <c r="W125" s="110" t="str">
        <f>IF(Refsz_Verbräuche[[#Headers],[2040]]=Startseite!$D$68,IF(OR(SUMIF($F125:Refsz_Verbräuche[[#This Row],[2035]],"&gt;0")&gt;0,), AVERAGEIF($F125:Refsz_Verbräuche[[#This Row],[2035]],"&lt;&gt;"""), ""),IF(Startseite!$D$68=(Refsz_Verbräuche[[#Headers],[2040]]-1),Refsz_Verbräuche[[#This Row],[2035]],IF(Startseite!$D$68&lt;Refsz_Verbräuche[[#Headers],[2040]],Refsz_Verbräuche[[#This Row],[2035]],"")))</f>
        <v/>
      </c>
      <c r="X125" s="110" t="str">
        <f>IF(Refsz_Verbräuche[[#Headers],[2045]]=Startseite!$D$68,IF(OR(SUMIF($F125:Refsz_Verbräuche[[#This Row],[2040]],"&gt;0")&gt;0,), AVERAGEIF($F125:Refsz_Verbräuche[[#This Row],[2040]],"&lt;&gt;"""), ""),IF(Startseite!$D$68=(Refsz_Verbräuche[[#Headers],[2045]]-1),Refsz_Verbräuche[[#This Row],[2040]],IF(Startseite!$D$68&lt;Refsz_Verbräuche[[#Headers],[2045]],Refsz_Verbräuche[[#This Row],[2040]],"")))</f>
        <v/>
      </c>
      <c r="Y125" s="110" t="str">
        <f>IF(Refsz_Verbräuche[[#Headers],[2050]]=Startseite!$D$68,IF(OR(SUMIF($F125:Refsz_Verbräuche[[#This Row],[2045]],"&gt;0")&gt;0,), AVERAGEIF($F125:Refsz_Verbräuche[[#This Row],[2045]],"&lt;&gt;"""), ""),IF(Startseite!$D$68=(Refsz_Verbräuche[[#Headers],[2050]]-1),Refsz_Verbräuche[[#This Row],[2045]],IF(Startseite!$D$68&lt;Refsz_Verbräuche[[#Headers],[2050]],Refsz_Verbräuche[[#This Row],[2045]],"")))</f>
        <v/>
      </c>
      <c r="AA125" s="14"/>
    </row>
    <row r="126" spans="2:27">
      <c r="B126" s="14">
        <v>109</v>
      </c>
      <c r="C126" s="14" t="s">
        <v>201</v>
      </c>
      <c r="D126" s="9" t="s">
        <v>49</v>
      </c>
      <c r="E126" t="s">
        <v>178</v>
      </c>
      <c r="F126" s="110"/>
      <c r="G126" s="110"/>
      <c r="H126" s="110"/>
      <c r="I126" s="110"/>
      <c r="J126" s="110"/>
      <c r="K126" s="110"/>
      <c r="L126" s="110"/>
      <c r="M126" s="110" t="str">
        <f>IF(Refsz_Verbräuche[[#Headers],[2022]]=Startseite!$D$68,IF(OR(SUMIF($F126:Refsz_Verbräuche[[#This Row],[2021]],"&gt;0")&gt;0,), AVERAGEIF($F126:Refsz_Verbräuche[[#This Row],[2021]],"&lt;&gt;"""), ""),IF(Startseite!$D$68=(Refsz_Verbräuche[[#Headers],[2022]]-1),Refsz_Verbräuche[[#This Row],[2021]],IF(Startseite!$D$68&lt;Refsz_Verbräuche[[#Headers],[2022]],Refsz_Verbräuche[[#This Row],[2021]],"")))</f>
        <v/>
      </c>
      <c r="N126" s="110" t="str">
        <f>IF(Refsz_Verbräuche[[#Headers],[2023]]=Startseite!$D$68,IF(OR(SUMIF($F126:Refsz_Verbräuche[[#This Row],[2022]],"&gt;0")&gt;0,), AVERAGEIF($F126:Refsz_Verbräuche[[#This Row],[2022]],"&lt;&gt;"""), ""),IF(Startseite!$D$68=(Refsz_Verbräuche[[#Headers],[2023]]-1),Refsz_Verbräuche[[#This Row],[2022]],IF(Startseite!$D$68&lt;Refsz_Verbräuche[[#Headers],[2023]],Refsz_Verbräuche[[#This Row],[2022]],"")))</f>
        <v/>
      </c>
      <c r="O126" s="110" t="str">
        <f>IF(Refsz_Verbräuche[[#Headers],[2024]]=Startseite!$D$68,IF(OR(SUMIF($F126:Refsz_Verbräuche[[#This Row],[2023]],"&gt;0")&gt;0,), AVERAGEIF($F126:Refsz_Verbräuche[[#This Row],[2023]],"&lt;&gt;"""), ""),IF(Startseite!$D$68=(Refsz_Verbräuche[[#Headers],[2024]]-1),Refsz_Verbräuche[[#This Row],[2023]],IF(Startseite!$D$68&lt;Refsz_Verbräuche[[#Headers],[2024]],Refsz_Verbräuche[[#This Row],[2023]],"")))</f>
        <v/>
      </c>
      <c r="P126" s="110" t="str">
        <f>IF(Refsz_Verbräuche[[#Headers],[2025]]=Startseite!$D$68,IF(OR(SUMIF($F126:Refsz_Verbräuche[[#This Row],[2024]],"&gt;0")&gt;0,), AVERAGEIF($F126:Refsz_Verbräuche[[#This Row],[2024]],"&lt;&gt;"""), ""),IF(Startseite!$D$68=(Refsz_Verbräuche[[#Headers],[2025]]-1),Refsz_Verbräuche[[#This Row],[2024]],IF(Startseite!$D$68&lt;Refsz_Verbräuche[[#Headers],[2025]],Refsz_Verbräuche[[#This Row],[2024]],"")))</f>
        <v/>
      </c>
      <c r="Q126" s="110" t="str">
        <f>IF(Refsz_Verbräuche[[#Headers],[2026]]=Startseite!$D$68,IF(OR(SUMIF($F126:Refsz_Verbräuche[[#This Row],[2025]],"&gt;0")&gt;0,), AVERAGEIF($F126:Refsz_Verbräuche[[#This Row],[2025]],"&lt;&gt;"""), ""),IF(Startseite!$D$68=(Refsz_Verbräuche[[#Headers],[2026]]-1),Refsz_Verbräuche[[#This Row],[2025]],IF(Startseite!$D$68&lt;Refsz_Verbräuche[[#Headers],[2026]],Refsz_Verbräuche[[#This Row],[2025]],"")))</f>
        <v/>
      </c>
      <c r="R126" s="110" t="str">
        <f>IF(Refsz_Verbräuche[[#Headers],[2027]]=Startseite!$D$68,IF(OR(SUMIF($F126:Refsz_Verbräuche[[#This Row],[2026]],"&gt;0")&gt;0,), AVERAGEIF($F126:Refsz_Verbräuche[[#This Row],[2026]],"&lt;&gt;"""), ""),IF(Startseite!$D$68=(Refsz_Verbräuche[[#Headers],[2027]]-1),Refsz_Verbräuche[[#This Row],[2026]],IF(Startseite!$D$68&lt;Refsz_Verbräuche[[#Headers],[2027]],Refsz_Verbräuche[[#This Row],[2026]],"")))</f>
        <v/>
      </c>
      <c r="S126" s="110" t="str">
        <f>IF(Refsz_Verbräuche[[#Headers],[2028]]=Startseite!$D$68,IF(OR(SUMIF($F126:Refsz_Verbräuche[[#This Row],[2027]],"&gt;0")&gt;0,), AVERAGEIF($F126:Refsz_Verbräuche[[#This Row],[2027]],"&lt;&gt;"""), ""),IF(Startseite!$D$68=(Refsz_Verbräuche[[#Headers],[2028]]-1),Refsz_Verbräuche[[#This Row],[2027]],IF(Startseite!$D$68&lt;Refsz_Verbräuche[[#Headers],[2028]],Refsz_Verbräuche[[#This Row],[2027]],"")))</f>
        <v/>
      </c>
      <c r="T126" s="110" t="str">
        <f>IF(Refsz_Verbräuche[[#Headers],[2029]]=Startseite!$D$68,IF(OR(SUMIF($F126:Refsz_Verbräuche[[#This Row],[2028]],"&gt;0")&gt;0,), AVERAGEIF($F126:Refsz_Verbräuche[[#This Row],[2028]],"&lt;&gt;"""), ""),IF(Startseite!$D$68=(Refsz_Verbräuche[[#Headers],[2029]]-1),Refsz_Verbräuche[[#This Row],[2028]],IF(Startseite!$D$68&lt;Refsz_Verbräuche[[#Headers],[2029]],Refsz_Verbräuche[[#This Row],[2028]],"")))</f>
        <v/>
      </c>
      <c r="U126" s="110" t="str">
        <f>IF(Refsz_Verbräuche[[#Headers],[2030]]=Startseite!$D$68,IF(OR(SUMIF($F126:Refsz_Verbräuche[[#This Row],[2029]],"&gt;0")&gt;0,), AVERAGEIF($F126:Refsz_Verbräuche[[#This Row],[2029]],"&lt;&gt;"""), ""),IF(Startseite!$D$68=(Refsz_Verbräuche[[#Headers],[2030]]-1),Refsz_Verbräuche[[#This Row],[2029]],IF(Startseite!$D$68&lt;Refsz_Verbräuche[[#Headers],[2030]],Refsz_Verbräuche[[#This Row],[2029]],"")))</f>
        <v/>
      </c>
      <c r="V126" s="110" t="str">
        <f>IF(Refsz_Verbräuche[[#Headers],[2035]]=Startseite!$D$68,IF(OR(SUMIF($F126:Refsz_Verbräuche[[#This Row],[2030]],"&gt;0")&gt;0,), AVERAGEIF($F126:Refsz_Verbräuche[[#This Row],[2030]],"&lt;&gt;"""), ""),IF(Startseite!$D$68=(Refsz_Verbräuche[[#Headers],[2035]]-1),Refsz_Verbräuche[[#This Row],[2030]],IF(Startseite!$D$68&lt;Refsz_Verbräuche[[#Headers],[2035]],Refsz_Verbräuche[[#This Row],[2030]],"")))</f>
        <v/>
      </c>
      <c r="W126" s="110" t="str">
        <f>IF(Refsz_Verbräuche[[#Headers],[2040]]=Startseite!$D$68,IF(OR(SUMIF($F126:Refsz_Verbräuche[[#This Row],[2035]],"&gt;0")&gt;0,), AVERAGEIF($F126:Refsz_Verbräuche[[#This Row],[2035]],"&lt;&gt;"""), ""),IF(Startseite!$D$68=(Refsz_Verbräuche[[#Headers],[2040]]-1),Refsz_Verbräuche[[#This Row],[2035]],IF(Startseite!$D$68&lt;Refsz_Verbräuche[[#Headers],[2040]],Refsz_Verbräuche[[#This Row],[2035]],"")))</f>
        <v/>
      </c>
      <c r="X126" s="110" t="str">
        <f>IF(Refsz_Verbräuche[[#Headers],[2045]]=Startseite!$D$68,IF(OR(SUMIF($F126:Refsz_Verbräuche[[#This Row],[2040]],"&gt;0")&gt;0,), AVERAGEIF($F126:Refsz_Verbräuche[[#This Row],[2040]],"&lt;&gt;"""), ""),IF(Startseite!$D$68=(Refsz_Verbräuche[[#Headers],[2045]]-1),Refsz_Verbräuche[[#This Row],[2040]],IF(Startseite!$D$68&lt;Refsz_Verbräuche[[#Headers],[2045]],Refsz_Verbräuche[[#This Row],[2040]],"")))</f>
        <v/>
      </c>
      <c r="Y126" s="110" t="str">
        <f>IF(Refsz_Verbräuche[[#Headers],[2050]]=Startseite!$D$68,IF(OR(SUMIF($F126:Refsz_Verbräuche[[#This Row],[2045]],"&gt;0")&gt;0,), AVERAGEIF($F126:Refsz_Verbräuche[[#This Row],[2045]],"&lt;&gt;"""), ""),IF(Startseite!$D$68=(Refsz_Verbräuche[[#Headers],[2050]]-1),Refsz_Verbräuche[[#This Row],[2045]],IF(Startseite!$D$68&lt;Refsz_Verbräuche[[#Headers],[2050]],Refsz_Verbräuche[[#This Row],[2045]],"")))</f>
        <v/>
      </c>
      <c r="AA126" s="14"/>
    </row>
    <row r="127" spans="2:27">
      <c r="B127" s="14">
        <v>110</v>
      </c>
      <c r="C127" s="14" t="s">
        <v>201</v>
      </c>
      <c r="D127" t="s">
        <v>50</v>
      </c>
      <c r="E127" t="s">
        <v>178</v>
      </c>
      <c r="F127" s="110"/>
      <c r="G127" s="110"/>
      <c r="H127" s="110"/>
      <c r="I127" s="110"/>
      <c r="J127" s="110"/>
      <c r="K127" s="110"/>
      <c r="L127" s="110"/>
      <c r="M127" s="110" t="str">
        <f>IF(Refsz_Verbräuche[[#Headers],[2022]]=Startseite!$D$68,IF(OR(SUMIF($F127:Refsz_Verbräuche[[#This Row],[2021]],"&gt;0")&gt;0,), AVERAGEIF($F127:Refsz_Verbräuche[[#This Row],[2021]],"&lt;&gt;"""), ""),IF(Startseite!$D$68=(Refsz_Verbräuche[[#Headers],[2022]]-1),Refsz_Verbräuche[[#This Row],[2021]],IF(Startseite!$D$68&lt;Refsz_Verbräuche[[#Headers],[2022]],Refsz_Verbräuche[[#This Row],[2021]],"")))</f>
        <v/>
      </c>
      <c r="N127" s="110" t="str">
        <f>IF(Refsz_Verbräuche[[#Headers],[2023]]=Startseite!$D$68,IF(OR(SUMIF($F127:Refsz_Verbräuche[[#This Row],[2022]],"&gt;0")&gt;0,), AVERAGEIF($F127:Refsz_Verbräuche[[#This Row],[2022]],"&lt;&gt;"""), ""),IF(Startseite!$D$68=(Refsz_Verbräuche[[#Headers],[2023]]-1),Refsz_Verbräuche[[#This Row],[2022]],IF(Startseite!$D$68&lt;Refsz_Verbräuche[[#Headers],[2023]],Refsz_Verbräuche[[#This Row],[2022]],"")))</f>
        <v/>
      </c>
      <c r="O127" s="110" t="str">
        <f>IF(Refsz_Verbräuche[[#Headers],[2024]]=Startseite!$D$68,IF(OR(SUMIF($F127:Refsz_Verbräuche[[#This Row],[2023]],"&gt;0")&gt;0,), AVERAGEIF($F127:Refsz_Verbräuche[[#This Row],[2023]],"&lt;&gt;"""), ""),IF(Startseite!$D$68=(Refsz_Verbräuche[[#Headers],[2024]]-1),Refsz_Verbräuche[[#This Row],[2023]],IF(Startseite!$D$68&lt;Refsz_Verbräuche[[#Headers],[2024]],Refsz_Verbräuche[[#This Row],[2023]],"")))</f>
        <v/>
      </c>
      <c r="P127" s="110" t="str">
        <f>IF(Refsz_Verbräuche[[#Headers],[2025]]=Startseite!$D$68,IF(OR(SUMIF($F127:Refsz_Verbräuche[[#This Row],[2024]],"&gt;0")&gt;0,), AVERAGEIF($F127:Refsz_Verbräuche[[#This Row],[2024]],"&lt;&gt;"""), ""),IF(Startseite!$D$68=(Refsz_Verbräuche[[#Headers],[2025]]-1),Refsz_Verbräuche[[#This Row],[2024]],IF(Startseite!$D$68&lt;Refsz_Verbräuche[[#Headers],[2025]],Refsz_Verbräuche[[#This Row],[2024]],"")))</f>
        <v/>
      </c>
      <c r="Q127" s="110" t="str">
        <f>IF(Refsz_Verbräuche[[#Headers],[2026]]=Startseite!$D$68,IF(OR(SUMIF($F127:Refsz_Verbräuche[[#This Row],[2025]],"&gt;0")&gt;0,), AVERAGEIF($F127:Refsz_Verbräuche[[#This Row],[2025]],"&lt;&gt;"""), ""),IF(Startseite!$D$68=(Refsz_Verbräuche[[#Headers],[2026]]-1),Refsz_Verbräuche[[#This Row],[2025]],IF(Startseite!$D$68&lt;Refsz_Verbräuche[[#Headers],[2026]],Refsz_Verbräuche[[#This Row],[2025]],"")))</f>
        <v/>
      </c>
      <c r="R127" s="110" t="str">
        <f>IF(Refsz_Verbräuche[[#Headers],[2027]]=Startseite!$D$68,IF(OR(SUMIF($F127:Refsz_Verbräuche[[#This Row],[2026]],"&gt;0")&gt;0,), AVERAGEIF($F127:Refsz_Verbräuche[[#This Row],[2026]],"&lt;&gt;"""), ""),IF(Startseite!$D$68=(Refsz_Verbräuche[[#Headers],[2027]]-1),Refsz_Verbräuche[[#This Row],[2026]],IF(Startseite!$D$68&lt;Refsz_Verbräuche[[#Headers],[2027]],Refsz_Verbräuche[[#This Row],[2026]],"")))</f>
        <v/>
      </c>
      <c r="S127" s="110" t="str">
        <f>IF(Refsz_Verbräuche[[#Headers],[2028]]=Startseite!$D$68,IF(OR(SUMIF($F127:Refsz_Verbräuche[[#This Row],[2027]],"&gt;0")&gt;0,), AVERAGEIF($F127:Refsz_Verbräuche[[#This Row],[2027]],"&lt;&gt;"""), ""),IF(Startseite!$D$68=(Refsz_Verbräuche[[#Headers],[2028]]-1),Refsz_Verbräuche[[#This Row],[2027]],IF(Startseite!$D$68&lt;Refsz_Verbräuche[[#Headers],[2028]],Refsz_Verbräuche[[#This Row],[2027]],"")))</f>
        <v/>
      </c>
      <c r="T127" s="110" t="str">
        <f>IF(Refsz_Verbräuche[[#Headers],[2029]]=Startseite!$D$68,IF(OR(SUMIF($F127:Refsz_Verbräuche[[#This Row],[2028]],"&gt;0")&gt;0,), AVERAGEIF($F127:Refsz_Verbräuche[[#This Row],[2028]],"&lt;&gt;"""), ""),IF(Startseite!$D$68=(Refsz_Verbräuche[[#Headers],[2029]]-1),Refsz_Verbräuche[[#This Row],[2028]],IF(Startseite!$D$68&lt;Refsz_Verbräuche[[#Headers],[2029]],Refsz_Verbräuche[[#This Row],[2028]],"")))</f>
        <v/>
      </c>
      <c r="U127" s="110" t="str">
        <f>IF(Refsz_Verbräuche[[#Headers],[2030]]=Startseite!$D$68,IF(OR(SUMIF($F127:Refsz_Verbräuche[[#This Row],[2029]],"&gt;0")&gt;0,), AVERAGEIF($F127:Refsz_Verbräuche[[#This Row],[2029]],"&lt;&gt;"""), ""),IF(Startseite!$D$68=(Refsz_Verbräuche[[#Headers],[2030]]-1),Refsz_Verbräuche[[#This Row],[2029]],IF(Startseite!$D$68&lt;Refsz_Verbräuche[[#Headers],[2030]],Refsz_Verbräuche[[#This Row],[2029]],"")))</f>
        <v/>
      </c>
      <c r="V127" s="110" t="str">
        <f>IF(Refsz_Verbräuche[[#Headers],[2035]]=Startseite!$D$68,IF(OR(SUMIF($F127:Refsz_Verbräuche[[#This Row],[2030]],"&gt;0")&gt;0,), AVERAGEIF($F127:Refsz_Verbräuche[[#This Row],[2030]],"&lt;&gt;"""), ""),IF(Startseite!$D$68=(Refsz_Verbräuche[[#Headers],[2035]]-1),Refsz_Verbräuche[[#This Row],[2030]],IF(Startseite!$D$68&lt;Refsz_Verbräuche[[#Headers],[2035]],Refsz_Verbräuche[[#This Row],[2030]],"")))</f>
        <v/>
      </c>
      <c r="W127" s="110" t="str">
        <f>IF(Refsz_Verbräuche[[#Headers],[2040]]=Startseite!$D$68,IF(OR(SUMIF($F127:Refsz_Verbräuche[[#This Row],[2035]],"&gt;0")&gt;0,), AVERAGEIF($F127:Refsz_Verbräuche[[#This Row],[2035]],"&lt;&gt;"""), ""),IF(Startseite!$D$68=(Refsz_Verbräuche[[#Headers],[2040]]-1),Refsz_Verbräuche[[#This Row],[2035]],IF(Startseite!$D$68&lt;Refsz_Verbräuche[[#Headers],[2040]],Refsz_Verbräuche[[#This Row],[2035]],"")))</f>
        <v/>
      </c>
      <c r="X127" s="110" t="str">
        <f>IF(Refsz_Verbräuche[[#Headers],[2045]]=Startseite!$D$68,IF(OR(SUMIF($F127:Refsz_Verbräuche[[#This Row],[2040]],"&gt;0")&gt;0,), AVERAGEIF($F127:Refsz_Verbräuche[[#This Row],[2040]],"&lt;&gt;"""), ""),IF(Startseite!$D$68=(Refsz_Verbräuche[[#Headers],[2045]]-1),Refsz_Verbräuche[[#This Row],[2040]],IF(Startseite!$D$68&lt;Refsz_Verbräuche[[#Headers],[2045]],Refsz_Verbräuche[[#This Row],[2040]],"")))</f>
        <v/>
      </c>
      <c r="Y127" s="110" t="str">
        <f>IF(Refsz_Verbräuche[[#Headers],[2050]]=Startseite!$D$68,IF(OR(SUMIF($F127:Refsz_Verbräuche[[#This Row],[2045]],"&gt;0")&gt;0,), AVERAGEIF($F127:Refsz_Verbräuche[[#This Row],[2045]],"&lt;&gt;"""), ""),IF(Startseite!$D$68=(Refsz_Verbräuche[[#Headers],[2050]]-1),Refsz_Verbräuche[[#This Row],[2045]],IF(Startseite!$D$68&lt;Refsz_Verbräuche[[#Headers],[2050]],Refsz_Verbräuche[[#This Row],[2045]],"")))</f>
        <v/>
      </c>
      <c r="AA127" s="14"/>
    </row>
    <row r="128" spans="2:27">
      <c r="B128" s="14">
        <v>111</v>
      </c>
      <c r="C128" s="14" t="s">
        <v>201</v>
      </c>
      <c r="D128" t="s">
        <v>47</v>
      </c>
      <c r="E128" t="s">
        <v>178</v>
      </c>
      <c r="F128" s="110"/>
      <c r="G128" s="110"/>
      <c r="H128" s="110"/>
      <c r="I128" s="110"/>
      <c r="J128" s="110"/>
      <c r="K128" s="110"/>
      <c r="L128" s="110"/>
      <c r="M128" s="110" t="str">
        <f>IF(Refsz_Verbräuche[[#Headers],[2022]]=Startseite!$D$68,IF(OR(SUMIF($F128:Refsz_Verbräuche[[#This Row],[2021]],"&gt;0")&gt;0,), AVERAGEIF($F128:Refsz_Verbräuche[[#This Row],[2021]],"&lt;&gt;"""), ""),IF(Startseite!$D$68=(Refsz_Verbräuche[[#Headers],[2022]]-1),Refsz_Verbräuche[[#This Row],[2021]],IF(Startseite!$D$68&lt;Refsz_Verbräuche[[#Headers],[2022]],Refsz_Verbräuche[[#This Row],[2021]],"")))</f>
        <v/>
      </c>
      <c r="N128" s="110" t="str">
        <f>IF(Refsz_Verbräuche[[#Headers],[2023]]=Startseite!$D$68,IF(OR(SUMIF($F128:Refsz_Verbräuche[[#This Row],[2022]],"&gt;0")&gt;0,), AVERAGEIF($F128:Refsz_Verbräuche[[#This Row],[2022]],"&lt;&gt;"""), ""),IF(Startseite!$D$68=(Refsz_Verbräuche[[#Headers],[2023]]-1),Refsz_Verbräuche[[#This Row],[2022]],IF(Startseite!$D$68&lt;Refsz_Verbräuche[[#Headers],[2023]],Refsz_Verbräuche[[#This Row],[2022]],"")))</f>
        <v/>
      </c>
      <c r="O128" s="110" t="str">
        <f>IF(Refsz_Verbräuche[[#Headers],[2024]]=Startseite!$D$68,IF(OR(SUMIF($F128:Refsz_Verbräuche[[#This Row],[2023]],"&gt;0")&gt;0,), AVERAGEIF($F128:Refsz_Verbräuche[[#This Row],[2023]],"&lt;&gt;"""), ""),IF(Startseite!$D$68=(Refsz_Verbräuche[[#Headers],[2024]]-1),Refsz_Verbräuche[[#This Row],[2023]],IF(Startseite!$D$68&lt;Refsz_Verbräuche[[#Headers],[2024]],Refsz_Verbräuche[[#This Row],[2023]],"")))</f>
        <v/>
      </c>
      <c r="P128" s="110" t="str">
        <f>IF(Refsz_Verbräuche[[#Headers],[2025]]=Startseite!$D$68,IF(OR(SUMIF($F128:Refsz_Verbräuche[[#This Row],[2024]],"&gt;0")&gt;0,), AVERAGEIF($F128:Refsz_Verbräuche[[#This Row],[2024]],"&lt;&gt;"""), ""),IF(Startseite!$D$68=(Refsz_Verbräuche[[#Headers],[2025]]-1),Refsz_Verbräuche[[#This Row],[2024]],IF(Startseite!$D$68&lt;Refsz_Verbräuche[[#Headers],[2025]],Refsz_Verbräuche[[#This Row],[2024]],"")))</f>
        <v/>
      </c>
      <c r="Q128" s="110" t="str">
        <f>IF(Refsz_Verbräuche[[#Headers],[2026]]=Startseite!$D$68,IF(OR(SUMIF($F128:Refsz_Verbräuche[[#This Row],[2025]],"&gt;0")&gt;0,), AVERAGEIF($F128:Refsz_Verbräuche[[#This Row],[2025]],"&lt;&gt;"""), ""),IF(Startseite!$D$68=(Refsz_Verbräuche[[#Headers],[2026]]-1),Refsz_Verbräuche[[#This Row],[2025]],IF(Startseite!$D$68&lt;Refsz_Verbräuche[[#Headers],[2026]],Refsz_Verbräuche[[#This Row],[2025]],"")))</f>
        <v/>
      </c>
      <c r="R128" s="110" t="str">
        <f>IF(Refsz_Verbräuche[[#Headers],[2027]]=Startseite!$D$68,IF(OR(SUMIF($F128:Refsz_Verbräuche[[#This Row],[2026]],"&gt;0")&gt;0,), AVERAGEIF($F128:Refsz_Verbräuche[[#This Row],[2026]],"&lt;&gt;"""), ""),IF(Startseite!$D$68=(Refsz_Verbräuche[[#Headers],[2027]]-1),Refsz_Verbräuche[[#This Row],[2026]],IF(Startseite!$D$68&lt;Refsz_Verbräuche[[#Headers],[2027]],Refsz_Verbräuche[[#This Row],[2026]],"")))</f>
        <v/>
      </c>
      <c r="S128" s="110" t="str">
        <f>IF(Refsz_Verbräuche[[#Headers],[2028]]=Startseite!$D$68,IF(OR(SUMIF($F128:Refsz_Verbräuche[[#This Row],[2027]],"&gt;0")&gt;0,), AVERAGEIF($F128:Refsz_Verbräuche[[#This Row],[2027]],"&lt;&gt;"""), ""),IF(Startseite!$D$68=(Refsz_Verbräuche[[#Headers],[2028]]-1),Refsz_Verbräuche[[#This Row],[2027]],IF(Startseite!$D$68&lt;Refsz_Verbräuche[[#Headers],[2028]],Refsz_Verbräuche[[#This Row],[2027]],"")))</f>
        <v/>
      </c>
      <c r="T128" s="110" t="str">
        <f>IF(Refsz_Verbräuche[[#Headers],[2029]]=Startseite!$D$68,IF(OR(SUMIF($F128:Refsz_Verbräuche[[#This Row],[2028]],"&gt;0")&gt;0,), AVERAGEIF($F128:Refsz_Verbräuche[[#This Row],[2028]],"&lt;&gt;"""), ""),IF(Startseite!$D$68=(Refsz_Verbräuche[[#Headers],[2029]]-1),Refsz_Verbräuche[[#This Row],[2028]],IF(Startseite!$D$68&lt;Refsz_Verbräuche[[#Headers],[2029]],Refsz_Verbräuche[[#This Row],[2028]],"")))</f>
        <v/>
      </c>
      <c r="U128" s="110" t="str">
        <f>IF(Refsz_Verbräuche[[#Headers],[2030]]=Startseite!$D$68,IF(OR(SUMIF($F128:Refsz_Verbräuche[[#This Row],[2029]],"&gt;0")&gt;0,), AVERAGEIF($F128:Refsz_Verbräuche[[#This Row],[2029]],"&lt;&gt;"""), ""),IF(Startseite!$D$68=(Refsz_Verbräuche[[#Headers],[2030]]-1),Refsz_Verbräuche[[#This Row],[2029]],IF(Startseite!$D$68&lt;Refsz_Verbräuche[[#Headers],[2030]],Refsz_Verbräuche[[#This Row],[2029]],"")))</f>
        <v/>
      </c>
      <c r="V128" s="110" t="str">
        <f>IF(Refsz_Verbräuche[[#Headers],[2035]]=Startseite!$D$68,IF(OR(SUMIF($F128:Refsz_Verbräuche[[#This Row],[2030]],"&gt;0")&gt;0,), AVERAGEIF($F128:Refsz_Verbräuche[[#This Row],[2030]],"&lt;&gt;"""), ""),IF(Startseite!$D$68=(Refsz_Verbräuche[[#Headers],[2035]]-1),Refsz_Verbräuche[[#This Row],[2030]],IF(Startseite!$D$68&lt;Refsz_Verbräuche[[#Headers],[2035]],Refsz_Verbräuche[[#This Row],[2030]],"")))</f>
        <v/>
      </c>
      <c r="W128" s="110" t="str">
        <f>IF(Refsz_Verbräuche[[#Headers],[2040]]=Startseite!$D$68,IF(OR(SUMIF($F128:Refsz_Verbräuche[[#This Row],[2035]],"&gt;0")&gt;0,), AVERAGEIF($F128:Refsz_Verbräuche[[#This Row],[2035]],"&lt;&gt;"""), ""),IF(Startseite!$D$68=(Refsz_Verbräuche[[#Headers],[2040]]-1),Refsz_Verbräuche[[#This Row],[2035]],IF(Startseite!$D$68&lt;Refsz_Verbräuche[[#Headers],[2040]],Refsz_Verbräuche[[#This Row],[2035]],"")))</f>
        <v/>
      </c>
      <c r="X128" s="110" t="str">
        <f>IF(Refsz_Verbräuche[[#Headers],[2045]]=Startseite!$D$68,IF(OR(SUMIF($F128:Refsz_Verbräuche[[#This Row],[2040]],"&gt;0")&gt;0,), AVERAGEIF($F128:Refsz_Verbräuche[[#This Row],[2040]],"&lt;&gt;"""), ""),IF(Startseite!$D$68=(Refsz_Verbräuche[[#Headers],[2045]]-1),Refsz_Verbräuche[[#This Row],[2040]],IF(Startseite!$D$68&lt;Refsz_Verbräuche[[#Headers],[2045]],Refsz_Verbräuche[[#This Row],[2040]],"")))</f>
        <v/>
      </c>
      <c r="Y128" s="110" t="str">
        <f>IF(Refsz_Verbräuche[[#Headers],[2050]]=Startseite!$D$68,IF(OR(SUMIF($F128:Refsz_Verbräuche[[#This Row],[2045]],"&gt;0")&gt;0,), AVERAGEIF($F128:Refsz_Verbräuche[[#This Row],[2045]],"&lt;&gt;"""), ""),IF(Startseite!$D$68=(Refsz_Verbräuche[[#Headers],[2050]]-1),Refsz_Verbräuche[[#This Row],[2045]],IF(Startseite!$D$68&lt;Refsz_Verbräuche[[#Headers],[2050]],Refsz_Verbräuche[[#This Row],[2045]],"")))</f>
        <v/>
      </c>
      <c r="AA128" s="14"/>
    </row>
    <row r="129" spans="2:27">
      <c r="B129" s="14">
        <v>112</v>
      </c>
      <c r="C129" s="14" t="s">
        <v>201</v>
      </c>
      <c r="D129" t="s">
        <v>48</v>
      </c>
      <c r="E129" t="s">
        <v>178</v>
      </c>
      <c r="F129" s="110"/>
      <c r="G129" s="110"/>
      <c r="H129" s="110"/>
      <c r="I129" s="110"/>
      <c r="J129" s="110"/>
      <c r="K129" s="110"/>
      <c r="L129" s="110"/>
      <c r="M129" s="110" t="str">
        <f>IF(Refsz_Verbräuche[[#Headers],[2022]]=Startseite!$D$68,IF(OR(SUMIF($F129:Refsz_Verbräuche[[#This Row],[2021]],"&gt;0")&gt;0,), AVERAGEIF($F129:Refsz_Verbräuche[[#This Row],[2021]],"&lt;&gt;"""), ""),IF(Startseite!$D$68=(Refsz_Verbräuche[[#Headers],[2022]]-1),Refsz_Verbräuche[[#This Row],[2021]],IF(Startseite!$D$68&lt;Refsz_Verbräuche[[#Headers],[2022]],Refsz_Verbräuche[[#This Row],[2021]],"")))</f>
        <v/>
      </c>
      <c r="N129" s="110" t="str">
        <f>IF(Refsz_Verbräuche[[#Headers],[2023]]=Startseite!$D$68,IF(OR(SUMIF($F129:Refsz_Verbräuche[[#This Row],[2022]],"&gt;0")&gt;0,), AVERAGEIF($F129:Refsz_Verbräuche[[#This Row],[2022]],"&lt;&gt;"""), ""),IF(Startseite!$D$68=(Refsz_Verbräuche[[#Headers],[2023]]-1),Refsz_Verbräuche[[#This Row],[2022]],IF(Startseite!$D$68&lt;Refsz_Verbräuche[[#Headers],[2023]],Refsz_Verbräuche[[#This Row],[2022]],"")))</f>
        <v/>
      </c>
      <c r="O129" s="110" t="str">
        <f>IF(Refsz_Verbräuche[[#Headers],[2024]]=Startseite!$D$68,IF(OR(SUMIF($F129:Refsz_Verbräuche[[#This Row],[2023]],"&gt;0")&gt;0,), AVERAGEIF($F129:Refsz_Verbräuche[[#This Row],[2023]],"&lt;&gt;"""), ""),IF(Startseite!$D$68=(Refsz_Verbräuche[[#Headers],[2024]]-1),Refsz_Verbräuche[[#This Row],[2023]],IF(Startseite!$D$68&lt;Refsz_Verbräuche[[#Headers],[2024]],Refsz_Verbräuche[[#This Row],[2023]],"")))</f>
        <v/>
      </c>
      <c r="P129" s="110" t="str">
        <f>IF(Refsz_Verbräuche[[#Headers],[2025]]=Startseite!$D$68,IF(OR(SUMIF($F129:Refsz_Verbräuche[[#This Row],[2024]],"&gt;0")&gt;0,), AVERAGEIF($F129:Refsz_Verbräuche[[#This Row],[2024]],"&lt;&gt;"""), ""),IF(Startseite!$D$68=(Refsz_Verbräuche[[#Headers],[2025]]-1),Refsz_Verbräuche[[#This Row],[2024]],IF(Startseite!$D$68&lt;Refsz_Verbräuche[[#Headers],[2025]],Refsz_Verbräuche[[#This Row],[2024]],"")))</f>
        <v/>
      </c>
      <c r="Q129" s="110" t="str">
        <f>IF(Refsz_Verbräuche[[#Headers],[2026]]=Startseite!$D$68,IF(OR(SUMIF($F129:Refsz_Verbräuche[[#This Row],[2025]],"&gt;0")&gt;0,), AVERAGEIF($F129:Refsz_Verbräuche[[#This Row],[2025]],"&lt;&gt;"""), ""),IF(Startseite!$D$68=(Refsz_Verbräuche[[#Headers],[2026]]-1),Refsz_Verbräuche[[#This Row],[2025]],IF(Startseite!$D$68&lt;Refsz_Verbräuche[[#Headers],[2026]],Refsz_Verbräuche[[#This Row],[2025]],"")))</f>
        <v/>
      </c>
      <c r="R129" s="110" t="str">
        <f>IF(Refsz_Verbräuche[[#Headers],[2027]]=Startseite!$D$68,IF(OR(SUMIF($F129:Refsz_Verbräuche[[#This Row],[2026]],"&gt;0")&gt;0,), AVERAGEIF($F129:Refsz_Verbräuche[[#This Row],[2026]],"&lt;&gt;"""), ""),IF(Startseite!$D$68=(Refsz_Verbräuche[[#Headers],[2027]]-1),Refsz_Verbräuche[[#This Row],[2026]],IF(Startseite!$D$68&lt;Refsz_Verbräuche[[#Headers],[2027]],Refsz_Verbräuche[[#This Row],[2026]],"")))</f>
        <v/>
      </c>
      <c r="S129" s="110" t="str">
        <f>IF(Refsz_Verbräuche[[#Headers],[2028]]=Startseite!$D$68,IF(OR(SUMIF($F129:Refsz_Verbräuche[[#This Row],[2027]],"&gt;0")&gt;0,), AVERAGEIF($F129:Refsz_Verbräuche[[#This Row],[2027]],"&lt;&gt;"""), ""),IF(Startseite!$D$68=(Refsz_Verbräuche[[#Headers],[2028]]-1),Refsz_Verbräuche[[#This Row],[2027]],IF(Startseite!$D$68&lt;Refsz_Verbräuche[[#Headers],[2028]],Refsz_Verbräuche[[#This Row],[2027]],"")))</f>
        <v/>
      </c>
      <c r="T129" s="110" t="str">
        <f>IF(Refsz_Verbräuche[[#Headers],[2029]]=Startseite!$D$68,IF(OR(SUMIF($F129:Refsz_Verbräuche[[#This Row],[2028]],"&gt;0")&gt;0,), AVERAGEIF($F129:Refsz_Verbräuche[[#This Row],[2028]],"&lt;&gt;"""), ""),IF(Startseite!$D$68=(Refsz_Verbräuche[[#Headers],[2029]]-1),Refsz_Verbräuche[[#This Row],[2028]],IF(Startseite!$D$68&lt;Refsz_Verbräuche[[#Headers],[2029]],Refsz_Verbräuche[[#This Row],[2028]],"")))</f>
        <v/>
      </c>
      <c r="U129" s="110" t="str">
        <f>IF(Refsz_Verbräuche[[#Headers],[2030]]=Startseite!$D$68,IF(OR(SUMIF($F129:Refsz_Verbräuche[[#This Row],[2029]],"&gt;0")&gt;0,), AVERAGEIF($F129:Refsz_Verbräuche[[#This Row],[2029]],"&lt;&gt;"""), ""),IF(Startseite!$D$68=(Refsz_Verbräuche[[#Headers],[2030]]-1),Refsz_Verbräuche[[#This Row],[2029]],IF(Startseite!$D$68&lt;Refsz_Verbräuche[[#Headers],[2030]],Refsz_Verbräuche[[#This Row],[2029]],"")))</f>
        <v/>
      </c>
      <c r="V129" s="110" t="str">
        <f>IF(Refsz_Verbräuche[[#Headers],[2035]]=Startseite!$D$68,IF(OR(SUMIF($F129:Refsz_Verbräuche[[#This Row],[2030]],"&gt;0")&gt;0,), AVERAGEIF($F129:Refsz_Verbräuche[[#This Row],[2030]],"&lt;&gt;"""), ""),IF(Startseite!$D$68=(Refsz_Verbräuche[[#Headers],[2035]]-1),Refsz_Verbräuche[[#This Row],[2030]],IF(Startseite!$D$68&lt;Refsz_Verbräuche[[#Headers],[2035]],Refsz_Verbräuche[[#This Row],[2030]],"")))</f>
        <v/>
      </c>
      <c r="W129" s="110" t="str">
        <f>IF(Refsz_Verbräuche[[#Headers],[2040]]=Startseite!$D$68,IF(OR(SUMIF($F129:Refsz_Verbräuche[[#This Row],[2035]],"&gt;0")&gt;0,), AVERAGEIF($F129:Refsz_Verbräuche[[#This Row],[2035]],"&lt;&gt;"""), ""),IF(Startseite!$D$68=(Refsz_Verbräuche[[#Headers],[2040]]-1),Refsz_Verbräuche[[#This Row],[2035]],IF(Startseite!$D$68&lt;Refsz_Verbräuche[[#Headers],[2040]],Refsz_Verbräuche[[#This Row],[2035]],"")))</f>
        <v/>
      </c>
      <c r="X129" s="110" t="str">
        <f>IF(Refsz_Verbräuche[[#Headers],[2045]]=Startseite!$D$68,IF(OR(SUMIF($F129:Refsz_Verbräuche[[#This Row],[2040]],"&gt;0")&gt;0,), AVERAGEIF($F129:Refsz_Verbräuche[[#This Row],[2040]],"&lt;&gt;"""), ""),IF(Startseite!$D$68=(Refsz_Verbräuche[[#Headers],[2045]]-1),Refsz_Verbräuche[[#This Row],[2040]],IF(Startseite!$D$68&lt;Refsz_Verbräuche[[#Headers],[2045]],Refsz_Verbräuche[[#This Row],[2040]],"")))</f>
        <v/>
      </c>
      <c r="Y129" s="110" t="str">
        <f>IF(Refsz_Verbräuche[[#Headers],[2050]]=Startseite!$D$68,IF(OR(SUMIF($F129:Refsz_Verbräuche[[#This Row],[2045]],"&gt;0")&gt;0,), AVERAGEIF($F129:Refsz_Verbräuche[[#This Row],[2045]],"&lt;&gt;"""), ""),IF(Startseite!$D$68=(Refsz_Verbräuche[[#Headers],[2050]]-1),Refsz_Verbräuche[[#This Row],[2045]],IF(Startseite!$D$68&lt;Refsz_Verbräuche[[#Headers],[2050]],Refsz_Verbräuche[[#This Row],[2045]],"")))</f>
        <v/>
      </c>
      <c r="AA129" s="14"/>
    </row>
    <row r="130" spans="2:27">
      <c r="B130" s="14">
        <v>113</v>
      </c>
      <c r="C130" s="14" t="s">
        <v>201</v>
      </c>
      <c r="D130" t="s">
        <v>112</v>
      </c>
      <c r="E130" t="s">
        <v>178</v>
      </c>
      <c r="F130" s="110"/>
      <c r="G130" s="110"/>
      <c r="H130" s="110"/>
      <c r="I130" s="110"/>
      <c r="J130" s="110"/>
      <c r="K130" s="110"/>
      <c r="L130" s="110"/>
      <c r="M130" s="110" t="str">
        <f>IF(Refsz_Verbräuche[[#Headers],[2022]]=Startseite!$D$68,IF(OR(SUMIF($F130:Refsz_Verbräuche[[#This Row],[2021]],"&gt;0")&gt;0,), AVERAGEIF($F130:Refsz_Verbräuche[[#This Row],[2021]],"&lt;&gt;"""), ""),IF(Startseite!$D$68=(Refsz_Verbräuche[[#Headers],[2022]]-1),Refsz_Verbräuche[[#This Row],[2021]],IF(Startseite!$D$68&lt;Refsz_Verbräuche[[#Headers],[2022]],Refsz_Verbräuche[[#This Row],[2021]],"")))</f>
        <v/>
      </c>
      <c r="N130" s="110" t="str">
        <f>IF(Refsz_Verbräuche[[#Headers],[2023]]=Startseite!$D$68,IF(OR(SUMIF($F130:Refsz_Verbräuche[[#This Row],[2022]],"&gt;0")&gt;0,), AVERAGEIF($F130:Refsz_Verbräuche[[#This Row],[2022]],"&lt;&gt;"""), ""),IF(Startseite!$D$68=(Refsz_Verbräuche[[#Headers],[2023]]-1),Refsz_Verbräuche[[#This Row],[2022]],IF(Startseite!$D$68&lt;Refsz_Verbräuche[[#Headers],[2023]],Refsz_Verbräuche[[#This Row],[2022]],"")))</f>
        <v/>
      </c>
      <c r="O130" s="110" t="str">
        <f>IF(Refsz_Verbräuche[[#Headers],[2024]]=Startseite!$D$68,IF(OR(SUMIF($F130:Refsz_Verbräuche[[#This Row],[2023]],"&gt;0")&gt;0,), AVERAGEIF($F130:Refsz_Verbräuche[[#This Row],[2023]],"&lt;&gt;"""), ""),IF(Startseite!$D$68=(Refsz_Verbräuche[[#Headers],[2024]]-1),Refsz_Verbräuche[[#This Row],[2023]],IF(Startseite!$D$68&lt;Refsz_Verbräuche[[#Headers],[2024]],Refsz_Verbräuche[[#This Row],[2023]],"")))</f>
        <v/>
      </c>
      <c r="P130" s="110" t="str">
        <f>IF(Refsz_Verbräuche[[#Headers],[2025]]=Startseite!$D$68,IF(OR(SUMIF($F130:Refsz_Verbräuche[[#This Row],[2024]],"&gt;0")&gt;0,), AVERAGEIF($F130:Refsz_Verbräuche[[#This Row],[2024]],"&lt;&gt;"""), ""),IF(Startseite!$D$68=(Refsz_Verbräuche[[#Headers],[2025]]-1),Refsz_Verbräuche[[#This Row],[2024]],IF(Startseite!$D$68&lt;Refsz_Verbräuche[[#Headers],[2025]],Refsz_Verbräuche[[#This Row],[2024]],"")))</f>
        <v/>
      </c>
      <c r="Q130" s="110" t="str">
        <f>IF(Refsz_Verbräuche[[#Headers],[2026]]=Startseite!$D$68,IF(OR(SUMIF($F130:Refsz_Verbräuche[[#This Row],[2025]],"&gt;0")&gt;0,), AVERAGEIF($F130:Refsz_Verbräuche[[#This Row],[2025]],"&lt;&gt;"""), ""),IF(Startseite!$D$68=(Refsz_Verbräuche[[#Headers],[2026]]-1),Refsz_Verbräuche[[#This Row],[2025]],IF(Startseite!$D$68&lt;Refsz_Verbräuche[[#Headers],[2026]],Refsz_Verbräuche[[#This Row],[2025]],"")))</f>
        <v/>
      </c>
      <c r="R130" s="110" t="str">
        <f>IF(Refsz_Verbräuche[[#Headers],[2027]]=Startseite!$D$68,IF(OR(SUMIF($F130:Refsz_Verbräuche[[#This Row],[2026]],"&gt;0")&gt;0,), AVERAGEIF($F130:Refsz_Verbräuche[[#This Row],[2026]],"&lt;&gt;"""), ""),IF(Startseite!$D$68=(Refsz_Verbräuche[[#Headers],[2027]]-1),Refsz_Verbräuche[[#This Row],[2026]],IF(Startseite!$D$68&lt;Refsz_Verbräuche[[#Headers],[2027]],Refsz_Verbräuche[[#This Row],[2026]],"")))</f>
        <v/>
      </c>
      <c r="S130" s="110" t="str">
        <f>IF(Refsz_Verbräuche[[#Headers],[2028]]=Startseite!$D$68,IF(OR(SUMIF($F130:Refsz_Verbräuche[[#This Row],[2027]],"&gt;0")&gt;0,), AVERAGEIF($F130:Refsz_Verbräuche[[#This Row],[2027]],"&lt;&gt;"""), ""),IF(Startseite!$D$68=(Refsz_Verbräuche[[#Headers],[2028]]-1),Refsz_Verbräuche[[#This Row],[2027]],IF(Startseite!$D$68&lt;Refsz_Verbräuche[[#Headers],[2028]],Refsz_Verbräuche[[#This Row],[2027]],"")))</f>
        <v/>
      </c>
      <c r="T130" s="110" t="str">
        <f>IF(Refsz_Verbräuche[[#Headers],[2029]]=Startseite!$D$68,IF(OR(SUMIF($F130:Refsz_Verbräuche[[#This Row],[2028]],"&gt;0")&gt;0,), AVERAGEIF($F130:Refsz_Verbräuche[[#This Row],[2028]],"&lt;&gt;"""), ""),IF(Startseite!$D$68=(Refsz_Verbräuche[[#Headers],[2029]]-1),Refsz_Verbräuche[[#This Row],[2028]],IF(Startseite!$D$68&lt;Refsz_Verbräuche[[#Headers],[2029]],Refsz_Verbräuche[[#This Row],[2028]],"")))</f>
        <v/>
      </c>
      <c r="U130" s="110" t="str">
        <f>IF(Refsz_Verbräuche[[#Headers],[2030]]=Startseite!$D$68,IF(OR(SUMIF($F130:Refsz_Verbräuche[[#This Row],[2029]],"&gt;0")&gt;0,), AVERAGEIF($F130:Refsz_Verbräuche[[#This Row],[2029]],"&lt;&gt;"""), ""),IF(Startseite!$D$68=(Refsz_Verbräuche[[#Headers],[2030]]-1),Refsz_Verbräuche[[#This Row],[2029]],IF(Startseite!$D$68&lt;Refsz_Verbräuche[[#Headers],[2030]],Refsz_Verbräuche[[#This Row],[2029]],"")))</f>
        <v/>
      </c>
      <c r="V130" s="110" t="str">
        <f>IF(Refsz_Verbräuche[[#Headers],[2035]]=Startseite!$D$68,IF(OR(SUMIF($F130:Refsz_Verbräuche[[#This Row],[2030]],"&gt;0")&gt;0,), AVERAGEIF($F130:Refsz_Verbräuche[[#This Row],[2030]],"&lt;&gt;"""), ""),IF(Startseite!$D$68=(Refsz_Verbräuche[[#Headers],[2035]]-1),Refsz_Verbräuche[[#This Row],[2030]],IF(Startseite!$D$68&lt;Refsz_Verbräuche[[#Headers],[2035]],Refsz_Verbräuche[[#This Row],[2030]],"")))</f>
        <v/>
      </c>
      <c r="W130" s="110" t="str">
        <f>IF(Refsz_Verbräuche[[#Headers],[2040]]=Startseite!$D$68,IF(OR(SUMIF($F130:Refsz_Verbräuche[[#This Row],[2035]],"&gt;0")&gt;0,), AVERAGEIF($F130:Refsz_Verbräuche[[#This Row],[2035]],"&lt;&gt;"""), ""),IF(Startseite!$D$68=(Refsz_Verbräuche[[#Headers],[2040]]-1),Refsz_Verbräuche[[#This Row],[2035]],IF(Startseite!$D$68&lt;Refsz_Verbräuche[[#Headers],[2040]],Refsz_Verbräuche[[#This Row],[2035]],"")))</f>
        <v/>
      </c>
      <c r="X130" s="110" t="str">
        <f>IF(Refsz_Verbräuche[[#Headers],[2045]]=Startseite!$D$68,IF(OR(SUMIF($F130:Refsz_Verbräuche[[#This Row],[2040]],"&gt;0")&gt;0,), AVERAGEIF($F130:Refsz_Verbräuche[[#This Row],[2040]],"&lt;&gt;"""), ""),IF(Startseite!$D$68=(Refsz_Verbräuche[[#Headers],[2045]]-1),Refsz_Verbräuche[[#This Row],[2040]],IF(Startseite!$D$68&lt;Refsz_Verbräuche[[#Headers],[2045]],Refsz_Verbräuche[[#This Row],[2040]],"")))</f>
        <v/>
      </c>
      <c r="Y130" s="110" t="str">
        <f>IF(Refsz_Verbräuche[[#Headers],[2050]]=Startseite!$D$68,IF(OR(SUMIF($F130:Refsz_Verbräuche[[#This Row],[2045]],"&gt;0")&gt;0,), AVERAGEIF($F130:Refsz_Verbräuche[[#This Row],[2045]],"&lt;&gt;"""), ""),IF(Startseite!$D$68=(Refsz_Verbräuche[[#Headers],[2050]]-1),Refsz_Verbräuche[[#This Row],[2045]],IF(Startseite!$D$68&lt;Refsz_Verbräuche[[#Headers],[2050]],Refsz_Verbräuche[[#This Row],[2045]],"")))</f>
        <v/>
      </c>
      <c r="AA130" s="14"/>
    </row>
    <row r="131" spans="2:27">
      <c r="B131" s="14">
        <v>114</v>
      </c>
      <c r="C131" s="14" t="s">
        <v>201</v>
      </c>
      <c r="D131" t="s">
        <v>113</v>
      </c>
      <c r="E131" t="s">
        <v>178</v>
      </c>
      <c r="F131" s="110"/>
      <c r="G131" s="110"/>
      <c r="H131" s="110"/>
      <c r="I131" s="110"/>
      <c r="J131" s="110"/>
      <c r="K131" s="110"/>
      <c r="L131" s="110"/>
      <c r="M131" s="110" t="str">
        <f>IF(Refsz_Verbräuche[[#Headers],[2022]]=Startseite!$D$68,IF(OR(SUMIF($F131:Refsz_Verbräuche[[#This Row],[2021]],"&gt;0")&gt;0,), AVERAGEIF($F131:Refsz_Verbräuche[[#This Row],[2021]],"&lt;&gt;"""), ""),IF(Startseite!$D$68=(Refsz_Verbräuche[[#Headers],[2022]]-1),Refsz_Verbräuche[[#This Row],[2021]],IF(Startseite!$D$68&lt;Refsz_Verbräuche[[#Headers],[2022]],Refsz_Verbräuche[[#This Row],[2021]],"")))</f>
        <v/>
      </c>
      <c r="N131" s="110" t="str">
        <f>IF(Refsz_Verbräuche[[#Headers],[2023]]=Startseite!$D$68,IF(OR(SUMIF($F131:Refsz_Verbräuche[[#This Row],[2022]],"&gt;0")&gt;0,), AVERAGEIF($F131:Refsz_Verbräuche[[#This Row],[2022]],"&lt;&gt;"""), ""),IF(Startseite!$D$68=(Refsz_Verbräuche[[#Headers],[2023]]-1),Refsz_Verbräuche[[#This Row],[2022]],IF(Startseite!$D$68&lt;Refsz_Verbräuche[[#Headers],[2023]],Refsz_Verbräuche[[#This Row],[2022]],"")))</f>
        <v/>
      </c>
      <c r="O131" s="110" t="str">
        <f>IF(Refsz_Verbräuche[[#Headers],[2024]]=Startseite!$D$68,IF(OR(SUMIF($F131:Refsz_Verbräuche[[#This Row],[2023]],"&gt;0")&gt;0,), AVERAGEIF($F131:Refsz_Verbräuche[[#This Row],[2023]],"&lt;&gt;"""), ""),IF(Startseite!$D$68=(Refsz_Verbräuche[[#Headers],[2024]]-1),Refsz_Verbräuche[[#This Row],[2023]],IF(Startseite!$D$68&lt;Refsz_Verbräuche[[#Headers],[2024]],Refsz_Verbräuche[[#This Row],[2023]],"")))</f>
        <v/>
      </c>
      <c r="P131" s="110" t="str">
        <f>IF(Refsz_Verbräuche[[#Headers],[2025]]=Startseite!$D$68,IF(OR(SUMIF($F131:Refsz_Verbräuche[[#This Row],[2024]],"&gt;0")&gt;0,), AVERAGEIF($F131:Refsz_Verbräuche[[#This Row],[2024]],"&lt;&gt;"""), ""),IF(Startseite!$D$68=(Refsz_Verbräuche[[#Headers],[2025]]-1),Refsz_Verbräuche[[#This Row],[2024]],IF(Startseite!$D$68&lt;Refsz_Verbräuche[[#Headers],[2025]],Refsz_Verbräuche[[#This Row],[2024]],"")))</f>
        <v/>
      </c>
      <c r="Q131" s="110" t="str">
        <f>IF(Refsz_Verbräuche[[#Headers],[2026]]=Startseite!$D$68,IF(OR(SUMIF($F131:Refsz_Verbräuche[[#This Row],[2025]],"&gt;0")&gt;0,), AVERAGEIF($F131:Refsz_Verbräuche[[#This Row],[2025]],"&lt;&gt;"""), ""),IF(Startseite!$D$68=(Refsz_Verbräuche[[#Headers],[2026]]-1),Refsz_Verbräuche[[#This Row],[2025]],IF(Startseite!$D$68&lt;Refsz_Verbräuche[[#Headers],[2026]],Refsz_Verbräuche[[#This Row],[2025]],"")))</f>
        <v/>
      </c>
      <c r="R131" s="110" t="str">
        <f>IF(Refsz_Verbräuche[[#Headers],[2027]]=Startseite!$D$68,IF(OR(SUMIF($F131:Refsz_Verbräuche[[#This Row],[2026]],"&gt;0")&gt;0,), AVERAGEIF($F131:Refsz_Verbräuche[[#This Row],[2026]],"&lt;&gt;"""), ""),IF(Startseite!$D$68=(Refsz_Verbräuche[[#Headers],[2027]]-1),Refsz_Verbräuche[[#This Row],[2026]],IF(Startseite!$D$68&lt;Refsz_Verbräuche[[#Headers],[2027]],Refsz_Verbräuche[[#This Row],[2026]],"")))</f>
        <v/>
      </c>
      <c r="S131" s="110" t="str">
        <f>IF(Refsz_Verbräuche[[#Headers],[2028]]=Startseite!$D$68,IF(OR(SUMIF($F131:Refsz_Verbräuche[[#This Row],[2027]],"&gt;0")&gt;0,), AVERAGEIF($F131:Refsz_Verbräuche[[#This Row],[2027]],"&lt;&gt;"""), ""),IF(Startseite!$D$68=(Refsz_Verbräuche[[#Headers],[2028]]-1),Refsz_Verbräuche[[#This Row],[2027]],IF(Startseite!$D$68&lt;Refsz_Verbräuche[[#Headers],[2028]],Refsz_Verbräuche[[#This Row],[2027]],"")))</f>
        <v/>
      </c>
      <c r="T131" s="110" t="str">
        <f>IF(Refsz_Verbräuche[[#Headers],[2029]]=Startseite!$D$68,IF(OR(SUMIF($F131:Refsz_Verbräuche[[#This Row],[2028]],"&gt;0")&gt;0,), AVERAGEIF($F131:Refsz_Verbräuche[[#This Row],[2028]],"&lt;&gt;"""), ""),IF(Startseite!$D$68=(Refsz_Verbräuche[[#Headers],[2029]]-1),Refsz_Verbräuche[[#This Row],[2028]],IF(Startseite!$D$68&lt;Refsz_Verbräuche[[#Headers],[2029]],Refsz_Verbräuche[[#This Row],[2028]],"")))</f>
        <v/>
      </c>
      <c r="U131" s="110" t="str">
        <f>IF(Refsz_Verbräuche[[#Headers],[2030]]=Startseite!$D$68,IF(OR(SUMIF($F131:Refsz_Verbräuche[[#This Row],[2029]],"&gt;0")&gt;0,), AVERAGEIF($F131:Refsz_Verbräuche[[#This Row],[2029]],"&lt;&gt;"""), ""),IF(Startseite!$D$68=(Refsz_Verbräuche[[#Headers],[2030]]-1),Refsz_Verbräuche[[#This Row],[2029]],IF(Startseite!$D$68&lt;Refsz_Verbräuche[[#Headers],[2030]],Refsz_Verbräuche[[#This Row],[2029]],"")))</f>
        <v/>
      </c>
      <c r="V131" s="110" t="str">
        <f>IF(Refsz_Verbräuche[[#Headers],[2035]]=Startseite!$D$68,IF(OR(SUMIF($F131:Refsz_Verbräuche[[#This Row],[2030]],"&gt;0")&gt;0,), AVERAGEIF($F131:Refsz_Verbräuche[[#This Row],[2030]],"&lt;&gt;"""), ""),IF(Startseite!$D$68=(Refsz_Verbräuche[[#Headers],[2035]]-1),Refsz_Verbräuche[[#This Row],[2030]],IF(Startseite!$D$68&lt;Refsz_Verbräuche[[#Headers],[2035]],Refsz_Verbräuche[[#This Row],[2030]],"")))</f>
        <v/>
      </c>
      <c r="W131" s="110" t="str">
        <f>IF(Refsz_Verbräuche[[#Headers],[2040]]=Startseite!$D$68,IF(OR(SUMIF($F131:Refsz_Verbräuche[[#This Row],[2035]],"&gt;0")&gt;0,), AVERAGEIF($F131:Refsz_Verbräuche[[#This Row],[2035]],"&lt;&gt;"""), ""),IF(Startseite!$D$68=(Refsz_Verbräuche[[#Headers],[2040]]-1),Refsz_Verbräuche[[#This Row],[2035]],IF(Startseite!$D$68&lt;Refsz_Verbräuche[[#Headers],[2040]],Refsz_Verbräuche[[#This Row],[2035]],"")))</f>
        <v/>
      </c>
      <c r="X131" s="110" t="str">
        <f>IF(Refsz_Verbräuche[[#Headers],[2045]]=Startseite!$D$68,IF(OR(SUMIF($F131:Refsz_Verbräuche[[#This Row],[2040]],"&gt;0")&gt;0,), AVERAGEIF($F131:Refsz_Verbräuche[[#This Row],[2040]],"&lt;&gt;"""), ""),IF(Startseite!$D$68=(Refsz_Verbräuche[[#Headers],[2045]]-1),Refsz_Verbräuche[[#This Row],[2040]],IF(Startseite!$D$68&lt;Refsz_Verbräuche[[#Headers],[2045]],Refsz_Verbräuche[[#This Row],[2040]],"")))</f>
        <v/>
      </c>
      <c r="Y131" s="110" t="str">
        <f>IF(Refsz_Verbräuche[[#Headers],[2050]]=Startseite!$D$68,IF(OR(SUMIF($F131:Refsz_Verbräuche[[#This Row],[2045]],"&gt;0")&gt;0,), AVERAGEIF($F131:Refsz_Verbräuche[[#This Row],[2045]],"&lt;&gt;"""), ""),IF(Startseite!$D$68=(Refsz_Verbräuche[[#Headers],[2050]]-1),Refsz_Verbräuche[[#This Row],[2045]],IF(Startseite!$D$68&lt;Refsz_Verbräuche[[#Headers],[2050]],Refsz_Verbräuche[[#This Row],[2045]],"")))</f>
        <v/>
      </c>
      <c r="AA131" s="14"/>
    </row>
    <row r="132" spans="2:27">
      <c r="B132" s="14">
        <v>115</v>
      </c>
      <c r="C132" s="14" t="s">
        <v>201</v>
      </c>
      <c r="D132" s="9" t="s">
        <v>146</v>
      </c>
      <c r="E132" t="s">
        <v>178</v>
      </c>
      <c r="F132" s="110"/>
      <c r="G132" s="110"/>
      <c r="H132" s="110"/>
      <c r="I132" s="110"/>
      <c r="J132" s="110"/>
      <c r="K132" s="110"/>
      <c r="L132" s="110"/>
      <c r="M132" s="110" t="str">
        <f>IF(Refsz_Verbräuche[[#Headers],[2022]]=Startseite!$D$68,IF(OR(SUMIF($F132:Refsz_Verbräuche[[#This Row],[2021]],"&gt;0")&gt;0,), AVERAGEIF($F132:Refsz_Verbräuche[[#This Row],[2021]],"&lt;&gt;"""), ""),IF(Startseite!$D$68=(Refsz_Verbräuche[[#Headers],[2022]]-1),Refsz_Verbräuche[[#This Row],[2021]],IF(Startseite!$D$68&lt;Refsz_Verbräuche[[#Headers],[2022]],Refsz_Verbräuche[[#This Row],[2021]],"")))</f>
        <v/>
      </c>
      <c r="N132" s="110" t="str">
        <f>IF(Refsz_Verbräuche[[#Headers],[2023]]=Startseite!$D$68,IF(OR(SUMIF($F132:Refsz_Verbräuche[[#This Row],[2022]],"&gt;0")&gt;0,), AVERAGEIF($F132:Refsz_Verbräuche[[#This Row],[2022]],"&lt;&gt;"""), ""),IF(Startseite!$D$68=(Refsz_Verbräuche[[#Headers],[2023]]-1),Refsz_Verbräuche[[#This Row],[2022]],IF(Startseite!$D$68&lt;Refsz_Verbräuche[[#Headers],[2023]],Refsz_Verbräuche[[#This Row],[2022]],"")))</f>
        <v/>
      </c>
      <c r="O132" s="110" t="str">
        <f>IF(Refsz_Verbräuche[[#Headers],[2024]]=Startseite!$D$68,IF(OR(SUMIF($F132:Refsz_Verbräuche[[#This Row],[2023]],"&gt;0")&gt;0,), AVERAGEIF($F132:Refsz_Verbräuche[[#This Row],[2023]],"&lt;&gt;"""), ""),IF(Startseite!$D$68=(Refsz_Verbräuche[[#Headers],[2024]]-1),Refsz_Verbräuche[[#This Row],[2023]],IF(Startseite!$D$68&lt;Refsz_Verbräuche[[#Headers],[2024]],Refsz_Verbräuche[[#This Row],[2023]],"")))</f>
        <v/>
      </c>
      <c r="P132" s="110" t="str">
        <f>IF(Refsz_Verbräuche[[#Headers],[2025]]=Startseite!$D$68,IF(OR(SUMIF($F132:Refsz_Verbräuche[[#This Row],[2024]],"&gt;0")&gt;0,), AVERAGEIF($F132:Refsz_Verbräuche[[#This Row],[2024]],"&lt;&gt;"""), ""),IF(Startseite!$D$68=(Refsz_Verbräuche[[#Headers],[2025]]-1),Refsz_Verbräuche[[#This Row],[2024]],IF(Startseite!$D$68&lt;Refsz_Verbräuche[[#Headers],[2025]],Refsz_Verbräuche[[#This Row],[2024]],"")))</f>
        <v/>
      </c>
      <c r="Q132" s="110" t="str">
        <f>IF(Refsz_Verbräuche[[#Headers],[2026]]=Startseite!$D$68,IF(OR(SUMIF($F132:Refsz_Verbräuche[[#This Row],[2025]],"&gt;0")&gt;0,), AVERAGEIF($F132:Refsz_Verbräuche[[#This Row],[2025]],"&lt;&gt;"""), ""),IF(Startseite!$D$68=(Refsz_Verbräuche[[#Headers],[2026]]-1),Refsz_Verbräuche[[#This Row],[2025]],IF(Startseite!$D$68&lt;Refsz_Verbräuche[[#Headers],[2026]],Refsz_Verbräuche[[#This Row],[2025]],"")))</f>
        <v/>
      </c>
      <c r="R132" s="110" t="str">
        <f>IF(Refsz_Verbräuche[[#Headers],[2027]]=Startseite!$D$68,IF(OR(SUMIF($F132:Refsz_Verbräuche[[#This Row],[2026]],"&gt;0")&gt;0,), AVERAGEIF($F132:Refsz_Verbräuche[[#This Row],[2026]],"&lt;&gt;"""), ""),IF(Startseite!$D$68=(Refsz_Verbräuche[[#Headers],[2027]]-1),Refsz_Verbräuche[[#This Row],[2026]],IF(Startseite!$D$68&lt;Refsz_Verbräuche[[#Headers],[2027]],Refsz_Verbräuche[[#This Row],[2026]],"")))</f>
        <v/>
      </c>
      <c r="S132" s="110" t="str">
        <f>IF(Refsz_Verbräuche[[#Headers],[2028]]=Startseite!$D$68,IF(OR(SUMIF($F132:Refsz_Verbräuche[[#This Row],[2027]],"&gt;0")&gt;0,), AVERAGEIF($F132:Refsz_Verbräuche[[#This Row],[2027]],"&lt;&gt;"""), ""),IF(Startseite!$D$68=(Refsz_Verbräuche[[#Headers],[2028]]-1),Refsz_Verbräuche[[#This Row],[2027]],IF(Startseite!$D$68&lt;Refsz_Verbräuche[[#Headers],[2028]],Refsz_Verbräuche[[#This Row],[2027]],"")))</f>
        <v/>
      </c>
      <c r="T132" s="110" t="str">
        <f>IF(Refsz_Verbräuche[[#Headers],[2029]]=Startseite!$D$68,IF(OR(SUMIF($F132:Refsz_Verbräuche[[#This Row],[2028]],"&gt;0")&gt;0,), AVERAGEIF($F132:Refsz_Verbräuche[[#This Row],[2028]],"&lt;&gt;"""), ""),IF(Startseite!$D$68=(Refsz_Verbräuche[[#Headers],[2029]]-1),Refsz_Verbräuche[[#This Row],[2028]],IF(Startseite!$D$68&lt;Refsz_Verbräuche[[#Headers],[2029]],Refsz_Verbräuche[[#This Row],[2028]],"")))</f>
        <v/>
      </c>
      <c r="U132" s="110" t="str">
        <f>IF(Refsz_Verbräuche[[#Headers],[2030]]=Startseite!$D$68,IF(OR(SUMIF($F132:Refsz_Verbräuche[[#This Row],[2029]],"&gt;0")&gt;0,), AVERAGEIF($F132:Refsz_Verbräuche[[#This Row],[2029]],"&lt;&gt;"""), ""),IF(Startseite!$D$68=(Refsz_Verbräuche[[#Headers],[2030]]-1),Refsz_Verbräuche[[#This Row],[2029]],IF(Startseite!$D$68&lt;Refsz_Verbräuche[[#Headers],[2030]],Refsz_Verbräuche[[#This Row],[2029]],"")))</f>
        <v/>
      </c>
      <c r="V132" s="110" t="str">
        <f>IF(Refsz_Verbräuche[[#Headers],[2035]]=Startseite!$D$68,IF(OR(SUMIF($F132:Refsz_Verbräuche[[#This Row],[2030]],"&gt;0")&gt;0,), AVERAGEIF($F132:Refsz_Verbräuche[[#This Row],[2030]],"&lt;&gt;"""), ""),IF(Startseite!$D$68=(Refsz_Verbräuche[[#Headers],[2035]]-1),Refsz_Verbräuche[[#This Row],[2030]],IF(Startseite!$D$68&lt;Refsz_Verbräuche[[#Headers],[2035]],Refsz_Verbräuche[[#This Row],[2030]],"")))</f>
        <v/>
      </c>
      <c r="W132" s="110" t="str">
        <f>IF(Refsz_Verbräuche[[#Headers],[2040]]=Startseite!$D$68,IF(OR(SUMIF($F132:Refsz_Verbräuche[[#This Row],[2035]],"&gt;0")&gt;0,), AVERAGEIF($F132:Refsz_Verbräuche[[#This Row],[2035]],"&lt;&gt;"""), ""),IF(Startseite!$D$68=(Refsz_Verbräuche[[#Headers],[2040]]-1),Refsz_Verbräuche[[#This Row],[2035]],IF(Startseite!$D$68&lt;Refsz_Verbräuche[[#Headers],[2040]],Refsz_Verbräuche[[#This Row],[2035]],"")))</f>
        <v/>
      </c>
      <c r="X132" s="110" t="str">
        <f>IF(Refsz_Verbräuche[[#Headers],[2045]]=Startseite!$D$68,IF(OR(SUMIF($F132:Refsz_Verbräuche[[#This Row],[2040]],"&gt;0")&gt;0,), AVERAGEIF($F132:Refsz_Verbräuche[[#This Row],[2040]],"&lt;&gt;"""), ""),IF(Startseite!$D$68=(Refsz_Verbräuche[[#Headers],[2045]]-1),Refsz_Verbräuche[[#This Row],[2040]],IF(Startseite!$D$68&lt;Refsz_Verbräuche[[#Headers],[2045]],Refsz_Verbräuche[[#This Row],[2040]],"")))</f>
        <v/>
      </c>
      <c r="Y132" s="110" t="str">
        <f>IF(Refsz_Verbräuche[[#Headers],[2050]]=Startseite!$D$68,IF(OR(SUMIF($F132:Refsz_Verbräuche[[#This Row],[2045]],"&gt;0")&gt;0,), AVERAGEIF($F132:Refsz_Verbräuche[[#This Row],[2045]],"&lt;&gt;"""), ""),IF(Startseite!$D$68=(Refsz_Verbräuche[[#Headers],[2050]]-1),Refsz_Verbräuche[[#This Row],[2045]],IF(Startseite!$D$68&lt;Refsz_Verbräuche[[#Headers],[2050]],Refsz_Verbräuche[[#This Row],[2045]],"")))</f>
        <v/>
      </c>
      <c r="AA132" s="14"/>
    </row>
    <row r="133" spans="2:27">
      <c r="B133" s="14">
        <v>116</v>
      </c>
      <c r="C133" s="14"/>
      <c r="D133" s="9"/>
      <c r="E133" s="9"/>
      <c r="F133" s="110"/>
      <c r="G133" s="110"/>
      <c r="H133" s="110"/>
      <c r="I133" s="110"/>
      <c r="J133" s="110"/>
      <c r="K133" s="110"/>
      <c r="L133" s="110"/>
      <c r="M133" s="110" t="str">
        <f>IF(Refsz_Verbräuche[[#Headers],[2022]]=Startseite!$D$68,IF(OR(SUMIF($F133:Refsz_Verbräuche[[#This Row],[2021]],"&gt;0")&gt;0,), AVERAGEIF($F133:Refsz_Verbräuche[[#This Row],[2021]],"&lt;&gt;"""), ""),IF(Startseite!$D$68=(Refsz_Verbräuche[[#Headers],[2022]]-1),Refsz_Verbräuche[[#This Row],[2021]],IF(Startseite!$D$68&lt;Refsz_Verbräuche[[#Headers],[2022]],Refsz_Verbräuche[[#This Row],[2021]],"")))</f>
        <v/>
      </c>
      <c r="N133" s="110" t="str">
        <f>IF(Refsz_Verbräuche[[#Headers],[2023]]=Startseite!$D$68,IF(OR(SUMIF($F133:Refsz_Verbräuche[[#This Row],[2022]],"&gt;0")&gt;0,), AVERAGEIF($F133:Refsz_Verbräuche[[#This Row],[2022]],"&lt;&gt;"""), ""),IF(Startseite!$D$68=(Refsz_Verbräuche[[#Headers],[2023]]-1),Refsz_Verbräuche[[#This Row],[2022]],IF(Startseite!$D$68&lt;Refsz_Verbräuche[[#Headers],[2023]],Refsz_Verbräuche[[#This Row],[2022]],"")))</f>
        <v/>
      </c>
      <c r="O133" s="110" t="str">
        <f>IF(Refsz_Verbräuche[[#Headers],[2024]]=Startseite!$D$68,IF(OR(SUMIF($F133:Refsz_Verbräuche[[#This Row],[2023]],"&gt;0")&gt;0,), AVERAGEIF($F133:Refsz_Verbräuche[[#This Row],[2023]],"&lt;&gt;"""), ""),IF(Startseite!$D$68=(Refsz_Verbräuche[[#Headers],[2024]]-1),Refsz_Verbräuche[[#This Row],[2023]],IF(Startseite!$D$68&lt;Refsz_Verbräuche[[#Headers],[2024]],Refsz_Verbräuche[[#This Row],[2023]],"")))</f>
        <v/>
      </c>
      <c r="P133" s="110" t="str">
        <f>IF(Refsz_Verbräuche[[#Headers],[2025]]=Startseite!$D$68,IF(OR(SUMIF($F133:Refsz_Verbräuche[[#This Row],[2024]],"&gt;0")&gt;0,), AVERAGEIF($F133:Refsz_Verbräuche[[#This Row],[2024]],"&lt;&gt;"""), ""),IF(Startseite!$D$68=(Refsz_Verbräuche[[#Headers],[2025]]-1),Refsz_Verbräuche[[#This Row],[2024]],IF(Startseite!$D$68&lt;Refsz_Verbräuche[[#Headers],[2025]],Refsz_Verbräuche[[#This Row],[2024]],"")))</f>
        <v/>
      </c>
      <c r="Q133" s="110" t="str">
        <f>IF(Refsz_Verbräuche[[#Headers],[2026]]=Startseite!$D$68,IF(OR(SUMIF($F133:Refsz_Verbräuche[[#This Row],[2025]],"&gt;0")&gt;0,), AVERAGEIF($F133:Refsz_Verbräuche[[#This Row],[2025]],"&lt;&gt;"""), ""),IF(Startseite!$D$68=(Refsz_Verbräuche[[#Headers],[2026]]-1),Refsz_Verbräuche[[#This Row],[2025]],IF(Startseite!$D$68&lt;Refsz_Verbräuche[[#Headers],[2026]],Refsz_Verbräuche[[#This Row],[2025]],"")))</f>
        <v/>
      </c>
      <c r="R133" s="110" t="str">
        <f>IF(Refsz_Verbräuche[[#Headers],[2027]]=Startseite!$D$68,IF(OR(SUMIF($F133:Refsz_Verbräuche[[#This Row],[2026]],"&gt;0")&gt;0,), AVERAGEIF($F133:Refsz_Verbräuche[[#This Row],[2026]],"&lt;&gt;"""), ""),IF(Startseite!$D$68=(Refsz_Verbräuche[[#Headers],[2027]]-1),Refsz_Verbräuche[[#This Row],[2026]],IF(Startseite!$D$68&lt;Refsz_Verbräuche[[#Headers],[2027]],Refsz_Verbräuche[[#This Row],[2026]],"")))</f>
        <v/>
      </c>
      <c r="S133" s="110" t="str">
        <f>IF(Refsz_Verbräuche[[#Headers],[2028]]=Startseite!$D$68,IF(OR(SUMIF($F133:Refsz_Verbräuche[[#This Row],[2027]],"&gt;0")&gt;0,), AVERAGEIF($F133:Refsz_Verbräuche[[#This Row],[2027]],"&lt;&gt;"""), ""),IF(Startseite!$D$68=(Refsz_Verbräuche[[#Headers],[2028]]-1),Refsz_Verbräuche[[#This Row],[2027]],IF(Startseite!$D$68&lt;Refsz_Verbräuche[[#Headers],[2028]],Refsz_Verbräuche[[#This Row],[2027]],"")))</f>
        <v/>
      </c>
      <c r="T133" s="110" t="str">
        <f>IF(Refsz_Verbräuche[[#Headers],[2029]]=Startseite!$D$68,IF(OR(SUMIF($F133:Refsz_Verbräuche[[#This Row],[2028]],"&gt;0")&gt;0,), AVERAGEIF($F133:Refsz_Verbräuche[[#This Row],[2028]],"&lt;&gt;"""), ""),IF(Startseite!$D$68=(Refsz_Verbräuche[[#Headers],[2029]]-1),Refsz_Verbräuche[[#This Row],[2028]],IF(Startseite!$D$68&lt;Refsz_Verbräuche[[#Headers],[2029]],Refsz_Verbräuche[[#This Row],[2028]],"")))</f>
        <v/>
      </c>
      <c r="U133" s="110" t="str">
        <f>IF(Refsz_Verbräuche[[#Headers],[2030]]=Startseite!$D$68,IF(OR(SUMIF($F133:Refsz_Verbräuche[[#This Row],[2029]],"&gt;0")&gt;0,), AVERAGEIF($F133:Refsz_Verbräuche[[#This Row],[2029]],"&lt;&gt;"""), ""),IF(Startseite!$D$68=(Refsz_Verbräuche[[#Headers],[2030]]-1),Refsz_Verbräuche[[#This Row],[2029]],IF(Startseite!$D$68&lt;Refsz_Verbräuche[[#Headers],[2030]],Refsz_Verbräuche[[#This Row],[2029]],"")))</f>
        <v/>
      </c>
      <c r="V133" s="110" t="str">
        <f>IF(Refsz_Verbräuche[[#Headers],[2035]]=Startseite!$D$68,IF(OR(SUMIF($F133:Refsz_Verbräuche[[#This Row],[2030]],"&gt;0")&gt;0,), AVERAGEIF($F133:Refsz_Verbräuche[[#This Row],[2030]],"&lt;&gt;"""), ""),IF(Startseite!$D$68=(Refsz_Verbräuche[[#Headers],[2035]]-1),Refsz_Verbräuche[[#This Row],[2030]],IF(Startseite!$D$68&lt;Refsz_Verbräuche[[#Headers],[2035]],Refsz_Verbräuche[[#This Row],[2030]],"")))</f>
        <v/>
      </c>
      <c r="W133" s="110" t="str">
        <f>IF(Refsz_Verbräuche[[#Headers],[2040]]=Startseite!$D$68,IF(OR(SUMIF($F133:Refsz_Verbräuche[[#This Row],[2035]],"&gt;0")&gt;0,), AVERAGEIF($F133:Refsz_Verbräuche[[#This Row],[2035]],"&lt;&gt;"""), ""),IF(Startseite!$D$68=(Refsz_Verbräuche[[#Headers],[2040]]-1),Refsz_Verbräuche[[#This Row],[2035]],IF(Startseite!$D$68&lt;Refsz_Verbräuche[[#Headers],[2040]],Refsz_Verbräuche[[#This Row],[2035]],"")))</f>
        <v/>
      </c>
      <c r="X133" s="110" t="str">
        <f>IF(Refsz_Verbräuche[[#Headers],[2045]]=Startseite!$D$68,IF(OR(SUMIF($F133:Refsz_Verbräuche[[#This Row],[2040]],"&gt;0")&gt;0,), AVERAGEIF($F133:Refsz_Verbräuche[[#This Row],[2040]],"&lt;&gt;"""), ""),IF(Startseite!$D$68=(Refsz_Verbräuche[[#Headers],[2045]]-1),Refsz_Verbräuche[[#This Row],[2040]],IF(Startseite!$D$68&lt;Refsz_Verbräuche[[#Headers],[2045]],Refsz_Verbräuche[[#This Row],[2040]],"")))</f>
        <v/>
      </c>
      <c r="Y133" s="110" t="str">
        <f>IF(Refsz_Verbräuche[[#Headers],[2050]]=Startseite!$D$68,IF(OR(SUMIF($F133:Refsz_Verbräuche[[#This Row],[2045]],"&gt;0")&gt;0,), AVERAGEIF($F133:Refsz_Verbräuche[[#This Row],[2045]],"&lt;&gt;"""), ""),IF(Startseite!$D$68=(Refsz_Verbräuche[[#Headers],[2050]]-1),Refsz_Verbräuche[[#This Row],[2045]],IF(Startseite!$D$68&lt;Refsz_Verbräuche[[#Headers],[2050]],Refsz_Verbräuche[[#This Row],[2045]],"")))</f>
        <v/>
      </c>
      <c r="AA133" s="14"/>
    </row>
    <row r="134" spans="2:27">
      <c r="B134" s="14">
        <v>117</v>
      </c>
      <c r="C134" s="14" t="s">
        <v>517</v>
      </c>
      <c r="D134" s="9" t="s">
        <v>66</v>
      </c>
      <c r="E134" t="s">
        <v>44</v>
      </c>
      <c r="F134" s="110"/>
      <c r="G134" s="110"/>
      <c r="H134" s="110"/>
      <c r="I134" s="110"/>
      <c r="J134" s="110"/>
      <c r="K134" s="110"/>
      <c r="L134" s="110"/>
      <c r="M134" s="110" t="str">
        <f>IF(Refsz_Verbräuche[[#Headers],[2022]]=Startseite!$D$68,IF(OR(SUMIF($F134:Refsz_Verbräuche[[#This Row],[2021]],"&gt;0")&gt;0,), AVERAGEIF($F134:Refsz_Verbräuche[[#This Row],[2021]],"&lt;&gt;"""), ""),IF(Startseite!$D$68=(Refsz_Verbräuche[[#Headers],[2022]]-1),Refsz_Verbräuche[[#This Row],[2021]],IF(Startseite!$D$68&lt;Refsz_Verbräuche[[#Headers],[2022]],Refsz_Verbräuche[[#This Row],[2021]],"")))</f>
        <v/>
      </c>
      <c r="N134" s="110" t="str">
        <f>IF(Refsz_Verbräuche[[#Headers],[2023]]=Startseite!$D$68,IF(OR(SUMIF($F134:Refsz_Verbräuche[[#This Row],[2022]],"&gt;0")&gt;0,), AVERAGEIF($F134:Refsz_Verbräuche[[#This Row],[2022]],"&lt;&gt;"""), ""),IF(Startseite!$D$68=(Refsz_Verbräuche[[#Headers],[2023]]-1),Refsz_Verbräuche[[#This Row],[2022]],IF(Startseite!$D$68&lt;Refsz_Verbräuche[[#Headers],[2023]],Refsz_Verbräuche[[#This Row],[2022]],"")))</f>
        <v/>
      </c>
      <c r="O134" s="110" t="str">
        <f>IF(Refsz_Verbräuche[[#Headers],[2024]]=Startseite!$D$68,IF(OR(SUMIF($F134:Refsz_Verbräuche[[#This Row],[2023]],"&gt;0")&gt;0,), AVERAGEIF($F134:Refsz_Verbräuche[[#This Row],[2023]],"&lt;&gt;"""), ""),IF(Startseite!$D$68=(Refsz_Verbräuche[[#Headers],[2024]]-1),Refsz_Verbräuche[[#This Row],[2023]],IF(Startseite!$D$68&lt;Refsz_Verbräuche[[#Headers],[2024]],Refsz_Verbräuche[[#This Row],[2023]],"")))</f>
        <v/>
      </c>
      <c r="P134" s="110" t="str">
        <f>IF(Refsz_Verbräuche[[#Headers],[2025]]=Startseite!$D$68,IF(OR(SUMIF($F134:Refsz_Verbräuche[[#This Row],[2024]],"&gt;0")&gt;0,), AVERAGEIF($F134:Refsz_Verbräuche[[#This Row],[2024]],"&lt;&gt;"""), ""),IF(Startseite!$D$68=(Refsz_Verbräuche[[#Headers],[2025]]-1),Refsz_Verbräuche[[#This Row],[2024]],IF(Startseite!$D$68&lt;Refsz_Verbräuche[[#Headers],[2025]],Refsz_Verbräuche[[#This Row],[2024]],"")))</f>
        <v/>
      </c>
      <c r="Q134" s="110" t="str">
        <f>IF(Refsz_Verbräuche[[#Headers],[2026]]=Startseite!$D$68,IF(OR(SUMIF($F134:Refsz_Verbräuche[[#This Row],[2025]],"&gt;0")&gt;0,), AVERAGEIF($F134:Refsz_Verbräuche[[#This Row],[2025]],"&lt;&gt;"""), ""),IF(Startseite!$D$68=(Refsz_Verbräuche[[#Headers],[2026]]-1),Refsz_Verbräuche[[#This Row],[2025]],IF(Startseite!$D$68&lt;Refsz_Verbräuche[[#Headers],[2026]],Refsz_Verbräuche[[#This Row],[2025]],"")))</f>
        <v/>
      </c>
      <c r="R134" s="110" t="str">
        <f>IF(Refsz_Verbräuche[[#Headers],[2027]]=Startseite!$D$68,IF(OR(SUMIF($F134:Refsz_Verbräuche[[#This Row],[2026]],"&gt;0")&gt;0,), AVERAGEIF($F134:Refsz_Verbräuche[[#This Row],[2026]],"&lt;&gt;"""), ""),IF(Startseite!$D$68=(Refsz_Verbräuche[[#Headers],[2027]]-1),Refsz_Verbräuche[[#This Row],[2026]],IF(Startseite!$D$68&lt;Refsz_Verbräuche[[#Headers],[2027]],Refsz_Verbräuche[[#This Row],[2026]],"")))</f>
        <v/>
      </c>
      <c r="S134" s="110" t="str">
        <f>IF(Refsz_Verbräuche[[#Headers],[2028]]=Startseite!$D$68,IF(OR(SUMIF($F134:Refsz_Verbräuche[[#This Row],[2027]],"&gt;0")&gt;0,), AVERAGEIF($F134:Refsz_Verbräuche[[#This Row],[2027]],"&lt;&gt;"""), ""),IF(Startseite!$D$68=(Refsz_Verbräuche[[#Headers],[2028]]-1),Refsz_Verbräuche[[#This Row],[2027]],IF(Startseite!$D$68&lt;Refsz_Verbräuche[[#Headers],[2028]],Refsz_Verbräuche[[#This Row],[2027]],"")))</f>
        <v/>
      </c>
      <c r="T134" s="110" t="str">
        <f>IF(Refsz_Verbräuche[[#Headers],[2029]]=Startseite!$D$68,IF(OR(SUMIF($F134:Refsz_Verbräuche[[#This Row],[2028]],"&gt;0")&gt;0,), AVERAGEIF($F134:Refsz_Verbräuche[[#This Row],[2028]],"&lt;&gt;"""), ""),IF(Startseite!$D$68=(Refsz_Verbräuche[[#Headers],[2029]]-1),Refsz_Verbräuche[[#This Row],[2028]],IF(Startseite!$D$68&lt;Refsz_Verbräuche[[#Headers],[2029]],Refsz_Verbräuche[[#This Row],[2028]],"")))</f>
        <v/>
      </c>
      <c r="U134" s="110" t="str">
        <f>IF(Refsz_Verbräuche[[#Headers],[2030]]=Startseite!$D$68,IF(OR(SUMIF($F134:Refsz_Verbräuche[[#This Row],[2029]],"&gt;0")&gt;0,), AVERAGEIF($F134:Refsz_Verbräuche[[#This Row],[2029]],"&lt;&gt;"""), ""),IF(Startseite!$D$68=(Refsz_Verbräuche[[#Headers],[2030]]-1),Refsz_Verbräuche[[#This Row],[2029]],IF(Startseite!$D$68&lt;Refsz_Verbräuche[[#Headers],[2030]],Refsz_Verbräuche[[#This Row],[2029]],"")))</f>
        <v/>
      </c>
      <c r="V134" s="110" t="str">
        <f>IF(Refsz_Verbräuche[[#Headers],[2035]]=Startseite!$D$68,IF(OR(SUMIF($F134:Refsz_Verbräuche[[#This Row],[2030]],"&gt;0")&gt;0,), AVERAGEIF($F134:Refsz_Verbräuche[[#This Row],[2030]],"&lt;&gt;"""), ""),IF(Startseite!$D$68=(Refsz_Verbräuche[[#Headers],[2035]]-1),Refsz_Verbräuche[[#This Row],[2030]],IF(Startseite!$D$68&lt;Refsz_Verbräuche[[#Headers],[2035]],Refsz_Verbräuche[[#This Row],[2030]],"")))</f>
        <v/>
      </c>
      <c r="W134" s="110" t="str">
        <f>IF(Refsz_Verbräuche[[#Headers],[2040]]=Startseite!$D$68,IF(OR(SUMIF($F134:Refsz_Verbräuche[[#This Row],[2035]],"&gt;0")&gt;0,), AVERAGEIF($F134:Refsz_Verbräuche[[#This Row],[2035]],"&lt;&gt;"""), ""),IF(Startseite!$D$68=(Refsz_Verbräuche[[#Headers],[2040]]-1),Refsz_Verbräuche[[#This Row],[2035]],IF(Startseite!$D$68&lt;Refsz_Verbräuche[[#Headers],[2040]],Refsz_Verbräuche[[#This Row],[2035]],"")))</f>
        <v/>
      </c>
      <c r="X134" s="110" t="str">
        <f>IF(Refsz_Verbräuche[[#Headers],[2045]]=Startseite!$D$68,IF(OR(SUMIF($F134:Refsz_Verbräuche[[#This Row],[2040]],"&gt;0")&gt;0,), AVERAGEIF($F134:Refsz_Verbräuche[[#This Row],[2040]],"&lt;&gt;"""), ""),IF(Startseite!$D$68=(Refsz_Verbräuche[[#Headers],[2045]]-1),Refsz_Verbräuche[[#This Row],[2040]],IF(Startseite!$D$68&lt;Refsz_Verbräuche[[#Headers],[2045]],Refsz_Verbräuche[[#This Row],[2040]],"")))</f>
        <v/>
      </c>
      <c r="Y134" s="110" t="str">
        <f>IF(Refsz_Verbräuche[[#Headers],[2050]]=Startseite!$D$68,IF(OR(SUMIF($F134:Refsz_Verbräuche[[#This Row],[2045]],"&gt;0")&gt;0,), AVERAGEIF($F134:Refsz_Verbräuche[[#This Row],[2045]],"&lt;&gt;"""), ""),IF(Startseite!$D$68=(Refsz_Verbräuche[[#Headers],[2050]]-1),Refsz_Verbräuche[[#This Row],[2045]],IF(Startseite!$D$68&lt;Refsz_Verbräuche[[#Headers],[2050]],Refsz_Verbräuche[[#This Row],[2045]],"")))</f>
        <v/>
      </c>
      <c r="AA134" s="14"/>
    </row>
    <row r="135" spans="2:27">
      <c r="B135" s="14">
        <v>118</v>
      </c>
      <c r="C135" s="14" t="s">
        <v>517</v>
      </c>
      <c r="D135" s="9" t="s">
        <v>67</v>
      </c>
      <c r="E135" t="s">
        <v>44</v>
      </c>
      <c r="F135" s="110"/>
      <c r="G135" s="110"/>
      <c r="H135" s="110"/>
      <c r="I135" s="110"/>
      <c r="J135" s="110"/>
      <c r="K135" s="110"/>
      <c r="L135" s="110"/>
      <c r="M135" s="110" t="str">
        <f>IF(Refsz_Verbräuche[[#Headers],[2022]]=Startseite!$D$68,IF(OR(SUMIF($F135:Refsz_Verbräuche[[#This Row],[2021]],"&gt;0")&gt;0,), AVERAGEIF($F135:Refsz_Verbräuche[[#This Row],[2021]],"&lt;&gt;"""), ""),IF(Startseite!$D$68=(Refsz_Verbräuche[[#Headers],[2022]]-1),Refsz_Verbräuche[[#This Row],[2021]],IF(Startseite!$D$68&lt;Refsz_Verbräuche[[#Headers],[2022]],Refsz_Verbräuche[[#This Row],[2021]],"")))</f>
        <v/>
      </c>
      <c r="N135" s="110" t="str">
        <f>IF(Refsz_Verbräuche[[#Headers],[2023]]=Startseite!$D$68,IF(OR(SUMIF($F135:Refsz_Verbräuche[[#This Row],[2022]],"&gt;0")&gt;0,), AVERAGEIF($F135:Refsz_Verbräuche[[#This Row],[2022]],"&lt;&gt;"""), ""),IF(Startseite!$D$68=(Refsz_Verbräuche[[#Headers],[2023]]-1),Refsz_Verbräuche[[#This Row],[2022]],IF(Startseite!$D$68&lt;Refsz_Verbräuche[[#Headers],[2023]],Refsz_Verbräuche[[#This Row],[2022]],"")))</f>
        <v/>
      </c>
      <c r="O135" s="110" t="str">
        <f>IF(Refsz_Verbräuche[[#Headers],[2024]]=Startseite!$D$68,IF(OR(SUMIF($F135:Refsz_Verbräuche[[#This Row],[2023]],"&gt;0")&gt;0,), AVERAGEIF($F135:Refsz_Verbräuche[[#This Row],[2023]],"&lt;&gt;"""), ""),IF(Startseite!$D$68=(Refsz_Verbräuche[[#Headers],[2024]]-1),Refsz_Verbräuche[[#This Row],[2023]],IF(Startseite!$D$68&lt;Refsz_Verbräuche[[#Headers],[2024]],Refsz_Verbräuche[[#This Row],[2023]],"")))</f>
        <v/>
      </c>
      <c r="P135" s="110" t="str">
        <f>IF(Refsz_Verbräuche[[#Headers],[2025]]=Startseite!$D$68,IF(OR(SUMIF($F135:Refsz_Verbräuche[[#This Row],[2024]],"&gt;0")&gt;0,), AVERAGEIF($F135:Refsz_Verbräuche[[#This Row],[2024]],"&lt;&gt;"""), ""),IF(Startseite!$D$68=(Refsz_Verbräuche[[#Headers],[2025]]-1),Refsz_Verbräuche[[#This Row],[2024]],IF(Startseite!$D$68&lt;Refsz_Verbräuche[[#Headers],[2025]],Refsz_Verbräuche[[#This Row],[2024]],"")))</f>
        <v/>
      </c>
      <c r="Q135" s="110" t="str">
        <f>IF(Refsz_Verbräuche[[#Headers],[2026]]=Startseite!$D$68,IF(OR(SUMIF($F135:Refsz_Verbräuche[[#This Row],[2025]],"&gt;0")&gt;0,), AVERAGEIF($F135:Refsz_Verbräuche[[#This Row],[2025]],"&lt;&gt;"""), ""),IF(Startseite!$D$68=(Refsz_Verbräuche[[#Headers],[2026]]-1),Refsz_Verbräuche[[#This Row],[2025]],IF(Startseite!$D$68&lt;Refsz_Verbräuche[[#Headers],[2026]],Refsz_Verbräuche[[#This Row],[2025]],"")))</f>
        <v/>
      </c>
      <c r="R135" s="110" t="str">
        <f>IF(Refsz_Verbräuche[[#Headers],[2027]]=Startseite!$D$68,IF(OR(SUMIF($F135:Refsz_Verbräuche[[#This Row],[2026]],"&gt;0")&gt;0,), AVERAGEIF($F135:Refsz_Verbräuche[[#This Row],[2026]],"&lt;&gt;"""), ""),IF(Startseite!$D$68=(Refsz_Verbräuche[[#Headers],[2027]]-1),Refsz_Verbräuche[[#This Row],[2026]],IF(Startseite!$D$68&lt;Refsz_Verbräuche[[#Headers],[2027]],Refsz_Verbräuche[[#This Row],[2026]],"")))</f>
        <v/>
      </c>
      <c r="S135" s="110" t="str">
        <f>IF(Refsz_Verbräuche[[#Headers],[2028]]=Startseite!$D$68,IF(OR(SUMIF($F135:Refsz_Verbräuche[[#This Row],[2027]],"&gt;0")&gt;0,), AVERAGEIF($F135:Refsz_Verbräuche[[#This Row],[2027]],"&lt;&gt;"""), ""),IF(Startseite!$D$68=(Refsz_Verbräuche[[#Headers],[2028]]-1),Refsz_Verbräuche[[#This Row],[2027]],IF(Startseite!$D$68&lt;Refsz_Verbräuche[[#Headers],[2028]],Refsz_Verbräuche[[#This Row],[2027]],"")))</f>
        <v/>
      </c>
      <c r="T135" s="110" t="str">
        <f>IF(Refsz_Verbräuche[[#Headers],[2029]]=Startseite!$D$68,IF(OR(SUMIF($F135:Refsz_Verbräuche[[#This Row],[2028]],"&gt;0")&gt;0,), AVERAGEIF($F135:Refsz_Verbräuche[[#This Row],[2028]],"&lt;&gt;"""), ""),IF(Startseite!$D$68=(Refsz_Verbräuche[[#Headers],[2029]]-1),Refsz_Verbräuche[[#This Row],[2028]],IF(Startseite!$D$68&lt;Refsz_Verbräuche[[#Headers],[2029]],Refsz_Verbräuche[[#This Row],[2028]],"")))</f>
        <v/>
      </c>
      <c r="U135" s="110" t="str">
        <f>IF(Refsz_Verbräuche[[#Headers],[2030]]=Startseite!$D$68,IF(OR(SUMIF($F135:Refsz_Verbräuche[[#This Row],[2029]],"&gt;0")&gt;0,), AVERAGEIF($F135:Refsz_Verbräuche[[#This Row],[2029]],"&lt;&gt;"""), ""),IF(Startseite!$D$68=(Refsz_Verbräuche[[#Headers],[2030]]-1),Refsz_Verbräuche[[#This Row],[2029]],IF(Startseite!$D$68&lt;Refsz_Verbräuche[[#Headers],[2030]],Refsz_Verbräuche[[#This Row],[2029]],"")))</f>
        <v/>
      </c>
      <c r="V135" s="110" t="str">
        <f>IF(Refsz_Verbräuche[[#Headers],[2035]]=Startseite!$D$68,IF(OR(SUMIF($F135:Refsz_Verbräuche[[#This Row],[2030]],"&gt;0")&gt;0,), AVERAGEIF($F135:Refsz_Verbräuche[[#This Row],[2030]],"&lt;&gt;"""), ""),IF(Startseite!$D$68=(Refsz_Verbräuche[[#Headers],[2035]]-1),Refsz_Verbräuche[[#This Row],[2030]],IF(Startseite!$D$68&lt;Refsz_Verbräuche[[#Headers],[2035]],Refsz_Verbräuche[[#This Row],[2030]],"")))</f>
        <v/>
      </c>
      <c r="W135" s="110" t="str">
        <f>IF(Refsz_Verbräuche[[#Headers],[2040]]=Startseite!$D$68,IF(OR(SUMIF($F135:Refsz_Verbräuche[[#This Row],[2035]],"&gt;0")&gt;0,), AVERAGEIF($F135:Refsz_Verbräuche[[#This Row],[2035]],"&lt;&gt;"""), ""),IF(Startseite!$D$68=(Refsz_Verbräuche[[#Headers],[2040]]-1),Refsz_Verbräuche[[#This Row],[2035]],IF(Startseite!$D$68&lt;Refsz_Verbräuche[[#Headers],[2040]],Refsz_Verbräuche[[#This Row],[2035]],"")))</f>
        <v/>
      </c>
      <c r="X135" s="110" t="str">
        <f>IF(Refsz_Verbräuche[[#Headers],[2045]]=Startseite!$D$68,IF(OR(SUMIF($F135:Refsz_Verbräuche[[#This Row],[2040]],"&gt;0")&gt;0,), AVERAGEIF($F135:Refsz_Verbräuche[[#This Row],[2040]],"&lt;&gt;"""), ""),IF(Startseite!$D$68=(Refsz_Verbräuche[[#Headers],[2045]]-1),Refsz_Verbräuche[[#This Row],[2040]],IF(Startseite!$D$68&lt;Refsz_Verbräuche[[#Headers],[2045]],Refsz_Verbräuche[[#This Row],[2040]],"")))</f>
        <v/>
      </c>
      <c r="Y135" s="110" t="str">
        <f>IF(Refsz_Verbräuche[[#Headers],[2050]]=Startseite!$D$68,IF(OR(SUMIF($F135:Refsz_Verbräuche[[#This Row],[2045]],"&gt;0")&gt;0,), AVERAGEIF($F135:Refsz_Verbräuche[[#This Row],[2045]],"&lt;&gt;"""), ""),IF(Startseite!$D$68=(Refsz_Verbräuche[[#Headers],[2050]]-1),Refsz_Verbräuche[[#This Row],[2045]],IF(Startseite!$D$68&lt;Refsz_Verbräuche[[#Headers],[2050]],Refsz_Verbräuche[[#This Row],[2045]],"")))</f>
        <v/>
      </c>
      <c r="AA135" s="14"/>
    </row>
    <row r="136" spans="2:27">
      <c r="B136" s="14">
        <v>119</v>
      </c>
      <c r="C136" s="14" t="s">
        <v>517</v>
      </c>
      <c r="D136" s="9" t="s">
        <v>75</v>
      </c>
      <c r="E136" t="s">
        <v>44</v>
      </c>
      <c r="F136" s="110"/>
      <c r="G136" s="110"/>
      <c r="H136" s="110"/>
      <c r="I136" s="110"/>
      <c r="J136" s="110"/>
      <c r="K136" s="110"/>
      <c r="L136" s="110"/>
      <c r="M136" s="110" t="str">
        <f>IF(Refsz_Verbräuche[[#Headers],[2022]]=Startseite!$D$68,IF(OR(SUMIF($F136:Refsz_Verbräuche[[#This Row],[2021]],"&gt;0")&gt;0,), AVERAGEIF($F136:Refsz_Verbräuche[[#This Row],[2021]],"&lt;&gt;"""), ""),IF(Startseite!$D$68=(Refsz_Verbräuche[[#Headers],[2022]]-1),Refsz_Verbräuche[[#This Row],[2021]],IF(Startseite!$D$68&lt;Refsz_Verbräuche[[#Headers],[2022]],Refsz_Verbräuche[[#This Row],[2021]],"")))</f>
        <v/>
      </c>
      <c r="N136" s="110" t="str">
        <f>IF(Refsz_Verbräuche[[#Headers],[2023]]=Startseite!$D$68,IF(OR(SUMIF($F136:Refsz_Verbräuche[[#This Row],[2022]],"&gt;0")&gt;0,), AVERAGEIF($F136:Refsz_Verbräuche[[#This Row],[2022]],"&lt;&gt;"""), ""),IF(Startseite!$D$68=(Refsz_Verbräuche[[#Headers],[2023]]-1),Refsz_Verbräuche[[#This Row],[2022]],IF(Startseite!$D$68&lt;Refsz_Verbräuche[[#Headers],[2023]],Refsz_Verbräuche[[#This Row],[2022]],"")))</f>
        <v/>
      </c>
      <c r="O136" s="110" t="str">
        <f>IF(Refsz_Verbräuche[[#Headers],[2024]]=Startseite!$D$68,IF(OR(SUMIF($F136:Refsz_Verbräuche[[#This Row],[2023]],"&gt;0")&gt;0,), AVERAGEIF($F136:Refsz_Verbräuche[[#This Row],[2023]],"&lt;&gt;"""), ""),IF(Startseite!$D$68=(Refsz_Verbräuche[[#Headers],[2024]]-1),Refsz_Verbräuche[[#This Row],[2023]],IF(Startseite!$D$68&lt;Refsz_Verbräuche[[#Headers],[2024]],Refsz_Verbräuche[[#This Row],[2023]],"")))</f>
        <v/>
      </c>
      <c r="P136" s="110" t="str">
        <f>IF(Refsz_Verbräuche[[#Headers],[2025]]=Startseite!$D$68,IF(OR(SUMIF($F136:Refsz_Verbräuche[[#This Row],[2024]],"&gt;0")&gt;0,), AVERAGEIF($F136:Refsz_Verbräuche[[#This Row],[2024]],"&lt;&gt;"""), ""),IF(Startseite!$D$68=(Refsz_Verbräuche[[#Headers],[2025]]-1),Refsz_Verbräuche[[#This Row],[2024]],IF(Startseite!$D$68&lt;Refsz_Verbräuche[[#Headers],[2025]],Refsz_Verbräuche[[#This Row],[2024]],"")))</f>
        <v/>
      </c>
      <c r="Q136" s="110" t="str">
        <f>IF(Refsz_Verbräuche[[#Headers],[2026]]=Startseite!$D$68,IF(OR(SUMIF($F136:Refsz_Verbräuche[[#This Row],[2025]],"&gt;0")&gt;0,), AVERAGEIF($F136:Refsz_Verbräuche[[#This Row],[2025]],"&lt;&gt;"""), ""),IF(Startseite!$D$68=(Refsz_Verbräuche[[#Headers],[2026]]-1),Refsz_Verbräuche[[#This Row],[2025]],IF(Startseite!$D$68&lt;Refsz_Verbräuche[[#Headers],[2026]],Refsz_Verbräuche[[#This Row],[2025]],"")))</f>
        <v/>
      </c>
      <c r="R136" s="110" t="str">
        <f>IF(Refsz_Verbräuche[[#Headers],[2027]]=Startseite!$D$68,IF(OR(SUMIF($F136:Refsz_Verbräuche[[#This Row],[2026]],"&gt;0")&gt;0,), AVERAGEIF($F136:Refsz_Verbräuche[[#This Row],[2026]],"&lt;&gt;"""), ""),IF(Startseite!$D$68=(Refsz_Verbräuche[[#Headers],[2027]]-1),Refsz_Verbräuche[[#This Row],[2026]],IF(Startseite!$D$68&lt;Refsz_Verbräuche[[#Headers],[2027]],Refsz_Verbräuche[[#This Row],[2026]],"")))</f>
        <v/>
      </c>
      <c r="S136" s="110" t="str">
        <f>IF(Refsz_Verbräuche[[#Headers],[2028]]=Startseite!$D$68,IF(OR(SUMIF($F136:Refsz_Verbräuche[[#This Row],[2027]],"&gt;0")&gt;0,), AVERAGEIF($F136:Refsz_Verbräuche[[#This Row],[2027]],"&lt;&gt;"""), ""),IF(Startseite!$D$68=(Refsz_Verbräuche[[#Headers],[2028]]-1),Refsz_Verbräuche[[#This Row],[2027]],IF(Startseite!$D$68&lt;Refsz_Verbräuche[[#Headers],[2028]],Refsz_Verbräuche[[#This Row],[2027]],"")))</f>
        <v/>
      </c>
      <c r="T136" s="110" t="str">
        <f>IF(Refsz_Verbräuche[[#Headers],[2029]]=Startseite!$D$68,IF(OR(SUMIF($F136:Refsz_Verbräuche[[#This Row],[2028]],"&gt;0")&gt;0,), AVERAGEIF($F136:Refsz_Verbräuche[[#This Row],[2028]],"&lt;&gt;"""), ""),IF(Startseite!$D$68=(Refsz_Verbräuche[[#Headers],[2029]]-1),Refsz_Verbräuche[[#This Row],[2028]],IF(Startseite!$D$68&lt;Refsz_Verbräuche[[#Headers],[2029]],Refsz_Verbräuche[[#This Row],[2028]],"")))</f>
        <v/>
      </c>
      <c r="U136" s="110" t="str">
        <f>IF(Refsz_Verbräuche[[#Headers],[2030]]=Startseite!$D$68,IF(OR(SUMIF($F136:Refsz_Verbräuche[[#This Row],[2029]],"&gt;0")&gt;0,), AVERAGEIF($F136:Refsz_Verbräuche[[#This Row],[2029]],"&lt;&gt;"""), ""),IF(Startseite!$D$68=(Refsz_Verbräuche[[#Headers],[2030]]-1),Refsz_Verbräuche[[#This Row],[2029]],IF(Startseite!$D$68&lt;Refsz_Verbräuche[[#Headers],[2030]],Refsz_Verbräuche[[#This Row],[2029]],"")))</f>
        <v/>
      </c>
      <c r="V136" s="110" t="str">
        <f>IF(Refsz_Verbräuche[[#Headers],[2035]]=Startseite!$D$68,IF(OR(SUMIF($F136:Refsz_Verbräuche[[#This Row],[2030]],"&gt;0")&gt;0,), AVERAGEIF($F136:Refsz_Verbräuche[[#This Row],[2030]],"&lt;&gt;"""), ""),IF(Startseite!$D$68=(Refsz_Verbräuche[[#Headers],[2035]]-1),Refsz_Verbräuche[[#This Row],[2030]],IF(Startseite!$D$68&lt;Refsz_Verbräuche[[#Headers],[2035]],Refsz_Verbräuche[[#This Row],[2030]],"")))</f>
        <v/>
      </c>
      <c r="W136" s="110" t="str">
        <f>IF(Refsz_Verbräuche[[#Headers],[2040]]=Startseite!$D$68,IF(OR(SUMIF($F136:Refsz_Verbräuche[[#This Row],[2035]],"&gt;0")&gt;0,), AVERAGEIF($F136:Refsz_Verbräuche[[#This Row],[2035]],"&lt;&gt;"""), ""),IF(Startseite!$D$68=(Refsz_Verbräuche[[#Headers],[2040]]-1),Refsz_Verbräuche[[#This Row],[2035]],IF(Startseite!$D$68&lt;Refsz_Verbräuche[[#Headers],[2040]],Refsz_Verbräuche[[#This Row],[2035]],"")))</f>
        <v/>
      </c>
      <c r="X136" s="110" t="str">
        <f>IF(Refsz_Verbräuche[[#Headers],[2045]]=Startseite!$D$68,IF(OR(SUMIF($F136:Refsz_Verbräuche[[#This Row],[2040]],"&gt;0")&gt;0,), AVERAGEIF($F136:Refsz_Verbräuche[[#This Row],[2040]],"&lt;&gt;"""), ""),IF(Startseite!$D$68=(Refsz_Verbräuche[[#Headers],[2045]]-1),Refsz_Verbräuche[[#This Row],[2040]],IF(Startseite!$D$68&lt;Refsz_Verbräuche[[#Headers],[2045]],Refsz_Verbräuche[[#This Row],[2040]],"")))</f>
        <v/>
      </c>
      <c r="Y136" s="110" t="str">
        <f>IF(Refsz_Verbräuche[[#Headers],[2050]]=Startseite!$D$68,IF(OR(SUMIF($F136:Refsz_Verbräuche[[#This Row],[2045]],"&gt;0")&gt;0,), AVERAGEIF($F136:Refsz_Verbräuche[[#This Row],[2045]],"&lt;&gt;"""), ""),IF(Startseite!$D$68=(Refsz_Verbräuche[[#Headers],[2050]]-1),Refsz_Verbräuche[[#This Row],[2045]],IF(Startseite!$D$68&lt;Refsz_Verbräuche[[#Headers],[2050]],Refsz_Verbräuche[[#This Row],[2045]],"")))</f>
        <v/>
      </c>
      <c r="AA136" s="14"/>
    </row>
    <row r="137" spans="2:27">
      <c r="B137" s="14">
        <v>120</v>
      </c>
      <c r="C137" s="14" t="s">
        <v>517</v>
      </c>
      <c r="D137" s="9" t="s">
        <v>78</v>
      </c>
      <c r="E137" t="s">
        <v>44</v>
      </c>
      <c r="F137" s="110"/>
      <c r="G137" s="110"/>
      <c r="H137" s="110"/>
      <c r="I137" s="110"/>
      <c r="J137" s="110"/>
      <c r="K137" s="110"/>
      <c r="L137" s="110"/>
      <c r="M137" s="110" t="str">
        <f>IF(Refsz_Verbräuche[[#Headers],[2022]]=Startseite!$D$68,IF(OR(SUMIF($F137:Refsz_Verbräuche[[#This Row],[2021]],"&gt;0")&gt;0,), AVERAGEIF($F137:Refsz_Verbräuche[[#This Row],[2021]],"&lt;&gt;"""), ""),IF(Startseite!$D$68=(Refsz_Verbräuche[[#Headers],[2022]]-1),Refsz_Verbräuche[[#This Row],[2021]],IF(Startseite!$D$68&lt;Refsz_Verbräuche[[#Headers],[2022]],Refsz_Verbräuche[[#This Row],[2021]],"")))</f>
        <v/>
      </c>
      <c r="N137" s="110" t="str">
        <f>IF(Refsz_Verbräuche[[#Headers],[2023]]=Startseite!$D$68,IF(OR(SUMIF($F137:Refsz_Verbräuche[[#This Row],[2022]],"&gt;0")&gt;0,), AVERAGEIF($F137:Refsz_Verbräuche[[#This Row],[2022]],"&lt;&gt;"""), ""),IF(Startseite!$D$68=(Refsz_Verbräuche[[#Headers],[2023]]-1),Refsz_Verbräuche[[#This Row],[2022]],IF(Startseite!$D$68&lt;Refsz_Verbräuche[[#Headers],[2023]],Refsz_Verbräuche[[#This Row],[2022]],"")))</f>
        <v/>
      </c>
      <c r="O137" s="110" t="str">
        <f>IF(Refsz_Verbräuche[[#Headers],[2024]]=Startseite!$D$68,IF(OR(SUMIF($F137:Refsz_Verbräuche[[#This Row],[2023]],"&gt;0")&gt;0,), AVERAGEIF($F137:Refsz_Verbräuche[[#This Row],[2023]],"&lt;&gt;"""), ""),IF(Startseite!$D$68=(Refsz_Verbräuche[[#Headers],[2024]]-1),Refsz_Verbräuche[[#This Row],[2023]],IF(Startseite!$D$68&lt;Refsz_Verbräuche[[#Headers],[2024]],Refsz_Verbräuche[[#This Row],[2023]],"")))</f>
        <v/>
      </c>
      <c r="P137" s="110" t="str">
        <f>IF(Refsz_Verbräuche[[#Headers],[2025]]=Startseite!$D$68,IF(OR(SUMIF($F137:Refsz_Verbräuche[[#This Row],[2024]],"&gt;0")&gt;0,), AVERAGEIF($F137:Refsz_Verbräuche[[#This Row],[2024]],"&lt;&gt;"""), ""),IF(Startseite!$D$68=(Refsz_Verbräuche[[#Headers],[2025]]-1),Refsz_Verbräuche[[#This Row],[2024]],IF(Startseite!$D$68&lt;Refsz_Verbräuche[[#Headers],[2025]],Refsz_Verbräuche[[#This Row],[2024]],"")))</f>
        <v/>
      </c>
      <c r="Q137" s="110" t="str">
        <f>IF(Refsz_Verbräuche[[#Headers],[2026]]=Startseite!$D$68,IF(OR(SUMIF($F137:Refsz_Verbräuche[[#This Row],[2025]],"&gt;0")&gt;0,), AVERAGEIF($F137:Refsz_Verbräuche[[#This Row],[2025]],"&lt;&gt;"""), ""),IF(Startseite!$D$68=(Refsz_Verbräuche[[#Headers],[2026]]-1),Refsz_Verbräuche[[#This Row],[2025]],IF(Startseite!$D$68&lt;Refsz_Verbräuche[[#Headers],[2026]],Refsz_Verbräuche[[#This Row],[2025]],"")))</f>
        <v/>
      </c>
      <c r="R137" s="110" t="str">
        <f>IF(Refsz_Verbräuche[[#Headers],[2027]]=Startseite!$D$68,IF(OR(SUMIF($F137:Refsz_Verbräuche[[#This Row],[2026]],"&gt;0")&gt;0,), AVERAGEIF($F137:Refsz_Verbräuche[[#This Row],[2026]],"&lt;&gt;"""), ""),IF(Startseite!$D$68=(Refsz_Verbräuche[[#Headers],[2027]]-1),Refsz_Verbräuche[[#This Row],[2026]],IF(Startseite!$D$68&lt;Refsz_Verbräuche[[#Headers],[2027]],Refsz_Verbräuche[[#This Row],[2026]],"")))</f>
        <v/>
      </c>
      <c r="S137" s="110" t="str">
        <f>IF(Refsz_Verbräuche[[#Headers],[2028]]=Startseite!$D$68,IF(OR(SUMIF($F137:Refsz_Verbräuche[[#This Row],[2027]],"&gt;0")&gt;0,), AVERAGEIF($F137:Refsz_Verbräuche[[#This Row],[2027]],"&lt;&gt;"""), ""),IF(Startseite!$D$68=(Refsz_Verbräuche[[#Headers],[2028]]-1),Refsz_Verbräuche[[#This Row],[2027]],IF(Startseite!$D$68&lt;Refsz_Verbräuche[[#Headers],[2028]],Refsz_Verbräuche[[#This Row],[2027]],"")))</f>
        <v/>
      </c>
      <c r="T137" s="110" t="str">
        <f>IF(Refsz_Verbräuche[[#Headers],[2029]]=Startseite!$D$68,IF(OR(SUMIF($F137:Refsz_Verbräuche[[#This Row],[2028]],"&gt;0")&gt;0,), AVERAGEIF($F137:Refsz_Verbräuche[[#This Row],[2028]],"&lt;&gt;"""), ""),IF(Startseite!$D$68=(Refsz_Verbräuche[[#Headers],[2029]]-1),Refsz_Verbräuche[[#This Row],[2028]],IF(Startseite!$D$68&lt;Refsz_Verbräuche[[#Headers],[2029]],Refsz_Verbräuche[[#This Row],[2028]],"")))</f>
        <v/>
      </c>
      <c r="U137" s="110" t="str">
        <f>IF(Refsz_Verbräuche[[#Headers],[2030]]=Startseite!$D$68,IF(OR(SUMIF($F137:Refsz_Verbräuche[[#This Row],[2029]],"&gt;0")&gt;0,), AVERAGEIF($F137:Refsz_Verbräuche[[#This Row],[2029]],"&lt;&gt;"""), ""),IF(Startseite!$D$68=(Refsz_Verbräuche[[#Headers],[2030]]-1),Refsz_Verbräuche[[#This Row],[2029]],IF(Startseite!$D$68&lt;Refsz_Verbräuche[[#Headers],[2030]],Refsz_Verbräuche[[#This Row],[2029]],"")))</f>
        <v/>
      </c>
      <c r="V137" s="110" t="str">
        <f>IF(Refsz_Verbräuche[[#Headers],[2035]]=Startseite!$D$68,IF(OR(SUMIF($F137:Refsz_Verbräuche[[#This Row],[2030]],"&gt;0")&gt;0,), AVERAGEIF($F137:Refsz_Verbräuche[[#This Row],[2030]],"&lt;&gt;"""), ""),IF(Startseite!$D$68=(Refsz_Verbräuche[[#Headers],[2035]]-1),Refsz_Verbräuche[[#This Row],[2030]],IF(Startseite!$D$68&lt;Refsz_Verbräuche[[#Headers],[2035]],Refsz_Verbräuche[[#This Row],[2030]],"")))</f>
        <v/>
      </c>
      <c r="W137" s="110" t="str">
        <f>IF(Refsz_Verbräuche[[#Headers],[2040]]=Startseite!$D$68,IF(OR(SUMIF($F137:Refsz_Verbräuche[[#This Row],[2035]],"&gt;0")&gt;0,), AVERAGEIF($F137:Refsz_Verbräuche[[#This Row],[2035]],"&lt;&gt;"""), ""),IF(Startseite!$D$68=(Refsz_Verbräuche[[#Headers],[2040]]-1),Refsz_Verbräuche[[#This Row],[2035]],IF(Startseite!$D$68&lt;Refsz_Verbräuche[[#Headers],[2040]],Refsz_Verbräuche[[#This Row],[2035]],"")))</f>
        <v/>
      </c>
      <c r="X137" s="110" t="str">
        <f>IF(Refsz_Verbräuche[[#Headers],[2045]]=Startseite!$D$68,IF(OR(SUMIF($F137:Refsz_Verbräuche[[#This Row],[2040]],"&gt;0")&gt;0,), AVERAGEIF($F137:Refsz_Verbräuche[[#This Row],[2040]],"&lt;&gt;"""), ""),IF(Startseite!$D$68=(Refsz_Verbräuche[[#Headers],[2045]]-1),Refsz_Verbräuche[[#This Row],[2040]],IF(Startseite!$D$68&lt;Refsz_Verbräuche[[#Headers],[2045]],Refsz_Verbräuche[[#This Row],[2040]],"")))</f>
        <v/>
      </c>
      <c r="Y137" s="110" t="str">
        <f>IF(Refsz_Verbräuche[[#Headers],[2050]]=Startseite!$D$68,IF(OR(SUMIF($F137:Refsz_Verbräuche[[#This Row],[2045]],"&gt;0")&gt;0,), AVERAGEIF($F137:Refsz_Verbräuche[[#This Row],[2045]],"&lt;&gt;"""), ""),IF(Startseite!$D$68=(Refsz_Verbräuche[[#Headers],[2050]]-1),Refsz_Verbräuche[[#This Row],[2045]],IF(Startseite!$D$68&lt;Refsz_Verbräuche[[#Headers],[2050]],Refsz_Verbräuche[[#This Row],[2045]],"")))</f>
        <v/>
      </c>
      <c r="AA137" s="14"/>
    </row>
    <row r="138" spans="2:27">
      <c r="B138" s="14">
        <v>121</v>
      </c>
      <c r="C138" s="14" t="s">
        <v>517</v>
      </c>
      <c r="D138" s="9" t="s">
        <v>81</v>
      </c>
      <c r="E138" t="s">
        <v>44</v>
      </c>
      <c r="F138" s="110"/>
      <c r="G138" s="110"/>
      <c r="H138" s="110"/>
      <c r="I138" s="110"/>
      <c r="J138" s="110"/>
      <c r="K138" s="110"/>
      <c r="L138" s="110"/>
      <c r="M138" s="110" t="str">
        <f>IF(Refsz_Verbräuche[[#Headers],[2022]]=Startseite!$D$68,IF(OR(SUMIF($F138:Refsz_Verbräuche[[#This Row],[2021]],"&gt;0")&gt;0,), AVERAGEIF($F138:Refsz_Verbräuche[[#This Row],[2021]],"&lt;&gt;"""), ""),IF(Startseite!$D$68=(Refsz_Verbräuche[[#Headers],[2022]]-1),Refsz_Verbräuche[[#This Row],[2021]],IF(Startseite!$D$68&lt;Refsz_Verbräuche[[#Headers],[2022]],Refsz_Verbräuche[[#This Row],[2021]],"")))</f>
        <v/>
      </c>
      <c r="N138" s="110" t="str">
        <f>IF(Refsz_Verbräuche[[#Headers],[2023]]=Startseite!$D$68,IF(OR(SUMIF($F138:Refsz_Verbräuche[[#This Row],[2022]],"&gt;0")&gt;0,), AVERAGEIF($F138:Refsz_Verbräuche[[#This Row],[2022]],"&lt;&gt;"""), ""),IF(Startseite!$D$68=(Refsz_Verbräuche[[#Headers],[2023]]-1),Refsz_Verbräuche[[#This Row],[2022]],IF(Startseite!$D$68&lt;Refsz_Verbräuche[[#Headers],[2023]],Refsz_Verbräuche[[#This Row],[2022]],"")))</f>
        <v/>
      </c>
      <c r="O138" s="110" t="str">
        <f>IF(Refsz_Verbräuche[[#Headers],[2024]]=Startseite!$D$68,IF(OR(SUMIF($F138:Refsz_Verbräuche[[#This Row],[2023]],"&gt;0")&gt;0,), AVERAGEIF($F138:Refsz_Verbräuche[[#This Row],[2023]],"&lt;&gt;"""), ""),IF(Startseite!$D$68=(Refsz_Verbräuche[[#Headers],[2024]]-1),Refsz_Verbräuche[[#This Row],[2023]],IF(Startseite!$D$68&lt;Refsz_Verbräuche[[#Headers],[2024]],Refsz_Verbräuche[[#This Row],[2023]],"")))</f>
        <v/>
      </c>
      <c r="P138" s="110" t="str">
        <f>IF(Refsz_Verbräuche[[#Headers],[2025]]=Startseite!$D$68,IF(OR(SUMIF($F138:Refsz_Verbräuche[[#This Row],[2024]],"&gt;0")&gt;0,), AVERAGEIF($F138:Refsz_Verbräuche[[#This Row],[2024]],"&lt;&gt;"""), ""),IF(Startseite!$D$68=(Refsz_Verbräuche[[#Headers],[2025]]-1),Refsz_Verbräuche[[#This Row],[2024]],IF(Startseite!$D$68&lt;Refsz_Verbräuche[[#Headers],[2025]],Refsz_Verbräuche[[#This Row],[2024]],"")))</f>
        <v/>
      </c>
      <c r="Q138" s="110" t="str">
        <f>IF(Refsz_Verbräuche[[#Headers],[2026]]=Startseite!$D$68,IF(OR(SUMIF($F138:Refsz_Verbräuche[[#This Row],[2025]],"&gt;0")&gt;0,), AVERAGEIF($F138:Refsz_Verbräuche[[#This Row],[2025]],"&lt;&gt;"""), ""),IF(Startseite!$D$68=(Refsz_Verbräuche[[#Headers],[2026]]-1),Refsz_Verbräuche[[#This Row],[2025]],IF(Startseite!$D$68&lt;Refsz_Verbräuche[[#Headers],[2026]],Refsz_Verbräuche[[#This Row],[2025]],"")))</f>
        <v/>
      </c>
      <c r="R138" s="110" t="str">
        <f>IF(Refsz_Verbräuche[[#Headers],[2027]]=Startseite!$D$68,IF(OR(SUMIF($F138:Refsz_Verbräuche[[#This Row],[2026]],"&gt;0")&gt;0,), AVERAGEIF($F138:Refsz_Verbräuche[[#This Row],[2026]],"&lt;&gt;"""), ""),IF(Startseite!$D$68=(Refsz_Verbräuche[[#Headers],[2027]]-1),Refsz_Verbräuche[[#This Row],[2026]],IF(Startseite!$D$68&lt;Refsz_Verbräuche[[#Headers],[2027]],Refsz_Verbräuche[[#This Row],[2026]],"")))</f>
        <v/>
      </c>
      <c r="S138" s="110" t="str">
        <f>IF(Refsz_Verbräuche[[#Headers],[2028]]=Startseite!$D$68,IF(OR(SUMIF($F138:Refsz_Verbräuche[[#This Row],[2027]],"&gt;0")&gt;0,), AVERAGEIF($F138:Refsz_Verbräuche[[#This Row],[2027]],"&lt;&gt;"""), ""),IF(Startseite!$D$68=(Refsz_Verbräuche[[#Headers],[2028]]-1),Refsz_Verbräuche[[#This Row],[2027]],IF(Startseite!$D$68&lt;Refsz_Verbräuche[[#Headers],[2028]],Refsz_Verbräuche[[#This Row],[2027]],"")))</f>
        <v/>
      </c>
      <c r="T138" s="110" t="str">
        <f>IF(Refsz_Verbräuche[[#Headers],[2029]]=Startseite!$D$68,IF(OR(SUMIF($F138:Refsz_Verbräuche[[#This Row],[2028]],"&gt;0")&gt;0,), AVERAGEIF($F138:Refsz_Verbräuche[[#This Row],[2028]],"&lt;&gt;"""), ""),IF(Startseite!$D$68=(Refsz_Verbräuche[[#Headers],[2029]]-1),Refsz_Verbräuche[[#This Row],[2028]],IF(Startseite!$D$68&lt;Refsz_Verbräuche[[#Headers],[2029]],Refsz_Verbräuche[[#This Row],[2028]],"")))</f>
        <v/>
      </c>
      <c r="U138" s="110" t="str">
        <f>IF(Refsz_Verbräuche[[#Headers],[2030]]=Startseite!$D$68,IF(OR(SUMIF($F138:Refsz_Verbräuche[[#This Row],[2029]],"&gt;0")&gt;0,), AVERAGEIF($F138:Refsz_Verbräuche[[#This Row],[2029]],"&lt;&gt;"""), ""),IF(Startseite!$D$68=(Refsz_Verbräuche[[#Headers],[2030]]-1),Refsz_Verbräuche[[#This Row],[2029]],IF(Startseite!$D$68&lt;Refsz_Verbräuche[[#Headers],[2030]],Refsz_Verbräuche[[#This Row],[2029]],"")))</f>
        <v/>
      </c>
      <c r="V138" s="110" t="str">
        <f>IF(Refsz_Verbräuche[[#Headers],[2035]]=Startseite!$D$68,IF(OR(SUMIF($F138:Refsz_Verbräuche[[#This Row],[2030]],"&gt;0")&gt;0,), AVERAGEIF($F138:Refsz_Verbräuche[[#This Row],[2030]],"&lt;&gt;"""), ""),IF(Startseite!$D$68=(Refsz_Verbräuche[[#Headers],[2035]]-1),Refsz_Verbräuche[[#This Row],[2030]],IF(Startseite!$D$68&lt;Refsz_Verbräuche[[#Headers],[2035]],Refsz_Verbräuche[[#This Row],[2030]],"")))</f>
        <v/>
      </c>
      <c r="W138" s="110" t="str">
        <f>IF(Refsz_Verbräuche[[#Headers],[2040]]=Startseite!$D$68,IF(OR(SUMIF($F138:Refsz_Verbräuche[[#This Row],[2035]],"&gt;0")&gt;0,), AVERAGEIF($F138:Refsz_Verbräuche[[#This Row],[2035]],"&lt;&gt;"""), ""),IF(Startseite!$D$68=(Refsz_Verbräuche[[#Headers],[2040]]-1),Refsz_Verbräuche[[#This Row],[2035]],IF(Startseite!$D$68&lt;Refsz_Verbräuche[[#Headers],[2040]],Refsz_Verbräuche[[#This Row],[2035]],"")))</f>
        <v/>
      </c>
      <c r="X138" s="110" t="str">
        <f>IF(Refsz_Verbräuche[[#Headers],[2045]]=Startseite!$D$68,IF(OR(SUMIF($F138:Refsz_Verbräuche[[#This Row],[2040]],"&gt;0")&gt;0,), AVERAGEIF($F138:Refsz_Verbräuche[[#This Row],[2040]],"&lt;&gt;"""), ""),IF(Startseite!$D$68=(Refsz_Verbräuche[[#Headers],[2045]]-1),Refsz_Verbräuche[[#This Row],[2040]],IF(Startseite!$D$68&lt;Refsz_Verbräuche[[#Headers],[2045]],Refsz_Verbräuche[[#This Row],[2040]],"")))</f>
        <v/>
      </c>
      <c r="Y138" s="110" t="str">
        <f>IF(Refsz_Verbräuche[[#Headers],[2050]]=Startseite!$D$68,IF(OR(SUMIF($F138:Refsz_Verbräuche[[#This Row],[2045]],"&gt;0")&gt;0,), AVERAGEIF($F138:Refsz_Verbräuche[[#This Row],[2045]],"&lt;&gt;"""), ""),IF(Startseite!$D$68=(Refsz_Verbräuche[[#Headers],[2050]]-1),Refsz_Verbräuche[[#This Row],[2045]],IF(Startseite!$D$68&lt;Refsz_Verbräuche[[#Headers],[2050]],Refsz_Verbräuche[[#This Row],[2045]],"")))</f>
        <v/>
      </c>
      <c r="AA138" s="14"/>
    </row>
    <row r="139" spans="2:27">
      <c r="B139" s="14">
        <v>122</v>
      </c>
      <c r="C139" s="14" t="s">
        <v>517</v>
      </c>
      <c r="D139" s="9" t="s">
        <v>72</v>
      </c>
      <c r="E139" t="s">
        <v>44</v>
      </c>
      <c r="F139" s="110"/>
      <c r="G139" s="110"/>
      <c r="H139" s="110"/>
      <c r="I139" s="110"/>
      <c r="J139" s="110"/>
      <c r="K139" s="110"/>
      <c r="L139" s="110"/>
      <c r="M139" s="110" t="str">
        <f>IF(Refsz_Verbräuche[[#Headers],[2022]]=Startseite!$D$68,IF(OR(SUMIF($F139:Refsz_Verbräuche[[#This Row],[2021]],"&gt;0")&gt;0,), AVERAGEIF($F139:Refsz_Verbräuche[[#This Row],[2021]],"&lt;&gt;"""), ""),IF(Startseite!$D$68=(Refsz_Verbräuche[[#Headers],[2022]]-1),Refsz_Verbräuche[[#This Row],[2021]],IF(Startseite!$D$68&lt;Refsz_Verbräuche[[#Headers],[2022]],Refsz_Verbräuche[[#This Row],[2021]],"")))</f>
        <v/>
      </c>
      <c r="N139" s="110" t="str">
        <f>IF(Refsz_Verbräuche[[#Headers],[2023]]=Startseite!$D$68,IF(OR(SUMIF($F139:Refsz_Verbräuche[[#This Row],[2022]],"&gt;0")&gt;0,), AVERAGEIF($F139:Refsz_Verbräuche[[#This Row],[2022]],"&lt;&gt;"""), ""),IF(Startseite!$D$68=(Refsz_Verbräuche[[#Headers],[2023]]-1),Refsz_Verbräuche[[#This Row],[2022]],IF(Startseite!$D$68&lt;Refsz_Verbräuche[[#Headers],[2023]],Refsz_Verbräuche[[#This Row],[2022]],"")))</f>
        <v/>
      </c>
      <c r="O139" s="110" t="str">
        <f>IF(Refsz_Verbräuche[[#Headers],[2024]]=Startseite!$D$68,IF(OR(SUMIF($F139:Refsz_Verbräuche[[#This Row],[2023]],"&gt;0")&gt;0,), AVERAGEIF($F139:Refsz_Verbräuche[[#This Row],[2023]],"&lt;&gt;"""), ""),IF(Startseite!$D$68=(Refsz_Verbräuche[[#Headers],[2024]]-1),Refsz_Verbräuche[[#This Row],[2023]],IF(Startseite!$D$68&lt;Refsz_Verbräuche[[#Headers],[2024]],Refsz_Verbräuche[[#This Row],[2023]],"")))</f>
        <v/>
      </c>
      <c r="P139" s="110" t="str">
        <f>IF(Refsz_Verbräuche[[#Headers],[2025]]=Startseite!$D$68,IF(OR(SUMIF($F139:Refsz_Verbräuche[[#This Row],[2024]],"&gt;0")&gt;0,), AVERAGEIF($F139:Refsz_Verbräuche[[#This Row],[2024]],"&lt;&gt;"""), ""),IF(Startseite!$D$68=(Refsz_Verbräuche[[#Headers],[2025]]-1),Refsz_Verbräuche[[#This Row],[2024]],IF(Startseite!$D$68&lt;Refsz_Verbräuche[[#Headers],[2025]],Refsz_Verbräuche[[#This Row],[2024]],"")))</f>
        <v/>
      </c>
      <c r="Q139" s="110" t="str">
        <f>IF(Refsz_Verbräuche[[#Headers],[2026]]=Startseite!$D$68,IF(OR(SUMIF($F139:Refsz_Verbräuche[[#This Row],[2025]],"&gt;0")&gt;0,), AVERAGEIF($F139:Refsz_Verbräuche[[#This Row],[2025]],"&lt;&gt;"""), ""),IF(Startseite!$D$68=(Refsz_Verbräuche[[#Headers],[2026]]-1),Refsz_Verbräuche[[#This Row],[2025]],IF(Startseite!$D$68&lt;Refsz_Verbräuche[[#Headers],[2026]],Refsz_Verbräuche[[#This Row],[2025]],"")))</f>
        <v/>
      </c>
      <c r="R139" s="110" t="str">
        <f>IF(Refsz_Verbräuche[[#Headers],[2027]]=Startseite!$D$68,IF(OR(SUMIF($F139:Refsz_Verbräuche[[#This Row],[2026]],"&gt;0")&gt;0,), AVERAGEIF($F139:Refsz_Verbräuche[[#This Row],[2026]],"&lt;&gt;"""), ""),IF(Startseite!$D$68=(Refsz_Verbräuche[[#Headers],[2027]]-1),Refsz_Verbräuche[[#This Row],[2026]],IF(Startseite!$D$68&lt;Refsz_Verbräuche[[#Headers],[2027]],Refsz_Verbräuche[[#This Row],[2026]],"")))</f>
        <v/>
      </c>
      <c r="S139" s="110" t="str">
        <f>IF(Refsz_Verbräuche[[#Headers],[2028]]=Startseite!$D$68,IF(OR(SUMIF($F139:Refsz_Verbräuche[[#This Row],[2027]],"&gt;0")&gt;0,), AVERAGEIF($F139:Refsz_Verbräuche[[#This Row],[2027]],"&lt;&gt;"""), ""),IF(Startseite!$D$68=(Refsz_Verbräuche[[#Headers],[2028]]-1),Refsz_Verbräuche[[#This Row],[2027]],IF(Startseite!$D$68&lt;Refsz_Verbräuche[[#Headers],[2028]],Refsz_Verbräuche[[#This Row],[2027]],"")))</f>
        <v/>
      </c>
      <c r="T139" s="110" t="str">
        <f>IF(Refsz_Verbräuche[[#Headers],[2029]]=Startseite!$D$68,IF(OR(SUMIF($F139:Refsz_Verbräuche[[#This Row],[2028]],"&gt;0")&gt;0,), AVERAGEIF($F139:Refsz_Verbräuche[[#This Row],[2028]],"&lt;&gt;"""), ""),IF(Startseite!$D$68=(Refsz_Verbräuche[[#Headers],[2029]]-1),Refsz_Verbräuche[[#This Row],[2028]],IF(Startseite!$D$68&lt;Refsz_Verbräuche[[#Headers],[2029]],Refsz_Verbräuche[[#This Row],[2028]],"")))</f>
        <v/>
      </c>
      <c r="U139" s="110" t="str">
        <f>IF(Refsz_Verbräuche[[#Headers],[2030]]=Startseite!$D$68,IF(OR(SUMIF($F139:Refsz_Verbräuche[[#This Row],[2029]],"&gt;0")&gt;0,), AVERAGEIF($F139:Refsz_Verbräuche[[#This Row],[2029]],"&lt;&gt;"""), ""),IF(Startseite!$D$68=(Refsz_Verbräuche[[#Headers],[2030]]-1),Refsz_Verbräuche[[#This Row],[2029]],IF(Startseite!$D$68&lt;Refsz_Verbräuche[[#Headers],[2030]],Refsz_Verbräuche[[#This Row],[2029]],"")))</f>
        <v/>
      </c>
      <c r="V139" s="110" t="str">
        <f>IF(Refsz_Verbräuche[[#Headers],[2035]]=Startseite!$D$68,IF(OR(SUMIF($F139:Refsz_Verbräuche[[#This Row],[2030]],"&gt;0")&gt;0,), AVERAGEIF($F139:Refsz_Verbräuche[[#This Row],[2030]],"&lt;&gt;"""), ""),IF(Startseite!$D$68=(Refsz_Verbräuche[[#Headers],[2035]]-1),Refsz_Verbräuche[[#This Row],[2030]],IF(Startseite!$D$68&lt;Refsz_Verbräuche[[#Headers],[2035]],Refsz_Verbräuche[[#This Row],[2030]],"")))</f>
        <v/>
      </c>
      <c r="W139" s="110" t="str">
        <f>IF(Refsz_Verbräuche[[#Headers],[2040]]=Startseite!$D$68,IF(OR(SUMIF($F139:Refsz_Verbräuche[[#This Row],[2035]],"&gt;0")&gt;0,), AVERAGEIF($F139:Refsz_Verbräuche[[#This Row],[2035]],"&lt;&gt;"""), ""),IF(Startseite!$D$68=(Refsz_Verbräuche[[#Headers],[2040]]-1),Refsz_Verbräuche[[#This Row],[2035]],IF(Startseite!$D$68&lt;Refsz_Verbräuche[[#Headers],[2040]],Refsz_Verbräuche[[#This Row],[2035]],"")))</f>
        <v/>
      </c>
      <c r="X139" s="110" t="str">
        <f>IF(Refsz_Verbräuche[[#Headers],[2045]]=Startseite!$D$68,IF(OR(SUMIF($F139:Refsz_Verbräuche[[#This Row],[2040]],"&gt;0")&gt;0,), AVERAGEIF($F139:Refsz_Verbräuche[[#This Row],[2040]],"&lt;&gt;"""), ""),IF(Startseite!$D$68=(Refsz_Verbräuche[[#Headers],[2045]]-1),Refsz_Verbräuche[[#This Row],[2040]],IF(Startseite!$D$68&lt;Refsz_Verbräuche[[#Headers],[2045]],Refsz_Verbräuche[[#This Row],[2040]],"")))</f>
        <v/>
      </c>
      <c r="Y139" s="110" t="str">
        <f>IF(Refsz_Verbräuche[[#Headers],[2050]]=Startseite!$D$68,IF(OR(SUMIF($F139:Refsz_Verbräuche[[#This Row],[2045]],"&gt;0")&gt;0,), AVERAGEIF($F139:Refsz_Verbräuche[[#This Row],[2045]],"&lt;&gt;"""), ""),IF(Startseite!$D$68=(Refsz_Verbräuche[[#Headers],[2050]]-1),Refsz_Verbräuche[[#This Row],[2045]],IF(Startseite!$D$68&lt;Refsz_Verbräuche[[#Headers],[2050]],Refsz_Verbräuche[[#This Row],[2045]],"")))</f>
        <v/>
      </c>
      <c r="AA139" s="14"/>
    </row>
    <row r="140" spans="2:27">
      <c r="B140" s="14">
        <v>123</v>
      </c>
      <c r="C140" s="14" t="s">
        <v>517</v>
      </c>
      <c r="D140" s="9" t="s">
        <v>85</v>
      </c>
      <c r="E140" t="s">
        <v>44</v>
      </c>
      <c r="F140" s="110"/>
      <c r="G140" s="110"/>
      <c r="H140" s="110"/>
      <c r="I140" s="110"/>
      <c r="J140" s="110"/>
      <c r="K140" s="110"/>
      <c r="L140" s="110"/>
      <c r="M140" s="110" t="str">
        <f>IF(Refsz_Verbräuche[[#Headers],[2022]]=Startseite!$D$68,IF(OR(SUMIF($F140:Refsz_Verbräuche[[#This Row],[2021]],"&gt;0")&gt;0,), AVERAGEIF($F140:Refsz_Verbräuche[[#This Row],[2021]],"&lt;&gt;"""), ""),IF(Startseite!$D$68=(Refsz_Verbräuche[[#Headers],[2022]]-1),Refsz_Verbräuche[[#This Row],[2021]],IF(Startseite!$D$68&lt;Refsz_Verbräuche[[#Headers],[2022]],Refsz_Verbräuche[[#This Row],[2021]],"")))</f>
        <v/>
      </c>
      <c r="N140" s="110" t="str">
        <f>IF(Refsz_Verbräuche[[#Headers],[2023]]=Startseite!$D$68,IF(OR(SUMIF($F140:Refsz_Verbräuche[[#This Row],[2022]],"&gt;0")&gt;0,), AVERAGEIF($F140:Refsz_Verbräuche[[#This Row],[2022]],"&lt;&gt;"""), ""),IF(Startseite!$D$68=(Refsz_Verbräuche[[#Headers],[2023]]-1),Refsz_Verbräuche[[#This Row],[2022]],IF(Startseite!$D$68&lt;Refsz_Verbräuche[[#Headers],[2023]],Refsz_Verbräuche[[#This Row],[2022]],"")))</f>
        <v/>
      </c>
      <c r="O140" s="110" t="str">
        <f>IF(Refsz_Verbräuche[[#Headers],[2024]]=Startseite!$D$68,IF(OR(SUMIF($F140:Refsz_Verbräuche[[#This Row],[2023]],"&gt;0")&gt;0,), AVERAGEIF($F140:Refsz_Verbräuche[[#This Row],[2023]],"&lt;&gt;"""), ""),IF(Startseite!$D$68=(Refsz_Verbräuche[[#Headers],[2024]]-1),Refsz_Verbräuche[[#This Row],[2023]],IF(Startseite!$D$68&lt;Refsz_Verbräuche[[#Headers],[2024]],Refsz_Verbräuche[[#This Row],[2023]],"")))</f>
        <v/>
      </c>
      <c r="P140" s="110" t="str">
        <f>IF(Refsz_Verbräuche[[#Headers],[2025]]=Startseite!$D$68,IF(OR(SUMIF($F140:Refsz_Verbräuche[[#This Row],[2024]],"&gt;0")&gt;0,), AVERAGEIF($F140:Refsz_Verbräuche[[#This Row],[2024]],"&lt;&gt;"""), ""),IF(Startseite!$D$68=(Refsz_Verbräuche[[#Headers],[2025]]-1),Refsz_Verbräuche[[#This Row],[2024]],IF(Startseite!$D$68&lt;Refsz_Verbräuche[[#Headers],[2025]],Refsz_Verbräuche[[#This Row],[2024]],"")))</f>
        <v/>
      </c>
      <c r="Q140" s="110" t="str">
        <f>IF(Refsz_Verbräuche[[#Headers],[2026]]=Startseite!$D$68,IF(OR(SUMIF($F140:Refsz_Verbräuche[[#This Row],[2025]],"&gt;0")&gt;0,), AVERAGEIF($F140:Refsz_Verbräuche[[#This Row],[2025]],"&lt;&gt;"""), ""),IF(Startseite!$D$68=(Refsz_Verbräuche[[#Headers],[2026]]-1),Refsz_Verbräuche[[#This Row],[2025]],IF(Startseite!$D$68&lt;Refsz_Verbräuche[[#Headers],[2026]],Refsz_Verbräuche[[#This Row],[2025]],"")))</f>
        <v/>
      </c>
      <c r="R140" s="110" t="str">
        <f>IF(Refsz_Verbräuche[[#Headers],[2027]]=Startseite!$D$68,IF(OR(SUMIF($F140:Refsz_Verbräuche[[#This Row],[2026]],"&gt;0")&gt;0,), AVERAGEIF($F140:Refsz_Verbräuche[[#This Row],[2026]],"&lt;&gt;"""), ""),IF(Startseite!$D$68=(Refsz_Verbräuche[[#Headers],[2027]]-1),Refsz_Verbräuche[[#This Row],[2026]],IF(Startseite!$D$68&lt;Refsz_Verbräuche[[#Headers],[2027]],Refsz_Verbräuche[[#This Row],[2026]],"")))</f>
        <v/>
      </c>
      <c r="S140" s="110" t="str">
        <f>IF(Refsz_Verbräuche[[#Headers],[2028]]=Startseite!$D$68,IF(OR(SUMIF($F140:Refsz_Verbräuche[[#This Row],[2027]],"&gt;0")&gt;0,), AVERAGEIF($F140:Refsz_Verbräuche[[#This Row],[2027]],"&lt;&gt;"""), ""),IF(Startseite!$D$68=(Refsz_Verbräuche[[#Headers],[2028]]-1),Refsz_Verbräuche[[#This Row],[2027]],IF(Startseite!$D$68&lt;Refsz_Verbräuche[[#Headers],[2028]],Refsz_Verbräuche[[#This Row],[2027]],"")))</f>
        <v/>
      </c>
      <c r="T140" s="110" t="str">
        <f>IF(Refsz_Verbräuche[[#Headers],[2029]]=Startseite!$D$68,IF(OR(SUMIF($F140:Refsz_Verbräuche[[#This Row],[2028]],"&gt;0")&gt;0,), AVERAGEIF($F140:Refsz_Verbräuche[[#This Row],[2028]],"&lt;&gt;"""), ""),IF(Startseite!$D$68=(Refsz_Verbräuche[[#Headers],[2029]]-1),Refsz_Verbräuche[[#This Row],[2028]],IF(Startseite!$D$68&lt;Refsz_Verbräuche[[#Headers],[2029]],Refsz_Verbräuche[[#This Row],[2028]],"")))</f>
        <v/>
      </c>
      <c r="U140" s="110" t="str">
        <f>IF(Refsz_Verbräuche[[#Headers],[2030]]=Startseite!$D$68,IF(OR(SUMIF($F140:Refsz_Verbräuche[[#This Row],[2029]],"&gt;0")&gt;0,), AVERAGEIF($F140:Refsz_Verbräuche[[#This Row],[2029]],"&lt;&gt;"""), ""),IF(Startseite!$D$68=(Refsz_Verbräuche[[#Headers],[2030]]-1),Refsz_Verbräuche[[#This Row],[2029]],IF(Startseite!$D$68&lt;Refsz_Verbräuche[[#Headers],[2030]],Refsz_Verbräuche[[#This Row],[2029]],"")))</f>
        <v/>
      </c>
      <c r="V140" s="110" t="str">
        <f>IF(Refsz_Verbräuche[[#Headers],[2035]]=Startseite!$D$68,IF(OR(SUMIF($F140:Refsz_Verbräuche[[#This Row],[2030]],"&gt;0")&gt;0,), AVERAGEIF($F140:Refsz_Verbräuche[[#This Row],[2030]],"&lt;&gt;"""), ""),IF(Startseite!$D$68=(Refsz_Verbräuche[[#Headers],[2035]]-1),Refsz_Verbräuche[[#This Row],[2030]],IF(Startseite!$D$68&lt;Refsz_Verbräuche[[#Headers],[2035]],Refsz_Verbräuche[[#This Row],[2030]],"")))</f>
        <v/>
      </c>
      <c r="W140" s="110" t="str">
        <f>IF(Refsz_Verbräuche[[#Headers],[2040]]=Startseite!$D$68,IF(OR(SUMIF($F140:Refsz_Verbräuche[[#This Row],[2035]],"&gt;0")&gt;0,), AVERAGEIF($F140:Refsz_Verbräuche[[#This Row],[2035]],"&lt;&gt;"""), ""),IF(Startseite!$D$68=(Refsz_Verbräuche[[#Headers],[2040]]-1),Refsz_Verbräuche[[#This Row],[2035]],IF(Startseite!$D$68&lt;Refsz_Verbräuche[[#Headers],[2040]],Refsz_Verbräuche[[#This Row],[2035]],"")))</f>
        <v/>
      </c>
      <c r="X140" s="110" t="str">
        <f>IF(Refsz_Verbräuche[[#Headers],[2045]]=Startseite!$D$68,IF(OR(SUMIF($F140:Refsz_Verbräuche[[#This Row],[2040]],"&gt;0")&gt;0,), AVERAGEIF($F140:Refsz_Verbräuche[[#This Row],[2040]],"&lt;&gt;"""), ""),IF(Startseite!$D$68=(Refsz_Verbräuche[[#Headers],[2045]]-1),Refsz_Verbräuche[[#This Row],[2040]],IF(Startseite!$D$68&lt;Refsz_Verbräuche[[#Headers],[2045]],Refsz_Verbräuche[[#This Row],[2040]],"")))</f>
        <v/>
      </c>
      <c r="Y140" s="110" t="str">
        <f>IF(Refsz_Verbräuche[[#Headers],[2050]]=Startseite!$D$68,IF(OR(SUMIF($F140:Refsz_Verbräuche[[#This Row],[2045]],"&gt;0")&gt;0,), AVERAGEIF($F140:Refsz_Verbräuche[[#This Row],[2045]],"&lt;&gt;"""), ""),IF(Startseite!$D$68=(Refsz_Verbräuche[[#Headers],[2050]]-1),Refsz_Verbräuche[[#This Row],[2045]],IF(Startseite!$D$68&lt;Refsz_Verbräuche[[#Headers],[2050]],Refsz_Verbräuche[[#This Row],[2045]],"")))</f>
        <v/>
      </c>
      <c r="AA140" s="14"/>
    </row>
    <row r="141" spans="2:27">
      <c r="B141" s="14">
        <v>124</v>
      </c>
      <c r="C141" s="14" t="s">
        <v>517</v>
      </c>
      <c r="D141" s="9" t="s">
        <v>68</v>
      </c>
      <c r="E141" t="s">
        <v>44</v>
      </c>
      <c r="F141" s="110"/>
      <c r="G141" s="110"/>
      <c r="H141" s="110"/>
      <c r="I141" s="110"/>
      <c r="J141" s="110"/>
      <c r="K141" s="110"/>
      <c r="L141" s="110"/>
      <c r="M141" s="110" t="str">
        <f>IF(Refsz_Verbräuche[[#Headers],[2022]]=Startseite!$D$68,IF(OR(SUMIF($F141:Refsz_Verbräuche[[#This Row],[2021]],"&gt;0")&gt;0,), AVERAGEIF($F141:Refsz_Verbräuche[[#This Row],[2021]],"&lt;&gt;"""), ""),IF(Startseite!$D$68=(Refsz_Verbräuche[[#Headers],[2022]]-1),Refsz_Verbräuche[[#This Row],[2021]],IF(Startseite!$D$68&lt;Refsz_Verbräuche[[#Headers],[2022]],Refsz_Verbräuche[[#This Row],[2021]],"")))</f>
        <v/>
      </c>
      <c r="N141" s="110" t="str">
        <f>IF(Refsz_Verbräuche[[#Headers],[2023]]=Startseite!$D$68,IF(OR(SUMIF($F141:Refsz_Verbräuche[[#This Row],[2022]],"&gt;0")&gt;0,), AVERAGEIF($F141:Refsz_Verbräuche[[#This Row],[2022]],"&lt;&gt;"""), ""),IF(Startseite!$D$68=(Refsz_Verbräuche[[#Headers],[2023]]-1),Refsz_Verbräuche[[#This Row],[2022]],IF(Startseite!$D$68&lt;Refsz_Verbräuche[[#Headers],[2023]],Refsz_Verbräuche[[#This Row],[2022]],"")))</f>
        <v/>
      </c>
      <c r="O141" s="110" t="str">
        <f>IF(Refsz_Verbräuche[[#Headers],[2024]]=Startseite!$D$68,IF(OR(SUMIF($F141:Refsz_Verbräuche[[#This Row],[2023]],"&gt;0")&gt;0,), AVERAGEIF($F141:Refsz_Verbräuche[[#This Row],[2023]],"&lt;&gt;"""), ""),IF(Startseite!$D$68=(Refsz_Verbräuche[[#Headers],[2024]]-1),Refsz_Verbräuche[[#This Row],[2023]],IF(Startseite!$D$68&lt;Refsz_Verbräuche[[#Headers],[2024]],Refsz_Verbräuche[[#This Row],[2023]],"")))</f>
        <v/>
      </c>
      <c r="P141" s="110" t="str">
        <f>IF(Refsz_Verbräuche[[#Headers],[2025]]=Startseite!$D$68,IF(OR(SUMIF($F141:Refsz_Verbräuche[[#This Row],[2024]],"&gt;0")&gt;0,), AVERAGEIF($F141:Refsz_Verbräuche[[#This Row],[2024]],"&lt;&gt;"""), ""),IF(Startseite!$D$68=(Refsz_Verbräuche[[#Headers],[2025]]-1),Refsz_Verbräuche[[#This Row],[2024]],IF(Startseite!$D$68&lt;Refsz_Verbräuche[[#Headers],[2025]],Refsz_Verbräuche[[#This Row],[2024]],"")))</f>
        <v/>
      </c>
      <c r="Q141" s="110" t="str">
        <f>IF(Refsz_Verbräuche[[#Headers],[2026]]=Startseite!$D$68,IF(OR(SUMIF($F141:Refsz_Verbräuche[[#This Row],[2025]],"&gt;0")&gt;0,), AVERAGEIF($F141:Refsz_Verbräuche[[#This Row],[2025]],"&lt;&gt;"""), ""),IF(Startseite!$D$68=(Refsz_Verbräuche[[#Headers],[2026]]-1),Refsz_Verbräuche[[#This Row],[2025]],IF(Startseite!$D$68&lt;Refsz_Verbräuche[[#Headers],[2026]],Refsz_Verbräuche[[#This Row],[2025]],"")))</f>
        <v/>
      </c>
      <c r="R141" s="110" t="str">
        <f>IF(Refsz_Verbräuche[[#Headers],[2027]]=Startseite!$D$68,IF(OR(SUMIF($F141:Refsz_Verbräuche[[#This Row],[2026]],"&gt;0")&gt;0,), AVERAGEIF($F141:Refsz_Verbräuche[[#This Row],[2026]],"&lt;&gt;"""), ""),IF(Startseite!$D$68=(Refsz_Verbräuche[[#Headers],[2027]]-1),Refsz_Verbräuche[[#This Row],[2026]],IF(Startseite!$D$68&lt;Refsz_Verbräuche[[#Headers],[2027]],Refsz_Verbräuche[[#This Row],[2026]],"")))</f>
        <v/>
      </c>
      <c r="S141" s="110" t="str">
        <f>IF(Refsz_Verbräuche[[#Headers],[2028]]=Startseite!$D$68,IF(OR(SUMIF($F141:Refsz_Verbräuche[[#This Row],[2027]],"&gt;0")&gt;0,), AVERAGEIF($F141:Refsz_Verbräuche[[#This Row],[2027]],"&lt;&gt;"""), ""),IF(Startseite!$D$68=(Refsz_Verbräuche[[#Headers],[2028]]-1),Refsz_Verbräuche[[#This Row],[2027]],IF(Startseite!$D$68&lt;Refsz_Verbräuche[[#Headers],[2028]],Refsz_Verbräuche[[#This Row],[2027]],"")))</f>
        <v/>
      </c>
      <c r="T141" s="110" t="str">
        <f>IF(Refsz_Verbräuche[[#Headers],[2029]]=Startseite!$D$68,IF(OR(SUMIF($F141:Refsz_Verbräuche[[#This Row],[2028]],"&gt;0")&gt;0,), AVERAGEIF($F141:Refsz_Verbräuche[[#This Row],[2028]],"&lt;&gt;"""), ""),IF(Startseite!$D$68=(Refsz_Verbräuche[[#Headers],[2029]]-1),Refsz_Verbräuche[[#This Row],[2028]],IF(Startseite!$D$68&lt;Refsz_Verbräuche[[#Headers],[2029]],Refsz_Verbräuche[[#This Row],[2028]],"")))</f>
        <v/>
      </c>
      <c r="U141" s="110" t="str">
        <f>IF(Refsz_Verbräuche[[#Headers],[2030]]=Startseite!$D$68,IF(OR(SUMIF($F141:Refsz_Verbräuche[[#This Row],[2029]],"&gt;0")&gt;0,), AVERAGEIF($F141:Refsz_Verbräuche[[#This Row],[2029]],"&lt;&gt;"""), ""),IF(Startseite!$D$68=(Refsz_Verbräuche[[#Headers],[2030]]-1),Refsz_Verbräuche[[#This Row],[2029]],IF(Startseite!$D$68&lt;Refsz_Verbräuche[[#Headers],[2030]],Refsz_Verbräuche[[#This Row],[2029]],"")))</f>
        <v/>
      </c>
      <c r="V141" s="110" t="str">
        <f>IF(Refsz_Verbräuche[[#Headers],[2035]]=Startseite!$D$68,IF(OR(SUMIF($F141:Refsz_Verbräuche[[#This Row],[2030]],"&gt;0")&gt;0,), AVERAGEIF($F141:Refsz_Verbräuche[[#This Row],[2030]],"&lt;&gt;"""), ""),IF(Startseite!$D$68=(Refsz_Verbräuche[[#Headers],[2035]]-1),Refsz_Verbräuche[[#This Row],[2030]],IF(Startseite!$D$68&lt;Refsz_Verbräuche[[#Headers],[2035]],Refsz_Verbräuche[[#This Row],[2030]],"")))</f>
        <v/>
      </c>
      <c r="W141" s="110" t="str">
        <f>IF(Refsz_Verbräuche[[#Headers],[2040]]=Startseite!$D$68,IF(OR(SUMIF($F141:Refsz_Verbräuche[[#This Row],[2035]],"&gt;0")&gt;0,), AVERAGEIF($F141:Refsz_Verbräuche[[#This Row],[2035]],"&lt;&gt;"""), ""),IF(Startseite!$D$68=(Refsz_Verbräuche[[#Headers],[2040]]-1),Refsz_Verbräuche[[#This Row],[2035]],IF(Startseite!$D$68&lt;Refsz_Verbräuche[[#Headers],[2040]],Refsz_Verbräuche[[#This Row],[2035]],"")))</f>
        <v/>
      </c>
      <c r="X141" s="110" t="str">
        <f>IF(Refsz_Verbräuche[[#Headers],[2045]]=Startseite!$D$68,IF(OR(SUMIF($F141:Refsz_Verbräuche[[#This Row],[2040]],"&gt;0")&gt;0,), AVERAGEIF($F141:Refsz_Verbräuche[[#This Row],[2040]],"&lt;&gt;"""), ""),IF(Startseite!$D$68=(Refsz_Verbräuche[[#Headers],[2045]]-1),Refsz_Verbräuche[[#This Row],[2040]],IF(Startseite!$D$68&lt;Refsz_Verbräuche[[#Headers],[2045]],Refsz_Verbräuche[[#This Row],[2040]],"")))</f>
        <v/>
      </c>
      <c r="Y141" s="110" t="str">
        <f>IF(Refsz_Verbräuche[[#Headers],[2050]]=Startseite!$D$68,IF(OR(SUMIF($F141:Refsz_Verbräuche[[#This Row],[2045]],"&gt;0")&gt;0,), AVERAGEIF($F141:Refsz_Verbräuche[[#This Row],[2045]],"&lt;&gt;"""), ""),IF(Startseite!$D$68=(Refsz_Verbräuche[[#Headers],[2050]]-1),Refsz_Verbräuche[[#This Row],[2045]],IF(Startseite!$D$68&lt;Refsz_Verbräuche[[#Headers],[2050]],Refsz_Verbräuche[[#This Row],[2045]],"")))</f>
        <v/>
      </c>
      <c r="AA141" s="14"/>
    </row>
    <row r="142" spans="2:27">
      <c r="B142" s="14">
        <v>125</v>
      </c>
      <c r="C142" s="14" t="s">
        <v>517</v>
      </c>
      <c r="D142" s="9" t="s">
        <v>86</v>
      </c>
      <c r="E142" t="s">
        <v>44</v>
      </c>
      <c r="F142" s="110"/>
      <c r="G142" s="110"/>
      <c r="H142" s="110"/>
      <c r="I142" s="110"/>
      <c r="J142" s="110"/>
      <c r="K142" s="110"/>
      <c r="L142" s="110"/>
      <c r="M142" s="110" t="str">
        <f>IF(Refsz_Verbräuche[[#Headers],[2022]]=Startseite!$D$68,IF(OR(SUMIF($F142:Refsz_Verbräuche[[#This Row],[2021]],"&gt;0")&gt;0,), AVERAGEIF($F142:Refsz_Verbräuche[[#This Row],[2021]],"&lt;&gt;"""), ""),IF(Startseite!$D$68=(Refsz_Verbräuche[[#Headers],[2022]]-1),Refsz_Verbräuche[[#This Row],[2021]],IF(Startseite!$D$68&lt;Refsz_Verbräuche[[#Headers],[2022]],Refsz_Verbräuche[[#This Row],[2021]],"")))</f>
        <v/>
      </c>
      <c r="N142" s="110" t="str">
        <f>IF(Refsz_Verbräuche[[#Headers],[2023]]=Startseite!$D$68,IF(OR(SUMIF($F142:Refsz_Verbräuche[[#This Row],[2022]],"&gt;0")&gt;0,), AVERAGEIF($F142:Refsz_Verbräuche[[#This Row],[2022]],"&lt;&gt;"""), ""),IF(Startseite!$D$68=(Refsz_Verbräuche[[#Headers],[2023]]-1),Refsz_Verbräuche[[#This Row],[2022]],IF(Startseite!$D$68&lt;Refsz_Verbräuche[[#Headers],[2023]],Refsz_Verbräuche[[#This Row],[2022]],"")))</f>
        <v/>
      </c>
      <c r="O142" s="110" t="str">
        <f>IF(Refsz_Verbräuche[[#Headers],[2024]]=Startseite!$D$68,IF(OR(SUMIF($F142:Refsz_Verbräuche[[#This Row],[2023]],"&gt;0")&gt;0,), AVERAGEIF($F142:Refsz_Verbräuche[[#This Row],[2023]],"&lt;&gt;"""), ""),IF(Startseite!$D$68=(Refsz_Verbräuche[[#Headers],[2024]]-1),Refsz_Verbräuche[[#This Row],[2023]],IF(Startseite!$D$68&lt;Refsz_Verbräuche[[#Headers],[2024]],Refsz_Verbräuche[[#This Row],[2023]],"")))</f>
        <v/>
      </c>
      <c r="P142" s="110" t="str">
        <f>IF(Refsz_Verbräuche[[#Headers],[2025]]=Startseite!$D$68,IF(OR(SUMIF($F142:Refsz_Verbräuche[[#This Row],[2024]],"&gt;0")&gt;0,), AVERAGEIF($F142:Refsz_Verbräuche[[#This Row],[2024]],"&lt;&gt;"""), ""),IF(Startseite!$D$68=(Refsz_Verbräuche[[#Headers],[2025]]-1),Refsz_Verbräuche[[#This Row],[2024]],IF(Startseite!$D$68&lt;Refsz_Verbräuche[[#Headers],[2025]],Refsz_Verbräuche[[#This Row],[2024]],"")))</f>
        <v/>
      </c>
      <c r="Q142" s="110" t="str">
        <f>IF(Refsz_Verbräuche[[#Headers],[2026]]=Startseite!$D$68,IF(OR(SUMIF($F142:Refsz_Verbräuche[[#This Row],[2025]],"&gt;0")&gt;0,), AVERAGEIF($F142:Refsz_Verbräuche[[#This Row],[2025]],"&lt;&gt;"""), ""),IF(Startseite!$D$68=(Refsz_Verbräuche[[#Headers],[2026]]-1),Refsz_Verbräuche[[#This Row],[2025]],IF(Startseite!$D$68&lt;Refsz_Verbräuche[[#Headers],[2026]],Refsz_Verbräuche[[#This Row],[2025]],"")))</f>
        <v/>
      </c>
      <c r="R142" s="110" t="str">
        <f>IF(Refsz_Verbräuche[[#Headers],[2027]]=Startseite!$D$68,IF(OR(SUMIF($F142:Refsz_Verbräuche[[#This Row],[2026]],"&gt;0")&gt;0,), AVERAGEIF($F142:Refsz_Verbräuche[[#This Row],[2026]],"&lt;&gt;"""), ""),IF(Startseite!$D$68=(Refsz_Verbräuche[[#Headers],[2027]]-1),Refsz_Verbräuche[[#This Row],[2026]],IF(Startseite!$D$68&lt;Refsz_Verbräuche[[#Headers],[2027]],Refsz_Verbräuche[[#This Row],[2026]],"")))</f>
        <v/>
      </c>
      <c r="S142" s="110" t="str">
        <f>IF(Refsz_Verbräuche[[#Headers],[2028]]=Startseite!$D$68,IF(OR(SUMIF($F142:Refsz_Verbräuche[[#This Row],[2027]],"&gt;0")&gt;0,), AVERAGEIF($F142:Refsz_Verbräuche[[#This Row],[2027]],"&lt;&gt;"""), ""),IF(Startseite!$D$68=(Refsz_Verbräuche[[#Headers],[2028]]-1),Refsz_Verbräuche[[#This Row],[2027]],IF(Startseite!$D$68&lt;Refsz_Verbräuche[[#Headers],[2028]],Refsz_Verbräuche[[#This Row],[2027]],"")))</f>
        <v/>
      </c>
      <c r="T142" s="110" t="str">
        <f>IF(Refsz_Verbräuche[[#Headers],[2029]]=Startseite!$D$68,IF(OR(SUMIF($F142:Refsz_Verbräuche[[#This Row],[2028]],"&gt;0")&gt;0,), AVERAGEIF($F142:Refsz_Verbräuche[[#This Row],[2028]],"&lt;&gt;"""), ""),IF(Startseite!$D$68=(Refsz_Verbräuche[[#Headers],[2029]]-1),Refsz_Verbräuche[[#This Row],[2028]],IF(Startseite!$D$68&lt;Refsz_Verbräuche[[#Headers],[2029]],Refsz_Verbräuche[[#This Row],[2028]],"")))</f>
        <v/>
      </c>
      <c r="U142" s="110" t="str">
        <f>IF(Refsz_Verbräuche[[#Headers],[2030]]=Startseite!$D$68,IF(OR(SUMIF($F142:Refsz_Verbräuche[[#This Row],[2029]],"&gt;0")&gt;0,), AVERAGEIF($F142:Refsz_Verbräuche[[#This Row],[2029]],"&lt;&gt;"""), ""),IF(Startseite!$D$68=(Refsz_Verbräuche[[#Headers],[2030]]-1),Refsz_Verbräuche[[#This Row],[2029]],IF(Startseite!$D$68&lt;Refsz_Verbräuche[[#Headers],[2030]],Refsz_Verbräuche[[#This Row],[2029]],"")))</f>
        <v/>
      </c>
      <c r="V142" s="110" t="str">
        <f>IF(Refsz_Verbräuche[[#Headers],[2035]]=Startseite!$D$68,IF(OR(SUMIF($F142:Refsz_Verbräuche[[#This Row],[2030]],"&gt;0")&gt;0,), AVERAGEIF($F142:Refsz_Verbräuche[[#This Row],[2030]],"&lt;&gt;"""), ""),IF(Startseite!$D$68=(Refsz_Verbräuche[[#Headers],[2035]]-1),Refsz_Verbräuche[[#This Row],[2030]],IF(Startseite!$D$68&lt;Refsz_Verbräuche[[#Headers],[2035]],Refsz_Verbräuche[[#This Row],[2030]],"")))</f>
        <v/>
      </c>
      <c r="W142" s="110" t="str">
        <f>IF(Refsz_Verbräuche[[#Headers],[2040]]=Startseite!$D$68,IF(OR(SUMIF($F142:Refsz_Verbräuche[[#This Row],[2035]],"&gt;0")&gt;0,), AVERAGEIF($F142:Refsz_Verbräuche[[#This Row],[2035]],"&lt;&gt;"""), ""),IF(Startseite!$D$68=(Refsz_Verbräuche[[#Headers],[2040]]-1),Refsz_Verbräuche[[#This Row],[2035]],IF(Startseite!$D$68&lt;Refsz_Verbräuche[[#Headers],[2040]],Refsz_Verbräuche[[#This Row],[2035]],"")))</f>
        <v/>
      </c>
      <c r="X142" s="110" t="str">
        <f>IF(Refsz_Verbräuche[[#Headers],[2045]]=Startseite!$D$68,IF(OR(SUMIF($F142:Refsz_Verbräuche[[#This Row],[2040]],"&gt;0")&gt;0,), AVERAGEIF($F142:Refsz_Verbräuche[[#This Row],[2040]],"&lt;&gt;"""), ""),IF(Startseite!$D$68=(Refsz_Verbräuche[[#Headers],[2045]]-1),Refsz_Verbräuche[[#This Row],[2040]],IF(Startseite!$D$68&lt;Refsz_Verbräuche[[#Headers],[2045]],Refsz_Verbräuche[[#This Row],[2040]],"")))</f>
        <v/>
      </c>
      <c r="Y142" s="110" t="str">
        <f>IF(Refsz_Verbräuche[[#Headers],[2050]]=Startseite!$D$68,IF(OR(SUMIF($F142:Refsz_Verbräuche[[#This Row],[2045]],"&gt;0")&gt;0,), AVERAGEIF($F142:Refsz_Verbräuche[[#This Row],[2045]],"&lt;&gt;"""), ""),IF(Startseite!$D$68=(Refsz_Verbräuche[[#Headers],[2050]]-1),Refsz_Verbräuche[[#This Row],[2045]],IF(Startseite!$D$68&lt;Refsz_Verbräuche[[#Headers],[2050]],Refsz_Verbräuche[[#This Row],[2045]],"")))</f>
        <v/>
      </c>
      <c r="AA142" s="14"/>
    </row>
    <row r="143" spans="2:27">
      <c r="B143" s="14">
        <v>126</v>
      </c>
      <c r="C143" s="14" t="s">
        <v>517</v>
      </c>
      <c r="D143" s="9" t="s">
        <v>69</v>
      </c>
      <c r="E143" t="s">
        <v>44</v>
      </c>
      <c r="F143" s="110"/>
      <c r="G143" s="110"/>
      <c r="H143" s="110"/>
      <c r="I143" s="110"/>
      <c r="J143" s="110"/>
      <c r="K143" s="110"/>
      <c r="L143" s="110"/>
      <c r="M143" s="110" t="str">
        <f>IF(Refsz_Verbräuche[[#Headers],[2022]]=Startseite!$D$68,IF(OR(SUMIF($F143:Refsz_Verbräuche[[#This Row],[2021]],"&gt;0")&gt;0,), AVERAGEIF($F143:Refsz_Verbräuche[[#This Row],[2021]],"&lt;&gt;"""), ""),IF(Startseite!$D$68=(Refsz_Verbräuche[[#Headers],[2022]]-1),Refsz_Verbräuche[[#This Row],[2021]],IF(Startseite!$D$68&lt;Refsz_Verbräuche[[#Headers],[2022]],Refsz_Verbräuche[[#This Row],[2021]],"")))</f>
        <v/>
      </c>
      <c r="N143" s="110" t="str">
        <f>IF(Refsz_Verbräuche[[#Headers],[2023]]=Startseite!$D$68,IF(OR(SUMIF($F143:Refsz_Verbräuche[[#This Row],[2022]],"&gt;0")&gt;0,), AVERAGEIF($F143:Refsz_Verbräuche[[#This Row],[2022]],"&lt;&gt;"""), ""),IF(Startseite!$D$68=(Refsz_Verbräuche[[#Headers],[2023]]-1),Refsz_Verbräuche[[#This Row],[2022]],IF(Startseite!$D$68&lt;Refsz_Verbräuche[[#Headers],[2023]],Refsz_Verbräuche[[#This Row],[2022]],"")))</f>
        <v/>
      </c>
      <c r="O143" s="110" t="str">
        <f>IF(Refsz_Verbräuche[[#Headers],[2024]]=Startseite!$D$68,IF(OR(SUMIF($F143:Refsz_Verbräuche[[#This Row],[2023]],"&gt;0")&gt;0,), AVERAGEIF($F143:Refsz_Verbräuche[[#This Row],[2023]],"&lt;&gt;"""), ""),IF(Startseite!$D$68=(Refsz_Verbräuche[[#Headers],[2024]]-1),Refsz_Verbräuche[[#This Row],[2023]],IF(Startseite!$D$68&lt;Refsz_Verbräuche[[#Headers],[2024]],Refsz_Verbräuche[[#This Row],[2023]],"")))</f>
        <v/>
      </c>
      <c r="P143" s="110" t="str">
        <f>IF(Refsz_Verbräuche[[#Headers],[2025]]=Startseite!$D$68,IF(OR(SUMIF($F143:Refsz_Verbräuche[[#This Row],[2024]],"&gt;0")&gt;0,), AVERAGEIF($F143:Refsz_Verbräuche[[#This Row],[2024]],"&lt;&gt;"""), ""),IF(Startseite!$D$68=(Refsz_Verbräuche[[#Headers],[2025]]-1),Refsz_Verbräuche[[#This Row],[2024]],IF(Startseite!$D$68&lt;Refsz_Verbräuche[[#Headers],[2025]],Refsz_Verbräuche[[#This Row],[2024]],"")))</f>
        <v/>
      </c>
      <c r="Q143" s="110" t="str">
        <f>IF(Refsz_Verbräuche[[#Headers],[2026]]=Startseite!$D$68,IF(OR(SUMIF($F143:Refsz_Verbräuche[[#This Row],[2025]],"&gt;0")&gt;0,), AVERAGEIF($F143:Refsz_Verbräuche[[#This Row],[2025]],"&lt;&gt;"""), ""),IF(Startseite!$D$68=(Refsz_Verbräuche[[#Headers],[2026]]-1),Refsz_Verbräuche[[#This Row],[2025]],IF(Startseite!$D$68&lt;Refsz_Verbräuche[[#Headers],[2026]],Refsz_Verbräuche[[#This Row],[2025]],"")))</f>
        <v/>
      </c>
      <c r="R143" s="110" t="str">
        <f>IF(Refsz_Verbräuche[[#Headers],[2027]]=Startseite!$D$68,IF(OR(SUMIF($F143:Refsz_Verbräuche[[#This Row],[2026]],"&gt;0")&gt;0,), AVERAGEIF($F143:Refsz_Verbräuche[[#This Row],[2026]],"&lt;&gt;"""), ""),IF(Startseite!$D$68=(Refsz_Verbräuche[[#Headers],[2027]]-1),Refsz_Verbräuche[[#This Row],[2026]],IF(Startseite!$D$68&lt;Refsz_Verbräuche[[#Headers],[2027]],Refsz_Verbräuche[[#This Row],[2026]],"")))</f>
        <v/>
      </c>
      <c r="S143" s="110" t="str">
        <f>IF(Refsz_Verbräuche[[#Headers],[2028]]=Startseite!$D$68,IF(OR(SUMIF($F143:Refsz_Verbräuche[[#This Row],[2027]],"&gt;0")&gt;0,), AVERAGEIF($F143:Refsz_Verbräuche[[#This Row],[2027]],"&lt;&gt;"""), ""),IF(Startseite!$D$68=(Refsz_Verbräuche[[#Headers],[2028]]-1),Refsz_Verbräuche[[#This Row],[2027]],IF(Startseite!$D$68&lt;Refsz_Verbräuche[[#Headers],[2028]],Refsz_Verbräuche[[#This Row],[2027]],"")))</f>
        <v/>
      </c>
      <c r="T143" s="110" t="str">
        <f>IF(Refsz_Verbräuche[[#Headers],[2029]]=Startseite!$D$68,IF(OR(SUMIF($F143:Refsz_Verbräuche[[#This Row],[2028]],"&gt;0")&gt;0,), AVERAGEIF($F143:Refsz_Verbräuche[[#This Row],[2028]],"&lt;&gt;"""), ""),IF(Startseite!$D$68=(Refsz_Verbräuche[[#Headers],[2029]]-1),Refsz_Verbräuche[[#This Row],[2028]],IF(Startseite!$D$68&lt;Refsz_Verbräuche[[#Headers],[2029]],Refsz_Verbräuche[[#This Row],[2028]],"")))</f>
        <v/>
      </c>
      <c r="U143" s="110" t="str">
        <f>IF(Refsz_Verbräuche[[#Headers],[2030]]=Startseite!$D$68,IF(OR(SUMIF($F143:Refsz_Verbräuche[[#This Row],[2029]],"&gt;0")&gt;0,), AVERAGEIF($F143:Refsz_Verbräuche[[#This Row],[2029]],"&lt;&gt;"""), ""),IF(Startseite!$D$68=(Refsz_Verbräuche[[#Headers],[2030]]-1),Refsz_Verbräuche[[#This Row],[2029]],IF(Startseite!$D$68&lt;Refsz_Verbräuche[[#Headers],[2030]],Refsz_Verbräuche[[#This Row],[2029]],"")))</f>
        <v/>
      </c>
      <c r="V143" s="110" t="str">
        <f>IF(Refsz_Verbräuche[[#Headers],[2035]]=Startseite!$D$68,IF(OR(SUMIF($F143:Refsz_Verbräuche[[#This Row],[2030]],"&gt;0")&gt;0,), AVERAGEIF($F143:Refsz_Verbräuche[[#This Row],[2030]],"&lt;&gt;"""), ""),IF(Startseite!$D$68=(Refsz_Verbräuche[[#Headers],[2035]]-1),Refsz_Verbräuche[[#This Row],[2030]],IF(Startseite!$D$68&lt;Refsz_Verbräuche[[#Headers],[2035]],Refsz_Verbräuche[[#This Row],[2030]],"")))</f>
        <v/>
      </c>
      <c r="W143" s="110" t="str">
        <f>IF(Refsz_Verbräuche[[#Headers],[2040]]=Startseite!$D$68,IF(OR(SUMIF($F143:Refsz_Verbräuche[[#This Row],[2035]],"&gt;0")&gt;0,), AVERAGEIF($F143:Refsz_Verbräuche[[#This Row],[2035]],"&lt;&gt;"""), ""),IF(Startseite!$D$68=(Refsz_Verbräuche[[#Headers],[2040]]-1),Refsz_Verbräuche[[#This Row],[2035]],IF(Startseite!$D$68&lt;Refsz_Verbräuche[[#Headers],[2040]],Refsz_Verbräuche[[#This Row],[2035]],"")))</f>
        <v/>
      </c>
      <c r="X143" s="110" t="str">
        <f>IF(Refsz_Verbräuche[[#Headers],[2045]]=Startseite!$D$68,IF(OR(SUMIF($F143:Refsz_Verbräuche[[#This Row],[2040]],"&gt;0")&gt;0,), AVERAGEIF($F143:Refsz_Verbräuche[[#This Row],[2040]],"&lt;&gt;"""), ""),IF(Startseite!$D$68=(Refsz_Verbräuche[[#Headers],[2045]]-1),Refsz_Verbräuche[[#This Row],[2040]],IF(Startseite!$D$68&lt;Refsz_Verbräuche[[#Headers],[2045]],Refsz_Verbräuche[[#This Row],[2040]],"")))</f>
        <v/>
      </c>
      <c r="Y143" s="110" t="str">
        <f>IF(Refsz_Verbräuche[[#Headers],[2050]]=Startseite!$D$68,IF(OR(SUMIF($F143:Refsz_Verbräuche[[#This Row],[2045]],"&gt;0")&gt;0,), AVERAGEIF($F143:Refsz_Verbräuche[[#This Row],[2045]],"&lt;&gt;"""), ""),IF(Startseite!$D$68=(Refsz_Verbräuche[[#Headers],[2050]]-1),Refsz_Verbräuche[[#This Row],[2045]],IF(Startseite!$D$68&lt;Refsz_Verbräuche[[#Headers],[2050]],Refsz_Verbräuche[[#This Row],[2045]],"")))</f>
        <v/>
      </c>
      <c r="AA143" s="14"/>
    </row>
    <row r="144" spans="2:27">
      <c r="B144" s="14">
        <v>127</v>
      </c>
      <c r="C144" s="14" t="s">
        <v>517</v>
      </c>
      <c r="D144" s="9" t="s">
        <v>63</v>
      </c>
      <c r="E144" t="s">
        <v>44</v>
      </c>
      <c r="F144" s="110"/>
      <c r="G144" s="110"/>
      <c r="H144" s="110"/>
      <c r="I144" s="110"/>
      <c r="J144" s="110"/>
      <c r="K144" s="110"/>
      <c r="L144" s="110"/>
      <c r="M144" s="110" t="str">
        <f>IF(Refsz_Verbräuche[[#Headers],[2022]]=Startseite!$D$68,IF(OR(SUMIF($F144:Refsz_Verbräuche[[#This Row],[2021]],"&gt;0")&gt;0,), AVERAGEIF($F144:Refsz_Verbräuche[[#This Row],[2021]],"&lt;&gt;"""), ""),IF(Startseite!$D$68=(Refsz_Verbräuche[[#Headers],[2022]]-1),Refsz_Verbräuche[[#This Row],[2021]],IF(Startseite!$D$68&lt;Refsz_Verbräuche[[#Headers],[2022]],Refsz_Verbräuche[[#This Row],[2021]],"")))</f>
        <v/>
      </c>
      <c r="N144" s="110" t="str">
        <f>IF(Refsz_Verbräuche[[#Headers],[2023]]=Startseite!$D$68,IF(OR(SUMIF($F144:Refsz_Verbräuche[[#This Row],[2022]],"&gt;0")&gt;0,), AVERAGEIF($F144:Refsz_Verbräuche[[#This Row],[2022]],"&lt;&gt;"""), ""),IF(Startseite!$D$68=(Refsz_Verbräuche[[#Headers],[2023]]-1),Refsz_Verbräuche[[#This Row],[2022]],IF(Startseite!$D$68&lt;Refsz_Verbräuche[[#Headers],[2023]],Refsz_Verbräuche[[#This Row],[2022]],"")))</f>
        <v/>
      </c>
      <c r="O144" s="110" t="str">
        <f>IF(Refsz_Verbräuche[[#Headers],[2024]]=Startseite!$D$68,IF(OR(SUMIF($F144:Refsz_Verbräuche[[#This Row],[2023]],"&gt;0")&gt;0,), AVERAGEIF($F144:Refsz_Verbräuche[[#This Row],[2023]],"&lt;&gt;"""), ""),IF(Startseite!$D$68=(Refsz_Verbräuche[[#Headers],[2024]]-1),Refsz_Verbräuche[[#This Row],[2023]],IF(Startseite!$D$68&lt;Refsz_Verbräuche[[#Headers],[2024]],Refsz_Verbräuche[[#This Row],[2023]],"")))</f>
        <v/>
      </c>
      <c r="P144" s="110" t="str">
        <f>IF(Refsz_Verbräuche[[#Headers],[2025]]=Startseite!$D$68,IF(OR(SUMIF($F144:Refsz_Verbräuche[[#This Row],[2024]],"&gt;0")&gt;0,), AVERAGEIF($F144:Refsz_Verbräuche[[#This Row],[2024]],"&lt;&gt;"""), ""),IF(Startseite!$D$68=(Refsz_Verbräuche[[#Headers],[2025]]-1),Refsz_Verbräuche[[#This Row],[2024]],IF(Startseite!$D$68&lt;Refsz_Verbräuche[[#Headers],[2025]],Refsz_Verbräuche[[#This Row],[2024]],"")))</f>
        <v/>
      </c>
      <c r="Q144" s="110" t="str">
        <f>IF(Refsz_Verbräuche[[#Headers],[2026]]=Startseite!$D$68,IF(OR(SUMIF($F144:Refsz_Verbräuche[[#This Row],[2025]],"&gt;0")&gt;0,), AVERAGEIF($F144:Refsz_Verbräuche[[#This Row],[2025]],"&lt;&gt;"""), ""),IF(Startseite!$D$68=(Refsz_Verbräuche[[#Headers],[2026]]-1),Refsz_Verbräuche[[#This Row],[2025]],IF(Startseite!$D$68&lt;Refsz_Verbräuche[[#Headers],[2026]],Refsz_Verbräuche[[#This Row],[2025]],"")))</f>
        <v/>
      </c>
      <c r="R144" s="110" t="str">
        <f>IF(Refsz_Verbräuche[[#Headers],[2027]]=Startseite!$D$68,IF(OR(SUMIF($F144:Refsz_Verbräuche[[#This Row],[2026]],"&gt;0")&gt;0,), AVERAGEIF($F144:Refsz_Verbräuche[[#This Row],[2026]],"&lt;&gt;"""), ""),IF(Startseite!$D$68=(Refsz_Verbräuche[[#Headers],[2027]]-1),Refsz_Verbräuche[[#This Row],[2026]],IF(Startseite!$D$68&lt;Refsz_Verbräuche[[#Headers],[2027]],Refsz_Verbräuche[[#This Row],[2026]],"")))</f>
        <v/>
      </c>
      <c r="S144" s="110" t="str">
        <f>IF(Refsz_Verbräuche[[#Headers],[2028]]=Startseite!$D$68,IF(OR(SUMIF($F144:Refsz_Verbräuche[[#This Row],[2027]],"&gt;0")&gt;0,), AVERAGEIF($F144:Refsz_Verbräuche[[#This Row],[2027]],"&lt;&gt;"""), ""),IF(Startseite!$D$68=(Refsz_Verbräuche[[#Headers],[2028]]-1),Refsz_Verbräuche[[#This Row],[2027]],IF(Startseite!$D$68&lt;Refsz_Verbräuche[[#Headers],[2028]],Refsz_Verbräuche[[#This Row],[2027]],"")))</f>
        <v/>
      </c>
      <c r="T144" s="110" t="str">
        <f>IF(Refsz_Verbräuche[[#Headers],[2029]]=Startseite!$D$68,IF(OR(SUMIF($F144:Refsz_Verbräuche[[#This Row],[2028]],"&gt;0")&gt;0,), AVERAGEIF($F144:Refsz_Verbräuche[[#This Row],[2028]],"&lt;&gt;"""), ""),IF(Startseite!$D$68=(Refsz_Verbräuche[[#Headers],[2029]]-1),Refsz_Verbräuche[[#This Row],[2028]],IF(Startseite!$D$68&lt;Refsz_Verbräuche[[#Headers],[2029]],Refsz_Verbräuche[[#This Row],[2028]],"")))</f>
        <v/>
      </c>
      <c r="U144" s="110" t="str">
        <f>IF(Refsz_Verbräuche[[#Headers],[2030]]=Startseite!$D$68,IF(OR(SUMIF($F144:Refsz_Verbräuche[[#This Row],[2029]],"&gt;0")&gt;0,), AVERAGEIF($F144:Refsz_Verbräuche[[#This Row],[2029]],"&lt;&gt;"""), ""),IF(Startseite!$D$68=(Refsz_Verbräuche[[#Headers],[2030]]-1),Refsz_Verbräuche[[#This Row],[2029]],IF(Startseite!$D$68&lt;Refsz_Verbräuche[[#Headers],[2030]],Refsz_Verbräuche[[#This Row],[2029]],"")))</f>
        <v/>
      </c>
      <c r="V144" s="110" t="str">
        <f>IF(Refsz_Verbräuche[[#Headers],[2035]]=Startseite!$D$68,IF(OR(SUMIF($F144:Refsz_Verbräuche[[#This Row],[2030]],"&gt;0")&gt;0,), AVERAGEIF($F144:Refsz_Verbräuche[[#This Row],[2030]],"&lt;&gt;"""), ""),IF(Startseite!$D$68=(Refsz_Verbräuche[[#Headers],[2035]]-1),Refsz_Verbräuche[[#This Row],[2030]],IF(Startseite!$D$68&lt;Refsz_Verbräuche[[#Headers],[2035]],Refsz_Verbräuche[[#This Row],[2030]],"")))</f>
        <v/>
      </c>
      <c r="W144" s="110" t="str">
        <f>IF(Refsz_Verbräuche[[#Headers],[2040]]=Startseite!$D$68,IF(OR(SUMIF($F144:Refsz_Verbräuche[[#This Row],[2035]],"&gt;0")&gt;0,), AVERAGEIF($F144:Refsz_Verbräuche[[#This Row],[2035]],"&lt;&gt;"""), ""),IF(Startseite!$D$68=(Refsz_Verbräuche[[#Headers],[2040]]-1),Refsz_Verbräuche[[#This Row],[2035]],IF(Startseite!$D$68&lt;Refsz_Verbräuche[[#Headers],[2040]],Refsz_Verbräuche[[#This Row],[2035]],"")))</f>
        <v/>
      </c>
      <c r="X144" s="110" t="str">
        <f>IF(Refsz_Verbräuche[[#Headers],[2045]]=Startseite!$D$68,IF(OR(SUMIF($F144:Refsz_Verbräuche[[#This Row],[2040]],"&gt;0")&gt;0,), AVERAGEIF($F144:Refsz_Verbräuche[[#This Row],[2040]],"&lt;&gt;"""), ""),IF(Startseite!$D$68=(Refsz_Verbräuche[[#Headers],[2045]]-1),Refsz_Verbräuche[[#This Row],[2040]],IF(Startseite!$D$68&lt;Refsz_Verbräuche[[#Headers],[2045]],Refsz_Verbräuche[[#This Row],[2040]],"")))</f>
        <v/>
      </c>
      <c r="Y144" s="110" t="str">
        <f>IF(Refsz_Verbräuche[[#Headers],[2050]]=Startseite!$D$68,IF(OR(SUMIF($F144:Refsz_Verbräuche[[#This Row],[2045]],"&gt;0")&gt;0,), AVERAGEIF($F144:Refsz_Verbräuche[[#This Row],[2045]],"&lt;&gt;"""), ""),IF(Startseite!$D$68=(Refsz_Verbräuche[[#Headers],[2050]]-1),Refsz_Verbräuche[[#This Row],[2045]],IF(Startseite!$D$68&lt;Refsz_Verbräuche[[#Headers],[2050]],Refsz_Verbräuche[[#This Row],[2045]],"")))</f>
        <v/>
      </c>
      <c r="AA144" s="14"/>
    </row>
    <row r="145" spans="2:27">
      <c r="B145" s="14">
        <v>128</v>
      </c>
      <c r="C145" s="14" t="s">
        <v>517</v>
      </c>
      <c r="D145" s="9" t="s">
        <v>64</v>
      </c>
      <c r="E145" t="s">
        <v>44</v>
      </c>
      <c r="F145" s="110"/>
      <c r="G145" s="110"/>
      <c r="H145" s="110"/>
      <c r="I145" s="110"/>
      <c r="J145" s="110"/>
      <c r="K145" s="110"/>
      <c r="L145" s="110"/>
      <c r="M145" s="110" t="str">
        <f>IF(Refsz_Verbräuche[[#Headers],[2022]]=Startseite!$D$68,IF(OR(SUMIF($F145:Refsz_Verbräuche[[#This Row],[2021]],"&gt;0")&gt;0,), AVERAGEIF($F145:Refsz_Verbräuche[[#This Row],[2021]],"&lt;&gt;"""), ""),IF(Startseite!$D$68=(Refsz_Verbräuche[[#Headers],[2022]]-1),Refsz_Verbräuche[[#This Row],[2021]],IF(Startseite!$D$68&lt;Refsz_Verbräuche[[#Headers],[2022]],Refsz_Verbräuche[[#This Row],[2021]],"")))</f>
        <v/>
      </c>
      <c r="N145" s="110" t="str">
        <f>IF(Refsz_Verbräuche[[#Headers],[2023]]=Startseite!$D$68,IF(OR(SUMIF($F145:Refsz_Verbräuche[[#This Row],[2022]],"&gt;0")&gt;0,), AVERAGEIF($F145:Refsz_Verbräuche[[#This Row],[2022]],"&lt;&gt;"""), ""),IF(Startseite!$D$68=(Refsz_Verbräuche[[#Headers],[2023]]-1),Refsz_Verbräuche[[#This Row],[2022]],IF(Startseite!$D$68&lt;Refsz_Verbräuche[[#Headers],[2023]],Refsz_Verbräuche[[#This Row],[2022]],"")))</f>
        <v/>
      </c>
      <c r="O145" s="110" t="str">
        <f>IF(Refsz_Verbräuche[[#Headers],[2024]]=Startseite!$D$68,IF(OR(SUMIF($F145:Refsz_Verbräuche[[#This Row],[2023]],"&gt;0")&gt;0,), AVERAGEIF($F145:Refsz_Verbräuche[[#This Row],[2023]],"&lt;&gt;"""), ""),IF(Startseite!$D$68=(Refsz_Verbräuche[[#Headers],[2024]]-1),Refsz_Verbräuche[[#This Row],[2023]],IF(Startseite!$D$68&lt;Refsz_Verbräuche[[#Headers],[2024]],Refsz_Verbräuche[[#This Row],[2023]],"")))</f>
        <v/>
      </c>
      <c r="P145" s="110" t="str">
        <f>IF(Refsz_Verbräuche[[#Headers],[2025]]=Startseite!$D$68,IF(OR(SUMIF($F145:Refsz_Verbräuche[[#This Row],[2024]],"&gt;0")&gt;0,), AVERAGEIF($F145:Refsz_Verbräuche[[#This Row],[2024]],"&lt;&gt;"""), ""),IF(Startseite!$D$68=(Refsz_Verbräuche[[#Headers],[2025]]-1),Refsz_Verbräuche[[#This Row],[2024]],IF(Startseite!$D$68&lt;Refsz_Verbräuche[[#Headers],[2025]],Refsz_Verbräuche[[#This Row],[2024]],"")))</f>
        <v/>
      </c>
      <c r="Q145" s="110" t="str">
        <f>IF(Refsz_Verbräuche[[#Headers],[2026]]=Startseite!$D$68,IF(OR(SUMIF($F145:Refsz_Verbräuche[[#This Row],[2025]],"&gt;0")&gt;0,), AVERAGEIF($F145:Refsz_Verbräuche[[#This Row],[2025]],"&lt;&gt;"""), ""),IF(Startseite!$D$68=(Refsz_Verbräuche[[#Headers],[2026]]-1),Refsz_Verbräuche[[#This Row],[2025]],IF(Startseite!$D$68&lt;Refsz_Verbräuche[[#Headers],[2026]],Refsz_Verbräuche[[#This Row],[2025]],"")))</f>
        <v/>
      </c>
      <c r="R145" s="110" t="str">
        <f>IF(Refsz_Verbräuche[[#Headers],[2027]]=Startseite!$D$68,IF(OR(SUMIF($F145:Refsz_Verbräuche[[#This Row],[2026]],"&gt;0")&gt;0,), AVERAGEIF($F145:Refsz_Verbräuche[[#This Row],[2026]],"&lt;&gt;"""), ""),IF(Startseite!$D$68=(Refsz_Verbräuche[[#Headers],[2027]]-1),Refsz_Verbräuche[[#This Row],[2026]],IF(Startseite!$D$68&lt;Refsz_Verbräuche[[#Headers],[2027]],Refsz_Verbräuche[[#This Row],[2026]],"")))</f>
        <v/>
      </c>
      <c r="S145" s="110" t="str">
        <f>IF(Refsz_Verbräuche[[#Headers],[2028]]=Startseite!$D$68,IF(OR(SUMIF($F145:Refsz_Verbräuche[[#This Row],[2027]],"&gt;0")&gt;0,), AVERAGEIF($F145:Refsz_Verbräuche[[#This Row],[2027]],"&lt;&gt;"""), ""),IF(Startseite!$D$68=(Refsz_Verbräuche[[#Headers],[2028]]-1),Refsz_Verbräuche[[#This Row],[2027]],IF(Startseite!$D$68&lt;Refsz_Verbräuche[[#Headers],[2028]],Refsz_Verbräuche[[#This Row],[2027]],"")))</f>
        <v/>
      </c>
      <c r="T145" s="110" t="str">
        <f>IF(Refsz_Verbräuche[[#Headers],[2029]]=Startseite!$D$68,IF(OR(SUMIF($F145:Refsz_Verbräuche[[#This Row],[2028]],"&gt;0")&gt;0,), AVERAGEIF($F145:Refsz_Verbräuche[[#This Row],[2028]],"&lt;&gt;"""), ""),IF(Startseite!$D$68=(Refsz_Verbräuche[[#Headers],[2029]]-1),Refsz_Verbräuche[[#This Row],[2028]],IF(Startseite!$D$68&lt;Refsz_Verbräuche[[#Headers],[2029]],Refsz_Verbräuche[[#This Row],[2028]],"")))</f>
        <v/>
      </c>
      <c r="U145" s="110" t="str">
        <f>IF(Refsz_Verbräuche[[#Headers],[2030]]=Startseite!$D$68,IF(OR(SUMIF($F145:Refsz_Verbräuche[[#This Row],[2029]],"&gt;0")&gt;0,), AVERAGEIF($F145:Refsz_Verbräuche[[#This Row],[2029]],"&lt;&gt;"""), ""),IF(Startseite!$D$68=(Refsz_Verbräuche[[#Headers],[2030]]-1),Refsz_Verbräuche[[#This Row],[2029]],IF(Startseite!$D$68&lt;Refsz_Verbräuche[[#Headers],[2030]],Refsz_Verbräuche[[#This Row],[2029]],"")))</f>
        <v/>
      </c>
      <c r="V145" s="110" t="str">
        <f>IF(Refsz_Verbräuche[[#Headers],[2035]]=Startseite!$D$68,IF(OR(SUMIF($F145:Refsz_Verbräuche[[#This Row],[2030]],"&gt;0")&gt;0,), AVERAGEIF($F145:Refsz_Verbräuche[[#This Row],[2030]],"&lt;&gt;"""), ""),IF(Startseite!$D$68=(Refsz_Verbräuche[[#Headers],[2035]]-1),Refsz_Verbräuche[[#This Row],[2030]],IF(Startseite!$D$68&lt;Refsz_Verbräuche[[#Headers],[2035]],Refsz_Verbräuche[[#This Row],[2030]],"")))</f>
        <v/>
      </c>
      <c r="W145" s="110" t="str">
        <f>IF(Refsz_Verbräuche[[#Headers],[2040]]=Startseite!$D$68,IF(OR(SUMIF($F145:Refsz_Verbräuche[[#This Row],[2035]],"&gt;0")&gt;0,), AVERAGEIF($F145:Refsz_Verbräuche[[#This Row],[2035]],"&lt;&gt;"""), ""),IF(Startseite!$D$68=(Refsz_Verbräuche[[#Headers],[2040]]-1),Refsz_Verbräuche[[#This Row],[2035]],IF(Startseite!$D$68&lt;Refsz_Verbräuche[[#Headers],[2040]],Refsz_Verbräuche[[#This Row],[2035]],"")))</f>
        <v/>
      </c>
      <c r="X145" s="110" t="str">
        <f>IF(Refsz_Verbräuche[[#Headers],[2045]]=Startseite!$D$68,IF(OR(SUMIF($F145:Refsz_Verbräuche[[#This Row],[2040]],"&gt;0")&gt;0,), AVERAGEIF($F145:Refsz_Verbräuche[[#This Row],[2040]],"&lt;&gt;"""), ""),IF(Startseite!$D$68=(Refsz_Verbräuche[[#Headers],[2045]]-1),Refsz_Verbräuche[[#This Row],[2040]],IF(Startseite!$D$68&lt;Refsz_Verbräuche[[#Headers],[2045]],Refsz_Verbräuche[[#This Row],[2040]],"")))</f>
        <v/>
      </c>
      <c r="Y145" s="110" t="str">
        <f>IF(Refsz_Verbräuche[[#Headers],[2050]]=Startseite!$D$68,IF(OR(SUMIF($F145:Refsz_Verbräuche[[#This Row],[2045]],"&gt;0")&gt;0,), AVERAGEIF($F145:Refsz_Verbräuche[[#This Row],[2045]],"&lt;&gt;"""), ""),IF(Startseite!$D$68=(Refsz_Verbräuche[[#Headers],[2050]]-1),Refsz_Verbräuche[[#This Row],[2045]],IF(Startseite!$D$68&lt;Refsz_Verbräuche[[#Headers],[2050]],Refsz_Verbräuche[[#This Row],[2045]],"")))</f>
        <v/>
      </c>
      <c r="AA145" s="14"/>
    </row>
    <row r="146" spans="2:27">
      <c r="B146" s="14">
        <v>129</v>
      </c>
      <c r="C146" s="14" t="s">
        <v>517</v>
      </c>
      <c r="D146" s="9" t="s">
        <v>92</v>
      </c>
      <c r="E146" t="s">
        <v>44</v>
      </c>
      <c r="F146" s="110"/>
      <c r="G146" s="110"/>
      <c r="H146" s="110"/>
      <c r="I146" s="110"/>
      <c r="J146" s="110"/>
      <c r="K146" s="110"/>
      <c r="L146" s="110"/>
      <c r="M146" s="110" t="str">
        <f>IF(Refsz_Verbräuche[[#Headers],[2022]]=Startseite!$D$68,IF(OR(SUMIF($F146:Refsz_Verbräuche[[#This Row],[2021]],"&gt;0")&gt;0,), AVERAGEIF($F146:Refsz_Verbräuche[[#This Row],[2021]],"&lt;&gt;"""), ""),IF(Startseite!$D$68=(Refsz_Verbräuche[[#Headers],[2022]]-1),Refsz_Verbräuche[[#This Row],[2021]],IF(Startseite!$D$68&lt;Refsz_Verbräuche[[#Headers],[2022]],Refsz_Verbräuche[[#This Row],[2021]],"")))</f>
        <v/>
      </c>
      <c r="N146" s="110" t="str">
        <f>IF(Refsz_Verbräuche[[#Headers],[2023]]=Startseite!$D$68,IF(OR(SUMIF($F146:Refsz_Verbräuche[[#This Row],[2022]],"&gt;0")&gt;0,), AVERAGEIF($F146:Refsz_Verbräuche[[#This Row],[2022]],"&lt;&gt;"""), ""),IF(Startseite!$D$68=(Refsz_Verbräuche[[#Headers],[2023]]-1),Refsz_Verbräuche[[#This Row],[2022]],IF(Startseite!$D$68&lt;Refsz_Verbräuche[[#Headers],[2023]],Refsz_Verbräuche[[#This Row],[2022]],"")))</f>
        <v/>
      </c>
      <c r="O146" s="110" t="str">
        <f>IF(Refsz_Verbräuche[[#Headers],[2024]]=Startseite!$D$68,IF(OR(SUMIF($F146:Refsz_Verbräuche[[#This Row],[2023]],"&gt;0")&gt;0,), AVERAGEIF($F146:Refsz_Verbräuche[[#This Row],[2023]],"&lt;&gt;"""), ""),IF(Startseite!$D$68=(Refsz_Verbräuche[[#Headers],[2024]]-1),Refsz_Verbräuche[[#This Row],[2023]],IF(Startseite!$D$68&lt;Refsz_Verbräuche[[#Headers],[2024]],Refsz_Verbräuche[[#This Row],[2023]],"")))</f>
        <v/>
      </c>
      <c r="P146" s="110" t="str">
        <f>IF(Refsz_Verbräuche[[#Headers],[2025]]=Startseite!$D$68,IF(OR(SUMIF($F146:Refsz_Verbräuche[[#This Row],[2024]],"&gt;0")&gt;0,), AVERAGEIF($F146:Refsz_Verbräuche[[#This Row],[2024]],"&lt;&gt;"""), ""),IF(Startseite!$D$68=(Refsz_Verbräuche[[#Headers],[2025]]-1),Refsz_Verbräuche[[#This Row],[2024]],IF(Startseite!$D$68&lt;Refsz_Verbräuche[[#Headers],[2025]],Refsz_Verbräuche[[#This Row],[2024]],"")))</f>
        <v/>
      </c>
      <c r="Q146" s="110" t="str">
        <f>IF(Refsz_Verbräuche[[#Headers],[2026]]=Startseite!$D$68,IF(OR(SUMIF($F146:Refsz_Verbräuche[[#This Row],[2025]],"&gt;0")&gt;0,), AVERAGEIF($F146:Refsz_Verbräuche[[#This Row],[2025]],"&lt;&gt;"""), ""),IF(Startseite!$D$68=(Refsz_Verbräuche[[#Headers],[2026]]-1),Refsz_Verbräuche[[#This Row],[2025]],IF(Startseite!$D$68&lt;Refsz_Verbräuche[[#Headers],[2026]],Refsz_Verbräuche[[#This Row],[2025]],"")))</f>
        <v/>
      </c>
      <c r="R146" s="110" t="str">
        <f>IF(Refsz_Verbräuche[[#Headers],[2027]]=Startseite!$D$68,IF(OR(SUMIF($F146:Refsz_Verbräuche[[#This Row],[2026]],"&gt;0")&gt;0,), AVERAGEIF($F146:Refsz_Verbräuche[[#This Row],[2026]],"&lt;&gt;"""), ""),IF(Startseite!$D$68=(Refsz_Verbräuche[[#Headers],[2027]]-1),Refsz_Verbräuche[[#This Row],[2026]],IF(Startseite!$D$68&lt;Refsz_Verbräuche[[#Headers],[2027]],Refsz_Verbräuche[[#This Row],[2026]],"")))</f>
        <v/>
      </c>
      <c r="S146" s="110" t="str">
        <f>IF(Refsz_Verbräuche[[#Headers],[2028]]=Startseite!$D$68,IF(OR(SUMIF($F146:Refsz_Verbräuche[[#This Row],[2027]],"&gt;0")&gt;0,), AVERAGEIF($F146:Refsz_Verbräuche[[#This Row],[2027]],"&lt;&gt;"""), ""),IF(Startseite!$D$68=(Refsz_Verbräuche[[#Headers],[2028]]-1),Refsz_Verbräuche[[#This Row],[2027]],IF(Startseite!$D$68&lt;Refsz_Verbräuche[[#Headers],[2028]],Refsz_Verbräuche[[#This Row],[2027]],"")))</f>
        <v/>
      </c>
      <c r="T146" s="110" t="str">
        <f>IF(Refsz_Verbräuche[[#Headers],[2029]]=Startseite!$D$68,IF(OR(SUMIF($F146:Refsz_Verbräuche[[#This Row],[2028]],"&gt;0")&gt;0,), AVERAGEIF($F146:Refsz_Verbräuche[[#This Row],[2028]],"&lt;&gt;"""), ""),IF(Startseite!$D$68=(Refsz_Verbräuche[[#Headers],[2029]]-1),Refsz_Verbräuche[[#This Row],[2028]],IF(Startseite!$D$68&lt;Refsz_Verbräuche[[#Headers],[2029]],Refsz_Verbräuche[[#This Row],[2028]],"")))</f>
        <v/>
      </c>
      <c r="U146" s="110" t="str">
        <f>IF(Refsz_Verbräuche[[#Headers],[2030]]=Startseite!$D$68,IF(OR(SUMIF($F146:Refsz_Verbräuche[[#This Row],[2029]],"&gt;0")&gt;0,), AVERAGEIF($F146:Refsz_Verbräuche[[#This Row],[2029]],"&lt;&gt;"""), ""),IF(Startseite!$D$68=(Refsz_Verbräuche[[#Headers],[2030]]-1),Refsz_Verbräuche[[#This Row],[2029]],IF(Startseite!$D$68&lt;Refsz_Verbräuche[[#Headers],[2030]],Refsz_Verbräuche[[#This Row],[2029]],"")))</f>
        <v/>
      </c>
      <c r="V146" s="110" t="str">
        <f>IF(Refsz_Verbräuche[[#Headers],[2035]]=Startseite!$D$68,IF(OR(SUMIF($F146:Refsz_Verbräuche[[#This Row],[2030]],"&gt;0")&gt;0,), AVERAGEIF($F146:Refsz_Verbräuche[[#This Row],[2030]],"&lt;&gt;"""), ""),IF(Startseite!$D$68=(Refsz_Verbräuche[[#Headers],[2035]]-1),Refsz_Verbräuche[[#This Row],[2030]],IF(Startseite!$D$68&lt;Refsz_Verbräuche[[#Headers],[2035]],Refsz_Verbräuche[[#This Row],[2030]],"")))</f>
        <v/>
      </c>
      <c r="W146" s="110" t="str">
        <f>IF(Refsz_Verbräuche[[#Headers],[2040]]=Startseite!$D$68,IF(OR(SUMIF($F146:Refsz_Verbräuche[[#This Row],[2035]],"&gt;0")&gt;0,), AVERAGEIF($F146:Refsz_Verbräuche[[#This Row],[2035]],"&lt;&gt;"""), ""),IF(Startseite!$D$68=(Refsz_Verbräuche[[#Headers],[2040]]-1),Refsz_Verbräuche[[#This Row],[2035]],IF(Startseite!$D$68&lt;Refsz_Verbräuche[[#Headers],[2040]],Refsz_Verbräuche[[#This Row],[2035]],"")))</f>
        <v/>
      </c>
      <c r="X146" s="110" t="str">
        <f>IF(Refsz_Verbräuche[[#Headers],[2045]]=Startseite!$D$68,IF(OR(SUMIF($F146:Refsz_Verbräuche[[#This Row],[2040]],"&gt;0")&gt;0,), AVERAGEIF($F146:Refsz_Verbräuche[[#This Row],[2040]],"&lt;&gt;"""), ""),IF(Startseite!$D$68=(Refsz_Verbräuche[[#Headers],[2045]]-1),Refsz_Verbräuche[[#This Row],[2040]],IF(Startseite!$D$68&lt;Refsz_Verbräuche[[#Headers],[2045]],Refsz_Verbräuche[[#This Row],[2040]],"")))</f>
        <v/>
      </c>
      <c r="Y146" s="110" t="str">
        <f>IF(Refsz_Verbräuche[[#Headers],[2050]]=Startseite!$D$68,IF(OR(SUMIF($F146:Refsz_Verbräuche[[#This Row],[2045]],"&gt;0")&gt;0,), AVERAGEIF($F146:Refsz_Verbräuche[[#This Row],[2045]],"&lt;&gt;"""), ""),IF(Startseite!$D$68=(Refsz_Verbräuche[[#Headers],[2050]]-1),Refsz_Verbräuche[[#This Row],[2045]],IF(Startseite!$D$68&lt;Refsz_Verbräuche[[#Headers],[2050]],Refsz_Verbräuche[[#This Row],[2045]],"")))</f>
        <v/>
      </c>
      <c r="AA146" s="14"/>
    </row>
    <row r="147" spans="2:27">
      <c r="B147" s="14">
        <v>130</v>
      </c>
      <c r="C147" s="14" t="s">
        <v>517</v>
      </c>
      <c r="D147" s="9" t="s">
        <v>93</v>
      </c>
      <c r="E147" t="s">
        <v>44</v>
      </c>
      <c r="F147" s="110"/>
      <c r="G147" s="110"/>
      <c r="H147" s="110"/>
      <c r="I147" s="110"/>
      <c r="J147" s="110"/>
      <c r="K147" s="110"/>
      <c r="L147" s="110"/>
      <c r="M147" s="110" t="str">
        <f>IF(Refsz_Verbräuche[[#Headers],[2022]]=Startseite!$D$68,IF(OR(SUMIF($F147:Refsz_Verbräuche[[#This Row],[2021]],"&gt;0")&gt;0,), AVERAGEIF($F147:Refsz_Verbräuche[[#This Row],[2021]],"&lt;&gt;"""), ""),IF(Startseite!$D$68=(Refsz_Verbräuche[[#Headers],[2022]]-1),Refsz_Verbräuche[[#This Row],[2021]],IF(Startseite!$D$68&lt;Refsz_Verbräuche[[#Headers],[2022]],Refsz_Verbräuche[[#This Row],[2021]],"")))</f>
        <v/>
      </c>
      <c r="N147" s="110" t="str">
        <f>IF(Refsz_Verbräuche[[#Headers],[2023]]=Startseite!$D$68,IF(OR(SUMIF($F147:Refsz_Verbräuche[[#This Row],[2022]],"&gt;0")&gt;0,), AVERAGEIF($F147:Refsz_Verbräuche[[#This Row],[2022]],"&lt;&gt;"""), ""),IF(Startseite!$D$68=(Refsz_Verbräuche[[#Headers],[2023]]-1),Refsz_Verbräuche[[#This Row],[2022]],IF(Startseite!$D$68&lt;Refsz_Verbräuche[[#Headers],[2023]],Refsz_Verbräuche[[#This Row],[2022]],"")))</f>
        <v/>
      </c>
      <c r="O147" s="110" t="str">
        <f>IF(Refsz_Verbräuche[[#Headers],[2024]]=Startseite!$D$68,IF(OR(SUMIF($F147:Refsz_Verbräuche[[#This Row],[2023]],"&gt;0")&gt;0,), AVERAGEIF($F147:Refsz_Verbräuche[[#This Row],[2023]],"&lt;&gt;"""), ""),IF(Startseite!$D$68=(Refsz_Verbräuche[[#Headers],[2024]]-1),Refsz_Verbräuche[[#This Row],[2023]],IF(Startseite!$D$68&lt;Refsz_Verbräuche[[#Headers],[2024]],Refsz_Verbräuche[[#This Row],[2023]],"")))</f>
        <v/>
      </c>
      <c r="P147" s="110" t="str">
        <f>IF(Refsz_Verbräuche[[#Headers],[2025]]=Startseite!$D$68,IF(OR(SUMIF($F147:Refsz_Verbräuche[[#This Row],[2024]],"&gt;0")&gt;0,), AVERAGEIF($F147:Refsz_Verbräuche[[#This Row],[2024]],"&lt;&gt;"""), ""),IF(Startseite!$D$68=(Refsz_Verbräuche[[#Headers],[2025]]-1),Refsz_Verbräuche[[#This Row],[2024]],IF(Startseite!$D$68&lt;Refsz_Verbräuche[[#Headers],[2025]],Refsz_Verbräuche[[#This Row],[2024]],"")))</f>
        <v/>
      </c>
      <c r="Q147" s="110" t="str">
        <f>IF(Refsz_Verbräuche[[#Headers],[2026]]=Startseite!$D$68,IF(OR(SUMIF($F147:Refsz_Verbräuche[[#This Row],[2025]],"&gt;0")&gt;0,), AVERAGEIF($F147:Refsz_Verbräuche[[#This Row],[2025]],"&lt;&gt;"""), ""),IF(Startseite!$D$68=(Refsz_Verbräuche[[#Headers],[2026]]-1),Refsz_Verbräuche[[#This Row],[2025]],IF(Startseite!$D$68&lt;Refsz_Verbräuche[[#Headers],[2026]],Refsz_Verbräuche[[#This Row],[2025]],"")))</f>
        <v/>
      </c>
      <c r="R147" s="110" t="str">
        <f>IF(Refsz_Verbräuche[[#Headers],[2027]]=Startseite!$D$68,IF(OR(SUMIF($F147:Refsz_Verbräuche[[#This Row],[2026]],"&gt;0")&gt;0,), AVERAGEIF($F147:Refsz_Verbräuche[[#This Row],[2026]],"&lt;&gt;"""), ""),IF(Startseite!$D$68=(Refsz_Verbräuche[[#Headers],[2027]]-1),Refsz_Verbräuche[[#This Row],[2026]],IF(Startseite!$D$68&lt;Refsz_Verbräuche[[#Headers],[2027]],Refsz_Verbräuche[[#This Row],[2026]],"")))</f>
        <v/>
      </c>
      <c r="S147" s="110" t="str">
        <f>IF(Refsz_Verbräuche[[#Headers],[2028]]=Startseite!$D$68,IF(OR(SUMIF($F147:Refsz_Verbräuche[[#This Row],[2027]],"&gt;0")&gt;0,), AVERAGEIF($F147:Refsz_Verbräuche[[#This Row],[2027]],"&lt;&gt;"""), ""),IF(Startseite!$D$68=(Refsz_Verbräuche[[#Headers],[2028]]-1),Refsz_Verbräuche[[#This Row],[2027]],IF(Startseite!$D$68&lt;Refsz_Verbräuche[[#Headers],[2028]],Refsz_Verbräuche[[#This Row],[2027]],"")))</f>
        <v/>
      </c>
      <c r="T147" s="110" t="str">
        <f>IF(Refsz_Verbräuche[[#Headers],[2029]]=Startseite!$D$68,IF(OR(SUMIF($F147:Refsz_Verbräuche[[#This Row],[2028]],"&gt;0")&gt;0,), AVERAGEIF($F147:Refsz_Verbräuche[[#This Row],[2028]],"&lt;&gt;"""), ""),IF(Startseite!$D$68=(Refsz_Verbräuche[[#Headers],[2029]]-1),Refsz_Verbräuche[[#This Row],[2028]],IF(Startseite!$D$68&lt;Refsz_Verbräuche[[#Headers],[2029]],Refsz_Verbräuche[[#This Row],[2028]],"")))</f>
        <v/>
      </c>
      <c r="U147" s="110" t="str">
        <f>IF(Refsz_Verbräuche[[#Headers],[2030]]=Startseite!$D$68,IF(OR(SUMIF($F147:Refsz_Verbräuche[[#This Row],[2029]],"&gt;0")&gt;0,), AVERAGEIF($F147:Refsz_Verbräuche[[#This Row],[2029]],"&lt;&gt;"""), ""),IF(Startseite!$D$68=(Refsz_Verbräuche[[#Headers],[2030]]-1),Refsz_Verbräuche[[#This Row],[2029]],IF(Startseite!$D$68&lt;Refsz_Verbräuche[[#Headers],[2030]],Refsz_Verbräuche[[#This Row],[2029]],"")))</f>
        <v/>
      </c>
      <c r="V147" s="110" t="str">
        <f>IF(Refsz_Verbräuche[[#Headers],[2035]]=Startseite!$D$68,IF(OR(SUMIF($F147:Refsz_Verbräuche[[#This Row],[2030]],"&gt;0")&gt;0,), AVERAGEIF($F147:Refsz_Verbräuche[[#This Row],[2030]],"&lt;&gt;"""), ""),IF(Startseite!$D$68=(Refsz_Verbräuche[[#Headers],[2035]]-1),Refsz_Verbräuche[[#This Row],[2030]],IF(Startseite!$D$68&lt;Refsz_Verbräuche[[#Headers],[2035]],Refsz_Verbräuche[[#This Row],[2030]],"")))</f>
        <v/>
      </c>
      <c r="W147" s="110" t="str">
        <f>IF(Refsz_Verbräuche[[#Headers],[2040]]=Startseite!$D$68,IF(OR(SUMIF($F147:Refsz_Verbräuche[[#This Row],[2035]],"&gt;0")&gt;0,), AVERAGEIF($F147:Refsz_Verbräuche[[#This Row],[2035]],"&lt;&gt;"""), ""),IF(Startseite!$D$68=(Refsz_Verbräuche[[#Headers],[2040]]-1),Refsz_Verbräuche[[#This Row],[2035]],IF(Startseite!$D$68&lt;Refsz_Verbräuche[[#Headers],[2040]],Refsz_Verbräuche[[#This Row],[2035]],"")))</f>
        <v/>
      </c>
      <c r="X147" s="110" t="str">
        <f>IF(Refsz_Verbräuche[[#Headers],[2045]]=Startseite!$D$68,IF(OR(SUMIF($F147:Refsz_Verbräuche[[#This Row],[2040]],"&gt;0")&gt;0,), AVERAGEIF($F147:Refsz_Verbräuche[[#This Row],[2040]],"&lt;&gt;"""), ""),IF(Startseite!$D$68=(Refsz_Verbräuche[[#Headers],[2045]]-1),Refsz_Verbräuche[[#This Row],[2040]],IF(Startseite!$D$68&lt;Refsz_Verbräuche[[#Headers],[2045]],Refsz_Verbräuche[[#This Row],[2040]],"")))</f>
        <v/>
      </c>
      <c r="Y147" s="110" t="str">
        <f>IF(Refsz_Verbräuche[[#Headers],[2050]]=Startseite!$D$68,IF(OR(SUMIF($F147:Refsz_Verbräuche[[#This Row],[2045]],"&gt;0")&gt;0,), AVERAGEIF($F147:Refsz_Verbräuche[[#This Row],[2045]],"&lt;&gt;"""), ""),IF(Startseite!$D$68=(Refsz_Verbräuche[[#Headers],[2050]]-1),Refsz_Verbräuche[[#This Row],[2045]],IF(Startseite!$D$68&lt;Refsz_Verbräuche[[#Headers],[2050]],Refsz_Verbräuche[[#This Row],[2045]],"")))</f>
        <v/>
      </c>
      <c r="AA147" s="14"/>
    </row>
    <row r="148" spans="2:27">
      <c r="B148" s="14">
        <v>131</v>
      </c>
      <c r="C148" s="14" t="s">
        <v>517</v>
      </c>
      <c r="D148" s="9" t="s">
        <v>96</v>
      </c>
      <c r="E148" t="s">
        <v>44</v>
      </c>
      <c r="F148" s="110"/>
      <c r="G148" s="110"/>
      <c r="H148" s="110"/>
      <c r="I148" s="110"/>
      <c r="J148" s="110"/>
      <c r="K148" s="110"/>
      <c r="L148" s="110"/>
      <c r="M148" s="110" t="str">
        <f>IF(Refsz_Verbräuche[[#Headers],[2022]]=Startseite!$D$68,IF(OR(SUMIF($F148:Refsz_Verbräuche[[#This Row],[2021]],"&gt;0")&gt;0,), AVERAGEIF($F148:Refsz_Verbräuche[[#This Row],[2021]],"&lt;&gt;"""), ""),IF(Startseite!$D$68=(Refsz_Verbräuche[[#Headers],[2022]]-1),Refsz_Verbräuche[[#This Row],[2021]],IF(Startseite!$D$68&lt;Refsz_Verbräuche[[#Headers],[2022]],Refsz_Verbräuche[[#This Row],[2021]],"")))</f>
        <v/>
      </c>
      <c r="N148" s="110" t="str">
        <f>IF(Refsz_Verbräuche[[#Headers],[2023]]=Startseite!$D$68,IF(OR(SUMIF($F148:Refsz_Verbräuche[[#This Row],[2022]],"&gt;0")&gt;0,), AVERAGEIF($F148:Refsz_Verbräuche[[#This Row],[2022]],"&lt;&gt;"""), ""),IF(Startseite!$D$68=(Refsz_Verbräuche[[#Headers],[2023]]-1),Refsz_Verbräuche[[#This Row],[2022]],IF(Startseite!$D$68&lt;Refsz_Verbräuche[[#Headers],[2023]],Refsz_Verbräuche[[#This Row],[2022]],"")))</f>
        <v/>
      </c>
      <c r="O148" s="110" t="str">
        <f>IF(Refsz_Verbräuche[[#Headers],[2024]]=Startseite!$D$68,IF(OR(SUMIF($F148:Refsz_Verbräuche[[#This Row],[2023]],"&gt;0")&gt;0,), AVERAGEIF($F148:Refsz_Verbräuche[[#This Row],[2023]],"&lt;&gt;"""), ""),IF(Startseite!$D$68=(Refsz_Verbräuche[[#Headers],[2024]]-1),Refsz_Verbräuche[[#This Row],[2023]],IF(Startseite!$D$68&lt;Refsz_Verbräuche[[#Headers],[2024]],Refsz_Verbräuche[[#This Row],[2023]],"")))</f>
        <v/>
      </c>
      <c r="P148" s="110" t="str">
        <f>IF(Refsz_Verbräuche[[#Headers],[2025]]=Startseite!$D$68,IF(OR(SUMIF($F148:Refsz_Verbräuche[[#This Row],[2024]],"&gt;0")&gt;0,), AVERAGEIF($F148:Refsz_Verbräuche[[#This Row],[2024]],"&lt;&gt;"""), ""),IF(Startseite!$D$68=(Refsz_Verbräuche[[#Headers],[2025]]-1),Refsz_Verbräuche[[#This Row],[2024]],IF(Startseite!$D$68&lt;Refsz_Verbräuche[[#Headers],[2025]],Refsz_Verbräuche[[#This Row],[2024]],"")))</f>
        <v/>
      </c>
      <c r="Q148" s="110" t="str">
        <f>IF(Refsz_Verbräuche[[#Headers],[2026]]=Startseite!$D$68,IF(OR(SUMIF($F148:Refsz_Verbräuche[[#This Row],[2025]],"&gt;0")&gt;0,), AVERAGEIF($F148:Refsz_Verbräuche[[#This Row],[2025]],"&lt;&gt;"""), ""),IF(Startseite!$D$68=(Refsz_Verbräuche[[#Headers],[2026]]-1),Refsz_Verbräuche[[#This Row],[2025]],IF(Startseite!$D$68&lt;Refsz_Verbräuche[[#Headers],[2026]],Refsz_Verbräuche[[#This Row],[2025]],"")))</f>
        <v/>
      </c>
      <c r="R148" s="110" t="str">
        <f>IF(Refsz_Verbräuche[[#Headers],[2027]]=Startseite!$D$68,IF(OR(SUMIF($F148:Refsz_Verbräuche[[#This Row],[2026]],"&gt;0")&gt;0,), AVERAGEIF($F148:Refsz_Verbräuche[[#This Row],[2026]],"&lt;&gt;"""), ""),IF(Startseite!$D$68=(Refsz_Verbräuche[[#Headers],[2027]]-1),Refsz_Verbräuche[[#This Row],[2026]],IF(Startseite!$D$68&lt;Refsz_Verbräuche[[#Headers],[2027]],Refsz_Verbräuche[[#This Row],[2026]],"")))</f>
        <v/>
      </c>
      <c r="S148" s="110" t="str">
        <f>IF(Refsz_Verbräuche[[#Headers],[2028]]=Startseite!$D$68,IF(OR(SUMIF($F148:Refsz_Verbräuche[[#This Row],[2027]],"&gt;0")&gt;0,), AVERAGEIF($F148:Refsz_Verbräuche[[#This Row],[2027]],"&lt;&gt;"""), ""),IF(Startseite!$D$68=(Refsz_Verbräuche[[#Headers],[2028]]-1),Refsz_Verbräuche[[#This Row],[2027]],IF(Startseite!$D$68&lt;Refsz_Verbräuche[[#Headers],[2028]],Refsz_Verbräuche[[#This Row],[2027]],"")))</f>
        <v/>
      </c>
      <c r="T148" s="110" t="str">
        <f>IF(Refsz_Verbräuche[[#Headers],[2029]]=Startseite!$D$68,IF(OR(SUMIF($F148:Refsz_Verbräuche[[#This Row],[2028]],"&gt;0")&gt;0,), AVERAGEIF($F148:Refsz_Verbräuche[[#This Row],[2028]],"&lt;&gt;"""), ""),IF(Startseite!$D$68=(Refsz_Verbräuche[[#Headers],[2029]]-1),Refsz_Verbräuche[[#This Row],[2028]],IF(Startseite!$D$68&lt;Refsz_Verbräuche[[#Headers],[2029]],Refsz_Verbräuche[[#This Row],[2028]],"")))</f>
        <v/>
      </c>
      <c r="U148" s="110" t="str">
        <f>IF(Refsz_Verbräuche[[#Headers],[2030]]=Startseite!$D$68,IF(OR(SUMIF($F148:Refsz_Verbräuche[[#This Row],[2029]],"&gt;0")&gt;0,), AVERAGEIF($F148:Refsz_Verbräuche[[#This Row],[2029]],"&lt;&gt;"""), ""),IF(Startseite!$D$68=(Refsz_Verbräuche[[#Headers],[2030]]-1),Refsz_Verbräuche[[#This Row],[2029]],IF(Startseite!$D$68&lt;Refsz_Verbräuche[[#Headers],[2030]],Refsz_Verbräuche[[#This Row],[2029]],"")))</f>
        <v/>
      </c>
      <c r="V148" s="110" t="str">
        <f>IF(Refsz_Verbräuche[[#Headers],[2035]]=Startseite!$D$68,IF(OR(SUMIF($F148:Refsz_Verbräuche[[#This Row],[2030]],"&gt;0")&gt;0,), AVERAGEIF($F148:Refsz_Verbräuche[[#This Row],[2030]],"&lt;&gt;"""), ""),IF(Startseite!$D$68=(Refsz_Verbräuche[[#Headers],[2035]]-1),Refsz_Verbräuche[[#This Row],[2030]],IF(Startseite!$D$68&lt;Refsz_Verbräuche[[#Headers],[2035]],Refsz_Verbräuche[[#This Row],[2030]],"")))</f>
        <v/>
      </c>
      <c r="W148" s="110" t="str">
        <f>IF(Refsz_Verbräuche[[#Headers],[2040]]=Startseite!$D$68,IF(OR(SUMIF($F148:Refsz_Verbräuche[[#This Row],[2035]],"&gt;0")&gt;0,), AVERAGEIF($F148:Refsz_Verbräuche[[#This Row],[2035]],"&lt;&gt;"""), ""),IF(Startseite!$D$68=(Refsz_Verbräuche[[#Headers],[2040]]-1),Refsz_Verbräuche[[#This Row],[2035]],IF(Startseite!$D$68&lt;Refsz_Verbräuche[[#Headers],[2040]],Refsz_Verbräuche[[#This Row],[2035]],"")))</f>
        <v/>
      </c>
      <c r="X148" s="110" t="str">
        <f>IF(Refsz_Verbräuche[[#Headers],[2045]]=Startseite!$D$68,IF(OR(SUMIF($F148:Refsz_Verbräuche[[#This Row],[2040]],"&gt;0")&gt;0,), AVERAGEIF($F148:Refsz_Verbräuche[[#This Row],[2040]],"&lt;&gt;"""), ""),IF(Startseite!$D$68=(Refsz_Verbräuche[[#Headers],[2045]]-1),Refsz_Verbräuche[[#This Row],[2040]],IF(Startseite!$D$68&lt;Refsz_Verbräuche[[#Headers],[2045]],Refsz_Verbräuche[[#This Row],[2040]],"")))</f>
        <v/>
      </c>
      <c r="Y148" s="110" t="str">
        <f>IF(Refsz_Verbräuche[[#Headers],[2050]]=Startseite!$D$68,IF(OR(SUMIF($F148:Refsz_Verbräuche[[#This Row],[2045]],"&gt;0")&gt;0,), AVERAGEIF($F148:Refsz_Verbräuche[[#This Row],[2045]],"&lt;&gt;"""), ""),IF(Startseite!$D$68=(Refsz_Verbräuche[[#Headers],[2050]]-1),Refsz_Verbräuche[[#This Row],[2045]],IF(Startseite!$D$68&lt;Refsz_Verbräuche[[#Headers],[2050]],Refsz_Verbräuche[[#This Row],[2045]],"")))</f>
        <v/>
      </c>
      <c r="AA148" s="14"/>
    </row>
    <row r="149" spans="2:27">
      <c r="B149" s="14">
        <v>132</v>
      </c>
      <c r="C149" s="14" t="s">
        <v>517</v>
      </c>
      <c r="D149" s="9" t="s">
        <v>97</v>
      </c>
      <c r="E149" t="s">
        <v>44</v>
      </c>
      <c r="F149" s="110"/>
      <c r="G149" s="110"/>
      <c r="H149" s="110"/>
      <c r="I149" s="110"/>
      <c r="J149" s="110"/>
      <c r="K149" s="110"/>
      <c r="L149" s="110"/>
      <c r="M149" s="110" t="str">
        <f>IF(Refsz_Verbräuche[[#Headers],[2022]]=Startseite!$D$68,IF(OR(SUMIF($F149:Refsz_Verbräuche[[#This Row],[2021]],"&gt;0")&gt;0,), AVERAGEIF($F149:Refsz_Verbräuche[[#This Row],[2021]],"&lt;&gt;"""), ""),IF(Startseite!$D$68=(Refsz_Verbräuche[[#Headers],[2022]]-1),Refsz_Verbräuche[[#This Row],[2021]],IF(Startseite!$D$68&lt;Refsz_Verbräuche[[#Headers],[2022]],Refsz_Verbräuche[[#This Row],[2021]],"")))</f>
        <v/>
      </c>
      <c r="N149" s="110" t="str">
        <f>IF(Refsz_Verbräuche[[#Headers],[2023]]=Startseite!$D$68,IF(OR(SUMIF($F149:Refsz_Verbräuche[[#This Row],[2022]],"&gt;0")&gt;0,), AVERAGEIF($F149:Refsz_Verbräuche[[#This Row],[2022]],"&lt;&gt;"""), ""),IF(Startseite!$D$68=(Refsz_Verbräuche[[#Headers],[2023]]-1),Refsz_Verbräuche[[#This Row],[2022]],IF(Startseite!$D$68&lt;Refsz_Verbräuche[[#Headers],[2023]],Refsz_Verbräuche[[#This Row],[2022]],"")))</f>
        <v/>
      </c>
      <c r="O149" s="110" t="str">
        <f>IF(Refsz_Verbräuche[[#Headers],[2024]]=Startseite!$D$68,IF(OR(SUMIF($F149:Refsz_Verbräuche[[#This Row],[2023]],"&gt;0")&gt;0,), AVERAGEIF($F149:Refsz_Verbräuche[[#This Row],[2023]],"&lt;&gt;"""), ""),IF(Startseite!$D$68=(Refsz_Verbräuche[[#Headers],[2024]]-1),Refsz_Verbräuche[[#This Row],[2023]],IF(Startseite!$D$68&lt;Refsz_Verbräuche[[#Headers],[2024]],Refsz_Verbräuche[[#This Row],[2023]],"")))</f>
        <v/>
      </c>
      <c r="P149" s="110" t="str">
        <f>IF(Refsz_Verbräuche[[#Headers],[2025]]=Startseite!$D$68,IF(OR(SUMIF($F149:Refsz_Verbräuche[[#This Row],[2024]],"&gt;0")&gt;0,), AVERAGEIF($F149:Refsz_Verbräuche[[#This Row],[2024]],"&lt;&gt;"""), ""),IF(Startseite!$D$68=(Refsz_Verbräuche[[#Headers],[2025]]-1),Refsz_Verbräuche[[#This Row],[2024]],IF(Startseite!$D$68&lt;Refsz_Verbräuche[[#Headers],[2025]],Refsz_Verbräuche[[#This Row],[2024]],"")))</f>
        <v/>
      </c>
      <c r="Q149" s="110" t="str">
        <f>IF(Refsz_Verbräuche[[#Headers],[2026]]=Startseite!$D$68,IF(OR(SUMIF($F149:Refsz_Verbräuche[[#This Row],[2025]],"&gt;0")&gt;0,), AVERAGEIF($F149:Refsz_Verbräuche[[#This Row],[2025]],"&lt;&gt;"""), ""),IF(Startseite!$D$68=(Refsz_Verbräuche[[#Headers],[2026]]-1),Refsz_Verbräuche[[#This Row],[2025]],IF(Startseite!$D$68&lt;Refsz_Verbräuche[[#Headers],[2026]],Refsz_Verbräuche[[#This Row],[2025]],"")))</f>
        <v/>
      </c>
      <c r="R149" s="110" t="str">
        <f>IF(Refsz_Verbräuche[[#Headers],[2027]]=Startseite!$D$68,IF(OR(SUMIF($F149:Refsz_Verbräuche[[#This Row],[2026]],"&gt;0")&gt;0,), AVERAGEIF($F149:Refsz_Verbräuche[[#This Row],[2026]],"&lt;&gt;"""), ""),IF(Startseite!$D$68=(Refsz_Verbräuche[[#Headers],[2027]]-1),Refsz_Verbräuche[[#This Row],[2026]],IF(Startseite!$D$68&lt;Refsz_Verbräuche[[#Headers],[2027]],Refsz_Verbräuche[[#This Row],[2026]],"")))</f>
        <v/>
      </c>
      <c r="S149" s="110" t="str">
        <f>IF(Refsz_Verbräuche[[#Headers],[2028]]=Startseite!$D$68,IF(OR(SUMIF($F149:Refsz_Verbräuche[[#This Row],[2027]],"&gt;0")&gt;0,), AVERAGEIF($F149:Refsz_Verbräuche[[#This Row],[2027]],"&lt;&gt;"""), ""),IF(Startseite!$D$68=(Refsz_Verbräuche[[#Headers],[2028]]-1),Refsz_Verbräuche[[#This Row],[2027]],IF(Startseite!$D$68&lt;Refsz_Verbräuche[[#Headers],[2028]],Refsz_Verbräuche[[#This Row],[2027]],"")))</f>
        <v/>
      </c>
      <c r="T149" s="110" t="str">
        <f>IF(Refsz_Verbräuche[[#Headers],[2029]]=Startseite!$D$68,IF(OR(SUMIF($F149:Refsz_Verbräuche[[#This Row],[2028]],"&gt;0")&gt;0,), AVERAGEIF($F149:Refsz_Verbräuche[[#This Row],[2028]],"&lt;&gt;"""), ""),IF(Startseite!$D$68=(Refsz_Verbräuche[[#Headers],[2029]]-1),Refsz_Verbräuche[[#This Row],[2028]],IF(Startseite!$D$68&lt;Refsz_Verbräuche[[#Headers],[2029]],Refsz_Verbräuche[[#This Row],[2028]],"")))</f>
        <v/>
      </c>
      <c r="U149" s="110" t="str">
        <f>IF(Refsz_Verbräuche[[#Headers],[2030]]=Startseite!$D$68,IF(OR(SUMIF($F149:Refsz_Verbräuche[[#This Row],[2029]],"&gt;0")&gt;0,), AVERAGEIF($F149:Refsz_Verbräuche[[#This Row],[2029]],"&lt;&gt;"""), ""),IF(Startseite!$D$68=(Refsz_Verbräuche[[#Headers],[2030]]-1),Refsz_Verbräuche[[#This Row],[2029]],IF(Startseite!$D$68&lt;Refsz_Verbräuche[[#Headers],[2030]],Refsz_Verbräuche[[#This Row],[2029]],"")))</f>
        <v/>
      </c>
      <c r="V149" s="110" t="str">
        <f>IF(Refsz_Verbräuche[[#Headers],[2035]]=Startseite!$D$68,IF(OR(SUMIF($F149:Refsz_Verbräuche[[#This Row],[2030]],"&gt;0")&gt;0,), AVERAGEIF($F149:Refsz_Verbräuche[[#This Row],[2030]],"&lt;&gt;"""), ""),IF(Startseite!$D$68=(Refsz_Verbräuche[[#Headers],[2035]]-1),Refsz_Verbräuche[[#This Row],[2030]],IF(Startseite!$D$68&lt;Refsz_Verbräuche[[#Headers],[2035]],Refsz_Verbräuche[[#This Row],[2030]],"")))</f>
        <v/>
      </c>
      <c r="W149" s="110" t="str">
        <f>IF(Refsz_Verbräuche[[#Headers],[2040]]=Startseite!$D$68,IF(OR(SUMIF($F149:Refsz_Verbräuche[[#This Row],[2035]],"&gt;0")&gt;0,), AVERAGEIF($F149:Refsz_Verbräuche[[#This Row],[2035]],"&lt;&gt;"""), ""),IF(Startseite!$D$68=(Refsz_Verbräuche[[#Headers],[2040]]-1),Refsz_Verbräuche[[#This Row],[2035]],IF(Startseite!$D$68&lt;Refsz_Verbräuche[[#Headers],[2040]],Refsz_Verbräuche[[#This Row],[2035]],"")))</f>
        <v/>
      </c>
      <c r="X149" s="110" t="str">
        <f>IF(Refsz_Verbräuche[[#Headers],[2045]]=Startseite!$D$68,IF(OR(SUMIF($F149:Refsz_Verbräuche[[#This Row],[2040]],"&gt;0")&gt;0,), AVERAGEIF($F149:Refsz_Verbräuche[[#This Row],[2040]],"&lt;&gt;"""), ""),IF(Startseite!$D$68=(Refsz_Verbräuche[[#Headers],[2045]]-1),Refsz_Verbräuche[[#This Row],[2040]],IF(Startseite!$D$68&lt;Refsz_Verbräuche[[#Headers],[2045]],Refsz_Verbräuche[[#This Row],[2040]],"")))</f>
        <v/>
      </c>
      <c r="Y149" s="110" t="str">
        <f>IF(Refsz_Verbräuche[[#Headers],[2050]]=Startseite!$D$68,IF(OR(SUMIF($F149:Refsz_Verbräuche[[#This Row],[2045]],"&gt;0")&gt;0,), AVERAGEIF($F149:Refsz_Verbräuche[[#This Row],[2045]],"&lt;&gt;"""), ""),IF(Startseite!$D$68=(Refsz_Verbräuche[[#Headers],[2050]]-1),Refsz_Verbräuche[[#This Row],[2045]],IF(Startseite!$D$68&lt;Refsz_Verbräuche[[#Headers],[2050]],Refsz_Verbräuche[[#This Row],[2045]],"")))</f>
        <v/>
      </c>
      <c r="AA149" s="14"/>
    </row>
    <row r="150" spans="2:27">
      <c r="B150" s="14">
        <v>133</v>
      </c>
      <c r="C150" s="14" t="s">
        <v>517</v>
      </c>
      <c r="D150" s="9" t="s">
        <v>71</v>
      </c>
      <c r="E150" t="s">
        <v>44</v>
      </c>
      <c r="F150" s="110"/>
      <c r="G150" s="110"/>
      <c r="H150" s="110"/>
      <c r="I150" s="110"/>
      <c r="J150" s="110"/>
      <c r="K150" s="110"/>
      <c r="L150" s="110"/>
      <c r="M150" s="110" t="str">
        <f>IF(Refsz_Verbräuche[[#Headers],[2022]]=Startseite!$D$68,IF(OR(SUMIF($F150:Refsz_Verbräuche[[#This Row],[2021]],"&gt;0")&gt;0,), AVERAGEIF($F150:Refsz_Verbräuche[[#This Row],[2021]],"&lt;&gt;"""), ""),IF(Startseite!$D$68=(Refsz_Verbräuche[[#Headers],[2022]]-1),Refsz_Verbräuche[[#This Row],[2021]],IF(Startseite!$D$68&lt;Refsz_Verbräuche[[#Headers],[2022]],Refsz_Verbräuche[[#This Row],[2021]],"")))</f>
        <v/>
      </c>
      <c r="N150" s="110" t="str">
        <f>IF(Refsz_Verbräuche[[#Headers],[2023]]=Startseite!$D$68,IF(OR(SUMIF($F150:Refsz_Verbräuche[[#This Row],[2022]],"&gt;0")&gt;0,), AVERAGEIF($F150:Refsz_Verbräuche[[#This Row],[2022]],"&lt;&gt;"""), ""),IF(Startseite!$D$68=(Refsz_Verbräuche[[#Headers],[2023]]-1),Refsz_Verbräuche[[#This Row],[2022]],IF(Startseite!$D$68&lt;Refsz_Verbräuche[[#Headers],[2023]],Refsz_Verbräuche[[#This Row],[2022]],"")))</f>
        <v/>
      </c>
      <c r="O150" s="110" t="str">
        <f>IF(Refsz_Verbräuche[[#Headers],[2024]]=Startseite!$D$68,IF(OR(SUMIF($F150:Refsz_Verbräuche[[#This Row],[2023]],"&gt;0")&gt;0,), AVERAGEIF($F150:Refsz_Verbräuche[[#This Row],[2023]],"&lt;&gt;"""), ""),IF(Startseite!$D$68=(Refsz_Verbräuche[[#Headers],[2024]]-1),Refsz_Verbräuche[[#This Row],[2023]],IF(Startseite!$D$68&lt;Refsz_Verbräuche[[#Headers],[2024]],Refsz_Verbräuche[[#This Row],[2023]],"")))</f>
        <v/>
      </c>
      <c r="P150" s="110" t="str">
        <f>IF(Refsz_Verbräuche[[#Headers],[2025]]=Startseite!$D$68,IF(OR(SUMIF($F150:Refsz_Verbräuche[[#This Row],[2024]],"&gt;0")&gt;0,), AVERAGEIF($F150:Refsz_Verbräuche[[#This Row],[2024]],"&lt;&gt;"""), ""),IF(Startseite!$D$68=(Refsz_Verbräuche[[#Headers],[2025]]-1),Refsz_Verbräuche[[#This Row],[2024]],IF(Startseite!$D$68&lt;Refsz_Verbräuche[[#Headers],[2025]],Refsz_Verbräuche[[#This Row],[2024]],"")))</f>
        <v/>
      </c>
      <c r="Q150" s="110" t="str">
        <f>IF(Refsz_Verbräuche[[#Headers],[2026]]=Startseite!$D$68,IF(OR(SUMIF($F150:Refsz_Verbräuche[[#This Row],[2025]],"&gt;0")&gt;0,), AVERAGEIF($F150:Refsz_Verbräuche[[#This Row],[2025]],"&lt;&gt;"""), ""),IF(Startseite!$D$68=(Refsz_Verbräuche[[#Headers],[2026]]-1),Refsz_Verbräuche[[#This Row],[2025]],IF(Startseite!$D$68&lt;Refsz_Verbräuche[[#Headers],[2026]],Refsz_Verbräuche[[#This Row],[2025]],"")))</f>
        <v/>
      </c>
      <c r="R150" s="110" t="str">
        <f>IF(Refsz_Verbräuche[[#Headers],[2027]]=Startseite!$D$68,IF(OR(SUMIF($F150:Refsz_Verbräuche[[#This Row],[2026]],"&gt;0")&gt;0,), AVERAGEIF($F150:Refsz_Verbräuche[[#This Row],[2026]],"&lt;&gt;"""), ""),IF(Startseite!$D$68=(Refsz_Verbräuche[[#Headers],[2027]]-1),Refsz_Verbräuche[[#This Row],[2026]],IF(Startseite!$D$68&lt;Refsz_Verbräuche[[#Headers],[2027]],Refsz_Verbräuche[[#This Row],[2026]],"")))</f>
        <v/>
      </c>
      <c r="S150" s="110" t="str">
        <f>IF(Refsz_Verbräuche[[#Headers],[2028]]=Startseite!$D$68,IF(OR(SUMIF($F150:Refsz_Verbräuche[[#This Row],[2027]],"&gt;0")&gt;0,), AVERAGEIF($F150:Refsz_Verbräuche[[#This Row],[2027]],"&lt;&gt;"""), ""),IF(Startseite!$D$68=(Refsz_Verbräuche[[#Headers],[2028]]-1),Refsz_Verbräuche[[#This Row],[2027]],IF(Startseite!$D$68&lt;Refsz_Verbräuche[[#Headers],[2028]],Refsz_Verbräuche[[#This Row],[2027]],"")))</f>
        <v/>
      </c>
      <c r="T150" s="110" t="str">
        <f>IF(Refsz_Verbräuche[[#Headers],[2029]]=Startseite!$D$68,IF(OR(SUMIF($F150:Refsz_Verbräuche[[#This Row],[2028]],"&gt;0")&gt;0,), AVERAGEIF($F150:Refsz_Verbräuche[[#This Row],[2028]],"&lt;&gt;"""), ""),IF(Startseite!$D$68=(Refsz_Verbräuche[[#Headers],[2029]]-1),Refsz_Verbräuche[[#This Row],[2028]],IF(Startseite!$D$68&lt;Refsz_Verbräuche[[#Headers],[2029]],Refsz_Verbräuche[[#This Row],[2028]],"")))</f>
        <v/>
      </c>
      <c r="U150" s="110" t="str">
        <f>IF(Refsz_Verbräuche[[#Headers],[2030]]=Startseite!$D$68,IF(OR(SUMIF($F150:Refsz_Verbräuche[[#This Row],[2029]],"&gt;0")&gt;0,), AVERAGEIF($F150:Refsz_Verbräuche[[#This Row],[2029]],"&lt;&gt;"""), ""),IF(Startseite!$D$68=(Refsz_Verbräuche[[#Headers],[2030]]-1),Refsz_Verbräuche[[#This Row],[2029]],IF(Startseite!$D$68&lt;Refsz_Verbräuche[[#Headers],[2030]],Refsz_Verbräuche[[#This Row],[2029]],"")))</f>
        <v/>
      </c>
      <c r="V150" s="110" t="str">
        <f>IF(Refsz_Verbräuche[[#Headers],[2035]]=Startseite!$D$68,IF(OR(SUMIF($F150:Refsz_Verbräuche[[#This Row],[2030]],"&gt;0")&gt;0,), AVERAGEIF($F150:Refsz_Verbräuche[[#This Row],[2030]],"&lt;&gt;"""), ""),IF(Startseite!$D$68=(Refsz_Verbräuche[[#Headers],[2035]]-1),Refsz_Verbräuche[[#This Row],[2030]],IF(Startseite!$D$68&lt;Refsz_Verbräuche[[#Headers],[2035]],Refsz_Verbräuche[[#This Row],[2030]],"")))</f>
        <v/>
      </c>
      <c r="W150" s="110" t="str">
        <f>IF(Refsz_Verbräuche[[#Headers],[2040]]=Startseite!$D$68,IF(OR(SUMIF($F150:Refsz_Verbräuche[[#This Row],[2035]],"&gt;0")&gt;0,), AVERAGEIF($F150:Refsz_Verbräuche[[#This Row],[2035]],"&lt;&gt;"""), ""),IF(Startseite!$D$68=(Refsz_Verbräuche[[#Headers],[2040]]-1),Refsz_Verbräuche[[#This Row],[2035]],IF(Startseite!$D$68&lt;Refsz_Verbräuche[[#Headers],[2040]],Refsz_Verbräuche[[#This Row],[2035]],"")))</f>
        <v/>
      </c>
      <c r="X150" s="110" t="str">
        <f>IF(Refsz_Verbräuche[[#Headers],[2045]]=Startseite!$D$68,IF(OR(SUMIF($F150:Refsz_Verbräuche[[#This Row],[2040]],"&gt;0")&gt;0,), AVERAGEIF($F150:Refsz_Verbräuche[[#This Row],[2040]],"&lt;&gt;"""), ""),IF(Startseite!$D$68=(Refsz_Verbräuche[[#Headers],[2045]]-1),Refsz_Verbräuche[[#This Row],[2040]],IF(Startseite!$D$68&lt;Refsz_Verbräuche[[#Headers],[2045]],Refsz_Verbräuche[[#This Row],[2040]],"")))</f>
        <v/>
      </c>
      <c r="Y150" s="110" t="str">
        <f>IF(Refsz_Verbräuche[[#Headers],[2050]]=Startseite!$D$68,IF(OR(SUMIF($F150:Refsz_Verbräuche[[#This Row],[2045]],"&gt;0")&gt;0,), AVERAGEIF($F150:Refsz_Verbräuche[[#This Row],[2045]],"&lt;&gt;"""), ""),IF(Startseite!$D$68=(Refsz_Verbräuche[[#Headers],[2050]]-1),Refsz_Verbräuche[[#This Row],[2045]],IF(Startseite!$D$68&lt;Refsz_Verbräuche[[#Headers],[2050]],Refsz_Verbräuche[[#This Row],[2045]],"")))</f>
        <v/>
      </c>
      <c r="AA150" s="14"/>
    </row>
    <row r="151" spans="2:27">
      <c r="B151" s="14">
        <v>134</v>
      </c>
      <c r="C151" s="14" t="s">
        <v>517</v>
      </c>
      <c r="D151" s="9" t="s">
        <v>70</v>
      </c>
      <c r="E151" t="s">
        <v>44</v>
      </c>
      <c r="F151" s="110"/>
      <c r="G151" s="110"/>
      <c r="H151" s="110"/>
      <c r="I151" s="110"/>
      <c r="J151" s="110"/>
      <c r="K151" s="110"/>
      <c r="L151" s="110"/>
      <c r="M151" s="110" t="str">
        <f>IF(Refsz_Verbräuche[[#Headers],[2022]]=Startseite!$D$68,IF(OR(SUMIF($F151:Refsz_Verbräuche[[#This Row],[2021]],"&gt;0")&gt;0,), AVERAGEIF($F151:Refsz_Verbräuche[[#This Row],[2021]],"&lt;&gt;"""), ""),IF(Startseite!$D$68=(Refsz_Verbräuche[[#Headers],[2022]]-1),Refsz_Verbräuche[[#This Row],[2021]],IF(Startseite!$D$68&lt;Refsz_Verbräuche[[#Headers],[2022]],Refsz_Verbräuche[[#This Row],[2021]],"")))</f>
        <v/>
      </c>
      <c r="N151" s="110" t="str">
        <f>IF(Refsz_Verbräuche[[#Headers],[2023]]=Startseite!$D$68,IF(OR(SUMIF($F151:Refsz_Verbräuche[[#This Row],[2022]],"&gt;0")&gt;0,), AVERAGEIF($F151:Refsz_Verbräuche[[#This Row],[2022]],"&lt;&gt;"""), ""),IF(Startseite!$D$68=(Refsz_Verbräuche[[#Headers],[2023]]-1),Refsz_Verbräuche[[#This Row],[2022]],IF(Startseite!$D$68&lt;Refsz_Verbräuche[[#Headers],[2023]],Refsz_Verbräuche[[#This Row],[2022]],"")))</f>
        <v/>
      </c>
      <c r="O151" s="110" t="str">
        <f>IF(Refsz_Verbräuche[[#Headers],[2024]]=Startseite!$D$68,IF(OR(SUMIF($F151:Refsz_Verbräuche[[#This Row],[2023]],"&gt;0")&gt;0,), AVERAGEIF($F151:Refsz_Verbräuche[[#This Row],[2023]],"&lt;&gt;"""), ""),IF(Startseite!$D$68=(Refsz_Verbräuche[[#Headers],[2024]]-1),Refsz_Verbräuche[[#This Row],[2023]],IF(Startseite!$D$68&lt;Refsz_Verbräuche[[#Headers],[2024]],Refsz_Verbräuche[[#This Row],[2023]],"")))</f>
        <v/>
      </c>
      <c r="P151" s="110" t="str">
        <f>IF(Refsz_Verbräuche[[#Headers],[2025]]=Startseite!$D$68,IF(OR(SUMIF($F151:Refsz_Verbräuche[[#This Row],[2024]],"&gt;0")&gt;0,), AVERAGEIF($F151:Refsz_Verbräuche[[#This Row],[2024]],"&lt;&gt;"""), ""),IF(Startseite!$D$68=(Refsz_Verbräuche[[#Headers],[2025]]-1),Refsz_Verbräuche[[#This Row],[2024]],IF(Startseite!$D$68&lt;Refsz_Verbräuche[[#Headers],[2025]],Refsz_Verbräuche[[#This Row],[2024]],"")))</f>
        <v/>
      </c>
      <c r="Q151" s="110" t="str">
        <f>IF(Refsz_Verbräuche[[#Headers],[2026]]=Startseite!$D$68,IF(OR(SUMIF($F151:Refsz_Verbräuche[[#This Row],[2025]],"&gt;0")&gt;0,), AVERAGEIF($F151:Refsz_Verbräuche[[#This Row],[2025]],"&lt;&gt;"""), ""),IF(Startseite!$D$68=(Refsz_Verbräuche[[#Headers],[2026]]-1),Refsz_Verbräuche[[#This Row],[2025]],IF(Startseite!$D$68&lt;Refsz_Verbräuche[[#Headers],[2026]],Refsz_Verbräuche[[#This Row],[2025]],"")))</f>
        <v/>
      </c>
      <c r="R151" s="110" t="str">
        <f>IF(Refsz_Verbräuche[[#Headers],[2027]]=Startseite!$D$68,IF(OR(SUMIF($F151:Refsz_Verbräuche[[#This Row],[2026]],"&gt;0")&gt;0,), AVERAGEIF($F151:Refsz_Verbräuche[[#This Row],[2026]],"&lt;&gt;"""), ""),IF(Startseite!$D$68=(Refsz_Verbräuche[[#Headers],[2027]]-1),Refsz_Verbräuche[[#This Row],[2026]],IF(Startseite!$D$68&lt;Refsz_Verbräuche[[#Headers],[2027]],Refsz_Verbräuche[[#This Row],[2026]],"")))</f>
        <v/>
      </c>
      <c r="S151" s="110" t="str">
        <f>IF(Refsz_Verbräuche[[#Headers],[2028]]=Startseite!$D$68,IF(OR(SUMIF($F151:Refsz_Verbräuche[[#This Row],[2027]],"&gt;0")&gt;0,), AVERAGEIF($F151:Refsz_Verbräuche[[#This Row],[2027]],"&lt;&gt;"""), ""),IF(Startseite!$D$68=(Refsz_Verbräuche[[#Headers],[2028]]-1),Refsz_Verbräuche[[#This Row],[2027]],IF(Startseite!$D$68&lt;Refsz_Verbräuche[[#Headers],[2028]],Refsz_Verbräuche[[#This Row],[2027]],"")))</f>
        <v/>
      </c>
      <c r="T151" s="110" t="str">
        <f>IF(Refsz_Verbräuche[[#Headers],[2029]]=Startseite!$D$68,IF(OR(SUMIF($F151:Refsz_Verbräuche[[#This Row],[2028]],"&gt;0")&gt;0,), AVERAGEIF($F151:Refsz_Verbräuche[[#This Row],[2028]],"&lt;&gt;"""), ""),IF(Startseite!$D$68=(Refsz_Verbräuche[[#Headers],[2029]]-1),Refsz_Verbräuche[[#This Row],[2028]],IF(Startseite!$D$68&lt;Refsz_Verbräuche[[#Headers],[2029]],Refsz_Verbräuche[[#This Row],[2028]],"")))</f>
        <v/>
      </c>
      <c r="U151" s="110" t="str">
        <f>IF(Refsz_Verbräuche[[#Headers],[2030]]=Startseite!$D$68,IF(OR(SUMIF($F151:Refsz_Verbräuche[[#This Row],[2029]],"&gt;0")&gt;0,), AVERAGEIF($F151:Refsz_Verbräuche[[#This Row],[2029]],"&lt;&gt;"""), ""),IF(Startseite!$D$68=(Refsz_Verbräuche[[#Headers],[2030]]-1),Refsz_Verbräuche[[#This Row],[2029]],IF(Startseite!$D$68&lt;Refsz_Verbräuche[[#Headers],[2030]],Refsz_Verbräuche[[#This Row],[2029]],"")))</f>
        <v/>
      </c>
      <c r="V151" s="110" t="str">
        <f>IF(Refsz_Verbräuche[[#Headers],[2035]]=Startseite!$D$68,IF(OR(SUMIF($F151:Refsz_Verbräuche[[#This Row],[2030]],"&gt;0")&gt;0,), AVERAGEIF($F151:Refsz_Verbräuche[[#This Row],[2030]],"&lt;&gt;"""), ""),IF(Startseite!$D$68=(Refsz_Verbräuche[[#Headers],[2035]]-1),Refsz_Verbräuche[[#This Row],[2030]],IF(Startseite!$D$68&lt;Refsz_Verbräuche[[#Headers],[2035]],Refsz_Verbräuche[[#This Row],[2030]],"")))</f>
        <v/>
      </c>
      <c r="W151" s="110" t="str">
        <f>IF(Refsz_Verbräuche[[#Headers],[2040]]=Startseite!$D$68,IF(OR(SUMIF($F151:Refsz_Verbräuche[[#This Row],[2035]],"&gt;0")&gt;0,), AVERAGEIF($F151:Refsz_Verbräuche[[#This Row],[2035]],"&lt;&gt;"""), ""),IF(Startseite!$D$68=(Refsz_Verbräuche[[#Headers],[2040]]-1),Refsz_Verbräuche[[#This Row],[2035]],IF(Startseite!$D$68&lt;Refsz_Verbräuche[[#Headers],[2040]],Refsz_Verbräuche[[#This Row],[2035]],"")))</f>
        <v/>
      </c>
      <c r="X151" s="110" t="str">
        <f>IF(Refsz_Verbräuche[[#Headers],[2045]]=Startseite!$D$68,IF(OR(SUMIF($F151:Refsz_Verbräuche[[#This Row],[2040]],"&gt;0")&gt;0,), AVERAGEIF($F151:Refsz_Verbräuche[[#This Row],[2040]],"&lt;&gt;"""), ""),IF(Startseite!$D$68=(Refsz_Verbräuche[[#Headers],[2045]]-1),Refsz_Verbräuche[[#This Row],[2040]],IF(Startseite!$D$68&lt;Refsz_Verbräuche[[#Headers],[2045]],Refsz_Verbräuche[[#This Row],[2040]],"")))</f>
        <v/>
      </c>
      <c r="Y151" s="110" t="str">
        <f>IF(Refsz_Verbräuche[[#Headers],[2050]]=Startseite!$D$68,IF(OR(SUMIF($F151:Refsz_Verbräuche[[#This Row],[2045]],"&gt;0")&gt;0,), AVERAGEIF($F151:Refsz_Verbräuche[[#This Row],[2045]],"&lt;&gt;"""), ""),IF(Startseite!$D$68=(Refsz_Verbräuche[[#Headers],[2050]]-1),Refsz_Verbräuche[[#This Row],[2045]],IF(Startseite!$D$68&lt;Refsz_Verbräuche[[#Headers],[2050]],Refsz_Verbräuche[[#This Row],[2045]],"")))</f>
        <v/>
      </c>
      <c r="AA151" s="14"/>
    </row>
    <row r="152" spans="2:27">
      <c r="B152" s="14">
        <v>135</v>
      </c>
      <c r="C152" s="14" t="s">
        <v>517</v>
      </c>
      <c r="D152" s="9" t="s">
        <v>65</v>
      </c>
      <c r="E152" t="s">
        <v>44</v>
      </c>
      <c r="F152" s="110"/>
      <c r="G152" s="110"/>
      <c r="H152" s="110"/>
      <c r="I152" s="110"/>
      <c r="J152" s="110"/>
      <c r="K152" s="110"/>
      <c r="L152" s="110"/>
      <c r="M152" s="110" t="str">
        <f>IF(Refsz_Verbräuche[[#Headers],[2022]]=Startseite!$D$68,IF(OR(SUMIF($F152:Refsz_Verbräuche[[#This Row],[2021]],"&gt;0")&gt;0,), AVERAGEIF($F152:Refsz_Verbräuche[[#This Row],[2021]],"&lt;&gt;"""), ""),IF(Startseite!$D$68=(Refsz_Verbräuche[[#Headers],[2022]]-1),Refsz_Verbräuche[[#This Row],[2021]],IF(Startseite!$D$68&lt;Refsz_Verbräuche[[#Headers],[2022]],Refsz_Verbräuche[[#This Row],[2021]],"")))</f>
        <v/>
      </c>
      <c r="N152" s="110" t="str">
        <f>IF(Refsz_Verbräuche[[#Headers],[2023]]=Startseite!$D$68,IF(OR(SUMIF($F152:Refsz_Verbräuche[[#This Row],[2022]],"&gt;0")&gt;0,), AVERAGEIF($F152:Refsz_Verbräuche[[#This Row],[2022]],"&lt;&gt;"""), ""),IF(Startseite!$D$68=(Refsz_Verbräuche[[#Headers],[2023]]-1),Refsz_Verbräuche[[#This Row],[2022]],IF(Startseite!$D$68&lt;Refsz_Verbräuche[[#Headers],[2023]],Refsz_Verbräuche[[#This Row],[2022]],"")))</f>
        <v/>
      </c>
      <c r="O152" s="110" t="str">
        <f>IF(Refsz_Verbräuche[[#Headers],[2024]]=Startseite!$D$68,IF(OR(SUMIF($F152:Refsz_Verbräuche[[#This Row],[2023]],"&gt;0")&gt;0,), AVERAGEIF($F152:Refsz_Verbräuche[[#This Row],[2023]],"&lt;&gt;"""), ""),IF(Startseite!$D$68=(Refsz_Verbräuche[[#Headers],[2024]]-1),Refsz_Verbräuche[[#This Row],[2023]],IF(Startseite!$D$68&lt;Refsz_Verbräuche[[#Headers],[2024]],Refsz_Verbräuche[[#This Row],[2023]],"")))</f>
        <v/>
      </c>
      <c r="P152" s="110" t="str">
        <f>IF(Refsz_Verbräuche[[#Headers],[2025]]=Startseite!$D$68,IF(OR(SUMIF($F152:Refsz_Verbräuche[[#This Row],[2024]],"&gt;0")&gt;0,), AVERAGEIF($F152:Refsz_Verbräuche[[#This Row],[2024]],"&lt;&gt;"""), ""),IF(Startseite!$D$68=(Refsz_Verbräuche[[#Headers],[2025]]-1),Refsz_Verbräuche[[#This Row],[2024]],IF(Startseite!$D$68&lt;Refsz_Verbräuche[[#Headers],[2025]],Refsz_Verbräuche[[#This Row],[2024]],"")))</f>
        <v/>
      </c>
      <c r="Q152" s="110" t="str">
        <f>IF(Refsz_Verbräuche[[#Headers],[2026]]=Startseite!$D$68,IF(OR(SUMIF($F152:Refsz_Verbräuche[[#This Row],[2025]],"&gt;0")&gt;0,), AVERAGEIF($F152:Refsz_Verbräuche[[#This Row],[2025]],"&lt;&gt;"""), ""),IF(Startseite!$D$68=(Refsz_Verbräuche[[#Headers],[2026]]-1),Refsz_Verbräuche[[#This Row],[2025]],IF(Startseite!$D$68&lt;Refsz_Verbräuche[[#Headers],[2026]],Refsz_Verbräuche[[#This Row],[2025]],"")))</f>
        <v/>
      </c>
      <c r="R152" s="110" t="str">
        <f>IF(Refsz_Verbräuche[[#Headers],[2027]]=Startseite!$D$68,IF(OR(SUMIF($F152:Refsz_Verbräuche[[#This Row],[2026]],"&gt;0")&gt;0,), AVERAGEIF($F152:Refsz_Verbräuche[[#This Row],[2026]],"&lt;&gt;"""), ""),IF(Startseite!$D$68=(Refsz_Verbräuche[[#Headers],[2027]]-1),Refsz_Verbräuche[[#This Row],[2026]],IF(Startseite!$D$68&lt;Refsz_Verbräuche[[#Headers],[2027]],Refsz_Verbräuche[[#This Row],[2026]],"")))</f>
        <v/>
      </c>
      <c r="S152" s="110" t="str">
        <f>IF(Refsz_Verbräuche[[#Headers],[2028]]=Startseite!$D$68,IF(OR(SUMIF($F152:Refsz_Verbräuche[[#This Row],[2027]],"&gt;0")&gt;0,), AVERAGEIF($F152:Refsz_Verbräuche[[#This Row],[2027]],"&lt;&gt;"""), ""),IF(Startseite!$D$68=(Refsz_Verbräuche[[#Headers],[2028]]-1),Refsz_Verbräuche[[#This Row],[2027]],IF(Startseite!$D$68&lt;Refsz_Verbräuche[[#Headers],[2028]],Refsz_Verbräuche[[#This Row],[2027]],"")))</f>
        <v/>
      </c>
      <c r="T152" s="110" t="str">
        <f>IF(Refsz_Verbräuche[[#Headers],[2029]]=Startseite!$D$68,IF(OR(SUMIF($F152:Refsz_Verbräuche[[#This Row],[2028]],"&gt;0")&gt;0,), AVERAGEIF($F152:Refsz_Verbräuche[[#This Row],[2028]],"&lt;&gt;"""), ""),IF(Startseite!$D$68=(Refsz_Verbräuche[[#Headers],[2029]]-1),Refsz_Verbräuche[[#This Row],[2028]],IF(Startseite!$D$68&lt;Refsz_Verbräuche[[#Headers],[2029]],Refsz_Verbräuche[[#This Row],[2028]],"")))</f>
        <v/>
      </c>
      <c r="U152" s="110" t="str">
        <f>IF(Refsz_Verbräuche[[#Headers],[2030]]=Startseite!$D$68,IF(OR(SUMIF($F152:Refsz_Verbräuche[[#This Row],[2029]],"&gt;0")&gt;0,), AVERAGEIF($F152:Refsz_Verbräuche[[#This Row],[2029]],"&lt;&gt;"""), ""),IF(Startseite!$D$68=(Refsz_Verbräuche[[#Headers],[2030]]-1),Refsz_Verbräuche[[#This Row],[2029]],IF(Startseite!$D$68&lt;Refsz_Verbräuche[[#Headers],[2030]],Refsz_Verbräuche[[#This Row],[2029]],"")))</f>
        <v/>
      </c>
      <c r="V152" s="110" t="str">
        <f>IF(Refsz_Verbräuche[[#Headers],[2035]]=Startseite!$D$68,IF(OR(SUMIF($F152:Refsz_Verbräuche[[#This Row],[2030]],"&gt;0")&gt;0,), AVERAGEIF($F152:Refsz_Verbräuche[[#This Row],[2030]],"&lt;&gt;"""), ""),IF(Startseite!$D$68=(Refsz_Verbräuche[[#Headers],[2035]]-1),Refsz_Verbräuche[[#This Row],[2030]],IF(Startseite!$D$68&lt;Refsz_Verbräuche[[#Headers],[2035]],Refsz_Verbräuche[[#This Row],[2030]],"")))</f>
        <v/>
      </c>
      <c r="W152" s="110" t="str">
        <f>IF(Refsz_Verbräuche[[#Headers],[2040]]=Startseite!$D$68,IF(OR(SUMIF($F152:Refsz_Verbräuche[[#This Row],[2035]],"&gt;0")&gt;0,), AVERAGEIF($F152:Refsz_Verbräuche[[#This Row],[2035]],"&lt;&gt;"""), ""),IF(Startseite!$D$68=(Refsz_Verbräuche[[#Headers],[2040]]-1),Refsz_Verbräuche[[#This Row],[2035]],IF(Startseite!$D$68&lt;Refsz_Verbräuche[[#Headers],[2040]],Refsz_Verbräuche[[#This Row],[2035]],"")))</f>
        <v/>
      </c>
      <c r="X152" s="110" t="str">
        <f>IF(Refsz_Verbräuche[[#Headers],[2045]]=Startseite!$D$68,IF(OR(SUMIF($F152:Refsz_Verbräuche[[#This Row],[2040]],"&gt;0")&gt;0,), AVERAGEIF($F152:Refsz_Verbräuche[[#This Row],[2040]],"&lt;&gt;"""), ""),IF(Startseite!$D$68=(Refsz_Verbräuche[[#Headers],[2045]]-1),Refsz_Verbräuche[[#This Row],[2040]],IF(Startseite!$D$68&lt;Refsz_Verbräuche[[#Headers],[2045]],Refsz_Verbräuche[[#This Row],[2040]],"")))</f>
        <v/>
      </c>
      <c r="Y152" s="110" t="str">
        <f>IF(Refsz_Verbräuche[[#Headers],[2050]]=Startseite!$D$68,IF(OR(SUMIF($F152:Refsz_Verbräuche[[#This Row],[2045]],"&gt;0")&gt;0,), AVERAGEIF($F152:Refsz_Verbräuche[[#This Row],[2045]],"&lt;&gt;"""), ""),IF(Startseite!$D$68=(Refsz_Verbräuche[[#Headers],[2050]]-1),Refsz_Verbräuche[[#This Row],[2045]],IF(Startseite!$D$68&lt;Refsz_Verbräuche[[#Headers],[2050]],Refsz_Verbräuche[[#This Row],[2045]],"")))</f>
        <v/>
      </c>
      <c r="AA152" s="14"/>
    </row>
    <row r="153" spans="2:27">
      <c r="B153" s="14">
        <v>136</v>
      </c>
      <c r="C153" s="14" t="s">
        <v>517</v>
      </c>
      <c r="D153" s="9" t="s">
        <v>74</v>
      </c>
      <c r="E153" t="s">
        <v>44</v>
      </c>
      <c r="F153" s="110"/>
      <c r="G153" s="110"/>
      <c r="H153" s="110"/>
      <c r="I153" s="110"/>
      <c r="J153" s="110"/>
      <c r="K153" s="110"/>
      <c r="L153" s="110"/>
      <c r="M153" s="110" t="str">
        <f>IF(Refsz_Verbräuche[[#Headers],[2022]]=Startseite!$D$68,IF(OR(SUMIF($F153:Refsz_Verbräuche[[#This Row],[2021]],"&gt;0")&gt;0,), AVERAGEIF($F153:Refsz_Verbräuche[[#This Row],[2021]],"&lt;&gt;"""), ""),IF(Startseite!$D$68=(Refsz_Verbräuche[[#Headers],[2022]]-1),Refsz_Verbräuche[[#This Row],[2021]],IF(Startseite!$D$68&lt;Refsz_Verbräuche[[#Headers],[2022]],Refsz_Verbräuche[[#This Row],[2021]],"")))</f>
        <v/>
      </c>
      <c r="N153" s="110" t="str">
        <f>IF(Refsz_Verbräuche[[#Headers],[2023]]=Startseite!$D$68,IF(OR(SUMIF($F153:Refsz_Verbräuche[[#This Row],[2022]],"&gt;0")&gt;0,), AVERAGEIF($F153:Refsz_Verbräuche[[#This Row],[2022]],"&lt;&gt;"""), ""),IF(Startseite!$D$68=(Refsz_Verbräuche[[#Headers],[2023]]-1),Refsz_Verbräuche[[#This Row],[2022]],IF(Startseite!$D$68&lt;Refsz_Verbräuche[[#Headers],[2023]],Refsz_Verbräuche[[#This Row],[2022]],"")))</f>
        <v/>
      </c>
      <c r="O153" s="110" t="str">
        <f>IF(Refsz_Verbräuche[[#Headers],[2024]]=Startseite!$D$68,IF(OR(SUMIF($F153:Refsz_Verbräuche[[#This Row],[2023]],"&gt;0")&gt;0,), AVERAGEIF($F153:Refsz_Verbräuche[[#This Row],[2023]],"&lt;&gt;"""), ""),IF(Startseite!$D$68=(Refsz_Verbräuche[[#Headers],[2024]]-1),Refsz_Verbräuche[[#This Row],[2023]],IF(Startseite!$D$68&lt;Refsz_Verbräuche[[#Headers],[2024]],Refsz_Verbräuche[[#This Row],[2023]],"")))</f>
        <v/>
      </c>
      <c r="P153" s="110" t="str">
        <f>IF(Refsz_Verbräuche[[#Headers],[2025]]=Startseite!$D$68,IF(OR(SUMIF($F153:Refsz_Verbräuche[[#This Row],[2024]],"&gt;0")&gt;0,), AVERAGEIF($F153:Refsz_Verbräuche[[#This Row],[2024]],"&lt;&gt;"""), ""),IF(Startseite!$D$68=(Refsz_Verbräuche[[#Headers],[2025]]-1),Refsz_Verbräuche[[#This Row],[2024]],IF(Startseite!$D$68&lt;Refsz_Verbräuche[[#Headers],[2025]],Refsz_Verbräuche[[#This Row],[2024]],"")))</f>
        <v/>
      </c>
      <c r="Q153" s="110" t="str">
        <f>IF(Refsz_Verbräuche[[#Headers],[2026]]=Startseite!$D$68,IF(OR(SUMIF($F153:Refsz_Verbräuche[[#This Row],[2025]],"&gt;0")&gt;0,), AVERAGEIF($F153:Refsz_Verbräuche[[#This Row],[2025]],"&lt;&gt;"""), ""),IF(Startseite!$D$68=(Refsz_Verbräuche[[#Headers],[2026]]-1),Refsz_Verbräuche[[#This Row],[2025]],IF(Startseite!$D$68&lt;Refsz_Verbräuche[[#Headers],[2026]],Refsz_Verbräuche[[#This Row],[2025]],"")))</f>
        <v/>
      </c>
      <c r="R153" s="110" t="str">
        <f>IF(Refsz_Verbräuche[[#Headers],[2027]]=Startseite!$D$68,IF(OR(SUMIF($F153:Refsz_Verbräuche[[#This Row],[2026]],"&gt;0")&gt;0,), AVERAGEIF($F153:Refsz_Verbräuche[[#This Row],[2026]],"&lt;&gt;"""), ""),IF(Startseite!$D$68=(Refsz_Verbräuche[[#Headers],[2027]]-1),Refsz_Verbräuche[[#This Row],[2026]],IF(Startseite!$D$68&lt;Refsz_Verbräuche[[#Headers],[2027]],Refsz_Verbräuche[[#This Row],[2026]],"")))</f>
        <v/>
      </c>
      <c r="S153" s="110" t="str">
        <f>IF(Refsz_Verbräuche[[#Headers],[2028]]=Startseite!$D$68,IF(OR(SUMIF($F153:Refsz_Verbräuche[[#This Row],[2027]],"&gt;0")&gt;0,), AVERAGEIF($F153:Refsz_Verbräuche[[#This Row],[2027]],"&lt;&gt;"""), ""),IF(Startseite!$D$68=(Refsz_Verbräuche[[#Headers],[2028]]-1),Refsz_Verbräuche[[#This Row],[2027]],IF(Startseite!$D$68&lt;Refsz_Verbräuche[[#Headers],[2028]],Refsz_Verbräuche[[#This Row],[2027]],"")))</f>
        <v/>
      </c>
      <c r="T153" s="110" t="str">
        <f>IF(Refsz_Verbräuche[[#Headers],[2029]]=Startseite!$D$68,IF(OR(SUMIF($F153:Refsz_Verbräuche[[#This Row],[2028]],"&gt;0")&gt;0,), AVERAGEIF($F153:Refsz_Verbräuche[[#This Row],[2028]],"&lt;&gt;"""), ""),IF(Startseite!$D$68=(Refsz_Verbräuche[[#Headers],[2029]]-1),Refsz_Verbräuche[[#This Row],[2028]],IF(Startseite!$D$68&lt;Refsz_Verbräuche[[#Headers],[2029]],Refsz_Verbräuche[[#This Row],[2028]],"")))</f>
        <v/>
      </c>
      <c r="U153" s="110" t="str">
        <f>IF(Refsz_Verbräuche[[#Headers],[2030]]=Startseite!$D$68,IF(OR(SUMIF($F153:Refsz_Verbräuche[[#This Row],[2029]],"&gt;0")&gt;0,), AVERAGEIF($F153:Refsz_Verbräuche[[#This Row],[2029]],"&lt;&gt;"""), ""),IF(Startseite!$D$68=(Refsz_Verbräuche[[#Headers],[2030]]-1),Refsz_Verbräuche[[#This Row],[2029]],IF(Startseite!$D$68&lt;Refsz_Verbräuche[[#Headers],[2030]],Refsz_Verbräuche[[#This Row],[2029]],"")))</f>
        <v/>
      </c>
      <c r="V153" s="110" t="str">
        <f>IF(Refsz_Verbräuche[[#Headers],[2035]]=Startseite!$D$68,IF(OR(SUMIF($F153:Refsz_Verbräuche[[#This Row],[2030]],"&gt;0")&gt;0,), AVERAGEIF($F153:Refsz_Verbräuche[[#This Row],[2030]],"&lt;&gt;"""), ""),IF(Startseite!$D$68=(Refsz_Verbräuche[[#Headers],[2035]]-1),Refsz_Verbräuche[[#This Row],[2030]],IF(Startseite!$D$68&lt;Refsz_Verbräuche[[#Headers],[2035]],Refsz_Verbräuche[[#This Row],[2030]],"")))</f>
        <v/>
      </c>
      <c r="W153" s="110" t="str">
        <f>IF(Refsz_Verbräuche[[#Headers],[2040]]=Startseite!$D$68,IF(OR(SUMIF($F153:Refsz_Verbräuche[[#This Row],[2035]],"&gt;0")&gt;0,), AVERAGEIF($F153:Refsz_Verbräuche[[#This Row],[2035]],"&lt;&gt;"""), ""),IF(Startseite!$D$68=(Refsz_Verbräuche[[#Headers],[2040]]-1),Refsz_Verbräuche[[#This Row],[2035]],IF(Startseite!$D$68&lt;Refsz_Verbräuche[[#Headers],[2040]],Refsz_Verbräuche[[#This Row],[2035]],"")))</f>
        <v/>
      </c>
      <c r="X153" s="110" t="str">
        <f>IF(Refsz_Verbräuche[[#Headers],[2045]]=Startseite!$D$68,IF(OR(SUMIF($F153:Refsz_Verbräuche[[#This Row],[2040]],"&gt;0")&gt;0,), AVERAGEIF($F153:Refsz_Verbräuche[[#This Row],[2040]],"&lt;&gt;"""), ""),IF(Startseite!$D$68=(Refsz_Verbräuche[[#Headers],[2045]]-1),Refsz_Verbräuche[[#This Row],[2040]],IF(Startseite!$D$68&lt;Refsz_Verbräuche[[#Headers],[2045]],Refsz_Verbräuche[[#This Row],[2040]],"")))</f>
        <v/>
      </c>
      <c r="Y153" s="110" t="str">
        <f>IF(Refsz_Verbräuche[[#Headers],[2050]]=Startseite!$D$68,IF(OR(SUMIF($F153:Refsz_Verbräuche[[#This Row],[2045]],"&gt;0")&gt;0,), AVERAGEIF($F153:Refsz_Verbräuche[[#This Row],[2045]],"&lt;&gt;"""), ""),IF(Startseite!$D$68=(Refsz_Verbräuche[[#Headers],[2050]]-1),Refsz_Verbräuche[[#This Row],[2045]],IF(Startseite!$D$68&lt;Refsz_Verbräuche[[#Headers],[2050]],Refsz_Verbräuche[[#This Row],[2045]],"")))</f>
        <v/>
      </c>
      <c r="AA153" s="14"/>
    </row>
    <row r="154" spans="2:27">
      <c r="B154" s="14">
        <v>137</v>
      </c>
      <c r="C154" s="14" t="s">
        <v>517</v>
      </c>
      <c r="D154" s="9" t="s">
        <v>107</v>
      </c>
      <c r="E154" s="13" t="s">
        <v>181</v>
      </c>
      <c r="F154" s="110"/>
      <c r="G154" s="110"/>
      <c r="H154" s="110"/>
      <c r="I154" s="110"/>
      <c r="J154" s="110"/>
      <c r="K154" s="110"/>
      <c r="L154" s="110"/>
      <c r="M154" s="110" t="str">
        <f>IF(Refsz_Verbräuche[[#Headers],[2022]]=Startseite!$D$68,IF(OR(SUMIF($F154:Refsz_Verbräuche[[#This Row],[2021]],"&gt;0")&gt;0,), AVERAGEIF($F154:Refsz_Verbräuche[[#This Row],[2021]],"&lt;&gt;"""), ""),IF(Startseite!$D$68=(Refsz_Verbräuche[[#Headers],[2022]]-1),Refsz_Verbräuche[[#This Row],[2021]],IF(Startseite!$D$68&lt;Refsz_Verbräuche[[#Headers],[2022]],Refsz_Verbräuche[[#This Row],[2021]],"")))</f>
        <v/>
      </c>
      <c r="N154" s="110" t="str">
        <f>IF(Refsz_Verbräuche[[#Headers],[2023]]=Startseite!$D$68,IF(OR(SUMIF($F154:Refsz_Verbräuche[[#This Row],[2022]],"&gt;0")&gt;0,), AVERAGEIF($F154:Refsz_Verbräuche[[#This Row],[2022]],"&lt;&gt;"""), ""),IF(Startseite!$D$68=(Refsz_Verbräuche[[#Headers],[2023]]-1),Refsz_Verbräuche[[#This Row],[2022]],IF(Startseite!$D$68&lt;Refsz_Verbräuche[[#Headers],[2023]],Refsz_Verbräuche[[#This Row],[2022]],"")))</f>
        <v/>
      </c>
      <c r="O154" s="110" t="str">
        <f>IF(Refsz_Verbräuche[[#Headers],[2024]]=Startseite!$D$68,IF(OR(SUMIF($F154:Refsz_Verbräuche[[#This Row],[2023]],"&gt;0")&gt;0,), AVERAGEIF($F154:Refsz_Verbräuche[[#This Row],[2023]],"&lt;&gt;"""), ""),IF(Startseite!$D$68=(Refsz_Verbräuche[[#Headers],[2024]]-1),Refsz_Verbräuche[[#This Row],[2023]],IF(Startseite!$D$68&lt;Refsz_Verbräuche[[#Headers],[2024]],Refsz_Verbräuche[[#This Row],[2023]],"")))</f>
        <v/>
      </c>
      <c r="P154" s="110" t="str">
        <f>IF(Refsz_Verbräuche[[#Headers],[2025]]=Startseite!$D$68,IF(OR(SUMIF($F154:Refsz_Verbräuche[[#This Row],[2024]],"&gt;0")&gt;0,), AVERAGEIF($F154:Refsz_Verbräuche[[#This Row],[2024]],"&lt;&gt;"""), ""),IF(Startseite!$D$68=(Refsz_Verbräuche[[#Headers],[2025]]-1),Refsz_Verbräuche[[#This Row],[2024]],IF(Startseite!$D$68&lt;Refsz_Verbräuche[[#Headers],[2025]],Refsz_Verbräuche[[#This Row],[2024]],"")))</f>
        <v/>
      </c>
      <c r="Q154" s="110" t="str">
        <f>IF(Refsz_Verbräuche[[#Headers],[2026]]=Startseite!$D$68,IF(OR(SUMIF($F154:Refsz_Verbräuche[[#This Row],[2025]],"&gt;0")&gt;0,), AVERAGEIF($F154:Refsz_Verbräuche[[#This Row],[2025]],"&lt;&gt;"""), ""),IF(Startseite!$D$68=(Refsz_Verbräuche[[#Headers],[2026]]-1),Refsz_Verbräuche[[#This Row],[2025]],IF(Startseite!$D$68&lt;Refsz_Verbräuche[[#Headers],[2026]],Refsz_Verbräuche[[#This Row],[2025]],"")))</f>
        <v/>
      </c>
      <c r="R154" s="110" t="str">
        <f>IF(Refsz_Verbräuche[[#Headers],[2027]]=Startseite!$D$68,IF(OR(SUMIF($F154:Refsz_Verbräuche[[#This Row],[2026]],"&gt;0")&gt;0,), AVERAGEIF($F154:Refsz_Verbräuche[[#This Row],[2026]],"&lt;&gt;"""), ""),IF(Startseite!$D$68=(Refsz_Verbräuche[[#Headers],[2027]]-1),Refsz_Verbräuche[[#This Row],[2026]],IF(Startseite!$D$68&lt;Refsz_Verbräuche[[#Headers],[2027]],Refsz_Verbräuche[[#This Row],[2026]],"")))</f>
        <v/>
      </c>
      <c r="S154" s="110" t="str">
        <f>IF(Refsz_Verbräuche[[#Headers],[2028]]=Startseite!$D$68,IF(OR(SUMIF($F154:Refsz_Verbräuche[[#This Row],[2027]],"&gt;0")&gt;0,), AVERAGEIF($F154:Refsz_Verbräuche[[#This Row],[2027]],"&lt;&gt;"""), ""),IF(Startseite!$D$68=(Refsz_Verbräuche[[#Headers],[2028]]-1),Refsz_Verbräuche[[#This Row],[2027]],IF(Startseite!$D$68&lt;Refsz_Verbräuche[[#Headers],[2028]],Refsz_Verbräuche[[#This Row],[2027]],"")))</f>
        <v/>
      </c>
      <c r="T154" s="110" t="str">
        <f>IF(Refsz_Verbräuche[[#Headers],[2029]]=Startseite!$D$68,IF(OR(SUMIF($F154:Refsz_Verbräuche[[#This Row],[2028]],"&gt;0")&gt;0,), AVERAGEIF($F154:Refsz_Verbräuche[[#This Row],[2028]],"&lt;&gt;"""), ""),IF(Startseite!$D$68=(Refsz_Verbräuche[[#Headers],[2029]]-1),Refsz_Verbräuche[[#This Row],[2028]],IF(Startseite!$D$68&lt;Refsz_Verbräuche[[#Headers],[2029]],Refsz_Verbräuche[[#This Row],[2028]],"")))</f>
        <v/>
      </c>
      <c r="U154" s="110" t="str">
        <f>IF(Refsz_Verbräuche[[#Headers],[2030]]=Startseite!$D$68,IF(OR(SUMIF($F154:Refsz_Verbräuche[[#This Row],[2029]],"&gt;0")&gt;0,), AVERAGEIF($F154:Refsz_Verbräuche[[#This Row],[2029]],"&lt;&gt;"""), ""),IF(Startseite!$D$68=(Refsz_Verbräuche[[#Headers],[2030]]-1),Refsz_Verbräuche[[#This Row],[2029]],IF(Startseite!$D$68&lt;Refsz_Verbräuche[[#Headers],[2030]],Refsz_Verbräuche[[#This Row],[2029]],"")))</f>
        <v/>
      </c>
      <c r="V154" s="110" t="str">
        <f>IF(Refsz_Verbräuche[[#Headers],[2035]]=Startseite!$D$68,IF(OR(SUMIF($F154:Refsz_Verbräuche[[#This Row],[2030]],"&gt;0")&gt;0,), AVERAGEIF($F154:Refsz_Verbräuche[[#This Row],[2030]],"&lt;&gt;"""), ""),IF(Startseite!$D$68=(Refsz_Verbräuche[[#Headers],[2035]]-1),Refsz_Verbräuche[[#This Row],[2030]],IF(Startseite!$D$68&lt;Refsz_Verbräuche[[#Headers],[2035]],Refsz_Verbräuche[[#This Row],[2030]],"")))</f>
        <v/>
      </c>
      <c r="W154" s="110" t="str">
        <f>IF(Refsz_Verbräuche[[#Headers],[2040]]=Startseite!$D$68,IF(OR(SUMIF($F154:Refsz_Verbräuche[[#This Row],[2035]],"&gt;0")&gt;0,), AVERAGEIF($F154:Refsz_Verbräuche[[#This Row],[2035]],"&lt;&gt;"""), ""),IF(Startseite!$D$68=(Refsz_Verbräuche[[#Headers],[2040]]-1),Refsz_Verbräuche[[#This Row],[2035]],IF(Startseite!$D$68&lt;Refsz_Verbräuche[[#Headers],[2040]],Refsz_Verbräuche[[#This Row],[2035]],"")))</f>
        <v/>
      </c>
      <c r="X154" s="110" t="str">
        <f>IF(Refsz_Verbräuche[[#Headers],[2045]]=Startseite!$D$68,IF(OR(SUMIF($F154:Refsz_Verbräuche[[#This Row],[2040]],"&gt;0")&gt;0,), AVERAGEIF($F154:Refsz_Verbräuche[[#This Row],[2040]],"&lt;&gt;"""), ""),IF(Startseite!$D$68=(Refsz_Verbräuche[[#Headers],[2045]]-1),Refsz_Verbräuche[[#This Row],[2040]],IF(Startseite!$D$68&lt;Refsz_Verbräuche[[#Headers],[2045]],Refsz_Verbräuche[[#This Row],[2040]],"")))</f>
        <v/>
      </c>
      <c r="Y154" s="110" t="str">
        <f>IF(Refsz_Verbräuche[[#Headers],[2050]]=Startseite!$D$68,IF(OR(SUMIF($F154:Refsz_Verbräuche[[#This Row],[2045]],"&gt;0")&gt;0,), AVERAGEIF($F154:Refsz_Verbräuche[[#This Row],[2045]],"&lt;&gt;"""), ""),IF(Startseite!$D$68=(Refsz_Verbräuche[[#Headers],[2050]]-1),Refsz_Verbräuche[[#This Row],[2045]],IF(Startseite!$D$68&lt;Refsz_Verbräuche[[#Headers],[2050]],Refsz_Verbräuche[[#This Row],[2045]],"")))</f>
        <v/>
      </c>
      <c r="AA154" s="14"/>
    </row>
    <row r="155" spans="2:27">
      <c r="B155" s="14">
        <v>138</v>
      </c>
      <c r="C155" s="14" t="s">
        <v>517</v>
      </c>
      <c r="D155" s="9" t="s">
        <v>108</v>
      </c>
      <c r="E155" t="s">
        <v>44</v>
      </c>
      <c r="F155" s="110"/>
      <c r="G155" s="110"/>
      <c r="H155" s="110"/>
      <c r="I155" s="110"/>
      <c r="J155" s="110"/>
      <c r="K155" s="110"/>
      <c r="L155" s="110"/>
      <c r="M155" s="110" t="str">
        <f>IF(Refsz_Verbräuche[[#Headers],[2022]]=Startseite!$D$68,IF(OR(SUMIF($F155:Refsz_Verbräuche[[#This Row],[2021]],"&gt;0")&gt;0,), AVERAGEIF($F155:Refsz_Verbräuche[[#This Row],[2021]],"&lt;&gt;"""), ""),IF(Startseite!$D$68=(Refsz_Verbräuche[[#Headers],[2022]]-1),Refsz_Verbräuche[[#This Row],[2021]],IF(Startseite!$D$68&lt;Refsz_Verbräuche[[#Headers],[2022]],Refsz_Verbräuche[[#This Row],[2021]],"")))</f>
        <v/>
      </c>
      <c r="N155" s="110" t="str">
        <f>IF(Refsz_Verbräuche[[#Headers],[2023]]=Startseite!$D$68,IF(OR(SUMIF($F155:Refsz_Verbräuche[[#This Row],[2022]],"&gt;0")&gt;0,), AVERAGEIF($F155:Refsz_Verbräuche[[#This Row],[2022]],"&lt;&gt;"""), ""),IF(Startseite!$D$68=(Refsz_Verbräuche[[#Headers],[2023]]-1),Refsz_Verbräuche[[#This Row],[2022]],IF(Startseite!$D$68&lt;Refsz_Verbräuche[[#Headers],[2023]],Refsz_Verbräuche[[#This Row],[2022]],"")))</f>
        <v/>
      </c>
      <c r="O155" s="110" t="str">
        <f>IF(Refsz_Verbräuche[[#Headers],[2024]]=Startseite!$D$68,IF(OR(SUMIF($F155:Refsz_Verbräuche[[#This Row],[2023]],"&gt;0")&gt;0,), AVERAGEIF($F155:Refsz_Verbräuche[[#This Row],[2023]],"&lt;&gt;"""), ""),IF(Startseite!$D$68=(Refsz_Verbräuche[[#Headers],[2024]]-1),Refsz_Verbräuche[[#This Row],[2023]],IF(Startseite!$D$68&lt;Refsz_Verbräuche[[#Headers],[2024]],Refsz_Verbräuche[[#This Row],[2023]],"")))</f>
        <v/>
      </c>
      <c r="P155" s="110" t="str">
        <f>IF(Refsz_Verbräuche[[#Headers],[2025]]=Startseite!$D$68,IF(OR(SUMIF($F155:Refsz_Verbräuche[[#This Row],[2024]],"&gt;0")&gt;0,), AVERAGEIF($F155:Refsz_Verbräuche[[#This Row],[2024]],"&lt;&gt;"""), ""),IF(Startseite!$D$68=(Refsz_Verbräuche[[#Headers],[2025]]-1),Refsz_Verbräuche[[#This Row],[2024]],IF(Startseite!$D$68&lt;Refsz_Verbräuche[[#Headers],[2025]],Refsz_Verbräuche[[#This Row],[2024]],"")))</f>
        <v/>
      </c>
      <c r="Q155" s="110" t="str">
        <f>IF(Refsz_Verbräuche[[#Headers],[2026]]=Startseite!$D$68,IF(OR(SUMIF($F155:Refsz_Verbräuche[[#This Row],[2025]],"&gt;0")&gt;0,), AVERAGEIF($F155:Refsz_Verbräuche[[#This Row],[2025]],"&lt;&gt;"""), ""),IF(Startseite!$D$68=(Refsz_Verbräuche[[#Headers],[2026]]-1),Refsz_Verbräuche[[#This Row],[2025]],IF(Startseite!$D$68&lt;Refsz_Verbräuche[[#Headers],[2026]],Refsz_Verbräuche[[#This Row],[2025]],"")))</f>
        <v/>
      </c>
      <c r="R155" s="110" t="str">
        <f>IF(Refsz_Verbräuche[[#Headers],[2027]]=Startseite!$D$68,IF(OR(SUMIF($F155:Refsz_Verbräuche[[#This Row],[2026]],"&gt;0")&gt;0,), AVERAGEIF($F155:Refsz_Verbräuche[[#This Row],[2026]],"&lt;&gt;"""), ""),IF(Startseite!$D$68=(Refsz_Verbräuche[[#Headers],[2027]]-1),Refsz_Verbräuche[[#This Row],[2026]],IF(Startseite!$D$68&lt;Refsz_Verbräuche[[#Headers],[2027]],Refsz_Verbräuche[[#This Row],[2026]],"")))</f>
        <v/>
      </c>
      <c r="S155" s="110" t="str">
        <f>IF(Refsz_Verbräuche[[#Headers],[2028]]=Startseite!$D$68,IF(OR(SUMIF($F155:Refsz_Verbräuche[[#This Row],[2027]],"&gt;0")&gt;0,), AVERAGEIF($F155:Refsz_Verbräuche[[#This Row],[2027]],"&lt;&gt;"""), ""),IF(Startseite!$D$68=(Refsz_Verbräuche[[#Headers],[2028]]-1),Refsz_Verbräuche[[#This Row],[2027]],IF(Startseite!$D$68&lt;Refsz_Verbräuche[[#Headers],[2028]],Refsz_Verbräuche[[#This Row],[2027]],"")))</f>
        <v/>
      </c>
      <c r="T155" s="110" t="str">
        <f>IF(Refsz_Verbräuche[[#Headers],[2029]]=Startseite!$D$68,IF(OR(SUMIF($F155:Refsz_Verbräuche[[#This Row],[2028]],"&gt;0")&gt;0,), AVERAGEIF($F155:Refsz_Verbräuche[[#This Row],[2028]],"&lt;&gt;"""), ""),IF(Startseite!$D$68=(Refsz_Verbräuche[[#Headers],[2029]]-1),Refsz_Verbräuche[[#This Row],[2028]],IF(Startseite!$D$68&lt;Refsz_Verbräuche[[#Headers],[2029]],Refsz_Verbräuche[[#This Row],[2028]],"")))</f>
        <v/>
      </c>
      <c r="U155" s="110" t="str">
        <f>IF(Refsz_Verbräuche[[#Headers],[2030]]=Startseite!$D$68,IF(OR(SUMIF($F155:Refsz_Verbräuche[[#This Row],[2029]],"&gt;0")&gt;0,), AVERAGEIF($F155:Refsz_Verbräuche[[#This Row],[2029]],"&lt;&gt;"""), ""),IF(Startseite!$D$68=(Refsz_Verbräuche[[#Headers],[2030]]-1),Refsz_Verbräuche[[#This Row],[2029]],IF(Startseite!$D$68&lt;Refsz_Verbräuche[[#Headers],[2030]],Refsz_Verbräuche[[#This Row],[2029]],"")))</f>
        <v/>
      </c>
      <c r="V155" s="110" t="str">
        <f>IF(Refsz_Verbräuche[[#Headers],[2035]]=Startseite!$D$68,IF(OR(SUMIF($F155:Refsz_Verbräuche[[#This Row],[2030]],"&gt;0")&gt;0,), AVERAGEIF($F155:Refsz_Verbräuche[[#This Row],[2030]],"&lt;&gt;"""), ""),IF(Startseite!$D$68=(Refsz_Verbräuche[[#Headers],[2035]]-1),Refsz_Verbräuche[[#This Row],[2030]],IF(Startseite!$D$68&lt;Refsz_Verbräuche[[#Headers],[2035]],Refsz_Verbräuche[[#This Row],[2030]],"")))</f>
        <v/>
      </c>
      <c r="W155" s="110" t="str">
        <f>IF(Refsz_Verbräuche[[#Headers],[2040]]=Startseite!$D$68,IF(OR(SUMIF($F155:Refsz_Verbräuche[[#This Row],[2035]],"&gt;0")&gt;0,), AVERAGEIF($F155:Refsz_Verbräuche[[#This Row],[2035]],"&lt;&gt;"""), ""),IF(Startseite!$D$68=(Refsz_Verbräuche[[#Headers],[2040]]-1),Refsz_Verbräuche[[#This Row],[2035]],IF(Startseite!$D$68&lt;Refsz_Verbräuche[[#Headers],[2040]],Refsz_Verbräuche[[#This Row],[2035]],"")))</f>
        <v/>
      </c>
      <c r="X155" s="110" t="str">
        <f>IF(Refsz_Verbräuche[[#Headers],[2045]]=Startseite!$D$68,IF(OR(SUMIF($F155:Refsz_Verbräuche[[#This Row],[2040]],"&gt;0")&gt;0,), AVERAGEIF($F155:Refsz_Verbräuche[[#This Row],[2040]],"&lt;&gt;"""), ""),IF(Startseite!$D$68=(Refsz_Verbräuche[[#Headers],[2045]]-1),Refsz_Verbräuche[[#This Row],[2040]],IF(Startseite!$D$68&lt;Refsz_Verbräuche[[#Headers],[2045]],Refsz_Verbräuche[[#This Row],[2040]],"")))</f>
        <v/>
      </c>
      <c r="Y155" s="110" t="str">
        <f>IF(Refsz_Verbräuche[[#Headers],[2050]]=Startseite!$D$68,IF(OR(SUMIF($F155:Refsz_Verbräuche[[#This Row],[2045]],"&gt;0")&gt;0,), AVERAGEIF($F155:Refsz_Verbräuche[[#This Row],[2045]],"&lt;&gt;"""), ""),IF(Startseite!$D$68=(Refsz_Verbräuche[[#Headers],[2050]]-1),Refsz_Verbräuche[[#This Row],[2045]],IF(Startseite!$D$68&lt;Refsz_Verbräuche[[#Headers],[2050]],Refsz_Verbräuche[[#This Row],[2045]],"")))</f>
        <v/>
      </c>
      <c r="AA155" s="14"/>
    </row>
    <row r="156" spans="2:27">
      <c r="B156" s="14">
        <v>139</v>
      </c>
      <c r="C156" s="14" t="s">
        <v>517</v>
      </c>
      <c r="D156" s="9" t="s">
        <v>116</v>
      </c>
      <c r="E156" t="s">
        <v>44</v>
      </c>
      <c r="F156" s="110"/>
      <c r="G156" s="110"/>
      <c r="H156" s="110"/>
      <c r="I156" s="110"/>
      <c r="J156" s="110"/>
      <c r="K156" s="110"/>
      <c r="L156" s="110"/>
      <c r="M156" s="110" t="str">
        <f>IF(Refsz_Verbräuche[[#Headers],[2022]]=Startseite!$D$68,IF(OR(SUMIF($F156:Refsz_Verbräuche[[#This Row],[2021]],"&gt;0")&gt;0,), AVERAGEIF($F156:Refsz_Verbräuche[[#This Row],[2021]],"&lt;&gt;"""), ""),IF(Startseite!$D$68=(Refsz_Verbräuche[[#Headers],[2022]]-1),Refsz_Verbräuche[[#This Row],[2021]],IF(Startseite!$D$68&lt;Refsz_Verbräuche[[#Headers],[2022]],Refsz_Verbräuche[[#This Row],[2021]],"")))</f>
        <v/>
      </c>
      <c r="N156" s="110" t="str">
        <f>IF(Refsz_Verbräuche[[#Headers],[2023]]=Startseite!$D$68,IF(OR(SUMIF($F156:Refsz_Verbräuche[[#This Row],[2022]],"&gt;0")&gt;0,), AVERAGEIF($F156:Refsz_Verbräuche[[#This Row],[2022]],"&lt;&gt;"""), ""),IF(Startseite!$D$68=(Refsz_Verbräuche[[#Headers],[2023]]-1),Refsz_Verbräuche[[#This Row],[2022]],IF(Startseite!$D$68&lt;Refsz_Verbräuche[[#Headers],[2023]],Refsz_Verbräuche[[#This Row],[2022]],"")))</f>
        <v/>
      </c>
      <c r="O156" s="110" t="str">
        <f>IF(Refsz_Verbräuche[[#Headers],[2024]]=Startseite!$D$68,IF(OR(SUMIF($F156:Refsz_Verbräuche[[#This Row],[2023]],"&gt;0")&gt;0,), AVERAGEIF($F156:Refsz_Verbräuche[[#This Row],[2023]],"&lt;&gt;"""), ""),IF(Startseite!$D$68=(Refsz_Verbräuche[[#Headers],[2024]]-1),Refsz_Verbräuche[[#This Row],[2023]],IF(Startseite!$D$68&lt;Refsz_Verbräuche[[#Headers],[2024]],Refsz_Verbräuche[[#This Row],[2023]],"")))</f>
        <v/>
      </c>
      <c r="P156" s="110" t="str">
        <f>IF(Refsz_Verbräuche[[#Headers],[2025]]=Startseite!$D$68,IF(OR(SUMIF($F156:Refsz_Verbräuche[[#This Row],[2024]],"&gt;0")&gt;0,), AVERAGEIF($F156:Refsz_Verbräuche[[#This Row],[2024]],"&lt;&gt;"""), ""),IF(Startseite!$D$68=(Refsz_Verbräuche[[#Headers],[2025]]-1),Refsz_Verbräuche[[#This Row],[2024]],IF(Startseite!$D$68&lt;Refsz_Verbräuche[[#Headers],[2025]],Refsz_Verbräuche[[#This Row],[2024]],"")))</f>
        <v/>
      </c>
      <c r="Q156" s="110" t="str">
        <f>IF(Refsz_Verbräuche[[#Headers],[2026]]=Startseite!$D$68,IF(OR(SUMIF($F156:Refsz_Verbräuche[[#This Row],[2025]],"&gt;0")&gt;0,), AVERAGEIF($F156:Refsz_Verbräuche[[#This Row],[2025]],"&lt;&gt;"""), ""),IF(Startseite!$D$68=(Refsz_Verbräuche[[#Headers],[2026]]-1),Refsz_Verbräuche[[#This Row],[2025]],IF(Startseite!$D$68&lt;Refsz_Verbräuche[[#Headers],[2026]],Refsz_Verbräuche[[#This Row],[2025]],"")))</f>
        <v/>
      </c>
      <c r="R156" s="110" t="str">
        <f>IF(Refsz_Verbräuche[[#Headers],[2027]]=Startseite!$D$68,IF(OR(SUMIF($F156:Refsz_Verbräuche[[#This Row],[2026]],"&gt;0")&gt;0,), AVERAGEIF($F156:Refsz_Verbräuche[[#This Row],[2026]],"&lt;&gt;"""), ""),IF(Startseite!$D$68=(Refsz_Verbräuche[[#Headers],[2027]]-1),Refsz_Verbräuche[[#This Row],[2026]],IF(Startseite!$D$68&lt;Refsz_Verbräuche[[#Headers],[2027]],Refsz_Verbräuche[[#This Row],[2026]],"")))</f>
        <v/>
      </c>
      <c r="S156" s="110" t="str">
        <f>IF(Refsz_Verbräuche[[#Headers],[2028]]=Startseite!$D$68,IF(OR(SUMIF($F156:Refsz_Verbräuche[[#This Row],[2027]],"&gt;0")&gt;0,), AVERAGEIF($F156:Refsz_Verbräuche[[#This Row],[2027]],"&lt;&gt;"""), ""),IF(Startseite!$D$68=(Refsz_Verbräuche[[#Headers],[2028]]-1),Refsz_Verbräuche[[#This Row],[2027]],IF(Startseite!$D$68&lt;Refsz_Verbräuche[[#Headers],[2028]],Refsz_Verbräuche[[#This Row],[2027]],"")))</f>
        <v/>
      </c>
      <c r="T156" s="110" t="str">
        <f>IF(Refsz_Verbräuche[[#Headers],[2029]]=Startseite!$D$68,IF(OR(SUMIF($F156:Refsz_Verbräuche[[#This Row],[2028]],"&gt;0")&gt;0,), AVERAGEIF($F156:Refsz_Verbräuche[[#This Row],[2028]],"&lt;&gt;"""), ""),IF(Startseite!$D$68=(Refsz_Verbräuche[[#Headers],[2029]]-1),Refsz_Verbräuche[[#This Row],[2028]],IF(Startseite!$D$68&lt;Refsz_Verbräuche[[#Headers],[2029]],Refsz_Verbräuche[[#This Row],[2028]],"")))</f>
        <v/>
      </c>
      <c r="U156" s="110" t="str">
        <f>IF(Refsz_Verbräuche[[#Headers],[2030]]=Startseite!$D$68,IF(OR(SUMIF($F156:Refsz_Verbräuche[[#This Row],[2029]],"&gt;0")&gt;0,), AVERAGEIF($F156:Refsz_Verbräuche[[#This Row],[2029]],"&lt;&gt;"""), ""),IF(Startseite!$D$68=(Refsz_Verbräuche[[#Headers],[2030]]-1),Refsz_Verbräuche[[#This Row],[2029]],IF(Startseite!$D$68&lt;Refsz_Verbräuche[[#Headers],[2030]],Refsz_Verbräuche[[#This Row],[2029]],"")))</f>
        <v/>
      </c>
      <c r="V156" s="110" t="str">
        <f>IF(Refsz_Verbräuche[[#Headers],[2035]]=Startseite!$D$68,IF(OR(SUMIF($F156:Refsz_Verbräuche[[#This Row],[2030]],"&gt;0")&gt;0,), AVERAGEIF($F156:Refsz_Verbräuche[[#This Row],[2030]],"&lt;&gt;"""), ""),IF(Startseite!$D$68=(Refsz_Verbräuche[[#Headers],[2035]]-1),Refsz_Verbräuche[[#This Row],[2030]],IF(Startseite!$D$68&lt;Refsz_Verbräuche[[#Headers],[2035]],Refsz_Verbräuche[[#This Row],[2030]],"")))</f>
        <v/>
      </c>
      <c r="W156" s="110" t="str">
        <f>IF(Refsz_Verbräuche[[#Headers],[2040]]=Startseite!$D$68,IF(OR(SUMIF($F156:Refsz_Verbräuche[[#This Row],[2035]],"&gt;0")&gt;0,), AVERAGEIF($F156:Refsz_Verbräuche[[#This Row],[2035]],"&lt;&gt;"""), ""),IF(Startseite!$D$68=(Refsz_Verbräuche[[#Headers],[2040]]-1),Refsz_Verbräuche[[#This Row],[2035]],IF(Startseite!$D$68&lt;Refsz_Verbräuche[[#Headers],[2040]],Refsz_Verbräuche[[#This Row],[2035]],"")))</f>
        <v/>
      </c>
      <c r="X156" s="110" t="str">
        <f>IF(Refsz_Verbräuche[[#Headers],[2045]]=Startseite!$D$68,IF(OR(SUMIF($F156:Refsz_Verbräuche[[#This Row],[2040]],"&gt;0")&gt;0,), AVERAGEIF($F156:Refsz_Verbräuche[[#This Row],[2040]],"&lt;&gt;"""), ""),IF(Startseite!$D$68=(Refsz_Verbräuche[[#Headers],[2045]]-1),Refsz_Verbräuche[[#This Row],[2040]],IF(Startseite!$D$68&lt;Refsz_Verbräuche[[#Headers],[2045]],Refsz_Verbräuche[[#This Row],[2040]],"")))</f>
        <v/>
      </c>
      <c r="Y156" s="110" t="str">
        <f>IF(Refsz_Verbräuche[[#Headers],[2050]]=Startseite!$D$68,IF(OR(SUMIF($F156:Refsz_Verbräuche[[#This Row],[2045]],"&gt;0")&gt;0,), AVERAGEIF($F156:Refsz_Verbräuche[[#This Row],[2045]],"&lt;&gt;"""), ""),IF(Startseite!$D$68=(Refsz_Verbräuche[[#Headers],[2050]]-1),Refsz_Verbräuche[[#This Row],[2045]],IF(Startseite!$D$68&lt;Refsz_Verbräuche[[#Headers],[2050]],Refsz_Verbräuche[[#This Row],[2045]],"")))</f>
        <v/>
      </c>
      <c r="AA156" s="14"/>
    </row>
    <row r="157" spans="2:27">
      <c r="B157" s="14">
        <v>140</v>
      </c>
      <c r="C157" s="14" t="s">
        <v>517</v>
      </c>
      <c r="D157" s="9" t="s">
        <v>118</v>
      </c>
      <c r="E157" t="s">
        <v>182</v>
      </c>
      <c r="F157" s="110"/>
      <c r="G157" s="110"/>
      <c r="H157" s="110"/>
      <c r="I157" s="110"/>
      <c r="J157" s="110"/>
      <c r="K157" s="110"/>
      <c r="L157" s="110"/>
      <c r="M157" s="110" t="str">
        <f>IF(Refsz_Verbräuche[[#Headers],[2022]]=Startseite!$D$68,IF(OR(SUMIF($F157:Refsz_Verbräuche[[#This Row],[2021]],"&gt;0")&gt;0,), AVERAGEIF($F157:Refsz_Verbräuche[[#This Row],[2021]],"&lt;&gt;"""), ""),IF(Startseite!$D$68=(Refsz_Verbräuche[[#Headers],[2022]]-1),Refsz_Verbräuche[[#This Row],[2021]],IF(Startseite!$D$68&lt;Refsz_Verbräuche[[#Headers],[2022]],Refsz_Verbräuche[[#This Row],[2021]],"")))</f>
        <v/>
      </c>
      <c r="N157" s="110" t="str">
        <f>IF(Refsz_Verbräuche[[#Headers],[2023]]=Startseite!$D$68,IF(OR(SUMIF($F157:Refsz_Verbräuche[[#This Row],[2022]],"&gt;0")&gt;0,), AVERAGEIF($F157:Refsz_Verbräuche[[#This Row],[2022]],"&lt;&gt;"""), ""),IF(Startseite!$D$68=(Refsz_Verbräuche[[#Headers],[2023]]-1),Refsz_Verbräuche[[#This Row],[2022]],IF(Startseite!$D$68&lt;Refsz_Verbräuche[[#Headers],[2023]],Refsz_Verbräuche[[#This Row],[2022]],"")))</f>
        <v/>
      </c>
      <c r="O157" s="110" t="str">
        <f>IF(Refsz_Verbräuche[[#Headers],[2024]]=Startseite!$D$68,IF(OR(SUMIF($F157:Refsz_Verbräuche[[#This Row],[2023]],"&gt;0")&gt;0,), AVERAGEIF($F157:Refsz_Verbräuche[[#This Row],[2023]],"&lt;&gt;"""), ""),IF(Startseite!$D$68=(Refsz_Verbräuche[[#Headers],[2024]]-1),Refsz_Verbräuche[[#This Row],[2023]],IF(Startseite!$D$68&lt;Refsz_Verbräuche[[#Headers],[2024]],Refsz_Verbräuche[[#This Row],[2023]],"")))</f>
        <v/>
      </c>
      <c r="P157" s="110" t="str">
        <f>IF(Refsz_Verbräuche[[#Headers],[2025]]=Startseite!$D$68,IF(OR(SUMIF($F157:Refsz_Verbräuche[[#This Row],[2024]],"&gt;0")&gt;0,), AVERAGEIF($F157:Refsz_Verbräuche[[#This Row],[2024]],"&lt;&gt;"""), ""),IF(Startseite!$D$68=(Refsz_Verbräuche[[#Headers],[2025]]-1),Refsz_Verbräuche[[#This Row],[2024]],IF(Startseite!$D$68&lt;Refsz_Verbräuche[[#Headers],[2025]],Refsz_Verbräuche[[#This Row],[2024]],"")))</f>
        <v/>
      </c>
      <c r="Q157" s="110" t="str">
        <f>IF(Refsz_Verbräuche[[#Headers],[2026]]=Startseite!$D$68,IF(OR(SUMIF($F157:Refsz_Verbräuche[[#This Row],[2025]],"&gt;0")&gt;0,), AVERAGEIF($F157:Refsz_Verbräuche[[#This Row],[2025]],"&lt;&gt;"""), ""),IF(Startseite!$D$68=(Refsz_Verbräuche[[#Headers],[2026]]-1),Refsz_Verbräuche[[#This Row],[2025]],IF(Startseite!$D$68&lt;Refsz_Verbräuche[[#Headers],[2026]],Refsz_Verbräuche[[#This Row],[2025]],"")))</f>
        <v/>
      </c>
      <c r="R157" s="110" t="str">
        <f>IF(Refsz_Verbräuche[[#Headers],[2027]]=Startseite!$D$68,IF(OR(SUMIF($F157:Refsz_Verbräuche[[#This Row],[2026]],"&gt;0")&gt;0,), AVERAGEIF($F157:Refsz_Verbräuche[[#This Row],[2026]],"&lt;&gt;"""), ""),IF(Startseite!$D$68=(Refsz_Verbräuche[[#Headers],[2027]]-1),Refsz_Verbräuche[[#This Row],[2026]],IF(Startseite!$D$68&lt;Refsz_Verbräuche[[#Headers],[2027]],Refsz_Verbräuche[[#This Row],[2026]],"")))</f>
        <v/>
      </c>
      <c r="S157" s="110" t="str">
        <f>IF(Refsz_Verbräuche[[#Headers],[2028]]=Startseite!$D$68,IF(OR(SUMIF($F157:Refsz_Verbräuche[[#This Row],[2027]],"&gt;0")&gt;0,), AVERAGEIF($F157:Refsz_Verbräuche[[#This Row],[2027]],"&lt;&gt;"""), ""),IF(Startseite!$D$68=(Refsz_Verbräuche[[#Headers],[2028]]-1),Refsz_Verbräuche[[#This Row],[2027]],IF(Startseite!$D$68&lt;Refsz_Verbräuche[[#Headers],[2028]],Refsz_Verbräuche[[#This Row],[2027]],"")))</f>
        <v/>
      </c>
      <c r="T157" s="110" t="str">
        <f>IF(Refsz_Verbräuche[[#Headers],[2029]]=Startseite!$D$68,IF(OR(SUMIF($F157:Refsz_Verbräuche[[#This Row],[2028]],"&gt;0")&gt;0,), AVERAGEIF($F157:Refsz_Verbräuche[[#This Row],[2028]],"&lt;&gt;"""), ""),IF(Startseite!$D$68=(Refsz_Verbräuche[[#Headers],[2029]]-1),Refsz_Verbräuche[[#This Row],[2028]],IF(Startseite!$D$68&lt;Refsz_Verbräuche[[#Headers],[2029]],Refsz_Verbräuche[[#This Row],[2028]],"")))</f>
        <v/>
      </c>
      <c r="U157" s="110" t="str">
        <f>IF(Refsz_Verbräuche[[#Headers],[2030]]=Startseite!$D$68,IF(OR(SUMIF($F157:Refsz_Verbräuche[[#This Row],[2029]],"&gt;0")&gt;0,), AVERAGEIF($F157:Refsz_Verbräuche[[#This Row],[2029]],"&lt;&gt;"""), ""),IF(Startseite!$D$68=(Refsz_Verbräuche[[#Headers],[2030]]-1),Refsz_Verbräuche[[#This Row],[2029]],IF(Startseite!$D$68&lt;Refsz_Verbräuche[[#Headers],[2030]],Refsz_Verbräuche[[#This Row],[2029]],"")))</f>
        <v/>
      </c>
      <c r="V157" s="110" t="str">
        <f>IF(Refsz_Verbräuche[[#Headers],[2035]]=Startseite!$D$68,IF(OR(SUMIF($F157:Refsz_Verbräuche[[#This Row],[2030]],"&gt;0")&gt;0,), AVERAGEIF($F157:Refsz_Verbräuche[[#This Row],[2030]],"&lt;&gt;"""), ""),IF(Startseite!$D$68=(Refsz_Verbräuche[[#Headers],[2035]]-1),Refsz_Verbräuche[[#This Row],[2030]],IF(Startseite!$D$68&lt;Refsz_Verbräuche[[#Headers],[2035]],Refsz_Verbräuche[[#This Row],[2030]],"")))</f>
        <v/>
      </c>
      <c r="W157" s="110" t="str">
        <f>IF(Refsz_Verbräuche[[#Headers],[2040]]=Startseite!$D$68,IF(OR(SUMIF($F157:Refsz_Verbräuche[[#This Row],[2035]],"&gt;0")&gt;0,), AVERAGEIF($F157:Refsz_Verbräuche[[#This Row],[2035]],"&lt;&gt;"""), ""),IF(Startseite!$D$68=(Refsz_Verbräuche[[#Headers],[2040]]-1),Refsz_Verbräuche[[#This Row],[2035]],IF(Startseite!$D$68&lt;Refsz_Verbräuche[[#Headers],[2040]],Refsz_Verbräuche[[#This Row],[2035]],"")))</f>
        <v/>
      </c>
      <c r="X157" s="110" t="str">
        <f>IF(Refsz_Verbräuche[[#Headers],[2045]]=Startseite!$D$68,IF(OR(SUMIF($F157:Refsz_Verbräuche[[#This Row],[2040]],"&gt;0")&gt;0,), AVERAGEIF($F157:Refsz_Verbräuche[[#This Row],[2040]],"&lt;&gt;"""), ""),IF(Startseite!$D$68=(Refsz_Verbräuche[[#Headers],[2045]]-1),Refsz_Verbräuche[[#This Row],[2040]],IF(Startseite!$D$68&lt;Refsz_Verbräuche[[#Headers],[2045]],Refsz_Verbräuche[[#This Row],[2040]],"")))</f>
        <v/>
      </c>
      <c r="Y157" s="110" t="str">
        <f>IF(Refsz_Verbräuche[[#Headers],[2050]]=Startseite!$D$68,IF(OR(SUMIF($F157:Refsz_Verbräuche[[#This Row],[2045]],"&gt;0")&gt;0,), AVERAGEIF($F157:Refsz_Verbräuche[[#This Row],[2045]],"&lt;&gt;"""), ""),IF(Startseite!$D$68=(Refsz_Verbräuche[[#Headers],[2050]]-1),Refsz_Verbräuche[[#This Row],[2045]],IF(Startseite!$D$68&lt;Refsz_Verbräuche[[#Headers],[2050]],Refsz_Verbräuche[[#This Row],[2045]],"")))</f>
        <v/>
      </c>
      <c r="AA157" s="14"/>
    </row>
    <row r="158" spans="2:27">
      <c r="B158" s="14">
        <v>141</v>
      </c>
      <c r="C158" s="14" t="s">
        <v>517</v>
      </c>
      <c r="D158" s="9" t="s">
        <v>120</v>
      </c>
      <c r="E158" t="s">
        <v>182</v>
      </c>
      <c r="F158" s="110"/>
      <c r="G158" s="110"/>
      <c r="H158" s="110"/>
      <c r="I158" s="110"/>
      <c r="J158" s="110"/>
      <c r="K158" s="110"/>
      <c r="L158" s="110"/>
      <c r="M158" s="110" t="str">
        <f>IF(Refsz_Verbräuche[[#Headers],[2022]]=Startseite!$D$68,IF(OR(SUMIF($F158:Refsz_Verbräuche[[#This Row],[2021]],"&gt;0")&gt;0,), AVERAGEIF($F158:Refsz_Verbräuche[[#This Row],[2021]],"&lt;&gt;"""), ""),IF(Startseite!$D$68=(Refsz_Verbräuche[[#Headers],[2022]]-1),Refsz_Verbräuche[[#This Row],[2021]],IF(Startseite!$D$68&lt;Refsz_Verbräuche[[#Headers],[2022]],Refsz_Verbräuche[[#This Row],[2021]],"")))</f>
        <v/>
      </c>
      <c r="N158" s="110" t="str">
        <f>IF(Refsz_Verbräuche[[#Headers],[2023]]=Startseite!$D$68,IF(OR(SUMIF($F158:Refsz_Verbräuche[[#This Row],[2022]],"&gt;0")&gt;0,), AVERAGEIF($F158:Refsz_Verbräuche[[#This Row],[2022]],"&lt;&gt;"""), ""),IF(Startseite!$D$68=(Refsz_Verbräuche[[#Headers],[2023]]-1),Refsz_Verbräuche[[#This Row],[2022]],IF(Startseite!$D$68&lt;Refsz_Verbräuche[[#Headers],[2023]],Refsz_Verbräuche[[#This Row],[2022]],"")))</f>
        <v/>
      </c>
      <c r="O158" s="110" t="str">
        <f>IF(Refsz_Verbräuche[[#Headers],[2024]]=Startseite!$D$68,IF(OR(SUMIF($F158:Refsz_Verbräuche[[#This Row],[2023]],"&gt;0")&gt;0,), AVERAGEIF($F158:Refsz_Verbräuche[[#This Row],[2023]],"&lt;&gt;"""), ""),IF(Startseite!$D$68=(Refsz_Verbräuche[[#Headers],[2024]]-1),Refsz_Verbräuche[[#This Row],[2023]],IF(Startseite!$D$68&lt;Refsz_Verbräuche[[#Headers],[2024]],Refsz_Verbräuche[[#This Row],[2023]],"")))</f>
        <v/>
      </c>
      <c r="P158" s="110" t="str">
        <f>IF(Refsz_Verbräuche[[#Headers],[2025]]=Startseite!$D$68,IF(OR(SUMIF($F158:Refsz_Verbräuche[[#This Row],[2024]],"&gt;0")&gt;0,), AVERAGEIF($F158:Refsz_Verbräuche[[#This Row],[2024]],"&lt;&gt;"""), ""),IF(Startseite!$D$68=(Refsz_Verbräuche[[#Headers],[2025]]-1),Refsz_Verbräuche[[#This Row],[2024]],IF(Startseite!$D$68&lt;Refsz_Verbräuche[[#Headers],[2025]],Refsz_Verbräuche[[#This Row],[2024]],"")))</f>
        <v/>
      </c>
      <c r="Q158" s="110" t="str">
        <f>IF(Refsz_Verbräuche[[#Headers],[2026]]=Startseite!$D$68,IF(OR(SUMIF($F158:Refsz_Verbräuche[[#This Row],[2025]],"&gt;0")&gt;0,), AVERAGEIF($F158:Refsz_Verbräuche[[#This Row],[2025]],"&lt;&gt;"""), ""),IF(Startseite!$D$68=(Refsz_Verbräuche[[#Headers],[2026]]-1),Refsz_Verbräuche[[#This Row],[2025]],IF(Startseite!$D$68&lt;Refsz_Verbräuche[[#Headers],[2026]],Refsz_Verbräuche[[#This Row],[2025]],"")))</f>
        <v/>
      </c>
      <c r="R158" s="110" t="str">
        <f>IF(Refsz_Verbräuche[[#Headers],[2027]]=Startseite!$D$68,IF(OR(SUMIF($F158:Refsz_Verbräuche[[#This Row],[2026]],"&gt;0")&gt;0,), AVERAGEIF($F158:Refsz_Verbräuche[[#This Row],[2026]],"&lt;&gt;"""), ""),IF(Startseite!$D$68=(Refsz_Verbräuche[[#Headers],[2027]]-1),Refsz_Verbräuche[[#This Row],[2026]],IF(Startseite!$D$68&lt;Refsz_Verbräuche[[#Headers],[2027]],Refsz_Verbräuche[[#This Row],[2026]],"")))</f>
        <v/>
      </c>
      <c r="S158" s="110" t="str">
        <f>IF(Refsz_Verbräuche[[#Headers],[2028]]=Startseite!$D$68,IF(OR(SUMIF($F158:Refsz_Verbräuche[[#This Row],[2027]],"&gt;0")&gt;0,), AVERAGEIF($F158:Refsz_Verbräuche[[#This Row],[2027]],"&lt;&gt;"""), ""),IF(Startseite!$D$68=(Refsz_Verbräuche[[#Headers],[2028]]-1),Refsz_Verbräuche[[#This Row],[2027]],IF(Startseite!$D$68&lt;Refsz_Verbräuche[[#Headers],[2028]],Refsz_Verbräuche[[#This Row],[2027]],"")))</f>
        <v/>
      </c>
      <c r="T158" s="110" t="str">
        <f>IF(Refsz_Verbräuche[[#Headers],[2029]]=Startseite!$D$68,IF(OR(SUMIF($F158:Refsz_Verbräuche[[#This Row],[2028]],"&gt;0")&gt;0,), AVERAGEIF($F158:Refsz_Verbräuche[[#This Row],[2028]],"&lt;&gt;"""), ""),IF(Startseite!$D$68=(Refsz_Verbräuche[[#Headers],[2029]]-1),Refsz_Verbräuche[[#This Row],[2028]],IF(Startseite!$D$68&lt;Refsz_Verbräuche[[#Headers],[2029]],Refsz_Verbräuche[[#This Row],[2028]],"")))</f>
        <v/>
      </c>
      <c r="U158" s="110" t="str">
        <f>IF(Refsz_Verbräuche[[#Headers],[2030]]=Startseite!$D$68,IF(OR(SUMIF($F158:Refsz_Verbräuche[[#This Row],[2029]],"&gt;0")&gt;0,), AVERAGEIF($F158:Refsz_Verbräuche[[#This Row],[2029]],"&lt;&gt;"""), ""),IF(Startseite!$D$68=(Refsz_Verbräuche[[#Headers],[2030]]-1),Refsz_Verbräuche[[#This Row],[2029]],IF(Startseite!$D$68&lt;Refsz_Verbräuche[[#Headers],[2030]],Refsz_Verbräuche[[#This Row],[2029]],"")))</f>
        <v/>
      </c>
      <c r="V158" s="110" t="str">
        <f>IF(Refsz_Verbräuche[[#Headers],[2035]]=Startseite!$D$68,IF(OR(SUMIF($F158:Refsz_Verbräuche[[#This Row],[2030]],"&gt;0")&gt;0,), AVERAGEIF($F158:Refsz_Verbräuche[[#This Row],[2030]],"&lt;&gt;"""), ""),IF(Startseite!$D$68=(Refsz_Verbräuche[[#Headers],[2035]]-1),Refsz_Verbräuche[[#This Row],[2030]],IF(Startseite!$D$68&lt;Refsz_Verbräuche[[#Headers],[2035]],Refsz_Verbräuche[[#This Row],[2030]],"")))</f>
        <v/>
      </c>
      <c r="W158" s="110" t="str">
        <f>IF(Refsz_Verbräuche[[#Headers],[2040]]=Startseite!$D$68,IF(OR(SUMIF($F158:Refsz_Verbräuche[[#This Row],[2035]],"&gt;0")&gt;0,), AVERAGEIF($F158:Refsz_Verbräuche[[#This Row],[2035]],"&lt;&gt;"""), ""),IF(Startseite!$D$68=(Refsz_Verbräuche[[#Headers],[2040]]-1),Refsz_Verbräuche[[#This Row],[2035]],IF(Startseite!$D$68&lt;Refsz_Verbräuche[[#Headers],[2040]],Refsz_Verbräuche[[#This Row],[2035]],"")))</f>
        <v/>
      </c>
      <c r="X158" s="110" t="str">
        <f>IF(Refsz_Verbräuche[[#Headers],[2045]]=Startseite!$D$68,IF(OR(SUMIF($F158:Refsz_Verbräuche[[#This Row],[2040]],"&gt;0")&gt;0,), AVERAGEIF($F158:Refsz_Verbräuche[[#This Row],[2040]],"&lt;&gt;"""), ""),IF(Startseite!$D$68=(Refsz_Verbräuche[[#Headers],[2045]]-1),Refsz_Verbräuche[[#This Row],[2040]],IF(Startseite!$D$68&lt;Refsz_Verbräuche[[#Headers],[2045]],Refsz_Verbräuche[[#This Row],[2040]],"")))</f>
        <v/>
      </c>
      <c r="Y158" s="110" t="str">
        <f>IF(Refsz_Verbräuche[[#Headers],[2050]]=Startseite!$D$68,IF(OR(SUMIF($F158:Refsz_Verbräuche[[#This Row],[2045]],"&gt;0")&gt;0,), AVERAGEIF($F158:Refsz_Verbräuche[[#This Row],[2045]],"&lt;&gt;"""), ""),IF(Startseite!$D$68=(Refsz_Verbräuche[[#Headers],[2050]]-1),Refsz_Verbräuche[[#This Row],[2045]],IF(Startseite!$D$68&lt;Refsz_Verbräuche[[#Headers],[2050]],Refsz_Verbräuche[[#This Row],[2045]],"")))</f>
        <v/>
      </c>
      <c r="AA158" s="14"/>
    </row>
    <row r="159" spans="2:27">
      <c r="B159" s="14">
        <v>142</v>
      </c>
      <c r="C159" s="14" t="s">
        <v>517</v>
      </c>
      <c r="D159" s="9" t="s">
        <v>122</v>
      </c>
      <c r="E159" t="s">
        <v>180</v>
      </c>
      <c r="F159" s="110"/>
      <c r="G159" s="110"/>
      <c r="H159" s="110"/>
      <c r="I159" s="110"/>
      <c r="J159" s="110"/>
      <c r="K159" s="110"/>
      <c r="L159" s="110"/>
      <c r="M159" s="110" t="str">
        <f>IF(Refsz_Verbräuche[[#Headers],[2022]]=Startseite!$D$68,IF(OR(SUMIF($F159:Refsz_Verbräuche[[#This Row],[2021]],"&gt;0")&gt;0,), AVERAGEIF($F159:Refsz_Verbräuche[[#This Row],[2021]],"&lt;&gt;"""), ""),IF(Startseite!$D$68=(Refsz_Verbräuche[[#Headers],[2022]]-1),Refsz_Verbräuche[[#This Row],[2021]],IF(Startseite!$D$68&lt;Refsz_Verbräuche[[#Headers],[2022]],Refsz_Verbräuche[[#This Row],[2021]],"")))</f>
        <v/>
      </c>
      <c r="N159" s="110" t="str">
        <f>IF(Refsz_Verbräuche[[#Headers],[2023]]=Startseite!$D$68,IF(OR(SUMIF($F159:Refsz_Verbräuche[[#This Row],[2022]],"&gt;0")&gt;0,), AVERAGEIF($F159:Refsz_Verbräuche[[#This Row],[2022]],"&lt;&gt;"""), ""),IF(Startseite!$D$68=(Refsz_Verbräuche[[#Headers],[2023]]-1),Refsz_Verbräuche[[#This Row],[2022]],IF(Startseite!$D$68&lt;Refsz_Verbräuche[[#Headers],[2023]],Refsz_Verbräuche[[#This Row],[2022]],"")))</f>
        <v/>
      </c>
      <c r="O159" s="110" t="str">
        <f>IF(Refsz_Verbräuche[[#Headers],[2024]]=Startseite!$D$68,IF(OR(SUMIF($F159:Refsz_Verbräuche[[#This Row],[2023]],"&gt;0")&gt;0,), AVERAGEIF($F159:Refsz_Verbräuche[[#This Row],[2023]],"&lt;&gt;"""), ""),IF(Startseite!$D$68=(Refsz_Verbräuche[[#Headers],[2024]]-1),Refsz_Verbräuche[[#This Row],[2023]],IF(Startseite!$D$68&lt;Refsz_Verbräuche[[#Headers],[2024]],Refsz_Verbräuche[[#This Row],[2023]],"")))</f>
        <v/>
      </c>
      <c r="P159" s="110" t="str">
        <f>IF(Refsz_Verbräuche[[#Headers],[2025]]=Startseite!$D$68,IF(OR(SUMIF($F159:Refsz_Verbräuche[[#This Row],[2024]],"&gt;0")&gt;0,), AVERAGEIF($F159:Refsz_Verbräuche[[#This Row],[2024]],"&lt;&gt;"""), ""),IF(Startseite!$D$68=(Refsz_Verbräuche[[#Headers],[2025]]-1),Refsz_Verbräuche[[#This Row],[2024]],IF(Startseite!$D$68&lt;Refsz_Verbräuche[[#Headers],[2025]],Refsz_Verbräuche[[#This Row],[2024]],"")))</f>
        <v/>
      </c>
      <c r="Q159" s="110" t="str">
        <f>IF(Refsz_Verbräuche[[#Headers],[2026]]=Startseite!$D$68,IF(OR(SUMIF($F159:Refsz_Verbräuche[[#This Row],[2025]],"&gt;0")&gt;0,), AVERAGEIF($F159:Refsz_Verbräuche[[#This Row],[2025]],"&lt;&gt;"""), ""),IF(Startseite!$D$68=(Refsz_Verbräuche[[#Headers],[2026]]-1),Refsz_Verbräuche[[#This Row],[2025]],IF(Startseite!$D$68&lt;Refsz_Verbräuche[[#Headers],[2026]],Refsz_Verbräuche[[#This Row],[2025]],"")))</f>
        <v/>
      </c>
      <c r="R159" s="110" t="str">
        <f>IF(Refsz_Verbräuche[[#Headers],[2027]]=Startseite!$D$68,IF(OR(SUMIF($F159:Refsz_Verbräuche[[#This Row],[2026]],"&gt;0")&gt;0,), AVERAGEIF($F159:Refsz_Verbräuche[[#This Row],[2026]],"&lt;&gt;"""), ""),IF(Startseite!$D$68=(Refsz_Verbräuche[[#Headers],[2027]]-1),Refsz_Verbräuche[[#This Row],[2026]],IF(Startseite!$D$68&lt;Refsz_Verbräuche[[#Headers],[2027]],Refsz_Verbräuche[[#This Row],[2026]],"")))</f>
        <v/>
      </c>
      <c r="S159" s="110" t="str">
        <f>IF(Refsz_Verbräuche[[#Headers],[2028]]=Startseite!$D$68,IF(OR(SUMIF($F159:Refsz_Verbräuche[[#This Row],[2027]],"&gt;0")&gt;0,), AVERAGEIF($F159:Refsz_Verbräuche[[#This Row],[2027]],"&lt;&gt;"""), ""),IF(Startseite!$D$68=(Refsz_Verbräuche[[#Headers],[2028]]-1),Refsz_Verbräuche[[#This Row],[2027]],IF(Startseite!$D$68&lt;Refsz_Verbräuche[[#Headers],[2028]],Refsz_Verbräuche[[#This Row],[2027]],"")))</f>
        <v/>
      </c>
      <c r="T159" s="110" t="str">
        <f>IF(Refsz_Verbräuche[[#Headers],[2029]]=Startseite!$D$68,IF(OR(SUMIF($F159:Refsz_Verbräuche[[#This Row],[2028]],"&gt;0")&gt;0,), AVERAGEIF($F159:Refsz_Verbräuche[[#This Row],[2028]],"&lt;&gt;"""), ""),IF(Startseite!$D$68=(Refsz_Verbräuche[[#Headers],[2029]]-1),Refsz_Verbräuche[[#This Row],[2028]],IF(Startseite!$D$68&lt;Refsz_Verbräuche[[#Headers],[2029]],Refsz_Verbräuche[[#This Row],[2028]],"")))</f>
        <v/>
      </c>
      <c r="U159" s="110" t="str">
        <f>IF(Refsz_Verbräuche[[#Headers],[2030]]=Startseite!$D$68,IF(OR(SUMIF($F159:Refsz_Verbräuche[[#This Row],[2029]],"&gt;0")&gt;0,), AVERAGEIF($F159:Refsz_Verbräuche[[#This Row],[2029]],"&lt;&gt;"""), ""),IF(Startseite!$D$68=(Refsz_Verbräuche[[#Headers],[2030]]-1),Refsz_Verbräuche[[#This Row],[2029]],IF(Startseite!$D$68&lt;Refsz_Verbräuche[[#Headers],[2030]],Refsz_Verbräuche[[#This Row],[2029]],"")))</f>
        <v/>
      </c>
      <c r="V159" s="110" t="str">
        <f>IF(Refsz_Verbräuche[[#Headers],[2035]]=Startseite!$D$68,IF(OR(SUMIF($F159:Refsz_Verbräuche[[#This Row],[2030]],"&gt;0")&gt;0,), AVERAGEIF($F159:Refsz_Verbräuche[[#This Row],[2030]],"&lt;&gt;"""), ""),IF(Startseite!$D$68=(Refsz_Verbräuche[[#Headers],[2035]]-1),Refsz_Verbräuche[[#This Row],[2030]],IF(Startseite!$D$68&lt;Refsz_Verbräuche[[#Headers],[2035]],Refsz_Verbräuche[[#This Row],[2030]],"")))</f>
        <v/>
      </c>
      <c r="W159" s="110" t="str">
        <f>IF(Refsz_Verbräuche[[#Headers],[2040]]=Startseite!$D$68,IF(OR(SUMIF($F159:Refsz_Verbräuche[[#This Row],[2035]],"&gt;0")&gt;0,), AVERAGEIF($F159:Refsz_Verbräuche[[#This Row],[2035]],"&lt;&gt;"""), ""),IF(Startseite!$D$68=(Refsz_Verbräuche[[#Headers],[2040]]-1),Refsz_Verbräuche[[#This Row],[2035]],IF(Startseite!$D$68&lt;Refsz_Verbräuche[[#Headers],[2040]],Refsz_Verbräuche[[#This Row],[2035]],"")))</f>
        <v/>
      </c>
      <c r="X159" s="110" t="str">
        <f>IF(Refsz_Verbräuche[[#Headers],[2045]]=Startseite!$D$68,IF(OR(SUMIF($F159:Refsz_Verbräuche[[#This Row],[2040]],"&gt;0")&gt;0,), AVERAGEIF($F159:Refsz_Verbräuche[[#This Row],[2040]],"&lt;&gt;"""), ""),IF(Startseite!$D$68=(Refsz_Verbräuche[[#Headers],[2045]]-1),Refsz_Verbräuche[[#This Row],[2040]],IF(Startseite!$D$68&lt;Refsz_Verbräuche[[#Headers],[2045]],Refsz_Verbräuche[[#This Row],[2040]],"")))</f>
        <v/>
      </c>
      <c r="Y159" s="110" t="str">
        <f>IF(Refsz_Verbräuche[[#Headers],[2050]]=Startseite!$D$68,IF(OR(SUMIF($F159:Refsz_Verbräuche[[#This Row],[2045]],"&gt;0")&gt;0,), AVERAGEIF($F159:Refsz_Verbräuche[[#This Row],[2045]],"&lt;&gt;"""), ""),IF(Startseite!$D$68=(Refsz_Verbräuche[[#Headers],[2050]]-1),Refsz_Verbräuche[[#This Row],[2045]],IF(Startseite!$D$68&lt;Refsz_Verbräuche[[#Headers],[2050]],Refsz_Verbräuche[[#This Row],[2045]],"")))</f>
        <v/>
      </c>
      <c r="AA159" s="14"/>
    </row>
    <row r="160" spans="2:27">
      <c r="B160" s="14">
        <v>143</v>
      </c>
      <c r="C160" s="14" t="s">
        <v>517</v>
      </c>
      <c r="D160" s="9" t="s">
        <v>73</v>
      </c>
      <c r="E160" s="13" t="s">
        <v>181</v>
      </c>
      <c r="F160" s="110"/>
      <c r="G160" s="110"/>
      <c r="H160" s="110"/>
      <c r="I160" s="110"/>
      <c r="J160" s="110"/>
      <c r="K160" s="110"/>
      <c r="L160" s="110"/>
      <c r="M160" s="110" t="str">
        <f>IF(Refsz_Verbräuche[[#Headers],[2022]]=Startseite!$D$68,IF(OR(SUMIF($F160:Refsz_Verbräuche[[#This Row],[2021]],"&gt;0")&gt;0,), AVERAGEIF($F160:Refsz_Verbräuche[[#This Row],[2021]],"&lt;&gt;"""), ""),IF(Startseite!$D$68=(Refsz_Verbräuche[[#Headers],[2022]]-1),Refsz_Verbräuche[[#This Row],[2021]],IF(Startseite!$D$68&lt;Refsz_Verbräuche[[#Headers],[2022]],Refsz_Verbräuche[[#This Row],[2021]],"")))</f>
        <v/>
      </c>
      <c r="N160" s="110" t="str">
        <f>IF(Refsz_Verbräuche[[#Headers],[2023]]=Startseite!$D$68,IF(OR(SUMIF($F160:Refsz_Verbräuche[[#This Row],[2022]],"&gt;0")&gt;0,), AVERAGEIF($F160:Refsz_Verbräuche[[#This Row],[2022]],"&lt;&gt;"""), ""),IF(Startseite!$D$68=(Refsz_Verbräuche[[#Headers],[2023]]-1),Refsz_Verbräuche[[#This Row],[2022]],IF(Startseite!$D$68&lt;Refsz_Verbräuche[[#Headers],[2023]],Refsz_Verbräuche[[#This Row],[2022]],"")))</f>
        <v/>
      </c>
      <c r="O160" s="110" t="str">
        <f>IF(Refsz_Verbräuche[[#Headers],[2024]]=Startseite!$D$68,IF(OR(SUMIF($F160:Refsz_Verbräuche[[#This Row],[2023]],"&gt;0")&gt;0,), AVERAGEIF($F160:Refsz_Verbräuche[[#This Row],[2023]],"&lt;&gt;"""), ""),IF(Startseite!$D$68=(Refsz_Verbräuche[[#Headers],[2024]]-1),Refsz_Verbräuche[[#This Row],[2023]],IF(Startseite!$D$68&lt;Refsz_Verbräuche[[#Headers],[2024]],Refsz_Verbräuche[[#This Row],[2023]],"")))</f>
        <v/>
      </c>
      <c r="P160" s="110" t="str">
        <f>IF(Refsz_Verbräuche[[#Headers],[2025]]=Startseite!$D$68,IF(OR(SUMIF($F160:Refsz_Verbräuche[[#This Row],[2024]],"&gt;0")&gt;0,), AVERAGEIF($F160:Refsz_Verbräuche[[#This Row],[2024]],"&lt;&gt;"""), ""),IF(Startseite!$D$68=(Refsz_Verbräuche[[#Headers],[2025]]-1),Refsz_Verbräuche[[#This Row],[2024]],IF(Startseite!$D$68&lt;Refsz_Verbräuche[[#Headers],[2025]],Refsz_Verbräuche[[#This Row],[2024]],"")))</f>
        <v/>
      </c>
      <c r="Q160" s="110" t="str">
        <f>IF(Refsz_Verbräuche[[#Headers],[2026]]=Startseite!$D$68,IF(OR(SUMIF($F160:Refsz_Verbräuche[[#This Row],[2025]],"&gt;0")&gt;0,), AVERAGEIF($F160:Refsz_Verbräuche[[#This Row],[2025]],"&lt;&gt;"""), ""),IF(Startseite!$D$68=(Refsz_Verbräuche[[#Headers],[2026]]-1),Refsz_Verbräuche[[#This Row],[2025]],IF(Startseite!$D$68&lt;Refsz_Verbräuche[[#Headers],[2026]],Refsz_Verbräuche[[#This Row],[2025]],"")))</f>
        <v/>
      </c>
      <c r="R160" s="110" t="str">
        <f>IF(Refsz_Verbräuche[[#Headers],[2027]]=Startseite!$D$68,IF(OR(SUMIF($F160:Refsz_Verbräuche[[#This Row],[2026]],"&gt;0")&gt;0,), AVERAGEIF($F160:Refsz_Verbräuche[[#This Row],[2026]],"&lt;&gt;"""), ""),IF(Startseite!$D$68=(Refsz_Verbräuche[[#Headers],[2027]]-1),Refsz_Verbräuche[[#This Row],[2026]],IF(Startseite!$D$68&lt;Refsz_Verbräuche[[#Headers],[2027]],Refsz_Verbräuche[[#This Row],[2026]],"")))</f>
        <v/>
      </c>
      <c r="S160" s="110" t="str">
        <f>IF(Refsz_Verbräuche[[#Headers],[2028]]=Startseite!$D$68,IF(OR(SUMIF($F160:Refsz_Verbräuche[[#This Row],[2027]],"&gt;0")&gt;0,), AVERAGEIF($F160:Refsz_Verbräuche[[#This Row],[2027]],"&lt;&gt;"""), ""),IF(Startseite!$D$68=(Refsz_Verbräuche[[#Headers],[2028]]-1),Refsz_Verbräuche[[#This Row],[2027]],IF(Startseite!$D$68&lt;Refsz_Verbräuche[[#Headers],[2028]],Refsz_Verbräuche[[#This Row],[2027]],"")))</f>
        <v/>
      </c>
      <c r="T160" s="110" t="str">
        <f>IF(Refsz_Verbräuche[[#Headers],[2029]]=Startseite!$D$68,IF(OR(SUMIF($F160:Refsz_Verbräuche[[#This Row],[2028]],"&gt;0")&gt;0,), AVERAGEIF($F160:Refsz_Verbräuche[[#This Row],[2028]],"&lt;&gt;"""), ""),IF(Startseite!$D$68=(Refsz_Verbräuche[[#Headers],[2029]]-1),Refsz_Verbräuche[[#This Row],[2028]],IF(Startseite!$D$68&lt;Refsz_Verbräuche[[#Headers],[2029]],Refsz_Verbräuche[[#This Row],[2028]],"")))</f>
        <v/>
      </c>
      <c r="U160" s="110" t="str">
        <f>IF(Refsz_Verbräuche[[#Headers],[2030]]=Startseite!$D$68,IF(OR(SUMIF($F160:Refsz_Verbräuche[[#This Row],[2029]],"&gt;0")&gt;0,), AVERAGEIF($F160:Refsz_Verbräuche[[#This Row],[2029]],"&lt;&gt;"""), ""),IF(Startseite!$D$68=(Refsz_Verbräuche[[#Headers],[2030]]-1),Refsz_Verbräuche[[#This Row],[2029]],IF(Startseite!$D$68&lt;Refsz_Verbräuche[[#Headers],[2030]],Refsz_Verbräuche[[#This Row],[2029]],"")))</f>
        <v/>
      </c>
      <c r="V160" s="110" t="str">
        <f>IF(Refsz_Verbräuche[[#Headers],[2035]]=Startseite!$D$68,IF(OR(SUMIF($F160:Refsz_Verbräuche[[#This Row],[2030]],"&gt;0")&gt;0,), AVERAGEIF($F160:Refsz_Verbräuche[[#This Row],[2030]],"&lt;&gt;"""), ""),IF(Startseite!$D$68=(Refsz_Verbräuche[[#Headers],[2035]]-1),Refsz_Verbräuche[[#This Row],[2030]],IF(Startseite!$D$68&lt;Refsz_Verbräuche[[#Headers],[2035]],Refsz_Verbräuche[[#This Row],[2030]],"")))</f>
        <v/>
      </c>
      <c r="W160" s="110" t="str">
        <f>IF(Refsz_Verbräuche[[#Headers],[2040]]=Startseite!$D$68,IF(OR(SUMIF($F160:Refsz_Verbräuche[[#This Row],[2035]],"&gt;0")&gt;0,), AVERAGEIF($F160:Refsz_Verbräuche[[#This Row],[2035]],"&lt;&gt;"""), ""),IF(Startseite!$D$68=(Refsz_Verbräuche[[#Headers],[2040]]-1),Refsz_Verbräuche[[#This Row],[2035]],IF(Startseite!$D$68&lt;Refsz_Verbräuche[[#Headers],[2040]],Refsz_Verbräuche[[#This Row],[2035]],"")))</f>
        <v/>
      </c>
      <c r="X160" s="110" t="str">
        <f>IF(Refsz_Verbräuche[[#Headers],[2045]]=Startseite!$D$68,IF(OR(SUMIF($F160:Refsz_Verbräuche[[#This Row],[2040]],"&gt;0")&gt;0,), AVERAGEIF($F160:Refsz_Verbräuche[[#This Row],[2040]],"&lt;&gt;"""), ""),IF(Startseite!$D$68=(Refsz_Verbräuche[[#Headers],[2045]]-1),Refsz_Verbräuche[[#This Row],[2040]],IF(Startseite!$D$68&lt;Refsz_Verbräuche[[#Headers],[2045]],Refsz_Verbräuche[[#This Row],[2040]],"")))</f>
        <v/>
      </c>
      <c r="Y160" s="110" t="str">
        <f>IF(Refsz_Verbräuche[[#Headers],[2050]]=Startseite!$D$68,IF(OR(SUMIF($F160:Refsz_Verbräuche[[#This Row],[2045]],"&gt;0")&gt;0,), AVERAGEIF($F160:Refsz_Verbräuche[[#This Row],[2045]],"&lt;&gt;"""), ""),IF(Startseite!$D$68=(Refsz_Verbräuche[[#Headers],[2050]]-1),Refsz_Verbräuche[[#This Row],[2045]],IF(Startseite!$D$68&lt;Refsz_Verbräuche[[#Headers],[2050]],Refsz_Verbräuche[[#This Row],[2045]],"")))</f>
        <v/>
      </c>
      <c r="AA160" s="14"/>
    </row>
    <row r="161" spans="2:27">
      <c r="B161" s="14">
        <v>144</v>
      </c>
      <c r="C161" s="14" t="s">
        <v>517</v>
      </c>
      <c r="D161" s="9" t="s">
        <v>125</v>
      </c>
      <c r="E161" s="13" t="s">
        <v>181</v>
      </c>
      <c r="F161" s="110"/>
      <c r="G161" s="110"/>
      <c r="H161" s="110"/>
      <c r="I161" s="110"/>
      <c r="J161" s="110"/>
      <c r="K161" s="110"/>
      <c r="L161" s="110"/>
      <c r="M161" s="110" t="str">
        <f>IF(Refsz_Verbräuche[[#Headers],[2022]]=Startseite!$D$68,IF(OR(SUMIF($F161:Refsz_Verbräuche[[#This Row],[2021]],"&gt;0")&gt;0,), AVERAGEIF($F161:Refsz_Verbräuche[[#This Row],[2021]],"&lt;&gt;"""), ""),IF(Startseite!$D$68=(Refsz_Verbräuche[[#Headers],[2022]]-1),Refsz_Verbräuche[[#This Row],[2021]],IF(Startseite!$D$68&lt;Refsz_Verbräuche[[#Headers],[2022]],Refsz_Verbräuche[[#This Row],[2021]],"")))</f>
        <v/>
      </c>
      <c r="N161" s="110" t="str">
        <f>IF(Refsz_Verbräuche[[#Headers],[2023]]=Startseite!$D$68,IF(OR(SUMIF($F161:Refsz_Verbräuche[[#This Row],[2022]],"&gt;0")&gt;0,), AVERAGEIF($F161:Refsz_Verbräuche[[#This Row],[2022]],"&lt;&gt;"""), ""),IF(Startseite!$D$68=(Refsz_Verbräuche[[#Headers],[2023]]-1),Refsz_Verbräuche[[#This Row],[2022]],IF(Startseite!$D$68&lt;Refsz_Verbräuche[[#Headers],[2023]],Refsz_Verbräuche[[#This Row],[2022]],"")))</f>
        <v/>
      </c>
      <c r="O161" s="110" t="str">
        <f>IF(Refsz_Verbräuche[[#Headers],[2024]]=Startseite!$D$68,IF(OR(SUMIF($F161:Refsz_Verbräuche[[#This Row],[2023]],"&gt;0")&gt;0,), AVERAGEIF($F161:Refsz_Verbräuche[[#This Row],[2023]],"&lt;&gt;"""), ""),IF(Startseite!$D$68=(Refsz_Verbräuche[[#Headers],[2024]]-1),Refsz_Verbräuche[[#This Row],[2023]],IF(Startseite!$D$68&lt;Refsz_Verbräuche[[#Headers],[2024]],Refsz_Verbräuche[[#This Row],[2023]],"")))</f>
        <v/>
      </c>
      <c r="P161" s="110" t="str">
        <f>IF(Refsz_Verbräuche[[#Headers],[2025]]=Startseite!$D$68,IF(OR(SUMIF($F161:Refsz_Verbräuche[[#This Row],[2024]],"&gt;0")&gt;0,), AVERAGEIF($F161:Refsz_Verbräuche[[#This Row],[2024]],"&lt;&gt;"""), ""),IF(Startseite!$D$68=(Refsz_Verbräuche[[#Headers],[2025]]-1),Refsz_Verbräuche[[#This Row],[2024]],IF(Startseite!$D$68&lt;Refsz_Verbräuche[[#Headers],[2025]],Refsz_Verbräuche[[#This Row],[2024]],"")))</f>
        <v/>
      </c>
      <c r="Q161" s="110" t="str">
        <f>IF(Refsz_Verbräuche[[#Headers],[2026]]=Startseite!$D$68,IF(OR(SUMIF($F161:Refsz_Verbräuche[[#This Row],[2025]],"&gt;0")&gt;0,), AVERAGEIF($F161:Refsz_Verbräuche[[#This Row],[2025]],"&lt;&gt;"""), ""),IF(Startseite!$D$68=(Refsz_Verbräuche[[#Headers],[2026]]-1),Refsz_Verbräuche[[#This Row],[2025]],IF(Startseite!$D$68&lt;Refsz_Verbräuche[[#Headers],[2026]],Refsz_Verbräuche[[#This Row],[2025]],"")))</f>
        <v/>
      </c>
      <c r="R161" s="110" t="str">
        <f>IF(Refsz_Verbräuche[[#Headers],[2027]]=Startseite!$D$68,IF(OR(SUMIF($F161:Refsz_Verbräuche[[#This Row],[2026]],"&gt;0")&gt;0,), AVERAGEIF($F161:Refsz_Verbräuche[[#This Row],[2026]],"&lt;&gt;"""), ""),IF(Startseite!$D$68=(Refsz_Verbräuche[[#Headers],[2027]]-1),Refsz_Verbräuche[[#This Row],[2026]],IF(Startseite!$D$68&lt;Refsz_Verbräuche[[#Headers],[2027]],Refsz_Verbräuche[[#This Row],[2026]],"")))</f>
        <v/>
      </c>
      <c r="S161" s="110" t="str">
        <f>IF(Refsz_Verbräuche[[#Headers],[2028]]=Startseite!$D$68,IF(OR(SUMIF($F161:Refsz_Verbräuche[[#This Row],[2027]],"&gt;0")&gt;0,), AVERAGEIF($F161:Refsz_Verbräuche[[#This Row],[2027]],"&lt;&gt;"""), ""),IF(Startseite!$D$68=(Refsz_Verbräuche[[#Headers],[2028]]-1),Refsz_Verbräuche[[#This Row],[2027]],IF(Startseite!$D$68&lt;Refsz_Verbräuche[[#Headers],[2028]],Refsz_Verbräuche[[#This Row],[2027]],"")))</f>
        <v/>
      </c>
      <c r="T161" s="110" t="str">
        <f>IF(Refsz_Verbräuche[[#Headers],[2029]]=Startseite!$D$68,IF(OR(SUMIF($F161:Refsz_Verbräuche[[#This Row],[2028]],"&gt;0")&gt;0,), AVERAGEIF($F161:Refsz_Verbräuche[[#This Row],[2028]],"&lt;&gt;"""), ""),IF(Startseite!$D$68=(Refsz_Verbräuche[[#Headers],[2029]]-1),Refsz_Verbräuche[[#This Row],[2028]],IF(Startseite!$D$68&lt;Refsz_Verbräuche[[#Headers],[2029]],Refsz_Verbräuche[[#This Row],[2028]],"")))</f>
        <v/>
      </c>
      <c r="U161" s="110" t="str">
        <f>IF(Refsz_Verbräuche[[#Headers],[2030]]=Startseite!$D$68,IF(OR(SUMIF($F161:Refsz_Verbräuche[[#This Row],[2029]],"&gt;0")&gt;0,), AVERAGEIF($F161:Refsz_Verbräuche[[#This Row],[2029]],"&lt;&gt;"""), ""),IF(Startseite!$D$68=(Refsz_Verbräuche[[#Headers],[2030]]-1),Refsz_Verbräuche[[#This Row],[2029]],IF(Startseite!$D$68&lt;Refsz_Verbräuche[[#Headers],[2030]],Refsz_Verbräuche[[#This Row],[2029]],"")))</f>
        <v/>
      </c>
      <c r="V161" s="110" t="str">
        <f>IF(Refsz_Verbräuche[[#Headers],[2035]]=Startseite!$D$68,IF(OR(SUMIF($F161:Refsz_Verbräuche[[#This Row],[2030]],"&gt;0")&gt;0,), AVERAGEIF($F161:Refsz_Verbräuche[[#This Row],[2030]],"&lt;&gt;"""), ""),IF(Startseite!$D$68=(Refsz_Verbräuche[[#Headers],[2035]]-1),Refsz_Verbräuche[[#This Row],[2030]],IF(Startseite!$D$68&lt;Refsz_Verbräuche[[#Headers],[2035]],Refsz_Verbräuche[[#This Row],[2030]],"")))</f>
        <v/>
      </c>
      <c r="W161" s="110" t="str">
        <f>IF(Refsz_Verbräuche[[#Headers],[2040]]=Startseite!$D$68,IF(OR(SUMIF($F161:Refsz_Verbräuche[[#This Row],[2035]],"&gt;0")&gt;0,), AVERAGEIF($F161:Refsz_Verbräuche[[#This Row],[2035]],"&lt;&gt;"""), ""),IF(Startseite!$D$68=(Refsz_Verbräuche[[#Headers],[2040]]-1),Refsz_Verbräuche[[#This Row],[2035]],IF(Startseite!$D$68&lt;Refsz_Verbräuche[[#Headers],[2040]],Refsz_Verbräuche[[#This Row],[2035]],"")))</f>
        <v/>
      </c>
      <c r="X161" s="110" t="str">
        <f>IF(Refsz_Verbräuche[[#Headers],[2045]]=Startseite!$D$68,IF(OR(SUMIF($F161:Refsz_Verbräuche[[#This Row],[2040]],"&gt;0")&gt;0,), AVERAGEIF($F161:Refsz_Verbräuche[[#This Row],[2040]],"&lt;&gt;"""), ""),IF(Startseite!$D$68=(Refsz_Verbräuche[[#Headers],[2045]]-1),Refsz_Verbräuche[[#This Row],[2040]],IF(Startseite!$D$68&lt;Refsz_Verbräuche[[#Headers],[2045]],Refsz_Verbräuche[[#This Row],[2040]],"")))</f>
        <v/>
      </c>
      <c r="Y161" s="110" t="str">
        <f>IF(Refsz_Verbräuche[[#Headers],[2050]]=Startseite!$D$68,IF(OR(SUMIF($F161:Refsz_Verbräuche[[#This Row],[2045]],"&gt;0")&gt;0,), AVERAGEIF($F161:Refsz_Verbräuche[[#This Row],[2045]],"&lt;&gt;"""), ""),IF(Startseite!$D$68=(Refsz_Verbräuche[[#Headers],[2050]]-1),Refsz_Verbräuche[[#This Row],[2045]],IF(Startseite!$D$68&lt;Refsz_Verbräuche[[#Headers],[2050]],Refsz_Verbräuche[[#This Row],[2045]],"")))</f>
        <v/>
      </c>
      <c r="AA161" s="14"/>
    </row>
    <row r="162" spans="2:27">
      <c r="B162" s="14">
        <v>145</v>
      </c>
      <c r="C162" s="14"/>
      <c r="D162" s="9"/>
      <c r="F162" s="110"/>
      <c r="G162" s="110"/>
      <c r="H162" s="110"/>
      <c r="I162" s="110"/>
      <c r="J162" s="110"/>
      <c r="K162" s="110"/>
      <c r="L162" s="110"/>
      <c r="M162" s="110" t="str">
        <f>IF(Refsz_Verbräuche[[#Headers],[2022]]=Startseite!$D$68,IF(OR(SUMIF($F162:Refsz_Verbräuche[[#This Row],[2021]],"&gt;0")&gt;0,), AVERAGEIF($F162:Refsz_Verbräuche[[#This Row],[2021]],"&lt;&gt;"""), ""),IF(Startseite!$D$68=(Refsz_Verbräuche[[#Headers],[2022]]-1),Refsz_Verbräuche[[#This Row],[2021]],IF(Startseite!$D$68&lt;Refsz_Verbräuche[[#Headers],[2022]],Refsz_Verbräuche[[#This Row],[2021]],"")))</f>
        <v/>
      </c>
      <c r="N162" s="110" t="str">
        <f>IF(Refsz_Verbräuche[[#Headers],[2023]]=Startseite!$D$68,IF(OR(SUMIF($F162:Refsz_Verbräuche[[#This Row],[2022]],"&gt;0")&gt;0,), AVERAGEIF($F162:Refsz_Verbräuche[[#This Row],[2022]],"&lt;&gt;"""), ""),IF(Startseite!$D$68=(Refsz_Verbräuche[[#Headers],[2023]]-1),Refsz_Verbräuche[[#This Row],[2022]],IF(Startseite!$D$68&lt;Refsz_Verbräuche[[#Headers],[2023]],Refsz_Verbräuche[[#This Row],[2022]],"")))</f>
        <v/>
      </c>
      <c r="O162" s="110" t="str">
        <f>IF(Refsz_Verbräuche[[#Headers],[2024]]=Startseite!$D$68,IF(OR(SUMIF($F162:Refsz_Verbräuche[[#This Row],[2023]],"&gt;0")&gt;0,), AVERAGEIF($F162:Refsz_Verbräuche[[#This Row],[2023]],"&lt;&gt;"""), ""),IF(Startseite!$D$68=(Refsz_Verbräuche[[#Headers],[2024]]-1),Refsz_Verbräuche[[#This Row],[2023]],IF(Startseite!$D$68&lt;Refsz_Verbräuche[[#Headers],[2024]],Refsz_Verbräuche[[#This Row],[2023]],"")))</f>
        <v/>
      </c>
      <c r="P162" s="110" t="str">
        <f>IF(Refsz_Verbräuche[[#Headers],[2025]]=Startseite!$D$68,IF(OR(SUMIF($F162:Refsz_Verbräuche[[#This Row],[2024]],"&gt;0")&gt;0,), AVERAGEIF($F162:Refsz_Verbräuche[[#This Row],[2024]],"&lt;&gt;"""), ""),IF(Startseite!$D$68=(Refsz_Verbräuche[[#Headers],[2025]]-1),Refsz_Verbräuche[[#This Row],[2024]],IF(Startseite!$D$68&lt;Refsz_Verbräuche[[#Headers],[2025]],Refsz_Verbräuche[[#This Row],[2024]],"")))</f>
        <v/>
      </c>
      <c r="Q162" s="110" t="str">
        <f>IF(Refsz_Verbräuche[[#Headers],[2026]]=Startseite!$D$68,IF(OR(SUMIF($F162:Refsz_Verbräuche[[#This Row],[2025]],"&gt;0")&gt;0,), AVERAGEIF($F162:Refsz_Verbräuche[[#This Row],[2025]],"&lt;&gt;"""), ""),IF(Startseite!$D$68=(Refsz_Verbräuche[[#Headers],[2026]]-1),Refsz_Verbräuche[[#This Row],[2025]],IF(Startseite!$D$68&lt;Refsz_Verbräuche[[#Headers],[2026]],Refsz_Verbräuche[[#This Row],[2025]],"")))</f>
        <v/>
      </c>
      <c r="R162" s="110" t="str">
        <f>IF(Refsz_Verbräuche[[#Headers],[2027]]=Startseite!$D$68,IF(OR(SUMIF($F162:Refsz_Verbräuche[[#This Row],[2026]],"&gt;0")&gt;0,), AVERAGEIF($F162:Refsz_Verbräuche[[#This Row],[2026]],"&lt;&gt;"""), ""),IF(Startseite!$D$68=(Refsz_Verbräuche[[#Headers],[2027]]-1),Refsz_Verbräuche[[#This Row],[2026]],IF(Startseite!$D$68&lt;Refsz_Verbräuche[[#Headers],[2027]],Refsz_Verbräuche[[#This Row],[2026]],"")))</f>
        <v/>
      </c>
      <c r="S162" s="110" t="str">
        <f>IF(Refsz_Verbräuche[[#Headers],[2028]]=Startseite!$D$68,IF(OR(SUMIF($F162:Refsz_Verbräuche[[#This Row],[2027]],"&gt;0")&gt;0,), AVERAGEIF($F162:Refsz_Verbräuche[[#This Row],[2027]],"&lt;&gt;"""), ""),IF(Startseite!$D$68=(Refsz_Verbräuche[[#Headers],[2028]]-1),Refsz_Verbräuche[[#This Row],[2027]],IF(Startseite!$D$68&lt;Refsz_Verbräuche[[#Headers],[2028]],Refsz_Verbräuche[[#This Row],[2027]],"")))</f>
        <v/>
      </c>
      <c r="T162" s="110" t="str">
        <f>IF(Refsz_Verbräuche[[#Headers],[2029]]=Startseite!$D$68,IF(OR(SUMIF($F162:Refsz_Verbräuche[[#This Row],[2028]],"&gt;0")&gt;0,), AVERAGEIF($F162:Refsz_Verbräuche[[#This Row],[2028]],"&lt;&gt;"""), ""),IF(Startseite!$D$68=(Refsz_Verbräuche[[#Headers],[2029]]-1),Refsz_Verbräuche[[#This Row],[2028]],IF(Startseite!$D$68&lt;Refsz_Verbräuche[[#Headers],[2029]],Refsz_Verbräuche[[#This Row],[2028]],"")))</f>
        <v/>
      </c>
      <c r="U162" s="110" t="str">
        <f>IF(Refsz_Verbräuche[[#Headers],[2030]]=Startseite!$D$68,IF(OR(SUMIF($F162:Refsz_Verbräuche[[#This Row],[2029]],"&gt;0")&gt;0,), AVERAGEIF($F162:Refsz_Verbräuche[[#This Row],[2029]],"&lt;&gt;"""), ""),IF(Startseite!$D$68=(Refsz_Verbräuche[[#Headers],[2030]]-1),Refsz_Verbräuche[[#This Row],[2029]],IF(Startseite!$D$68&lt;Refsz_Verbräuche[[#Headers],[2030]],Refsz_Verbräuche[[#This Row],[2029]],"")))</f>
        <v/>
      </c>
      <c r="V162" s="110" t="str">
        <f>IF(Refsz_Verbräuche[[#Headers],[2035]]=Startseite!$D$68,IF(OR(SUMIF($F162:Refsz_Verbräuche[[#This Row],[2030]],"&gt;0")&gt;0,), AVERAGEIF($F162:Refsz_Verbräuche[[#This Row],[2030]],"&lt;&gt;"""), ""),IF(Startseite!$D$68=(Refsz_Verbräuche[[#Headers],[2035]]-1),Refsz_Verbräuche[[#This Row],[2030]],IF(Startseite!$D$68&lt;Refsz_Verbräuche[[#Headers],[2035]],Refsz_Verbräuche[[#This Row],[2030]],"")))</f>
        <v/>
      </c>
      <c r="W162" s="110" t="str">
        <f>IF(Refsz_Verbräuche[[#Headers],[2040]]=Startseite!$D$68,IF(OR(SUMIF($F162:Refsz_Verbräuche[[#This Row],[2035]],"&gt;0")&gt;0,), AVERAGEIF($F162:Refsz_Verbräuche[[#This Row],[2035]],"&lt;&gt;"""), ""),IF(Startseite!$D$68=(Refsz_Verbräuche[[#Headers],[2040]]-1),Refsz_Verbräuche[[#This Row],[2035]],IF(Startseite!$D$68&lt;Refsz_Verbräuche[[#Headers],[2040]],Refsz_Verbräuche[[#This Row],[2035]],"")))</f>
        <v/>
      </c>
      <c r="X162" s="110" t="str">
        <f>IF(Refsz_Verbräuche[[#Headers],[2045]]=Startseite!$D$68,IF(OR(SUMIF($F162:Refsz_Verbräuche[[#This Row],[2040]],"&gt;0")&gt;0,), AVERAGEIF($F162:Refsz_Verbräuche[[#This Row],[2040]],"&lt;&gt;"""), ""),IF(Startseite!$D$68=(Refsz_Verbräuche[[#Headers],[2045]]-1),Refsz_Verbräuche[[#This Row],[2040]],IF(Startseite!$D$68&lt;Refsz_Verbräuche[[#Headers],[2045]],Refsz_Verbräuche[[#This Row],[2040]],"")))</f>
        <v/>
      </c>
      <c r="Y162" s="110" t="str">
        <f>IF(Refsz_Verbräuche[[#Headers],[2050]]=Startseite!$D$68,IF(OR(SUMIF($F162:Refsz_Verbräuche[[#This Row],[2045]],"&gt;0")&gt;0,), AVERAGEIF($F162:Refsz_Verbräuche[[#This Row],[2045]],"&lt;&gt;"""), ""),IF(Startseite!$D$68=(Refsz_Verbräuche[[#Headers],[2050]]-1),Refsz_Verbräuche[[#This Row],[2045]],IF(Startseite!$D$68&lt;Refsz_Verbräuche[[#Headers],[2050]],Refsz_Verbräuche[[#This Row],[2045]],"")))</f>
        <v/>
      </c>
      <c r="AA162" s="14"/>
    </row>
    <row r="163" spans="2:27">
      <c r="B163" s="14">
        <v>146</v>
      </c>
      <c r="C163" s="14" t="s">
        <v>518</v>
      </c>
      <c r="D163" s="9" t="s">
        <v>104</v>
      </c>
      <c r="E163" s="13" t="s">
        <v>181</v>
      </c>
      <c r="F163" s="110"/>
      <c r="G163" s="110"/>
      <c r="H163" s="110"/>
      <c r="I163" s="110"/>
      <c r="J163" s="110"/>
      <c r="K163" s="110"/>
      <c r="L163" s="110"/>
      <c r="M163" s="110" t="str">
        <f>IF(Refsz_Verbräuche[[#Headers],[2022]]=Startseite!$D$68,IF(OR(SUMIF($F163:Refsz_Verbräuche[[#This Row],[2021]],"&gt;0")&gt;0,), AVERAGEIF($F163:Refsz_Verbräuche[[#This Row],[2021]],"&lt;&gt;"""), ""),IF(Startseite!$D$68=(Refsz_Verbräuche[[#Headers],[2022]]-1),Refsz_Verbräuche[[#This Row],[2021]],IF(Startseite!$D$68&lt;Refsz_Verbräuche[[#Headers],[2022]],Refsz_Verbräuche[[#This Row],[2021]],"")))</f>
        <v/>
      </c>
      <c r="N163" s="110" t="str">
        <f>IF(Refsz_Verbräuche[[#Headers],[2023]]=Startseite!$D$68,IF(OR(SUMIF($F163:Refsz_Verbräuche[[#This Row],[2022]],"&gt;0")&gt;0,), AVERAGEIF($F163:Refsz_Verbräuche[[#This Row],[2022]],"&lt;&gt;"""), ""),IF(Startseite!$D$68=(Refsz_Verbräuche[[#Headers],[2023]]-1),Refsz_Verbräuche[[#This Row],[2022]],IF(Startseite!$D$68&lt;Refsz_Verbräuche[[#Headers],[2023]],Refsz_Verbräuche[[#This Row],[2022]],"")))</f>
        <v/>
      </c>
      <c r="O163" s="110" t="str">
        <f>IF(Refsz_Verbräuche[[#Headers],[2024]]=Startseite!$D$68,IF(OR(SUMIF($F163:Refsz_Verbräuche[[#This Row],[2023]],"&gt;0")&gt;0,), AVERAGEIF($F163:Refsz_Verbräuche[[#This Row],[2023]],"&lt;&gt;"""), ""),IF(Startseite!$D$68=(Refsz_Verbräuche[[#Headers],[2024]]-1),Refsz_Verbräuche[[#This Row],[2023]],IF(Startseite!$D$68&lt;Refsz_Verbräuche[[#Headers],[2024]],Refsz_Verbräuche[[#This Row],[2023]],"")))</f>
        <v/>
      </c>
      <c r="P163" s="110" t="str">
        <f>IF(Refsz_Verbräuche[[#Headers],[2025]]=Startseite!$D$68,IF(OR(SUMIF($F163:Refsz_Verbräuche[[#This Row],[2024]],"&gt;0")&gt;0,), AVERAGEIF($F163:Refsz_Verbräuche[[#This Row],[2024]],"&lt;&gt;"""), ""),IF(Startseite!$D$68=(Refsz_Verbräuche[[#Headers],[2025]]-1),Refsz_Verbräuche[[#This Row],[2024]],IF(Startseite!$D$68&lt;Refsz_Verbräuche[[#Headers],[2025]],Refsz_Verbräuche[[#This Row],[2024]],"")))</f>
        <v/>
      </c>
      <c r="Q163" s="110" t="str">
        <f>IF(Refsz_Verbräuche[[#Headers],[2026]]=Startseite!$D$68,IF(OR(SUMIF($F163:Refsz_Verbräuche[[#This Row],[2025]],"&gt;0")&gt;0,), AVERAGEIF($F163:Refsz_Verbräuche[[#This Row],[2025]],"&lt;&gt;"""), ""),IF(Startseite!$D$68=(Refsz_Verbräuche[[#Headers],[2026]]-1),Refsz_Verbräuche[[#This Row],[2025]],IF(Startseite!$D$68&lt;Refsz_Verbräuche[[#Headers],[2026]],Refsz_Verbräuche[[#This Row],[2025]],"")))</f>
        <v/>
      </c>
      <c r="R163" s="110" t="str">
        <f>IF(Refsz_Verbräuche[[#Headers],[2027]]=Startseite!$D$68,IF(OR(SUMIF($F163:Refsz_Verbräuche[[#This Row],[2026]],"&gt;0")&gt;0,), AVERAGEIF($F163:Refsz_Verbräuche[[#This Row],[2026]],"&lt;&gt;"""), ""),IF(Startseite!$D$68=(Refsz_Verbräuche[[#Headers],[2027]]-1),Refsz_Verbräuche[[#This Row],[2026]],IF(Startseite!$D$68&lt;Refsz_Verbräuche[[#Headers],[2027]],Refsz_Verbräuche[[#This Row],[2026]],"")))</f>
        <v/>
      </c>
      <c r="S163" s="110" t="str">
        <f>IF(Refsz_Verbräuche[[#Headers],[2028]]=Startseite!$D$68,IF(OR(SUMIF($F163:Refsz_Verbräuche[[#This Row],[2027]],"&gt;0")&gt;0,), AVERAGEIF($F163:Refsz_Verbräuche[[#This Row],[2027]],"&lt;&gt;"""), ""),IF(Startseite!$D$68=(Refsz_Verbräuche[[#Headers],[2028]]-1),Refsz_Verbräuche[[#This Row],[2027]],IF(Startseite!$D$68&lt;Refsz_Verbräuche[[#Headers],[2028]],Refsz_Verbräuche[[#This Row],[2027]],"")))</f>
        <v/>
      </c>
      <c r="T163" s="110" t="str">
        <f>IF(Refsz_Verbräuche[[#Headers],[2029]]=Startseite!$D$68,IF(OR(SUMIF($F163:Refsz_Verbräuche[[#This Row],[2028]],"&gt;0")&gt;0,), AVERAGEIF($F163:Refsz_Verbräuche[[#This Row],[2028]],"&lt;&gt;"""), ""),IF(Startseite!$D$68=(Refsz_Verbräuche[[#Headers],[2029]]-1),Refsz_Verbräuche[[#This Row],[2028]],IF(Startseite!$D$68&lt;Refsz_Verbräuche[[#Headers],[2029]],Refsz_Verbräuche[[#This Row],[2028]],"")))</f>
        <v/>
      </c>
      <c r="U163" s="110" t="str">
        <f>IF(Refsz_Verbräuche[[#Headers],[2030]]=Startseite!$D$68,IF(OR(SUMIF($F163:Refsz_Verbräuche[[#This Row],[2029]],"&gt;0")&gt;0,), AVERAGEIF($F163:Refsz_Verbräuche[[#This Row],[2029]],"&lt;&gt;"""), ""),IF(Startseite!$D$68=(Refsz_Verbräuche[[#Headers],[2030]]-1),Refsz_Verbräuche[[#This Row],[2029]],IF(Startseite!$D$68&lt;Refsz_Verbräuche[[#Headers],[2030]],Refsz_Verbräuche[[#This Row],[2029]],"")))</f>
        <v/>
      </c>
      <c r="V163" s="110" t="str">
        <f>IF(Refsz_Verbräuche[[#Headers],[2035]]=Startseite!$D$68,IF(OR(SUMIF($F163:Refsz_Verbräuche[[#This Row],[2030]],"&gt;0")&gt;0,), AVERAGEIF($F163:Refsz_Verbräuche[[#This Row],[2030]],"&lt;&gt;"""), ""),IF(Startseite!$D$68=(Refsz_Verbräuche[[#Headers],[2035]]-1),Refsz_Verbräuche[[#This Row],[2030]],IF(Startseite!$D$68&lt;Refsz_Verbräuche[[#Headers],[2035]],Refsz_Verbräuche[[#This Row],[2030]],"")))</f>
        <v/>
      </c>
      <c r="W163" s="110" t="str">
        <f>IF(Refsz_Verbräuche[[#Headers],[2040]]=Startseite!$D$68,IF(OR(SUMIF($F163:Refsz_Verbräuche[[#This Row],[2035]],"&gt;0")&gt;0,), AVERAGEIF($F163:Refsz_Verbräuche[[#This Row],[2035]],"&lt;&gt;"""), ""),IF(Startseite!$D$68=(Refsz_Verbräuche[[#Headers],[2040]]-1),Refsz_Verbräuche[[#This Row],[2035]],IF(Startseite!$D$68&lt;Refsz_Verbräuche[[#Headers],[2040]],Refsz_Verbräuche[[#This Row],[2035]],"")))</f>
        <v/>
      </c>
      <c r="X163" s="110" t="str">
        <f>IF(Refsz_Verbräuche[[#Headers],[2045]]=Startseite!$D$68,IF(OR(SUMIF($F163:Refsz_Verbräuche[[#This Row],[2040]],"&gt;0")&gt;0,), AVERAGEIF($F163:Refsz_Verbräuche[[#This Row],[2040]],"&lt;&gt;"""), ""),IF(Startseite!$D$68=(Refsz_Verbräuche[[#Headers],[2045]]-1),Refsz_Verbräuche[[#This Row],[2040]],IF(Startseite!$D$68&lt;Refsz_Verbräuche[[#Headers],[2045]],Refsz_Verbräuche[[#This Row],[2040]],"")))</f>
        <v/>
      </c>
      <c r="Y163" s="110" t="str">
        <f>IF(Refsz_Verbräuche[[#Headers],[2050]]=Startseite!$D$68,IF(OR(SUMIF($F163:Refsz_Verbräuche[[#This Row],[2045]],"&gt;0")&gt;0,), AVERAGEIF($F163:Refsz_Verbräuche[[#This Row],[2045]],"&lt;&gt;"""), ""),IF(Startseite!$D$68=(Refsz_Verbräuche[[#Headers],[2050]]-1),Refsz_Verbräuche[[#This Row],[2045]],IF(Startseite!$D$68&lt;Refsz_Verbräuche[[#Headers],[2050]],Refsz_Verbräuche[[#This Row],[2045]],"")))</f>
        <v/>
      </c>
      <c r="AA163" s="14"/>
    </row>
    <row r="164" spans="2:27">
      <c r="B164" s="14">
        <v>147</v>
      </c>
      <c r="C164" s="14"/>
      <c r="D164" s="9"/>
      <c r="F164" s="110"/>
      <c r="G164" s="110"/>
      <c r="H164" s="110"/>
      <c r="I164" s="110"/>
      <c r="J164" s="110"/>
      <c r="K164" s="110"/>
      <c r="L164" s="110"/>
      <c r="M164" s="110" t="str">
        <f>IF(Refsz_Verbräuche[[#Headers],[2022]]=Startseite!$D$68,IF(OR(SUMIF($F164:Refsz_Verbräuche[[#This Row],[2021]],"&gt;0")&gt;0,), AVERAGEIF($F164:Refsz_Verbräuche[[#This Row],[2021]],"&lt;&gt;"""), ""),IF(Startseite!$D$68=(Refsz_Verbräuche[[#Headers],[2022]]-1),Refsz_Verbräuche[[#This Row],[2021]],IF(Startseite!$D$68&lt;Refsz_Verbräuche[[#Headers],[2022]],Refsz_Verbräuche[[#This Row],[2021]],"")))</f>
        <v/>
      </c>
      <c r="N164" s="110" t="str">
        <f>IF(Refsz_Verbräuche[[#Headers],[2023]]=Startseite!$D$68,IF(OR(SUMIF($F164:Refsz_Verbräuche[[#This Row],[2022]],"&gt;0")&gt;0,), AVERAGEIF($F164:Refsz_Verbräuche[[#This Row],[2022]],"&lt;&gt;"""), ""),IF(Startseite!$D$68=(Refsz_Verbräuche[[#Headers],[2023]]-1),Refsz_Verbräuche[[#This Row],[2022]],IF(Startseite!$D$68&lt;Refsz_Verbräuche[[#Headers],[2023]],Refsz_Verbräuche[[#This Row],[2022]],"")))</f>
        <v/>
      </c>
      <c r="O164" s="110" t="str">
        <f>IF(Refsz_Verbräuche[[#Headers],[2024]]=Startseite!$D$68,IF(OR(SUMIF($F164:Refsz_Verbräuche[[#This Row],[2023]],"&gt;0")&gt;0,), AVERAGEIF($F164:Refsz_Verbräuche[[#This Row],[2023]],"&lt;&gt;"""), ""),IF(Startseite!$D$68=(Refsz_Verbräuche[[#Headers],[2024]]-1),Refsz_Verbräuche[[#This Row],[2023]],IF(Startseite!$D$68&lt;Refsz_Verbräuche[[#Headers],[2024]],Refsz_Verbräuche[[#This Row],[2023]],"")))</f>
        <v/>
      </c>
      <c r="P164" s="110" t="str">
        <f>IF(Refsz_Verbräuche[[#Headers],[2025]]=Startseite!$D$68,IF(OR(SUMIF($F164:Refsz_Verbräuche[[#This Row],[2024]],"&gt;0")&gt;0,), AVERAGEIF($F164:Refsz_Verbräuche[[#This Row],[2024]],"&lt;&gt;"""), ""),IF(Startseite!$D$68=(Refsz_Verbräuche[[#Headers],[2025]]-1),Refsz_Verbräuche[[#This Row],[2024]],IF(Startseite!$D$68&lt;Refsz_Verbräuche[[#Headers],[2025]],Refsz_Verbräuche[[#This Row],[2024]],"")))</f>
        <v/>
      </c>
      <c r="Q164" s="110" t="str">
        <f>IF(Refsz_Verbräuche[[#Headers],[2026]]=Startseite!$D$68,IF(OR(SUMIF($F164:Refsz_Verbräuche[[#This Row],[2025]],"&gt;0")&gt;0,), AVERAGEIF($F164:Refsz_Verbräuche[[#This Row],[2025]],"&lt;&gt;"""), ""),IF(Startseite!$D$68=(Refsz_Verbräuche[[#Headers],[2026]]-1),Refsz_Verbräuche[[#This Row],[2025]],IF(Startseite!$D$68&lt;Refsz_Verbräuche[[#Headers],[2026]],Refsz_Verbräuche[[#This Row],[2025]],"")))</f>
        <v/>
      </c>
      <c r="R164" s="110" t="str">
        <f>IF(Refsz_Verbräuche[[#Headers],[2027]]=Startseite!$D$68,IF(OR(SUMIF($F164:Refsz_Verbräuche[[#This Row],[2026]],"&gt;0")&gt;0,), AVERAGEIF($F164:Refsz_Verbräuche[[#This Row],[2026]],"&lt;&gt;"""), ""),IF(Startseite!$D$68=(Refsz_Verbräuche[[#Headers],[2027]]-1),Refsz_Verbräuche[[#This Row],[2026]],IF(Startseite!$D$68&lt;Refsz_Verbräuche[[#Headers],[2027]],Refsz_Verbräuche[[#This Row],[2026]],"")))</f>
        <v/>
      </c>
      <c r="S164" s="110" t="str">
        <f>IF(Refsz_Verbräuche[[#Headers],[2028]]=Startseite!$D$68,IF(OR(SUMIF($F164:Refsz_Verbräuche[[#This Row],[2027]],"&gt;0")&gt;0,), AVERAGEIF($F164:Refsz_Verbräuche[[#This Row],[2027]],"&lt;&gt;"""), ""),IF(Startseite!$D$68=(Refsz_Verbräuche[[#Headers],[2028]]-1),Refsz_Verbräuche[[#This Row],[2027]],IF(Startseite!$D$68&lt;Refsz_Verbräuche[[#Headers],[2028]],Refsz_Verbräuche[[#This Row],[2027]],"")))</f>
        <v/>
      </c>
      <c r="T164" s="110" t="str">
        <f>IF(Refsz_Verbräuche[[#Headers],[2029]]=Startseite!$D$68,IF(OR(SUMIF($F164:Refsz_Verbräuche[[#This Row],[2028]],"&gt;0")&gt;0,), AVERAGEIF($F164:Refsz_Verbräuche[[#This Row],[2028]],"&lt;&gt;"""), ""),IF(Startseite!$D$68=(Refsz_Verbräuche[[#Headers],[2029]]-1),Refsz_Verbräuche[[#This Row],[2028]],IF(Startseite!$D$68&lt;Refsz_Verbräuche[[#Headers],[2029]],Refsz_Verbräuche[[#This Row],[2028]],"")))</f>
        <v/>
      </c>
      <c r="U164" s="110" t="str">
        <f>IF(Refsz_Verbräuche[[#Headers],[2030]]=Startseite!$D$68,IF(OR(SUMIF($F164:Refsz_Verbräuche[[#This Row],[2029]],"&gt;0")&gt;0,), AVERAGEIF($F164:Refsz_Verbräuche[[#This Row],[2029]],"&lt;&gt;"""), ""),IF(Startseite!$D$68=(Refsz_Verbräuche[[#Headers],[2030]]-1),Refsz_Verbräuche[[#This Row],[2029]],IF(Startseite!$D$68&lt;Refsz_Verbräuche[[#Headers],[2030]],Refsz_Verbräuche[[#This Row],[2029]],"")))</f>
        <v/>
      </c>
      <c r="V164" s="110" t="str">
        <f>IF(Refsz_Verbräuche[[#Headers],[2035]]=Startseite!$D$68,IF(OR(SUMIF($F164:Refsz_Verbräuche[[#This Row],[2030]],"&gt;0")&gt;0,), AVERAGEIF($F164:Refsz_Verbräuche[[#This Row],[2030]],"&lt;&gt;"""), ""),IF(Startseite!$D$68=(Refsz_Verbräuche[[#Headers],[2035]]-1),Refsz_Verbräuche[[#This Row],[2030]],IF(Startseite!$D$68&lt;Refsz_Verbräuche[[#Headers],[2035]],Refsz_Verbräuche[[#This Row],[2030]],"")))</f>
        <v/>
      </c>
      <c r="W164" s="110" t="str">
        <f>IF(Refsz_Verbräuche[[#Headers],[2040]]=Startseite!$D$68,IF(OR(SUMIF($F164:Refsz_Verbräuche[[#This Row],[2035]],"&gt;0")&gt;0,), AVERAGEIF($F164:Refsz_Verbräuche[[#This Row],[2035]],"&lt;&gt;"""), ""),IF(Startseite!$D$68=(Refsz_Verbräuche[[#Headers],[2040]]-1),Refsz_Verbräuche[[#This Row],[2035]],IF(Startseite!$D$68&lt;Refsz_Verbräuche[[#Headers],[2040]],Refsz_Verbräuche[[#This Row],[2035]],"")))</f>
        <v/>
      </c>
      <c r="X164" s="110" t="str">
        <f>IF(Refsz_Verbräuche[[#Headers],[2045]]=Startseite!$D$68,IF(OR(SUMIF($F164:Refsz_Verbräuche[[#This Row],[2040]],"&gt;0")&gt;0,), AVERAGEIF($F164:Refsz_Verbräuche[[#This Row],[2040]],"&lt;&gt;"""), ""),IF(Startseite!$D$68=(Refsz_Verbräuche[[#Headers],[2045]]-1),Refsz_Verbräuche[[#This Row],[2040]],IF(Startseite!$D$68&lt;Refsz_Verbräuche[[#Headers],[2045]],Refsz_Verbräuche[[#This Row],[2040]],"")))</f>
        <v/>
      </c>
      <c r="Y164" s="110" t="str">
        <f>IF(Refsz_Verbräuche[[#Headers],[2050]]=Startseite!$D$68,IF(OR(SUMIF($F164:Refsz_Verbräuche[[#This Row],[2045]],"&gt;0")&gt;0,), AVERAGEIF($F164:Refsz_Verbräuche[[#This Row],[2045]],"&lt;&gt;"""), ""),IF(Startseite!$D$68=(Refsz_Verbräuche[[#Headers],[2050]]-1),Refsz_Verbräuche[[#This Row],[2045]],IF(Startseite!$D$68&lt;Refsz_Verbräuche[[#Headers],[2050]],Refsz_Verbräuche[[#This Row],[2045]],"")))</f>
        <v/>
      </c>
      <c r="AA164" s="14"/>
    </row>
    <row r="165" spans="2:27">
      <c r="B165" s="14">
        <v>148</v>
      </c>
      <c r="C165" s="14" t="s">
        <v>62</v>
      </c>
      <c r="D165" s="9" t="s">
        <v>62</v>
      </c>
      <c r="E165" t="s">
        <v>178</v>
      </c>
      <c r="F165" s="110"/>
      <c r="G165" s="110"/>
      <c r="H165" s="110"/>
      <c r="I165" s="110"/>
      <c r="J165" s="110"/>
      <c r="K165" s="110"/>
      <c r="L165" s="110"/>
      <c r="M165" s="110" t="str">
        <f>IF(Refsz_Verbräuche[[#Headers],[2022]]=Startseite!$D$68,IF(OR(SUMIF($F165:Refsz_Verbräuche[[#This Row],[2021]],"&gt;0")&gt;0,), AVERAGEIF($F165:Refsz_Verbräuche[[#This Row],[2021]],"&lt;&gt;"""), ""),IF(Startseite!$D$68=(Refsz_Verbräuche[[#Headers],[2022]]-1),Refsz_Verbräuche[[#This Row],[2021]],IF(Startseite!$D$68&lt;Refsz_Verbräuche[[#Headers],[2022]],Refsz_Verbräuche[[#This Row],[2021]],"")))</f>
        <v/>
      </c>
      <c r="N165" s="110" t="str">
        <f>IF(Refsz_Verbräuche[[#Headers],[2023]]=Startseite!$D$68,IF(OR(SUMIF($F165:Refsz_Verbräuche[[#This Row],[2022]],"&gt;0")&gt;0,), AVERAGEIF($F165:Refsz_Verbräuche[[#This Row],[2022]],"&lt;&gt;"""), ""),IF(Startseite!$D$68=(Refsz_Verbräuche[[#Headers],[2023]]-1),Refsz_Verbräuche[[#This Row],[2022]],IF(Startseite!$D$68&lt;Refsz_Verbräuche[[#Headers],[2023]],Refsz_Verbräuche[[#This Row],[2022]],"")))</f>
        <v/>
      </c>
      <c r="O165" s="110" t="str">
        <f>IF(Refsz_Verbräuche[[#Headers],[2024]]=Startseite!$D$68,IF(OR(SUMIF($F165:Refsz_Verbräuche[[#This Row],[2023]],"&gt;0")&gt;0,), AVERAGEIF($F165:Refsz_Verbräuche[[#This Row],[2023]],"&lt;&gt;"""), ""),IF(Startseite!$D$68=(Refsz_Verbräuche[[#Headers],[2024]]-1),Refsz_Verbräuche[[#This Row],[2023]],IF(Startseite!$D$68&lt;Refsz_Verbräuche[[#Headers],[2024]],Refsz_Verbräuche[[#This Row],[2023]],"")))</f>
        <v/>
      </c>
      <c r="P165" s="110" t="str">
        <f>IF(Refsz_Verbräuche[[#Headers],[2025]]=Startseite!$D$68,IF(OR(SUMIF($F165:Refsz_Verbräuche[[#This Row],[2024]],"&gt;0")&gt;0,), AVERAGEIF($F165:Refsz_Verbräuche[[#This Row],[2024]],"&lt;&gt;"""), ""),IF(Startseite!$D$68=(Refsz_Verbräuche[[#Headers],[2025]]-1),Refsz_Verbräuche[[#This Row],[2024]],IF(Startseite!$D$68&lt;Refsz_Verbräuche[[#Headers],[2025]],Refsz_Verbräuche[[#This Row],[2024]],"")))</f>
        <v/>
      </c>
      <c r="Q165" s="110" t="str">
        <f>IF(Refsz_Verbräuche[[#Headers],[2026]]=Startseite!$D$68,IF(OR(SUMIF($F165:Refsz_Verbräuche[[#This Row],[2025]],"&gt;0")&gt;0,), AVERAGEIF($F165:Refsz_Verbräuche[[#This Row],[2025]],"&lt;&gt;"""), ""),IF(Startseite!$D$68=(Refsz_Verbräuche[[#Headers],[2026]]-1),Refsz_Verbräuche[[#This Row],[2025]],IF(Startseite!$D$68&lt;Refsz_Verbräuche[[#Headers],[2026]],Refsz_Verbräuche[[#This Row],[2025]],"")))</f>
        <v/>
      </c>
      <c r="R165" s="110" t="str">
        <f>IF(Refsz_Verbräuche[[#Headers],[2027]]=Startseite!$D$68,IF(OR(SUMIF($F165:Refsz_Verbräuche[[#This Row],[2026]],"&gt;0")&gt;0,), AVERAGEIF($F165:Refsz_Verbräuche[[#This Row],[2026]],"&lt;&gt;"""), ""),IF(Startseite!$D$68=(Refsz_Verbräuche[[#Headers],[2027]]-1),Refsz_Verbräuche[[#This Row],[2026]],IF(Startseite!$D$68&lt;Refsz_Verbräuche[[#Headers],[2027]],Refsz_Verbräuche[[#This Row],[2026]],"")))</f>
        <v/>
      </c>
      <c r="S165" s="110" t="str">
        <f>IF(Refsz_Verbräuche[[#Headers],[2028]]=Startseite!$D$68,IF(OR(SUMIF($F165:Refsz_Verbräuche[[#This Row],[2027]],"&gt;0")&gt;0,), AVERAGEIF($F165:Refsz_Verbräuche[[#This Row],[2027]],"&lt;&gt;"""), ""),IF(Startseite!$D$68=(Refsz_Verbräuche[[#Headers],[2028]]-1),Refsz_Verbräuche[[#This Row],[2027]],IF(Startseite!$D$68&lt;Refsz_Verbräuche[[#Headers],[2028]],Refsz_Verbräuche[[#This Row],[2027]],"")))</f>
        <v/>
      </c>
      <c r="T165" s="110" t="str">
        <f>IF(Refsz_Verbräuche[[#Headers],[2029]]=Startseite!$D$68,IF(OR(SUMIF($F165:Refsz_Verbräuche[[#This Row],[2028]],"&gt;0")&gt;0,), AVERAGEIF($F165:Refsz_Verbräuche[[#This Row],[2028]],"&lt;&gt;"""), ""),IF(Startseite!$D$68=(Refsz_Verbräuche[[#Headers],[2029]]-1),Refsz_Verbräuche[[#This Row],[2028]],IF(Startseite!$D$68&lt;Refsz_Verbräuche[[#Headers],[2029]],Refsz_Verbräuche[[#This Row],[2028]],"")))</f>
        <v/>
      </c>
      <c r="U165" s="110" t="str">
        <f>IF(Refsz_Verbräuche[[#Headers],[2030]]=Startseite!$D$68,IF(OR(SUMIF($F165:Refsz_Verbräuche[[#This Row],[2029]],"&gt;0")&gt;0,), AVERAGEIF($F165:Refsz_Verbräuche[[#This Row],[2029]],"&lt;&gt;"""), ""),IF(Startseite!$D$68=(Refsz_Verbräuche[[#Headers],[2030]]-1),Refsz_Verbräuche[[#This Row],[2029]],IF(Startseite!$D$68&lt;Refsz_Verbräuche[[#Headers],[2030]],Refsz_Verbräuche[[#This Row],[2029]],"")))</f>
        <v/>
      </c>
      <c r="V165" s="110" t="str">
        <f>IF(Refsz_Verbräuche[[#Headers],[2035]]=Startseite!$D$68,IF(OR(SUMIF($F165:Refsz_Verbräuche[[#This Row],[2030]],"&gt;0")&gt;0,), AVERAGEIF($F165:Refsz_Verbräuche[[#This Row],[2030]],"&lt;&gt;"""), ""),IF(Startseite!$D$68=(Refsz_Verbräuche[[#Headers],[2035]]-1),Refsz_Verbräuche[[#This Row],[2030]],IF(Startseite!$D$68&lt;Refsz_Verbräuche[[#Headers],[2035]],Refsz_Verbräuche[[#This Row],[2030]],"")))</f>
        <v/>
      </c>
      <c r="W165" s="110" t="str">
        <f>IF(Refsz_Verbräuche[[#Headers],[2040]]=Startseite!$D$68,IF(OR(SUMIF($F165:Refsz_Verbräuche[[#This Row],[2035]],"&gt;0")&gt;0,), AVERAGEIF($F165:Refsz_Verbräuche[[#This Row],[2035]],"&lt;&gt;"""), ""),IF(Startseite!$D$68=(Refsz_Verbräuche[[#Headers],[2040]]-1),Refsz_Verbräuche[[#This Row],[2035]],IF(Startseite!$D$68&lt;Refsz_Verbräuche[[#Headers],[2040]],Refsz_Verbräuche[[#This Row],[2035]],"")))</f>
        <v/>
      </c>
      <c r="X165" s="110" t="str">
        <f>IF(Refsz_Verbräuche[[#Headers],[2045]]=Startseite!$D$68,IF(OR(SUMIF($F165:Refsz_Verbräuche[[#This Row],[2040]],"&gt;0")&gt;0,), AVERAGEIF($F165:Refsz_Verbräuche[[#This Row],[2040]],"&lt;&gt;"""), ""),IF(Startseite!$D$68=(Refsz_Verbräuche[[#Headers],[2045]]-1),Refsz_Verbräuche[[#This Row],[2040]],IF(Startseite!$D$68&lt;Refsz_Verbräuche[[#Headers],[2045]],Refsz_Verbräuche[[#This Row],[2040]],"")))</f>
        <v/>
      </c>
      <c r="Y165" s="110" t="str">
        <f>IF(Refsz_Verbräuche[[#Headers],[2050]]=Startseite!$D$68,IF(OR(SUMIF($F165:Refsz_Verbräuche[[#This Row],[2045]],"&gt;0")&gt;0,), AVERAGEIF($F165:Refsz_Verbräuche[[#This Row],[2045]],"&lt;&gt;"""), ""),IF(Startseite!$D$68=(Refsz_Verbräuche[[#Headers],[2050]]-1),Refsz_Verbräuche[[#This Row],[2045]],IF(Startseite!$D$68&lt;Refsz_Verbräuche[[#Headers],[2050]],Refsz_Verbräuche[[#This Row],[2045]],"")))</f>
        <v/>
      </c>
      <c r="AA165" s="14"/>
    </row>
    <row r="166" spans="2:27">
      <c r="B166" s="14">
        <v>149</v>
      </c>
      <c r="C166" s="110"/>
      <c r="D166" s="125"/>
      <c r="E166" s="104"/>
      <c r="F166" s="110"/>
      <c r="G166" s="110"/>
      <c r="H166" s="110"/>
      <c r="I166" s="110"/>
      <c r="J166" s="110"/>
      <c r="K166" s="110"/>
      <c r="L166" s="110"/>
      <c r="M166" s="110" t="str">
        <f>IF(Refsz_Verbräuche[[#Headers],[2022]]=Startseite!$D$68,IF(OR(SUMIF($F166:Refsz_Verbräuche[[#This Row],[2021]],"&gt;0")&gt;0,), AVERAGEIF($F166:Refsz_Verbräuche[[#This Row],[2021]],"&lt;&gt;"""), ""),IF(Startseite!$D$68=(Refsz_Verbräuche[[#Headers],[2022]]-1),Refsz_Verbräuche[[#This Row],[2021]],IF(Startseite!$D$68&lt;Refsz_Verbräuche[[#Headers],[2022]],Refsz_Verbräuche[[#This Row],[2021]],"")))</f>
        <v/>
      </c>
      <c r="N166" s="110" t="str">
        <f>IF(Refsz_Verbräuche[[#Headers],[2023]]=Startseite!$D$68,IF(OR(SUMIF($F166:Refsz_Verbräuche[[#This Row],[2022]],"&gt;0")&gt;0,), AVERAGEIF($F166:Refsz_Verbräuche[[#This Row],[2022]],"&lt;&gt;"""), ""),IF(Startseite!$D$68=(Refsz_Verbräuche[[#Headers],[2023]]-1),Refsz_Verbräuche[[#This Row],[2022]],IF(Startseite!$D$68&lt;Refsz_Verbräuche[[#Headers],[2023]],Refsz_Verbräuche[[#This Row],[2022]],"")))</f>
        <v/>
      </c>
      <c r="O166" s="110" t="str">
        <f>IF(Refsz_Verbräuche[[#Headers],[2024]]=Startseite!$D$68,IF(OR(SUMIF($F166:Refsz_Verbräuche[[#This Row],[2023]],"&gt;0")&gt;0,), AVERAGEIF($F166:Refsz_Verbräuche[[#This Row],[2023]],"&lt;&gt;"""), ""),IF(Startseite!$D$68=(Refsz_Verbräuche[[#Headers],[2024]]-1),Refsz_Verbräuche[[#This Row],[2023]],IF(Startseite!$D$68&lt;Refsz_Verbräuche[[#Headers],[2024]],Refsz_Verbräuche[[#This Row],[2023]],"")))</f>
        <v/>
      </c>
      <c r="P166" s="110" t="str">
        <f>IF(Refsz_Verbräuche[[#Headers],[2025]]=Startseite!$D$68,IF(OR(SUMIF($F166:Refsz_Verbräuche[[#This Row],[2024]],"&gt;0")&gt;0,), AVERAGEIF($F166:Refsz_Verbräuche[[#This Row],[2024]],"&lt;&gt;"""), ""),IF(Startseite!$D$68=(Refsz_Verbräuche[[#Headers],[2025]]-1),Refsz_Verbräuche[[#This Row],[2024]],IF(Startseite!$D$68&lt;Refsz_Verbräuche[[#Headers],[2025]],Refsz_Verbräuche[[#This Row],[2024]],"")))</f>
        <v/>
      </c>
      <c r="Q166" s="110" t="str">
        <f>IF(Refsz_Verbräuche[[#Headers],[2026]]=Startseite!$D$68,IF(OR(SUMIF($F166:Refsz_Verbräuche[[#This Row],[2025]],"&gt;0")&gt;0,), AVERAGEIF($F166:Refsz_Verbräuche[[#This Row],[2025]],"&lt;&gt;"""), ""),IF(Startseite!$D$68=(Refsz_Verbräuche[[#Headers],[2026]]-1),Refsz_Verbräuche[[#This Row],[2025]],IF(Startseite!$D$68&lt;Refsz_Verbräuche[[#Headers],[2026]],Refsz_Verbräuche[[#This Row],[2025]],"")))</f>
        <v/>
      </c>
      <c r="R166" s="110" t="str">
        <f>IF(Refsz_Verbräuche[[#Headers],[2027]]=Startseite!$D$68,IF(OR(SUMIF($F166:Refsz_Verbräuche[[#This Row],[2026]],"&gt;0")&gt;0,), AVERAGEIF($F166:Refsz_Verbräuche[[#This Row],[2026]],"&lt;&gt;"""), ""),IF(Startseite!$D$68=(Refsz_Verbräuche[[#Headers],[2027]]-1),Refsz_Verbräuche[[#This Row],[2026]],IF(Startseite!$D$68&lt;Refsz_Verbräuche[[#Headers],[2027]],Refsz_Verbräuche[[#This Row],[2026]],"")))</f>
        <v/>
      </c>
      <c r="S166" s="110" t="str">
        <f>IF(Refsz_Verbräuche[[#Headers],[2028]]=Startseite!$D$68,IF(OR(SUMIF($F166:Refsz_Verbräuche[[#This Row],[2027]],"&gt;0")&gt;0,), AVERAGEIF($F166:Refsz_Verbräuche[[#This Row],[2027]],"&lt;&gt;"""), ""),IF(Startseite!$D$68=(Refsz_Verbräuche[[#Headers],[2028]]-1),Refsz_Verbräuche[[#This Row],[2027]],IF(Startseite!$D$68&lt;Refsz_Verbräuche[[#Headers],[2028]],Refsz_Verbräuche[[#This Row],[2027]],"")))</f>
        <v/>
      </c>
      <c r="T166" s="110" t="str">
        <f>IF(Refsz_Verbräuche[[#Headers],[2029]]=Startseite!$D$68,IF(OR(SUMIF($F166:Refsz_Verbräuche[[#This Row],[2028]],"&gt;0")&gt;0,), AVERAGEIF($F166:Refsz_Verbräuche[[#This Row],[2028]],"&lt;&gt;"""), ""),IF(Startseite!$D$68=(Refsz_Verbräuche[[#Headers],[2029]]-1),Refsz_Verbräuche[[#This Row],[2028]],IF(Startseite!$D$68&lt;Refsz_Verbräuche[[#Headers],[2029]],Refsz_Verbräuche[[#This Row],[2028]],"")))</f>
        <v/>
      </c>
      <c r="U166" s="110" t="str">
        <f>IF(Refsz_Verbräuche[[#Headers],[2030]]=Startseite!$D$68,IF(OR(SUMIF($F166:Refsz_Verbräuche[[#This Row],[2029]],"&gt;0")&gt;0,), AVERAGEIF($F166:Refsz_Verbräuche[[#This Row],[2029]],"&lt;&gt;"""), ""),IF(Startseite!$D$68=(Refsz_Verbräuche[[#Headers],[2030]]-1),Refsz_Verbräuche[[#This Row],[2029]],IF(Startseite!$D$68&lt;Refsz_Verbräuche[[#Headers],[2030]],Refsz_Verbräuche[[#This Row],[2029]],"")))</f>
        <v/>
      </c>
      <c r="V166" s="110" t="str">
        <f>IF(Refsz_Verbräuche[[#Headers],[2035]]=Startseite!$D$68,IF(OR(SUMIF($F166:Refsz_Verbräuche[[#This Row],[2030]],"&gt;0")&gt;0,), AVERAGEIF($F166:Refsz_Verbräuche[[#This Row],[2030]],"&lt;&gt;"""), ""),IF(Startseite!$D$68=(Refsz_Verbräuche[[#Headers],[2035]]-1),Refsz_Verbräuche[[#This Row],[2030]],IF(Startseite!$D$68&lt;Refsz_Verbräuche[[#Headers],[2035]],Refsz_Verbräuche[[#This Row],[2030]],"")))</f>
        <v/>
      </c>
      <c r="W166" s="110" t="str">
        <f>IF(Refsz_Verbräuche[[#Headers],[2040]]=Startseite!$D$68,IF(OR(SUMIF($F166:Refsz_Verbräuche[[#This Row],[2035]],"&gt;0")&gt;0,), AVERAGEIF($F166:Refsz_Verbräuche[[#This Row],[2035]],"&lt;&gt;"""), ""),IF(Startseite!$D$68=(Refsz_Verbräuche[[#Headers],[2040]]-1),Refsz_Verbräuche[[#This Row],[2035]],IF(Startseite!$D$68&lt;Refsz_Verbräuche[[#Headers],[2040]],Refsz_Verbräuche[[#This Row],[2035]],"")))</f>
        <v/>
      </c>
      <c r="X166" s="110" t="str">
        <f>IF(Refsz_Verbräuche[[#Headers],[2045]]=Startseite!$D$68,IF(OR(SUMIF($F166:Refsz_Verbräuche[[#This Row],[2040]],"&gt;0")&gt;0,), AVERAGEIF($F166:Refsz_Verbräuche[[#This Row],[2040]],"&lt;&gt;"""), ""),IF(Startseite!$D$68=(Refsz_Verbräuche[[#Headers],[2045]]-1),Refsz_Verbräuche[[#This Row],[2040]],IF(Startseite!$D$68&lt;Refsz_Verbräuche[[#Headers],[2045]],Refsz_Verbräuche[[#This Row],[2040]],"")))</f>
        <v/>
      </c>
      <c r="Y166" s="110" t="str">
        <f>IF(Refsz_Verbräuche[[#Headers],[2050]]=Startseite!$D$68,IF(OR(SUMIF($F166:Refsz_Verbräuche[[#This Row],[2045]],"&gt;0")&gt;0,), AVERAGEIF($F166:Refsz_Verbräuche[[#This Row],[2045]],"&lt;&gt;"""), ""),IF(Startseite!$D$68=(Refsz_Verbräuche[[#Headers],[2050]]-1),Refsz_Verbräuche[[#This Row],[2045]],IF(Startseite!$D$68&lt;Refsz_Verbräuche[[#Headers],[2050]],Refsz_Verbräuche[[#This Row],[2045]],"")))</f>
        <v/>
      </c>
      <c r="AA166" s="14"/>
    </row>
    <row r="167" spans="2:27">
      <c r="B167" s="14">
        <v>150</v>
      </c>
      <c r="C167" s="110"/>
      <c r="D167" s="125"/>
      <c r="E167" s="104"/>
      <c r="F167" s="110"/>
      <c r="G167" s="110"/>
      <c r="H167" s="110"/>
      <c r="I167" s="110"/>
      <c r="J167" s="110"/>
      <c r="K167" s="110"/>
      <c r="L167" s="110"/>
      <c r="M167" s="110" t="str">
        <f>IF(Refsz_Verbräuche[[#Headers],[2022]]=Startseite!$D$68,IF(OR(SUMIF($F167:Refsz_Verbräuche[[#This Row],[2021]],"&gt;0")&gt;0,), AVERAGEIF($F167:Refsz_Verbräuche[[#This Row],[2021]],"&lt;&gt;"""), ""),IF(Startseite!$D$68=(Refsz_Verbräuche[[#Headers],[2022]]-1),Refsz_Verbräuche[[#This Row],[2021]],IF(Startseite!$D$68&lt;Refsz_Verbräuche[[#Headers],[2022]],Refsz_Verbräuche[[#This Row],[2021]],"")))</f>
        <v/>
      </c>
      <c r="N167" s="110" t="str">
        <f>IF(Refsz_Verbräuche[[#Headers],[2023]]=Startseite!$D$68,IF(OR(SUMIF($F167:Refsz_Verbräuche[[#This Row],[2022]],"&gt;0")&gt;0,), AVERAGEIF($F167:Refsz_Verbräuche[[#This Row],[2022]],"&lt;&gt;"""), ""),IF(Startseite!$D$68=(Refsz_Verbräuche[[#Headers],[2023]]-1),Refsz_Verbräuche[[#This Row],[2022]],IF(Startseite!$D$68&lt;Refsz_Verbräuche[[#Headers],[2023]],Refsz_Verbräuche[[#This Row],[2022]],"")))</f>
        <v/>
      </c>
      <c r="O167" s="110" t="str">
        <f>IF(Refsz_Verbräuche[[#Headers],[2024]]=Startseite!$D$68,IF(OR(SUMIF($F167:Refsz_Verbräuche[[#This Row],[2023]],"&gt;0")&gt;0,), AVERAGEIF($F167:Refsz_Verbräuche[[#This Row],[2023]],"&lt;&gt;"""), ""),IF(Startseite!$D$68=(Refsz_Verbräuche[[#Headers],[2024]]-1),Refsz_Verbräuche[[#This Row],[2023]],IF(Startseite!$D$68&lt;Refsz_Verbräuche[[#Headers],[2024]],Refsz_Verbräuche[[#This Row],[2023]],"")))</f>
        <v/>
      </c>
      <c r="P167" s="110" t="str">
        <f>IF(Refsz_Verbräuche[[#Headers],[2025]]=Startseite!$D$68,IF(OR(SUMIF($F167:Refsz_Verbräuche[[#This Row],[2024]],"&gt;0")&gt;0,), AVERAGEIF($F167:Refsz_Verbräuche[[#This Row],[2024]],"&lt;&gt;"""), ""),IF(Startseite!$D$68=(Refsz_Verbräuche[[#Headers],[2025]]-1),Refsz_Verbräuche[[#This Row],[2024]],IF(Startseite!$D$68&lt;Refsz_Verbräuche[[#Headers],[2025]],Refsz_Verbräuche[[#This Row],[2024]],"")))</f>
        <v/>
      </c>
      <c r="Q167" s="110" t="str">
        <f>IF(Refsz_Verbräuche[[#Headers],[2026]]=Startseite!$D$68,IF(OR(SUMIF($F167:Refsz_Verbräuche[[#This Row],[2025]],"&gt;0")&gt;0,), AVERAGEIF($F167:Refsz_Verbräuche[[#This Row],[2025]],"&lt;&gt;"""), ""),IF(Startseite!$D$68=(Refsz_Verbräuche[[#Headers],[2026]]-1),Refsz_Verbräuche[[#This Row],[2025]],IF(Startseite!$D$68&lt;Refsz_Verbräuche[[#Headers],[2026]],Refsz_Verbräuche[[#This Row],[2025]],"")))</f>
        <v/>
      </c>
      <c r="R167" s="110" t="str">
        <f>IF(Refsz_Verbräuche[[#Headers],[2027]]=Startseite!$D$68,IF(OR(SUMIF($F167:Refsz_Verbräuche[[#This Row],[2026]],"&gt;0")&gt;0,), AVERAGEIF($F167:Refsz_Verbräuche[[#This Row],[2026]],"&lt;&gt;"""), ""),IF(Startseite!$D$68=(Refsz_Verbräuche[[#Headers],[2027]]-1),Refsz_Verbräuche[[#This Row],[2026]],IF(Startseite!$D$68&lt;Refsz_Verbräuche[[#Headers],[2027]],Refsz_Verbräuche[[#This Row],[2026]],"")))</f>
        <v/>
      </c>
      <c r="S167" s="110" t="str">
        <f>IF(Refsz_Verbräuche[[#Headers],[2028]]=Startseite!$D$68,IF(OR(SUMIF($F167:Refsz_Verbräuche[[#This Row],[2027]],"&gt;0")&gt;0,), AVERAGEIF($F167:Refsz_Verbräuche[[#This Row],[2027]],"&lt;&gt;"""), ""),IF(Startseite!$D$68=(Refsz_Verbräuche[[#Headers],[2028]]-1),Refsz_Verbräuche[[#This Row],[2027]],IF(Startseite!$D$68&lt;Refsz_Verbräuche[[#Headers],[2028]],Refsz_Verbräuche[[#This Row],[2027]],"")))</f>
        <v/>
      </c>
      <c r="T167" s="110" t="str">
        <f>IF(Refsz_Verbräuche[[#Headers],[2029]]=Startseite!$D$68,IF(OR(SUMIF($F167:Refsz_Verbräuche[[#This Row],[2028]],"&gt;0")&gt;0,), AVERAGEIF($F167:Refsz_Verbräuche[[#This Row],[2028]],"&lt;&gt;"""), ""),IF(Startseite!$D$68=(Refsz_Verbräuche[[#Headers],[2029]]-1),Refsz_Verbräuche[[#This Row],[2028]],IF(Startseite!$D$68&lt;Refsz_Verbräuche[[#Headers],[2029]],Refsz_Verbräuche[[#This Row],[2028]],"")))</f>
        <v/>
      </c>
      <c r="U167" s="110" t="str">
        <f>IF(Refsz_Verbräuche[[#Headers],[2030]]=Startseite!$D$68,IF(OR(SUMIF($F167:Refsz_Verbräuche[[#This Row],[2029]],"&gt;0")&gt;0,), AVERAGEIF($F167:Refsz_Verbräuche[[#This Row],[2029]],"&lt;&gt;"""), ""),IF(Startseite!$D$68=(Refsz_Verbräuche[[#Headers],[2030]]-1),Refsz_Verbräuche[[#This Row],[2029]],IF(Startseite!$D$68&lt;Refsz_Verbräuche[[#Headers],[2030]],Refsz_Verbräuche[[#This Row],[2029]],"")))</f>
        <v/>
      </c>
      <c r="V167" s="110" t="str">
        <f>IF(Refsz_Verbräuche[[#Headers],[2035]]=Startseite!$D$68,IF(OR(SUMIF($F167:Refsz_Verbräuche[[#This Row],[2030]],"&gt;0")&gt;0,), AVERAGEIF($F167:Refsz_Verbräuche[[#This Row],[2030]],"&lt;&gt;"""), ""),IF(Startseite!$D$68=(Refsz_Verbräuche[[#Headers],[2035]]-1),Refsz_Verbräuche[[#This Row],[2030]],IF(Startseite!$D$68&lt;Refsz_Verbräuche[[#Headers],[2035]],Refsz_Verbräuche[[#This Row],[2030]],"")))</f>
        <v/>
      </c>
      <c r="W167" s="110" t="str">
        <f>IF(Refsz_Verbräuche[[#Headers],[2040]]=Startseite!$D$68,IF(OR(SUMIF($F167:Refsz_Verbräuche[[#This Row],[2035]],"&gt;0")&gt;0,), AVERAGEIF($F167:Refsz_Verbräuche[[#This Row],[2035]],"&lt;&gt;"""), ""),IF(Startseite!$D$68=(Refsz_Verbräuche[[#Headers],[2040]]-1),Refsz_Verbräuche[[#This Row],[2035]],IF(Startseite!$D$68&lt;Refsz_Verbräuche[[#Headers],[2040]],Refsz_Verbräuche[[#This Row],[2035]],"")))</f>
        <v/>
      </c>
      <c r="X167" s="110" t="str">
        <f>IF(Refsz_Verbräuche[[#Headers],[2045]]=Startseite!$D$68,IF(OR(SUMIF($F167:Refsz_Verbräuche[[#This Row],[2040]],"&gt;0")&gt;0,), AVERAGEIF($F167:Refsz_Verbräuche[[#This Row],[2040]],"&lt;&gt;"""), ""),IF(Startseite!$D$68=(Refsz_Verbräuche[[#Headers],[2045]]-1),Refsz_Verbräuche[[#This Row],[2040]],IF(Startseite!$D$68&lt;Refsz_Verbräuche[[#Headers],[2045]],Refsz_Verbräuche[[#This Row],[2040]],"")))</f>
        <v/>
      </c>
      <c r="Y167" s="110" t="str">
        <f>IF(Refsz_Verbräuche[[#Headers],[2050]]=Startseite!$D$68,IF(OR(SUMIF($F167:Refsz_Verbräuche[[#This Row],[2045]],"&gt;0")&gt;0,), AVERAGEIF($F167:Refsz_Verbräuche[[#This Row],[2045]],"&lt;&gt;"""), ""),IF(Startseite!$D$68=(Refsz_Verbräuche[[#Headers],[2050]]-1),Refsz_Verbräuche[[#This Row],[2045]],IF(Startseite!$D$68&lt;Refsz_Verbräuche[[#Headers],[2050]],Refsz_Verbräuche[[#This Row],[2045]],"")))</f>
        <v/>
      </c>
      <c r="AA167" s="14"/>
    </row>
    <row r="168" spans="2:27">
      <c r="B168" s="14">
        <v>151</v>
      </c>
      <c r="C168" s="110"/>
      <c r="D168" s="125"/>
      <c r="E168" s="104"/>
      <c r="F168" s="110"/>
      <c r="G168" s="110"/>
      <c r="H168" s="110"/>
      <c r="I168" s="110"/>
      <c r="J168" s="110"/>
      <c r="K168" s="110"/>
      <c r="L168" s="110"/>
      <c r="M168" s="110" t="str">
        <f>IF(Refsz_Verbräuche[[#Headers],[2022]]=Startseite!$D$68,IF(OR(SUMIF($F168:Refsz_Verbräuche[[#This Row],[2021]],"&gt;0")&gt;0,), AVERAGEIF($F168:Refsz_Verbräuche[[#This Row],[2021]],"&lt;&gt;"""), ""),IF(Startseite!$D$68=(Refsz_Verbräuche[[#Headers],[2022]]-1),Refsz_Verbräuche[[#This Row],[2021]],IF(Startseite!$D$68&lt;Refsz_Verbräuche[[#Headers],[2022]],Refsz_Verbräuche[[#This Row],[2021]],"")))</f>
        <v/>
      </c>
      <c r="N168" s="110" t="str">
        <f>IF(Refsz_Verbräuche[[#Headers],[2023]]=Startseite!$D$68,IF(OR(SUMIF($F168:Refsz_Verbräuche[[#This Row],[2022]],"&gt;0")&gt;0,), AVERAGEIF($F168:Refsz_Verbräuche[[#This Row],[2022]],"&lt;&gt;"""), ""),IF(Startseite!$D$68=(Refsz_Verbräuche[[#Headers],[2023]]-1),Refsz_Verbräuche[[#This Row],[2022]],IF(Startseite!$D$68&lt;Refsz_Verbräuche[[#Headers],[2023]],Refsz_Verbräuche[[#This Row],[2022]],"")))</f>
        <v/>
      </c>
      <c r="O168" s="110" t="str">
        <f>IF(Refsz_Verbräuche[[#Headers],[2024]]=Startseite!$D$68,IF(OR(SUMIF($F168:Refsz_Verbräuche[[#This Row],[2023]],"&gt;0")&gt;0,), AVERAGEIF($F168:Refsz_Verbräuche[[#This Row],[2023]],"&lt;&gt;"""), ""),IF(Startseite!$D$68=(Refsz_Verbräuche[[#Headers],[2024]]-1),Refsz_Verbräuche[[#This Row],[2023]],IF(Startseite!$D$68&lt;Refsz_Verbräuche[[#Headers],[2024]],Refsz_Verbräuche[[#This Row],[2023]],"")))</f>
        <v/>
      </c>
      <c r="P168" s="110" t="str">
        <f>IF(Refsz_Verbräuche[[#Headers],[2025]]=Startseite!$D$68,IF(OR(SUMIF($F168:Refsz_Verbräuche[[#This Row],[2024]],"&gt;0")&gt;0,), AVERAGEIF($F168:Refsz_Verbräuche[[#This Row],[2024]],"&lt;&gt;"""), ""),IF(Startseite!$D$68=(Refsz_Verbräuche[[#Headers],[2025]]-1),Refsz_Verbräuche[[#This Row],[2024]],IF(Startseite!$D$68&lt;Refsz_Verbräuche[[#Headers],[2025]],Refsz_Verbräuche[[#This Row],[2024]],"")))</f>
        <v/>
      </c>
      <c r="Q168" s="110" t="str">
        <f>IF(Refsz_Verbräuche[[#Headers],[2026]]=Startseite!$D$68,IF(OR(SUMIF($F168:Refsz_Verbräuche[[#This Row],[2025]],"&gt;0")&gt;0,), AVERAGEIF($F168:Refsz_Verbräuche[[#This Row],[2025]],"&lt;&gt;"""), ""),IF(Startseite!$D$68=(Refsz_Verbräuche[[#Headers],[2026]]-1),Refsz_Verbräuche[[#This Row],[2025]],IF(Startseite!$D$68&lt;Refsz_Verbräuche[[#Headers],[2026]],Refsz_Verbräuche[[#This Row],[2025]],"")))</f>
        <v/>
      </c>
      <c r="R168" s="110" t="str">
        <f>IF(Refsz_Verbräuche[[#Headers],[2027]]=Startseite!$D$68,IF(OR(SUMIF($F168:Refsz_Verbräuche[[#This Row],[2026]],"&gt;0")&gt;0,), AVERAGEIF($F168:Refsz_Verbräuche[[#This Row],[2026]],"&lt;&gt;"""), ""),IF(Startseite!$D$68=(Refsz_Verbräuche[[#Headers],[2027]]-1),Refsz_Verbräuche[[#This Row],[2026]],IF(Startseite!$D$68&lt;Refsz_Verbräuche[[#Headers],[2027]],Refsz_Verbräuche[[#This Row],[2026]],"")))</f>
        <v/>
      </c>
      <c r="S168" s="110" t="str">
        <f>IF(Refsz_Verbräuche[[#Headers],[2028]]=Startseite!$D$68,IF(OR(SUMIF($F168:Refsz_Verbräuche[[#This Row],[2027]],"&gt;0")&gt;0,), AVERAGEIF($F168:Refsz_Verbräuche[[#This Row],[2027]],"&lt;&gt;"""), ""),IF(Startseite!$D$68=(Refsz_Verbräuche[[#Headers],[2028]]-1),Refsz_Verbräuche[[#This Row],[2027]],IF(Startseite!$D$68&lt;Refsz_Verbräuche[[#Headers],[2028]],Refsz_Verbräuche[[#This Row],[2027]],"")))</f>
        <v/>
      </c>
      <c r="T168" s="110" t="str">
        <f>IF(Refsz_Verbräuche[[#Headers],[2029]]=Startseite!$D$68,IF(OR(SUMIF($F168:Refsz_Verbräuche[[#This Row],[2028]],"&gt;0")&gt;0,), AVERAGEIF($F168:Refsz_Verbräuche[[#This Row],[2028]],"&lt;&gt;"""), ""),IF(Startseite!$D$68=(Refsz_Verbräuche[[#Headers],[2029]]-1),Refsz_Verbräuche[[#This Row],[2028]],IF(Startseite!$D$68&lt;Refsz_Verbräuche[[#Headers],[2029]],Refsz_Verbräuche[[#This Row],[2028]],"")))</f>
        <v/>
      </c>
      <c r="U168" s="110" t="str">
        <f>IF(Refsz_Verbräuche[[#Headers],[2030]]=Startseite!$D$68,IF(OR(SUMIF($F168:Refsz_Verbräuche[[#This Row],[2029]],"&gt;0")&gt;0,), AVERAGEIF($F168:Refsz_Verbräuche[[#This Row],[2029]],"&lt;&gt;"""), ""),IF(Startseite!$D$68=(Refsz_Verbräuche[[#Headers],[2030]]-1),Refsz_Verbräuche[[#This Row],[2029]],IF(Startseite!$D$68&lt;Refsz_Verbräuche[[#Headers],[2030]],Refsz_Verbräuche[[#This Row],[2029]],"")))</f>
        <v/>
      </c>
      <c r="V168" s="110" t="str">
        <f>IF(Refsz_Verbräuche[[#Headers],[2035]]=Startseite!$D$68,IF(OR(SUMIF($F168:Refsz_Verbräuche[[#This Row],[2030]],"&gt;0")&gt;0,), AVERAGEIF($F168:Refsz_Verbräuche[[#This Row],[2030]],"&lt;&gt;"""), ""),IF(Startseite!$D$68=(Refsz_Verbräuche[[#Headers],[2035]]-1),Refsz_Verbräuche[[#This Row],[2030]],IF(Startseite!$D$68&lt;Refsz_Verbräuche[[#Headers],[2035]],Refsz_Verbräuche[[#This Row],[2030]],"")))</f>
        <v/>
      </c>
      <c r="W168" s="110" t="str">
        <f>IF(Refsz_Verbräuche[[#Headers],[2040]]=Startseite!$D$68,IF(OR(SUMIF($F168:Refsz_Verbräuche[[#This Row],[2035]],"&gt;0")&gt;0,), AVERAGEIF($F168:Refsz_Verbräuche[[#This Row],[2035]],"&lt;&gt;"""), ""),IF(Startseite!$D$68=(Refsz_Verbräuche[[#Headers],[2040]]-1),Refsz_Verbräuche[[#This Row],[2035]],IF(Startseite!$D$68&lt;Refsz_Verbräuche[[#Headers],[2040]],Refsz_Verbräuche[[#This Row],[2035]],"")))</f>
        <v/>
      </c>
      <c r="X168" s="110" t="str">
        <f>IF(Refsz_Verbräuche[[#Headers],[2045]]=Startseite!$D$68,IF(OR(SUMIF($F168:Refsz_Verbräuche[[#This Row],[2040]],"&gt;0")&gt;0,), AVERAGEIF($F168:Refsz_Verbräuche[[#This Row],[2040]],"&lt;&gt;"""), ""),IF(Startseite!$D$68=(Refsz_Verbräuche[[#Headers],[2045]]-1),Refsz_Verbräuche[[#This Row],[2040]],IF(Startseite!$D$68&lt;Refsz_Verbräuche[[#Headers],[2045]],Refsz_Verbräuche[[#This Row],[2040]],"")))</f>
        <v/>
      </c>
      <c r="Y168" s="110" t="str">
        <f>IF(Refsz_Verbräuche[[#Headers],[2050]]=Startseite!$D$68,IF(OR(SUMIF($F168:Refsz_Verbräuche[[#This Row],[2045]],"&gt;0")&gt;0,), AVERAGEIF($F168:Refsz_Verbräuche[[#This Row],[2045]],"&lt;&gt;"""), ""),IF(Startseite!$D$68=(Refsz_Verbräuche[[#Headers],[2050]]-1),Refsz_Verbräuche[[#This Row],[2045]],IF(Startseite!$D$68&lt;Refsz_Verbräuche[[#Headers],[2050]],Refsz_Verbräuche[[#This Row],[2045]],"")))</f>
        <v/>
      </c>
      <c r="AA168" s="14"/>
    </row>
    <row r="169" spans="2:27">
      <c r="B169" s="14">
        <v>152</v>
      </c>
      <c r="C169" s="110"/>
      <c r="D169" s="125"/>
      <c r="E169" s="104"/>
      <c r="F169" s="110"/>
      <c r="G169" s="110"/>
      <c r="H169" s="110"/>
      <c r="I169" s="110"/>
      <c r="J169" s="110"/>
      <c r="K169" s="110"/>
      <c r="L169" s="110"/>
      <c r="M169" s="110" t="str">
        <f>IF(Refsz_Verbräuche[[#Headers],[2022]]=Startseite!$D$68,IF(OR(SUMIF($F169:Refsz_Verbräuche[[#This Row],[2021]],"&gt;0")&gt;0,), AVERAGEIF($F169:Refsz_Verbräuche[[#This Row],[2021]],"&lt;&gt;"""), ""),IF(Startseite!$D$68=(Refsz_Verbräuche[[#Headers],[2022]]-1),Refsz_Verbräuche[[#This Row],[2021]],IF(Startseite!$D$68&lt;Refsz_Verbräuche[[#Headers],[2022]],Refsz_Verbräuche[[#This Row],[2021]],"")))</f>
        <v/>
      </c>
      <c r="N169" s="110" t="str">
        <f>IF(Refsz_Verbräuche[[#Headers],[2023]]=Startseite!$D$68,IF(OR(SUMIF($F169:Refsz_Verbräuche[[#This Row],[2022]],"&gt;0")&gt;0,), AVERAGEIF($F169:Refsz_Verbräuche[[#This Row],[2022]],"&lt;&gt;"""), ""),IF(Startseite!$D$68=(Refsz_Verbräuche[[#Headers],[2023]]-1),Refsz_Verbräuche[[#This Row],[2022]],IF(Startseite!$D$68&lt;Refsz_Verbräuche[[#Headers],[2023]],Refsz_Verbräuche[[#This Row],[2022]],"")))</f>
        <v/>
      </c>
      <c r="O169" s="110" t="str">
        <f>IF(Refsz_Verbräuche[[#Headers],[2024]]=Startseite!$D$68,IF(OR(SUMIF($F169:Refsz_Verbräuche[[#This Row],[2023]],"&gt;0")&gt;0,), AVERAGEIF($F169:Refsz_Verbräuche[[#This Row],[2023]],"&lt;&gt;"""), ""),IF(Startseite!$D$68=(Refsz_Verbräuche[[#Headers],[2024]]-1),Refsz_Verbräuche[[#This Row],[2023]],IF(Startseite!$D$68&lt;Refsz_Verbräuche[[#Headers],[2024]],Refsz_Verbräuche[[#This Row],[2023]],"")))</f>
        <v/>
      </c>
      <c r="P169" s="110" t="str">
        <f>IF(Refsz_Verbräuche[[#Headers],[2025]]=Startseite!$D$68,IF(OR(SUMIF($F169:Refsz_Verbräuche[[#This Row],[2024]],"&gt;0")&gt;0,), AVERAGEIF($F169:Refsz_Verbräuche[[#This Row],[2024]],"&lt;&gt;"""), ""),IF(Startseite!$D$68=(Refsz_Verbräuche[[#Headers],[2025]]-1),Refsz_Verbräuche[[#This Row],[2024]],IF(Startseite!$D$68&lt;Refsz_Verbräuche[[#Headers],[2025]],Refsz_Verbräuche[[#This Row],[2024]],"")))</f>
        <v/>
      </c>
      <c r="Q169" s="110" t="str">
        <f>IF(Refsz_Verbräuche[[#Headers],[2026]]=Startseite!$D$68,IF(OR(SUMIF($F169:Refsz_Verbräuche[[#This Row],[2025]],"&gt;0")&gt;0,), AVERAGEIF($F169:Refsz_Verbräuche[[#This Row],[2025]],"&lt;&gt;"""), ""),IF(Startseite!$D$68=(Refsz_Verbräuche[[#Headers],[2026]]-1),Refsz_Verbräuche[[#This Row],[2025]],IF(Startseite!$D$68&lt;Refsz_Verbräuche[[#Headers],[2026]],Refsz_Verbräuche[[#This Row],[2025]],"")))</f>
        <v/>
      </c>
      <c r="R169" s="110" t="str">
        <f>IF(Refsz_Verbräuche[[#Headers],[2027]]=Startseite!$D$68,IF(OR(SUMIF($F169:Refsz_Verbräuche[[#This Row],[2026]],"&gt;0")&gt;0,), AVERAGEIF($F169:Refsz_Verbräuche[[#This Row],[2026]],"&lt;&gt;"""), ""),IF(Startseite!$D$68=(Refsz_Verbräuche[[#Headers],[2027]]-1),Refsz_Verbräuche[[#This Row],[2026]],IF(Startseite!$D$68&lt;Refsz_Verbräuche[[#Headers],[2027]],Refsz_Verbräuche[[#This Row],[2026]],"")))</f>
        <v/>
      </c>
      <c r="S169" s="110" t="str">
        <f>IF(Refsz_Verbräuche[[#Headers],[2028]]=Startseite!$D$68,IF(OR(SUMIF($F169:Refsz_Verbräuche[[#This Row],[2027]],"&gt;0")&gt;0,), AVERAGEIF($F169:Refsz_Verbräuche[[#This Row],[2027]],"&lt;&gt;"""), ""),IF(Startseite!$D$68=(Refsz_Verbräuche[[#Headers],[2028]]-1),Refsz_Verbräuche[[#This Row],[2027]],IF(Startseite!$D$68&lt;Refsz_Verbräuche[[#Headers],[2028]],Refsz_Verbräuche[[#This Row],[2027]],"")))</f>
        <v/>
      </c>
      <c r="T169" s="110" t="str">
        <f>IF(Refsz_Verbräuche[[#Headers],[2029]]=Startseite!$D$68,IF(OR(SUMIF($F169:Refsz_Verbräuche[[#This Row],[2028]],"&gt;0")&gt;0,), AVERAGEIF($F169:Refsz_Verbräuche[[#This Row],[2028]],"&lt;&gt;"""), ""),IF(Startseite!$D$68=(Refsz_Verbräuche[[#Headers],[2029]]-1),Refsz_Verbräuche[[#This Row],[2028]],IF(Startseite!$D$68&lt;Refsz_Verbräuche[[#Headers],[2029]],Refsz_Verbräuche[[#This Row],[2028]],"")))</f>
        <v/>
      </c>
      <c r="U169" s="110" t="str">
        <f>IF(Refsz_Verbräuche[[#Headers],[2030]]=Startseite!$D$68,IF(OR(SUMIF($F169:Refsz_Verbräuche[[#This Row],[2029]],"&gt;0")&gt;0,), AVERAGEIF($F169:Refsz_Verbräuche[[#This Row],[2029]],"&lt;&gt;"""), ""),IF(Startseite!$D$68=(Refsz_Verbräuche[[#Headers],[2030]]-1),Refsz_Verbräuche[[#This Row],[2029]],IF(Startseite!$D$68&lt;Refsz_Verbräuche[[#Headers],[2030]],Refsz_Verbräuche[[#This Row],[2029]],"")))</f>
        <v/>
      </c>
      <c r="V169" s="110" t="str">
        <f>IF(Refsz_Verbräuche[[#Headers],[2035]]=Startseite!$D$68,IF(OR(SUMIF($F169:Refsz_Verbräuche[[#This Row],[2030]],"&gt;0")&gt;0,), AVERAGEIF($F169:Refsz_Verbräuche[[#This Row],[2030]],"&lt;&gt;"""), ""),IF(Startseite!$D$68=(Refsz_Verbräuche[[#Headers],[2035]]-1),Refsz_Verbräuche[[#This Row],[2030]],IF(Startseite!$D$68&lt;Refsz_Verbräuche[[#Headers],[2035]],Refsz_Verbräuche[[#This Row],[2030]],"")))</f>
        <v/>
      </c>
      <c r="W169" s="110" t="str">
        <f>IF(Refsz_Verbräuche[[#Headers],[2040]]=Startseite!$D$68,IF(OR(SUMIF($F169:Refsz_Verbräuche[[#This Row],[2035]],"&gt;0")&gt;0,), AVERAGEIF($F169:Refsz_Verbräuche[[#This Row],[2035]],"&lt;&gt;"""), ""),IF(Startseite!$D$68=(Refsz_Verbräuche[[#Headers],[2040]]-1),Refsz_Verbräuche[[#This Row],[2035]],IF(Startseite!$D$68&lt;Refsz_Verbräuche[[#Headers],[2040]],Refsz_Verbräuche[[#This Row],[2035]],"")))</f>
        <v/>
      </c>
      <c r="X169" s="110" t="str">
        <f>IF(Refsz_Verbräuche[[#Headers],[2045]]=Startseite!$D$68,IF(OR(SUMIF($F169:Refsz_Verbräuche[[#This Row],[2040]],"&gt;0")&gt;0,), AVERAGEIF($F169:Refsz_Verbräuche[[#This Row],[2040]],"&lt;&gt;"""), ""),IF(Startseite!$D$68=(Refsz_Verbräuche[[#Headers],[2045]]-1),Refsz_Verbräuche[[#This Row],[2040]],IF(Startseite!$D$68&lt;Refsz_Verbräuche[[#Headers],[2045]],Refsz_Verbräuche[[#This Row],[2040]],"")))</f>
        <v/>
      </c>
      <c r="Y169" s="110" t="str">
        <f>IF(Refsz_Verbräuche[[#Headers],[2050]]=Startseite!$D$68,IF(OR(SUMIF($F169:Refsz_Verbräuche[[#This Row],[2045]],"&gt;0")&gt;0,), AVERAGEIF($F169:Refsz_Verbräuche[[#This Row],[2045]],"&lt;&gt;"""), ""),IF(Startseite!$D$68=(Refsz_Verbräuche[[#Headers],[2050]]-1),Refsz_Verbräuche[[#This Row],[2045]],IF(Startseite!$D$68&lt;Refsz_Verbräuche[[#Headers],[2050]],Refsz_Verbräuche[[#This Row],[2045]],"")))</f>
        <v/>
      </c>
      <c r="AA169" s="14"/>
    </row>
    <row r="170" spans="2:27">
      <c r="B170" s="14">
        <v>153</v>
      </c>
      <c r="C170" s="110"/>
      <c r="D170" s="125"/>
      <c r="E170" s="104"/>
      <c r="F170" s="110"/>
      <c r="G170" s="110"/>
      <c r="H170" s="110"/>
      <c r="I170" s="110"/>
      <c r="J170" s="110"/>
      <c r="K170" s="110"/>
      <c r="L170" s="110"/>
      <c r="M170" s="110" t="str">
        <f>IF(Refsz_Verbräuche[[#Headers],[2022]]=Startseite!$D$68,IF(OR(SUMIF($F170:Refsz_Verbräuche[[#This Row],[2021]],"&gt;0")&gt;0,), AVERAGEIF($F170:Refsz_Verbräuche[[#This Row],[2021]],"&lt;&gt;"""), ""),IF(Startseite!$D$68=(Refsz_Verbräuche[[#Headers],[2022]]-1),Refsz_Verbräuche[[#This Row],[2021]],IF(Startseite!$D$68&lt;Refsz_Verbräuche[[#Headers],[2022]],Refsz_Verbräuche[[#This Row],[2021]],"")))</f>
        <v/>
      </c>
      <c r="N170" s="110" t="str">
        <f>IF(Refsz_Verbräuche[[#Headers],[2023]]=Startseite!$D$68,IF(OR(SUMIF($F170:Refsz_Verbräuche[[#This Row],[2022]],"&gt;0")&gt;0,), AVERAGEIF($F170:Refsz_Verbräuche[[#This Row],[2022]],"&lt;&gt;"""), ""),IF(Startseite!$D$68=(Refsz_Verbräuche[[#Headers],[2023]]-1),Refsz_Verbräuche[[#This Row],[2022]],IF(Startseite!$D$68&lt;Refsz_Verbräuche[[#Headers],[2023]],Refsz_Verbräuche[[#This Row],[2022]],"")))</f>
        <v/>
      </c>
      <c r="O170" s="110" t="str">
        <f>IF(Refsz_Verbräuche[[#Headers],[2024]]=Startseite!$D$68,IF(OR(SUMIF($F170:Refsz_Verbräuche[[#This Row],[2023]],"&gt;0")&gt;0,), AVERAGEIF($F170:Refsz_Verbräuche[[#This Row],[2023]],"&lt;&gt;"""), ""),IF(Startseite!$D$68=(Refsz_Verbräuche[[#Headers],[2024]]-1),Refsz_Verbräuche[[#This Row],[2023]],IF(Startseite!$D$68&lt;Refsz_Verbräuche[[#Headers],[2024]],Refsz_Verbräuche[[#This Row],[2023]],"")))</f>
        <v/>
      </c>
      <c r="P170" s="110" t="str">
        <f>IF(Refsz_Verbräuche[[#Headers],[2025]]=Startseite!$D$68,IF(OR(SUMIF($F170:Refsz_Verbräuche[[#This Row],[2024]],"&gt;0")&gt;0,), AVERAGEIF($F170:Refsz_Verbräuche[[#This Row],[2024]],"&lt;&gt;"""), ""),IF(Startseite!$D$68=(Refsz_Verbräuche[[#Headers],[2025]]-1),Refsz_Verbräuche[[#This Row],[2024]],IF(Startseite!$D$68&lt;Refsz_Verbräuche[[#Headers],[2025]],Refsz_Verbräuche[[#This Row],[2024]],"")))</f>
        <v/>
      </c>
      <c r="Q170" s="110" t="str">
        <f>IF(Refsz_Verbräuche[[#Headers],[2026]]=Startseite!$D$68,IF(OR(SUMIF($F170:Refsz_Verbräuche[[#This Row],[2025]],"&gt;0")&gt;0,), AVERAGEIF($F170:Refsz_Verbräuche[[#This Row],[2025]],"&lt;&gt;"""), ""),IF(Startseite!$D$68=(Refsz_Verbräuche[[#Headers],[2026]]-1),Refsz_Verbräuche[[#This Row],[2025]],IF(Startseite!$D$68&lt;Refsz_Verbräuche[[#Headers],[2026]],Refsz_Verbräuche[[#This Row],[2025]],"")))</f>
        <v/>
      </c>
      <c r="R170" s="110" t="str">
        <f>IF(Refsz_Verbräuche[[#Headers],[2027]]=Startseite!$D$68,IF(OR(SUMIF($F170:Refsz_Verbräuche[[#This Row],[2026]],"&gt;0")&gt;0,), AVERAGEIF($F170:Refsz_Verbräuche[[#This Row],[2026]],"&lt;&gt;"""), ""),IF(Startseite!$D$68=(Refsz_Verbräuche[[#Headers],[2027]]-1),Refsz_Verbräuche[[#This Row],[2026]],IF(Startseite!$D$68&lt;Refsz_Verbräuche[[#Headers],[2027]],Refsz_Verbräuche[[#This Row],[2026]],"")))</f>
        <v/>
      </c>
      <c r="S170" s="110" t="str">
        <f>IF(Refsz_Verbräuche[[#Headers],[2028]]=Startseite!$D$68,IF(OR(SUMIF($F170:Refsz_Verbräuche[[#This Row],[2027]],"&gt;0")&gt;0,), AVERAGEIF($F170:Refsz_Verbräuche[[#This Row],[2027]],"&lt;&gt;"""), ""),IF(Startseite!$D$68=(Refsz_Verbräuche[[#Headers],[2028]]-1),Refsz_Verbräuche[[#This Row],[2027]],IF(Startseite!$D$68&lt;Refsz_Verbräuche[[#Headers],[2028]],Refsz_Verbräuche[[#This Row],[2027]],"")))</f>
        <v/>
      </c>
      <c r="T170" s="110" t="str">
        <f>IF(Refsz_Verbräuche[[#Headers],[2029]]=Startseite!$D$68,IF(OR(SUMIF($F170:Refsz_Verbräuche[[#This Row],[2028]],"&gt;0")&gt;0,), AVERAGEIF($F170:Refsz_Verbräuche[[#This Row],[2028]],"&lt;&gt;"""), ""),IF(Startseite!$D$68=(Refsz_Verbräuche[[#Headers],[2029]]-1),Refsz_Verbräuche[[#This Row],[2028]],IF(Startseite!$D$68&lt;Refsz_Verbräuche[[#Headers],[2029]],Refsz_Verbräuche[[#This Row],[2028]],"")))</f>
        <v/>
      </c>
      <c r="U170" s="110" t="str">
        <f>IF(Refsz_Verbräuche[[#Headers],[2030]]=Startseite!$D$68,IF(OR(SUMIF($F170:Refsz_Verbräuche[[#This Row],[2029]],"&gt;0")&gt;0,), AVERAGEIF($F170:Refsz_Verbräuche[[#This Row],[2029]],"&lt;&gt;"""), ""),IF(Startseite!$D$68=(Refsz_Verbräuche[[#Headers],[2030]]-1),Refsz_Verbräuche[[#This Row],[2029]],IF(Startseite!$D$68&lt;Refsz_Verbräuche[[#Headers],[2030]],Refsz_Verbräuche[[#This Row],[2029]],"")))</f>
        <v/>
      </c>
      <c r="V170" s="110" t="str">
        <f>IF(Refsz_Verbräuche[[#Headers],[2035]]=Startseite!$D$68,IF(OR(SUMIF($F170:Refsz_Verbräuche[[#This Row],[2030]],"&gt;0")&gt;0,), AVERAGEIF($F170:Refsz_Verbräuche[[#This Row],[2030]],"&lt;&gt;"""), ""),IF(Startseite!$D$68=(Refsz_Verbräuche[[#Headers],[2035]]-1),Refsz_Verbräuche[[#This Row],[2030]],IF(Startseite!$D$68&lt;Refsz_Verbräuche[[#Headers],[2035]],Refsz_Verbräuche[[#This Row],[2030]],"")))</f>
        <v/>
      </c>
      <c r="W170" s="110" t="str">
        <f>IF(Refsz_Verbräuche[[#Headers],[2040]]=Startseite!$D$68,IF(OR(SUMIF($F170:Refsz_Verbräuche[[#This Row],[2035]],"&gt;0")&gt;0,), AVERAGEIF($F170:Refsz_Verbräuche[[#This Row],[2035]],"&lt;&gt;"""), ""),IF(Startseite!$D$68=(Refsz_Verbräuche[[#Headers],[2040]]-1),Refsz_Verbräuche[[#This Row],[2035]],IF(Startseite!$D$68&lt;Refsz_Verbräuche[[#Headers],[2040]],Refsz_Verbräuche[[#This Row],[2035]],"")))</f>
        <v/>
      </c>
      <c r="X170" s="110" t="str">
        <f>IF(Refsz_Verbräuche[[#Headers],[2045]]=Startseite!$D$68,IF(OR(SUMIF($F170:Refsz_Verbräuche[[#This Row],[2040]],"&gt;0")&gt;0,), AVERAGEIF($F170:Refsz_Verbräuche[[#This Row],[2040]],"&lt;&gt;"""), ""),IF(Startseite!$D$68=(Refsz_Verbräuche[[#Headers],[2045]]-1),Refsz_Verbräuche[[#This Row],[2040]],IF(Startseite!$D$68&lt;Refsz_Verbräuche[[#Headers],[2045]],Refsz_Verbräuche[[#This Row],[2040]],"")))</f>
        <v/>
      </c>
      <c r="Y170" s="110" t="str">
        <f>IF(Refsz_Verbräuche[[#Headers],[2050]]=Startseite!$D$68,IF(OR(SUMIF($F170:Refsz_Verbräuche[[#This Row],[2045]],"&gt;0")&gt;0,), AVERAGEIF($F170:Refsz_Verbräuche[[#This Row],[2045]],"&lt;&gt;"""), ""),IF(Startseite!$D$68=(Refsz_Verbräuche[[#Headers],[2050]]-1),Refsz_Verbräuche[[#This Row],[2045]],IF(Startseite!$D$68&lt;Refsz_Verbräuche[[#Headers],[2050]],Refsz_Verbräuche[[#This Row],[2045]],"")))</f>
        <v/>
      </c>
      <c r="AA170" s="14"/>
    </row>
    <row r="171" spans="2:27">
      <c r="B171" s="14">
        <v>154</v>
      </c>
      <c r="C171" s="110"/>
      <c r="D171" s="125"/>
      <c r="E171" s="104"/>
      <c r="F171" s="110"/>
      <c r="G171" s="110"/>
      <c r="H171" s="110"/>
      <c r="I171" s="110"/>
      <c r="J171" s="110"/>
      <c r="K171" s="110"/>
      <c r="L171" s="110"/>
      <c r="M171" s="110" t="str">
        <f>IF(Refsz_Verbräuche[[#Headers],[2022]]=Startseite!$D$68,IF(OR(SUMIF($F171:Refsz_Verbräuche[[#This Row],[2021]],"&gt;0")&gt;0,), AVERAGEIF($F171:Refsz_Verbräuche[[#This Row],[2021]],"&lt;&gt;"""), ""),IF(Startseite!$D$68=(Refsz_Verbräuche[[#Headers],[2022]]-1),Refsz_Verbräuche[[#This Row],[2021]],IF(Startseite!$D$68&lt;Refsz_Verbräuche[[#Headers],[2022]],Refsz_Verbräuche[[#This Row],[2021]],"")))</f>
        <v/>
      </c>
      <c r="N171" s="110" t="str">
        <f>IF(Refsz_Verbräuche[[#Headers],[2023]]=Startseite!$D$68,IF(OR(SUMIF($F171:Refsz_Verbräuche[[#This Row],[2022]],"&gt;0")&gt;0,), AVERAGEIF($F171:Refsz_Verbräuche[[#This Row],[2022]],"&lt;&gt;"""), ""),IF(Startseite!$D$68=(Refsz_Verbräuche[[#Headers],[2023]]-1),Refsz_Verbräuche[[#This Row],[2022]],IF(Startseite!$D$68&lt;Refsz_Verbräuche[[#Headers],[2023]],Refsz_Verbräuche[[#This Row],[2022]],"")))</f>
        <v/>
      </c>
      <c r="O171" s="110" t="str">
        <f>IF(Refsz_Verbräuche[[#Headers],[2024]]=Startseite!$D$68,IF(OR(SUMIF($F171:Refsz_Verbräuche[[#This Row],[2023]],"&gt;0")&gt;0,), AVERAGEIF($F171:Refsz_Verbräuche[[#This Row],[2023]],"&lt;&gt;"""), ""),IF(Startseite!$D$68=(Refsz_Verbräuche[[#Headers],[2024]]-1),Refsz_Verbräuche[[#This Row],[2023]],IF(Startseite!$D$68&lt;Refsz_Verbräuche[[#Headers],[2024]],Refsz_Verbräuche[[#This Row],[2023]],"")))</f>
        <v/>
      </c>
      <c r="P171" s="110" t="str">
        <f>IF(Refsz_Verbräuche[[#Headers],[2025]]=Startseite!$D$68,IF(OR(SUMIF($F171:Refsz_Verbräuche[[#This Row],[2024]],"&gt;0")&gt;0,), AVERAGEIF($F171:Refsz_Verbräuche[[#This Row],[2024]],"&lt;&gt;"""), ""),IF(Startseite!$D$68=(Refsz_Verbräuche[[#Headers],[2025]]-1),Refsz_Verbräuche[[#This Row],[2024]],IF(Startseite!$D$68&lt;Refsz_Verbräuche[[#Headers],[2025]],Refsz_Verbräuche[[#This Row],[2024]],"")))</f>
        <v/>
      </c>
      <c r="Q171" s="110" t="str">
        <f>IF(Refsz_Verbräuche[[#Headers],[2026]]=Startseite!$D$68,IF(OR(SUMIF($F171:Refsz_Verbräuche[[#This Row],[2025]],"&gt;0")&gt;0,), AVERAGEIF($F171:Refsz_Verbräuche[[#This Row],[2025]],"&lt;&gt;"""), ""),IF(Startseite!$D$68=(Refsz_Verbräuche[[#Headers],[2026]]-1),Refsz_Verbräuche[[#This Row],[2025]],IF(Startseite!$D$68&lt;Refsz_Verbräuche[[#Headers],[2026]],Refsz_Verbräuche[[#This Row],[2025]],"")))</f>
        <v/>
      </c>
      <c r="R171" s="110" t="str">
        <f>IF(Refsz_Verbräuche[[#Headers],[2027]]=Startseite!$D$68,IF(OR(SUMIF($F171:Refsz_Verbräuche[[#This Row],[2026]],"&gt;0")&gt;0,), AVERAGEIF($F171:Refsz_Verbräuche[[#This Row],[2026]],"&lt;&gt;"""), ""),IF(Startseite!$D$68=(Refsz_Verbräuche[[#Headers],[2027]]-1),Refsz_Verbräuche[[#This Row],[2026]],IF(Startseite!$D$68&lt;Refsz_Verbräuche[[#Headers],[2027]],Refsz_Verbräuche[[#This Row],[2026]],"")))</f>
        <v/>
      </c>
      <c r="S171" s="110" t="str">
        <f>IF(Refsz_Verbräuche[[#Headers],[2028]]=Startseite!$D$68,IF(OR(SUMIF($F171:Refsz_Verbräuche[[#This Row],[2027]],"&gt;0")&gt;0,), AVERAGEIF($F171:Refsz_Verbräuche[[#This Row],[2027]],"&lt;&gt;"""), ""),IF(Startseite!$D$68=(Refsz_Verbräuche[[#Headers],[2028]]-1),Refsz_Verbräuche[[#This Row],[2027]],IF(Startseite!$D$68&lt;Refsz_Verbräuche[[#Headers],[2028]],Refsz_Verbräuche[[#This Row],[2027]],"")))</f>
        <v/>
      </c>
      <c r="T171" s="110" t="str">
        <f>IF(Refsz_Verbräuche[[#Headers],[2029]]=Startseite!$D$68,IF(OR(SUMIF($F171:Refsz_Verbräuche[[#This Row],[2028]],"&gt;0")&gt;0,), AVERAGEIF($F171:Refsz_Verbräuche[[#This Row],[2028]],"&lt;&gt;"""), ""),IF(Startseite!$D$68=(Refsz_Verbräuche[[#Headers],[2029]]-1),Refsz_Verbräuche[[#This Row],[2028]],IF(Startseite!$D$68&lt;Refsz_Verbräuche[[#Headers],[2029]],Refsz_Verbräuche[[#This Row],[2028]],"")))</f>
        <v/>
      </c>
      <c r="U171" s="110" t="str">
        <f>IF(Refsz_Verbräuche[[#Headers],[2030]]=Startseite!$D$68,IF(OR(SUMIF($F171:Refsz_Verbräuche[[#This Row],[2029]],"&gt;0")&gt;0,), AVERAGEIF($F171:Refsz_Verbräuche[[#This Row],[2029]],"&lt;&gt;"""), ""),IF(Startseite!$D$68=(Refsz_Verbräuche[[#Headers],[2030]]-1),Refsz_Verbräuche[[#This Row],[2029]],IF(Startseite!$D$68&lt;Refsz_Verbräuche[[#Headers],[2030]],Refsz_Verbräuche[[#This Row],[2029]],"")))</f>
        <v/>
      </c>
      <c r="V171" s="110" t="str">
        <f>IF(Refsz_Verbräuche[[#Headers],[2035]]=Startseite!$D$68,IF(OR(SUMIF($F171:Refsz_Verbräuche[[#This Row],[2030]],"&gt;0")&gt;0,), AVERAGEIF($F171:Refsz_Verbräuche[[#This Row],[2030]],"&lt;&gt;"""), ""),IF(Startseite!$D$68=(Refsz_Verbräuche[[#Headers],[2035]]-1),Refsz_Verbräuche[[#This Row],[2030]],IF(Startseite!$D$68&lt;Refsz_Verbräuche[[#Headers],[2035]],Refsz_Verbräuche[[#This Row],[2030]],"")))</f>
        <v/>
      </c>
      <c r="W171" s="110" t="str">
        <f>IF(Refsz_Verbräuche[[#Headers],[2040]]=Startseite!$D$68,IF(OR(SUMIF($F171:Refsz_Verbräuche[[#This Row],[2035]],"&gt;0")&gt;0,), AVERAGEIF($F171:Refsz_Verbräuche[[#This Row],[2035]],"&lt;&gt;"""), ""),IF(Startseite!$D$68=(Refsz_Verbräuche[[#Headers],[2040]]-1),Refsz_Verbräuche[[#This Row],[2035]],IF(Startseite!$D$68&lt;Refsz_Verbräuche[[#Headers],[2040]],Refsz_Verbräuche[[#This Row],[2035]],"")))</f>
        <v/>
      </c>
      <c r="X171" s="110" t="str">
        <f>IF(Refsz_Verbräuche[[#Headers],[2045]]=Startseite!$D$68,IF(OR(SUMIF($F171:Refsz_Verbräuche[[#This Row],[2040]],"&gt;0")&gt;0,), AVERAGEIF($F171:Refsz_Verbräuche[[#This Row],[2040]],"&lt;&gt;"""), ""),IF(Startseite!$D$68=(Refsz_Verbräuche[[#Headers],[2045]]-1),Refsz_Verbräuche[[#This Row],[2040]],IF(Startseite!$D$68&lt;Refsz_Verbräuche[[#Headers],[2045]],Refsz_Verbräuche[[#This Row],[2040]],"")))</f>
        <v/>
      </c>
      <c r="Y171" s="110" t="str">
        <f>IF(Refsz_Verbräuche[[#Headers],[2050]]=Startseite!$D$68,IF(OR(SUMIF($F171:Refsz_Verbräuche[[#This Row],[2045]],"&gt;0")&gt;0,), AVERAGEIF($F171:Refsz_Verbräuche[[#This Row],[2045]],"&lt;&gt;"""), ""),IF(Startseite!$D$68=(Refsz_Verbräuche[[#Headers],[2050]]-1),Refsz_Verbräuche[[#This Row],[2045]],IF(Startseite!$D$68&lt;Refsz_Verbräuche[[#Headers],[2050]],Refsz_Verbräuche[[#This Row],[2045]],"")))</f>
        <v/>
      </c>
      <c r="AA171" s="14"/>
    </row>
    <row r="172" spans="2:27">
      <c r="B172" s="14">
        <v>155</v>
      </c>
      <c r="C172" s="110"/>
      <c r="D172" s="125"/>
      <c r="E172" s="104"/>
      <c r="F172" s="110"/>
      <c r="G172" s="110"/>
      <c r="H172" s="110"/>
      <c r="I172" s="110"/>
      <c r="J172" s="110"/>
      <c r="K172" s="110"/>
      <c r="L172" s="110"/>
      <c r="M172" s="110" t="str">
        <f>IF(Refsz_Verbräuche[[#Headers],[2022]]=Startseite!$D$68,IF(OR(SUMIF($F172:Refsz_Verbräuche[[#This Row],[2021]],"&gt;0")&gt;0,), AVERAGEIF($F172:Refsz_Verbräuche[[#This Row],[2021]],"&lt;&gt;"""), ""),IF(Startseite!$D$68=(Refsz_Verbräuche[[#Headers],[2022]]-1),Refsz_Verbräuche[[#This Row],[2021]],IF(Startseite!$D$68&lt;Refsz_Verbräuche[[#Headers],[2022]],Refsz_Verbräuche[[#This Row],[2021]],"")))</f>
        <v/>
      </c>
      <c r="N172" s="110" t="str">
        <f>IF(Refsz_Verbräuche[[#Headers],[2023]]=Startseite!$D$68,IF(OR(SUMIF($F172:Refsz_Verbräuche[[#This Row],[2022]],"&gt;0")&gt;0,), AVERAGEIF($F172:Refsz_Verbräuche[[#This Row],[2022]],"&lt;&gt;"""), ""),IF(Startseite!$D$68=(Refsz_Verbräuche[[#Headers],[2023]]-1),Refsz_Verbräuche[[#This Row],[2022]],IF(Startseite!$D$68&lt;Refsz_Verbräuche[[#Headers],[2023]],Refsz_Verbräuche[[#This Row],[2022]],"")))</f>
        <v/>
      </c>
      <c r="O172" s="110" t="str">
        <f>IF(Refsz_Verbräuche[[#Headers],[2024]]=Startseite!$D$68,IF(OR(SUMIF($F172:Refsz_Verbräuche[[#This Row],[2023]],"&gt;0")&gt;0,), AVERAGEIF($F172:Refsz_Verbräuche[[#This Row],[2023]],"&lt;&gt;"""), ""),IF(Startseite!$D$68=(Refsz_Verbräuche[[#Headers],[2024]]-1),Refsz_Verbräuche[[#This Row],[2023]],IF(Startseite!$D$68&lt;Refsz_Verbräuche[[#Headers],[2024]],Refsz_Verbräuche[[#This Row],[2023]],"")))</f>
        <v/>
      </c>
      <c r="P172" s="110" t="str">
        <f>IF(Refsz_Verbräuche[[#Headers],[2025]]=Startseite!$D$68,IF(OR(SUMIF($F172:Refsz_Verbräuche[[#This Row],[2024]],"&gt;0")&gt;0,), AVERAGEIF($F172:Refsz_Verbräuche[[#This Row],[2024]],"&lt;&gt;"""), ""),IF(Startseite!$D$68=(Refsz_Verbräuche[[#Headers],[2025]]-1),Refsz_Verbräuche[[#This Row],[2024]],IF(Startseite!$D$68&lt;Refsz_Verbräuche[[#Headers],[2025]],Refsz_Verbräuche[[#This Row],[2024]],"")))</f>
        <v/>
      </c>
      <c r="Q172" s="110" t="str">
        <f>IF(Refsz_Verbräuche[[#Headers],[2026]]=Startseite!$D$68,IF(OR(SUMIF($F172:Refsz_Verbräuche[[#This Row],[2025]],"&gt;0")&gt;0,), AVERAGEIF($F172:Refsz_Verbräuche[[#This Row],[2025]],"&lt;&gt;"""), ""),IF(Startseite!$D$68=(Refsz_Verbräuche[[#Headers],[2026]]-1),Refsz_Verbräuche[[#This Row],[2025]],IF(Startseite!$D$68&lt;Refsz_Verbräuche[[#Headers],[2026]],Refsz_Verbräuche[[#This Row],[2025]],"")))</f>
        <v/>
      </c>
      <c r="R172" s="110" t="str">
        <f>IF(Refsz_Verbräuche[[#Headers],[2027]]=Startseite!$D$68,IF(OR(SUMIF($F172:Refsz_Verbräuche[[#This Row],[2026]],"&gt;0")&gt;0,), AVERAGEIF($F172:Refsz_Verbräuche[[#This Row],[2026]],"&lt;&gt;"""), ""),IF(Startseite!$D$68=(Refsz_Verbräuche[[#Headers],[2027]]-1),Refsz_Verbräuche[[#This Row],[2026]],IF(Startseite!$D$68&lt;Refsz_Verbräuche[[#Headers],[2027]],Refsz_Verbräuche[[#This Row],[2026]],"")))</f>
        <v/>
      </c>
      <c r="S172" s="110" t="str">
        <f>IF(Refsz_Verbräuche[[#Headers],[2028]]=Startseite!$D$68,IF(OR(SUMIF($F172:Refsz_Verbräuche[[#This Row],[2027]],"&gt;0")&gt;0,), AVERAGEIF($F172:Refsz_Verbräuche[[#This Row],[2027]],"&lt;&gt;"""), ""),IF(Startseite!$D$68=(Refsz_Verbräuche[[#Headers],[2028]]-1),Refsz_Verbräuche[[#This Row],[2027]],IF(Startseite!$D$68&lt;Refsz_Verbräuche[[#Headers],[2028]],Refsz_Verbräuche[[#This Row],[2027]],"")))</f>
        <v/>
      </c>
      <c r="T172" s="110" t="str">
        <f>IF(Refsz_Verbräuche[[#Headers],[2029]]=Startseite!$D$68,IF(OR(SUMIF($F172:Refsz_Verbräuche[[#This Row],[2028]],"&gt;0")&gt;0,), AVERAGEIF($F172:Refsz_Verbräuche[[#This Row],[2028]],"&lt;&gt;"""), ""),IF(Startseite!$D$68=(Refsz_Verbräuche[[#Headers],[2029]]-1),Refsz_Verbräuche[[#This Row],[2028]],IF(Startseite!$D$68&lt;Refsz_Verbräuche[[#Headers],[2029]],Refsz_Verbräuche[[#This Row],[2028]],"")))</f>
        <v/>
      </c>
      <c r="U172" s="110" t="str">
        <f>IF(Refsz_Verbräuche[[#Headers],[2030]]=Startseite!$D$68,IF(OR(SUMIF($F172:Refsz_Verbräuche[[#This Row],[2029]],"&gt;0")&gt;0,), AVERAGEIF($F172:Refsz_Verbräuche[[#This Row],[2029]],"&lt;&gt;"""), ""),IF(Startseite!$D$68=(Refsz_Verbräuche[[#Headers],[2030]]-1),Refsz_Verbräuche[[#This Row],[2029]],IF(Startseite!$D$68&lt;Refsz_Verbräuche[[#Headers],[2030]],Refsz_Verbräuche[[#This Row],[2029]],"")))</f>
        <v/>
      </c>
      <c r="V172" s="110" t="str">
        <f>IF(Refsz_Verbräuche[[#Headers],[2035]]=Startseite!$D$68,IF(OR(SUMIF($F172:Refsz_Verbräuche[[#This Row],[2030]],"&gt;0")&gt;0,), AVERAGEIF($F172:Refsz_Verbräuche[[#This Row],[2030]],"&lt;&gt;"""), ""),IF(Startseite!$D$68=(Refsz_Verbräuche[[#Headers],[2035]]-1),Refsz_Verbräuche[[#This Row],[2030]],IF(Startseite!$D$68&lt;Refsz_Verbräuche[[#Headers],[2035]],Refsz_Verbräuche[[#This Row],[2030]],"")))</f>
        <v/>
      </c>
      <c r="W172" s="110" t="str">
        <f>IF(Refsz_Verbräuche[[#Headers],[2040]]=Startseite!$D$68,IF(OR(SUMIF($F172:Refsz_Verbräuche[[#This Row],[2035]],"&gt;0")&gt;0,), AVERAGEIF($F172:Refsz_Verbräuche[[#This Row],[2035]],"&lt;&gt;"""), ""),IF(Startseite!$D$68=(Refsz_Verbräuche[[#Headers],[2040]]-1),Refsz_Verbräuche[[#This Row],[2035]],IF(Startseite!$D$68&lt;Refsz_Verbräuche[[#Headers],[2040]],Refsz_Verbräuche[[#This Row],[2035]],"")))</f>
        <v/>
      </c>
      <c r="X172" s="110" t="str">
        <f>IF(Refsz_Verbräuche[[#Headers],[2045]]=Startseite!$D$68,IF(OR(SUMIF($F172:Refsz_Verbräuche[[#This Row],[2040]],"&gt;0")&gt;0,), AVERAGEIF($F172:Refsz_Verbräuche[[#This Row],[2040]],"&lt;&gt;"""), ""),IF(Startseite!$D$68=(Refsz_Verbräuche[[#Headers],[2045]]-1),Refsz_Verbräuche[[#This Row],[2040]],IF(Startseite!$D$68&lt;Refsz_Verbräuche[[#Headers],[2045]],Refsz_Verbräuche[[#This Row],[2040]],"")))</f>
        <v/>
      </c>
      <c r="Y172" s="110" t="str">
        <f>IF(Refsz_Verbräuche[[#Headers],[2050]]=Startseite!$D$68,IF(OR(SUMIF($F172:Refsz_Verbräuche[[#This Row],[2045]],"&gt;0")&gt;0,), AVERAGEIF($F172:Refsz_Verbräuche[[#This Row],[2045]],"&lt;&gt;"""), ""),IF(Startseite!$D$68=(Refsz_Verbräuche[[#Headers],[2050]]-1),Refsz_Verbräuche[[#This Row],[2045]],IF(Startseite!$D$68&lt;Refsz_Verbräuche[[#Headers],[2050]],Refsz_Verbräuche[[#This Row],[2045]],"")))</f>
        <v/>
      </c>
      <c r="AA172" s="14"/>
    </row>
    <row r="173" spans="2:27">
      <c r="B173" s="14">
        <v>156</v>
      </c>
      <c r="C173" s="110"/>
      <c r="D173" s="125"/>
      <c r="E173" s="104"/>
      <c r="F173" s="110"/>
      <c r="G173" s="110"/>
      <c r="H173" s="110"/>
      <c r="I173" s="110"/>
      <c r="J173" s="110"/>
      <c r="K173" s="110"/>
      <c r="L173" s="110"/>
      <c r="M173" s="110" t="str">
        <f>IF(Refsz_Verbräuche[[#Headers],[2022]]=Startseite!$D$68,IF(OR(SUMIF($F173:Refsz_Verbräuche[[#This Row],[2021]],"&gt;0")&gt;0,), AVERAGEIF($F173:Refsz_Verbräuche[[#This Row],[2021]],"&lt;&gt;"""), ""),IF(Startseite!$D$68=(Refsz_Verbräuche[[#Headers],[2022]]-1),Refsz_Verbräuche[[#This Row],[2021]],IF(Startseite!$D$68&lt;Refsz_Verbräuche[[#Headers],[2022]],Refsz_Verbräuche[[#This Row],[2021]],"")))</f>
        <v/>
      </c>
      <c r="N173" s="110" t="str">
        <f>IF(Refsz_Verbräuche[[#Headers],[2023]]=Startseite!$D$68,IF(OR(SUMIF($F173:Refsz_Verbräuche[[#This Row],[2022]],"&gt;0")&gt;0,), AVERAGEIF($F173:Refsz_Verbräuche[[#This Row],[2022]],"&lt;&gt;"""), ""),IF(Startseite!$D$68=(Refsz_Verbräuche[[#Headers],[2023]]-1),Refsz_Verbräuche[[#This Row],[2022]],IF(Startseite!$D$68&lt;Refsz_Verbräuche[[#Headers],[2023]],Refsz_Verbräuche[[#This Row],[2022]],"")))</f>
        <v/>
      </c>
      <c r="O173" s="110" t="str">
        <f>IF(Refsz_Verbräuche[[#Headers],[2024]]=Startseite!$D$68,IF(OR(SUMIF($F173:Refsz_Verbräuche[[#This Row],[2023]],"&gt;0")&gt;0,), AVERAGEIF($F173:Refsz_Verbräuche[[#This Row],[2023]],"&lt;&gt;"""), ""),IF(Startseite!$D$68=(Refsz_Verbräuche[[#Headers],[2024]]-1),Refsz_Verbräuche[[#This Row],[2023]],IF(Startseite!$D$68&lt;Refsz_Verbräuche[[#Headers],[2024]],Refsz_Verbräuche[[#This Row],[2023]],"")))</f>
        <v/>
      </c>
      <c r="P173" s="110" t="str">
        <f>IF(Refsz_Verbräuche[[#Headers],[2025]]=Startseite!$D$68,IF(OR(SUMIF($F173:Refsz_Verbräuche[[#This Row],[2024]],"&gt;0")&gt;0,), AVERAGEIF($F173:Refsz_Verbräuche[[#This Row],[2024]],"&lt;&gt;"""), ""),IF(Startseite!$D$68=(Refsz_Verbräuche[[#Headers],[2025]]-1),Refsz_Verbräuche[[#This Row],[2024]],IF(Startseite!$D$68&lt;Refsz_Verbräuche[[#Headers],[2025]],Refsz_Verbräuche[[#This Row],[2024]],"")))</f>
        <v/>
      </c>
      <c r="Q173" s="110" t="str">
        <f>IF(Refsz_Verbräuche[[#Headers],[2026]]=Startseite!$D$68,IF(OR(SUMIF($F173:Refsz_Verbräuche[[#This Row],[2025]],"&gt;0")&gt;0,), AVERAGEIF($F173:Refsz_Verbräuche[[#This Row],[2025]],"&lt;&gt;"""), ""),IF(Startseite!$D$68=(Refsz_Verbräuche[[#Headers],[2026]]-1),Refsz_Verbräuche[[#This Row],[2025]],IF(Startseite!$D$68&lt;Refsz_Verbräuche[[#Headers],[2026]],Refsz_Verbräuche[[#This Row],[2025]],"")))</f>
        <v/>
      </c>
      <c r="R173" s="110" t="str">
        <f>IF(Refsz_Verbräuche[[#Headers],[2027]]=Startseite!$D$68,IF(OR(SUMIF($F173:Refsz_Verbräuche[[#This Row],[2026]],"&gt;0")&gt;0,), AVERAGEIF($F173:Refsz_Verbräuche[[#This Row],[2026]],"&lt;&gt;"""), ""),IF(Startseite!$D$68=(Refsz_Verbräuche[[#Headers],[2027]]-1),Refsz_Verbräuche[[#This Row],[2026]],IF(Startseite!$D$68&lt;Refsz_Verbräuche[[#Headers],[2027]],Refsz_Verbräuche[[#This Row],[2026]],"")))</f>
        <v/>
      </c>
      <c r="S173" s="110" t="str">
        <f>IF(Refsz_Verbräuche[[#Headers],[2028]]=Startseite!$D$68,IF(OR(SUMIF($F173:Refsz_Verbräuche[[#This Row],[2027]],"&gt;0")&gt;0,), AVERAGEIF($F173:Refsz_Verbräuche[[#This Row],[2027]],"&lt;&gt;"""), ""),IF(Startseite!$D$68=(Refsz_Verbräuche[[#Headers],[2028]]-1),Refsz_Verbräuche[[#This Row],[2027]],IF(Startseite!$D$68&lt;Refsz_Verbräuche[[#Headers],[2028]],Refsz_Verbräuche[[#This Row],[2027]],"")))</f>
        <v/>
      </c>
      <c r="T173" s="110" t="str">
        <f>IF(Refsz_Verbräuche[[#Headers],[2029]]=Startseite!$D$68,IF(OR(SUMIF($F173:Refsz_Verbräuche[[#This Row],[2028]],"&gt;0")&gt;0,), AVERAGEIF($F173:Refsz_Verbräuche[[#This Row],[2028]],"&lt;&gt;"""), ""),IF(Startseite!$D$68=(Refsz_Verbräuche[[#Headers],[2029]]-1),Refsz_Verbräuche[[#This Row],[2028]],IF(Startseite!$D$68&lt;Refsz_Verbräuche[[#Headers],[2029]],Refsz_Verbräuche[[#This Row],[2028]],"")))</f>
        <v/>
      </c>
      <c r="U173" s="110" t="str">
        <f>IF(Refsz_Verbräuche[[#Headers],[2030]]=Startseite!$D$68,IF(OR(SUMIF($F173:Refsz_Verbräuche[[#This Row],[2029]],"&gt;0")&gt;0,), AVERAGEIF($F173:Refsz_Verbräuche[[#This Row],[2029]],"&lt;&gt;"""), ""),IF(Startseite!$D$68=(Refsz_Verbräuche[[#Headers],[2030]]-1),Refsz_Verbräuche[[#This Row],[2029]],IF(Startseite!$D$68&lt;Refsz_Verbräuche[[#Headers],[2030]],Refsz_Verbräuche[[#This Row],[2029]],"")))</f>
        <v/>
      </c>
      <c r="V173" s="110" t="str">
        <f>IF(Refsz_Verbräuche[[#Headers],[2035]]=Startseite!$D$68,IF(OR(SUMIF($F173:Refsz_Verbräuche[[#This Row],[2030]],"&gt;0")&gt;0,), AVERAGEIF($F173:Refsz_Verbräuche[[#This Row],[2030]],"&lt;&gt;"""), ""),IF(Startseite!$D$68=(Refsz_Verbräuche[[#Headers],[2035]]-1),Refsz_Verbräuche[[#This Row],[2030]],IF(Startseite!$D$68&lt;Refsz_Verbräuche[[#Headers],[2035]],Refsz_Verbräuche[[#This Row],[2030]],"")))</f>
        <v/>
      </c>
      <c r="W173" s="110" t="str">
        <f>IF(Refsz_Verbräuche[[#Headers],[2040]]=Startseite!$D$68,IF(OR(SUMIF($F173:Refsz_Verbräuche[[#This Row],[2035]],"&gt;0")&gt;0,), AVERAGEIF($F173:Refsz_Verbräuche[[#This Row],[2035]],"&lt;&gt;"""), ""),IF(Startseite!$D$68=(Refsz_Verbräuche[[#Headers],[2040]]-1),Refsz_Verbräuche[[#This Row],[2035]],IF(Startseite!$D$68&lt;Refsz_Verbräuche[[#Headers],[2040]],Refsz_Verbräuche[[#This Row],[2035]],"")))</f>
        <v/>
      </c>
      <c r="X173" s="110" t="str">
        <f>IF(Refsz_Verbräuche[[#Headers],[2045]]=Startseite!$D$68,IF(OR(SUMIF($F173:Refsz_Verbräuche[[#This Row],[2040]],"&gt;0")&gt;0,), AVERAGEIF($F173:Refsz_Verbräuche[[#This Row],[2040]],"&lt;&gt;"""), ""),IF(Startseite!$D$68=(Refsz_Verbräuche[[#Headers],[2045]]-1),Refsz_Verbräuche[[#This Row],[2040]],IF(Startseite!$D$68&lt;Refsz_Verbräuche[[#Headers],[2045]],Refsz_Verbräuche[[#This Row],[2040]],"")))</f>
        <v/>
      </c>
      <c r="Y173" s="110" t="str">
        <f>IF(Refsz_Verbräuche[[#Headers],[2050]]=Startseite!$D$68,IF(OR(SUMIF($F173:Refsz_Verbräuche[[#This Row],[2045]],"&gt;0")&gt;0,), AVERAGEIF($F173:Refsz_Verbräuche[[#This Row],[2045]],"&lt;&gt;"""), ""),IF(Startseite!$D$68=(Refsz_Verbräuche[[#Headers],[2050]]-1),Refsz_Verbräuche[[#This Row],[2045]],IF(Startseite!$D$68&lt;Refsz_Verbräuche[[#Headers],[2050]],Refsz_Verbräuche[[#This Row],[2045]],"")))</f>
        <v/>
      </c>
      <c r="AA173" s="14"/>
    </row>
    <row r="174" spans="2:27">
      <c r="B174" s="14">
        <v>157</v>
      </c>
      <c r="C174" s="110"/>
      <c r="D174" s="125"/>
      <c r="E174" s="104"/>
      <c r="F174" s="110"/>
      <c r="G174" s="110"/>
      <c r="H174" s="110"/>
      <c r="I174" s="110"/>
      <c r="J174" s="110"/>
      <c r="K174" s="110"/>
      <c r="L174" s="110"/>
      <c r="M174" s="110" t="str">
        <f>IF(Refsz_Verbräuche[[#Headers],[2022]]=Startseite!$D$68,IF(OR(SUMIF($F174:Refsz_Verbräuche[[#This Row],[2021]],"&gt;0")&gt;0,), AVERAGEIF($F174:Refsz_Verbräuche[[#This Row],[2021]],"&lt;&gt;"""), ""),IF(Startseite!$D$68=(Refsz_Verbräuche[[#Headers],[2022]]-1),Refsz_Verbräuche[[#This Row],[2021]],IF(Startseite!$D$68&lt;Refsz_Verbräuche[[#Headers],[2022]],Refsz_Verbräuche[[#This Row],[2021]],"")))</f>
        <v/>
      </c>
      <c r="N174" s="110" t="str">
        <f>IF(Refsz_Verbräuche[[#Headers],[2023]]=Startseite!$D$68,IF(OR(SUMIF($F174:Refsz_Verbräuche[[#This Row],[2022]],"&gt;0")&gt;0,), AVERAGEIF($F174:Refsz_Verbräuche[[#This Row],[2022]],"&lt;&gt;"""), ""),IF(Startseite!$D$68=(Refsz_Verbräuche[[#Headers],[2023]]-1),Refsz_Verbräuche[[#This Row],[2022]],IF(Startseite!$D$68&lt;Refsz_Verbräuche[[#Headers],[2023]],Refsz_Verbräuche[[#This Row],[2022]],"")))</f>
        <v/>
      </c>
      <c r="O174" s="110" t="str">
        <f>IF(Refsz_Verbräuche[[#Headers],[2024]]=Startseite!$D$68,IF(OR(SUMIF($F174:Refsz_Verbräuche[[#This Row],[2023]],"&gt;0")&gt;0,), AVERAGEIF($F174:Refsz_Verbräuche[[#This Row],[2023]],"&lt;&gt;"""), ""),IF(Startseite!$D$68=(Refsz_Verbräuche[[#Headers],[2024]]-1),Refsz_Verbräuche[[#This Row],[2023]],IF(Startseite!$D$68&lt;Refsz_Verbräuche[[#Headers],[2024]],Refsz_Verbräuche[[#This Row],[2023]],"")))</f>
        <v/>
      </c>
      <c r="P174" s="110" t="str">
        <f>IF(Refsz_Verbräuche[[#Headers],[2025]]=Startseite!$D$68,IF(OR(SUMIF($F174:Refsz_Verbräuche[[#This Row],[2024]],"&gt;0")&gt;0,), AVERAGEIF($F174:Refsz_Verbräuche[[#This Row],[2024]],"&lt;&gt;"""), ""),IF(Startseite!$D$68=(Refsz_Verbräuche[[#Headers],[2025]]-1),Refsz_Verbräuche[[#This Row],[2024]],IF(Startseite!$D$68&lt;Refsz_Verbräuche[[#Headers],[2025]],Refsz_Verbräuche[[#This Row],[2024]],"")))</f>
        <v/>
      </c>
      <c r="Q174" s="110" t="str">
        <f>IF(Refsz_Verbräuche[[#Headers],[2026]]=Startseite!$D$68,IF(OR(SUMIF($F174:Refsz_Verbräuche[[#This Row],[2025]],"&gt;0")&gt;0,), AVERAGEIF($F174:Refsz_Verbräuche[[#This Row],[2025]],"&lt;&gt;"""), ""),IF(Startseite!$D$68=(Refsz_Verbräuche[[#Headers],[2026]]-1),Refsz_Verbräuche[[#This Row],[2025]],IF(Startseite!$D$68&lt;Refsz_Verbräuche[[#Headers],[2026]],Refsz_Verbräuche[[#This Row],[2025]],"")))</f>
        <v/>
      </c>
      <c r="R174" s="110" t="str">
        <f>IF(Refsz_Verbräuche[[#Headers],[2027]]=Startseite!$D$68,IF(OR(SUMIF($F174:Refsz_Verbräuche[[#This Row],[2026]],"&gt;0")&gt;0,), AVERAGEIF($F174:Refsz_Verbräuche[[#This Row],[2026]],"&lt;&gt;"""), ""),IF(Startseite!$D$68=(Refsz_Verbräuche[[#Headers],[2027]]-1),Refsz_Verbräuche[[#This Row],[2026]],IF(Startseite!$D$68&lt;Refsz_Verbräuche[[#Headers],[2027]],Refsz_Verbräuche[[#This Row],[2026]],"")))</f>
        <v/>
      </c>
      <c r="S174" s="110" t="str">
        <f>IF(Refsz_Verbräuche[[#Headers],[2028]]=Startseite!$D$68,IF(OR(SUMIF($F174:Refsz_Verbräuche[[#This Row],[2027]],"&gt;0")&gt;0,), AVERAGEIF($F174:Refsz_Verbräuche[[#This Row],[2027]],"&lt;&gt;"""), ""),IF(Startseite!$D$68=(Refsz_Verbräuche[[#Headers],[2028]]-1),Refsz_Verbräuche[[#This Row],[2027]],IF(Startseite!$D$68&lt;Refsz_Verbräuche[[#Headers],[2028]],Refsz_Verbräuche[[#This Row],[2027]],"")))</f>
        <v/>
      </c>
      <c r="T174" s="110" t="str">
        <f>IF(Refsz_Verbräuche[[#Headers],[2029]]=Startseite!$D$68,IF(OR(SUMIF($F174:Refsz_Verbräuche[[#This Row],[2028]],"&gt;0")&gt;0,), AVERAGEIF($F174:Refsz_Verbräuche[[#This Row],[2028]],"&lt;&gt;"""), ""),IF(Startseite!$D$68=(Refsz_Verbräuche[[#Headers],[2029]]-1),Refsz_Verbräuche[[#This Row],[2028]],IF(Startseite!$D$68&lt;Refsz_Verbräuche[[#Headers],[2029]],Refsz_Verbräuche[[#This Row],[2028]],"")))</f>
        <v/>
      </c>
      <c r="U174" s="110" t="str">
        <f>IF(Refsz_Verbräuche[[#Headers],[2030]]=Startseite!$D$68,IF(OR(SUMIF($F174:Refsz_Verbräuche[[#This Row],[2029]],"&gt;0")&gt;0,), AVERAGEIF($F174:Refsz_Verbräuche[[#This Row],[2029]],"&lt;&gt;"""), ""),IF(Startseite!$D$68=(Refsz_Verbräuche[[#Headers],[2030]]-1),Refsz_Verbräuche[[#This Row],[2029]],IF(Startseite!$D$68&lt;Refsz_Verbräuche[[#Headers],[2030]],Refsz_Verbräuche[[#This Row],[2029]],"")))</f>
        <v/>
      </c>
      <c r="V174" s="110" t="str">
        <f>IF(Refsz_Verbräuche[[#Headers],[2035]]=Startseite!$D$68,IF(OR(SUMIF($F174:Refsz_Verbräuche[[#This Row],[2030]],"&gt;0")&gt;0,), AVERAGEIF($F174:Refsz_Verbräuche[[#This Row],[2030]],"&lt;&gt;"""), ""),IF(Startseite!$D$68=(Refsz_Verbräuche[[#Headers],[2035]]-1),Refsz_Verbräuche[[#This Row],[2030]],IF(Startseite!$D$68&lt;Refsz_Verbräuche[[#Headers],[2035]],Refsz_Verbräuche[[#This Row],[2030]],"")))</f>
        <v/>
      </c>
      <c r="W174" s="110" t="str">
        <f>IF(Refsz_Verbräuche[[#Headers],[2040]]=Startseite!$D$68,IF(OR(SUMIF($F174:Refsz_Verbräuche[[#This Row],[2035]],"&gt;0")&gt;0,), AVERAGEIF($F174:Refsz_Verbräuche[[#This Row],[2035]],"&lt;&gt;"""), ""),IF(Startseite!$D$68=(Refsz_Verbräuche[[#Headers],[2040]]-1),Refsz_Verbräuche[[#This Row],[2035]],IF(Startseite!$D$68&lt;Refsz_Verbräuche[[#Headers],[2040]],Refsz_Verbräuche[[#This Row],[2035]],"")))</f>
        <v/>
      </c>
      <c r="X174" s="110" t="str">
        <f>IF(Refsz_Verbräuche[[#Headers],[2045]]=Startseite!$D$68,IF(OR(SUMIF($F174:Refsz_Verbräuche[[#This Row],[2040]],"&gt;0")&gt;0,), AVERAGEIF($F174:Refsz_Verbräuche[[#This Row],[2040]],"&lt;&gt;"""), ""),IF(Startseite!$D$68=(Refsz_Verbräuche[[#Headers],[2045]]-1),Refsz_Verbräuche[[#This Row],[2040]],IF(Startseite!$D$68&lt;Refsz_Verbräuche[[#Headers],[2045]],Refsz_Verbräuche[[#This Row],[2040]],"")))</f>
        <v/>
      </c>
      <c r="Y174" s="110" t="str">
        <f>IF(Refsz_Verbräuche[[#Headers],[2050]]=Startseite!$D$68,IF(OR(SUMIF($F174:Refsz_Verbräuche[[#This Row],[2045]],"&gt;0")&gt;0,), AVERAGEIF($F174:Refsz_Verbräuche[[#This Row],[2045]],"&lt;&gt;"""), ""),IF(Startseite!$D$68=(Refsz_Verbräuche[[#Headers],[2050]]-1),Refsz_Verbräuche[[#This Row],[2045]],IF(Startseite!$D$68&lt;Refsz_Verbräuche[[#Headers],[2050]],Refsz_Verbräuche[[#This Row],[2045]],"")))</f>
        <v/>
      </c>
      <c r="AA174" s="14"/>
    </row>
    <row r="175" spans="2:27">
      <c r="B175" s="14">
        <v>158</v>
      </c>
      <c r="C175" s="110"/>
      <c r="D175" s="125"/>
      <c r="E175" s="104"/>
      <c r="F175" s="110"/>
      <c r="G175" s="110"/>
      <c r="H175" s="110"/>
      <c r="I175" s="110"/>
      <c r="J175" s="110"/>
      <c r="K175" s="110"/>
      <c r="L175" s="110"/>
      <c r="M175" s="110" t="str">
        <f>IF(Refsz_Verbräuche[[#Headers],[2022]]=Startseite!$D$68,IF(OR(SUMIF($F175:Refsz_Verbräuche[[#This Row],[2021]],"&gt;0")&gt;0,), AVERAGEIF($F175:Refsz_Verbräuche[[#This Row],[2021]],"&lt;&gt;"""), ""),IF(Startseite!$D$68=(Refsz_Verbräuche[[#Headers],[2022]]-1),Refsz_Verbräuche[[#This Row],[2021]],IF(Startseite!$D$68&lt;Refsz_Verbräuche[[#Headers],[2022]],Refsz_Verbräuche[[#This Row],[2021]],"")))</f>
        <v/>
      </c>
      <c r="N175" s="110" t="str">
        <f>IF(Refsz_Verbräuche[[#Headers],[2023]]=Startseite!$D$68,IF(OR(SUMIF($F175:Refsz_Verbräuche[[#This Row],[2022]],"&gt;0")&gt;0,), AVERAGEIF($F175:Refsz_Verbräuche[[#This Row],[2022]],"&lt;&gt;"""), ""),IF(Startseite!$D$68=(Refsz_Verbräuche[[#Headers],[2023]]-1),Refsz_Verbräuche[[#This Row],[2022]],IF(Startseite!$D$68&lt;Refsz_Verbräuche[[#Headers],[2023]],Refsz_Verbräuche[[#This Row],[2022]],"")))</f>
        <v/>
      </c>
      <c r="O175" s="110" t="str">
        <f>IF(Refsz_Verbräuche[[#Headers],[2024]]=Startseite!$D$68,IF(OR(SUMIF($F175:Refsz_Verbräuche[[#This Row],[2023]],"&gt;0")&gt;0,), AVERAGEIF($F175:Refsz_Verbräuche[[#This Row],[2023]],"&lt;&gt;"""), ""),IF(Startseite!$D$68=(Refsz_Verbräuche[[#Headers],[2024]]-1),Refsz_Verbräuche[[#This Row],[2023]],IF(Startseite!$D$68&lt;Refsz_Verbräuche[[#Headers],[2024]],Refsz_Verbräuche[[#This Row],[2023]],"")))</f>
        <v/>
      </c>
      <c r="P175" s="110" t="str">
        <f>IF(Refsz_Verbräuche[[#Headers],[2025]]=Startseite!$D$68,IF(OR(SUMIF($F175:Refsz_Verbräuche[[#This Row],[2024]],"&gt;0")&gt;0,), AVERAGEIF($F175:Refsz_Verbräuche[[#This Row],[2024]],"&lt;&gt;"""), ""),IF(Startseite!$D$68=(Refsz_Verbräuche[[#Headers],[2025]]-1),Refsz_Verbräuche[[#This Row],[2024]],IF(Startseite!$D$68&lt;Refsz_Verbräuche[[#Headers],[2025]],Refsz_Verbräuche[[#This Row],[2024]],"")))</f>
        <v/>
      </c>
      <c r="Q175" s="110" t="str">
        <f>IF(Refsz_Verbräuche[[#Headers],[2026]]=Startseite!$D$68,IF(OR(SUMIF($F175:Refsz_Verbräuche[[#This Row],[2025]],"&gt;0")&gt;0,), AVERAGEIF($F175:Refsz_Verbräuche[[#This Row],[2025]],"&lt;&gt;"""), ""),IF(Startseite!$D$68=(Refsz_Verbräuche[[#Headers],[2026]]-1),Refsz_Verbräuche[[#This Row],[2025]],IF(Startseite!$D$68&lt;Refsz_Verbräuche[[#Headers],[2026]],Refsz_Verbräuche[[#This Row],[2025]],"")))</f>
        <v/>
      </c>
      <c r="R175" s="110" t="str">
        <f>IF(Refsz_Verbräuche[[#Headers],[2027]]=Startseite!$D$68,IF(OR(SUMIF($F175:Refsz_Verbräuche[[#This Row],[2026]],"&gt;0")&gt;0,), AVERAGEIF($F175:Refsz_Verbräuche[[#This Row],[2026]],"&lt;&gt;"""), ""),IF(Startseite!$D$68=(Refsz_Verbräuche[[#Headers],[2027]]-1),Refsz_Verbräuche[[#This Row],[2026]],IF(Startseite!$D$68&lt;Refsz_Verbräuche[[#Headers],[2027]],Refsz_Verbräuche[[#This Row],[2026]],"")))</f>
        <v/>
      </c>
      <c r="S175" s="110" t="str">
        <f>IF(Refsz_Verbräuche[[#Headers],[2028]]=Startseite!$D$68,IF(OR(SUMIF($F175:Refsz_Verbräuche[[#This Row],[2027]],"&gt;0")&gt;0,), AVERAGEIF($F175:Refsz_Verbräuche[[#This Row],[2027]],"&lt;&gt;"""), ""),IF(Startseite!$D$68=(Refsz_Verbräuche[[#Headers],[2028]]-1),Refsz_Verbräuche[[#This Row],[2027]],IF(Startseite!$D$68&lt;Refsz_Verbräuche[[#Headers],[2028]],Refsz_Verbräuche[[#This Row],[2027]],"")))</f>
        <v/>
      </c>
      <c r="T175" s="110" t="str">
        <f>IF(Refsz_Verbräuche[[#Headers],[2029]]=Startseite!$D$68,IF(OR(SUMIF($F175:Refsz_Verbräuche[[#This Row],[2028]],"&gt;0")&gt;0,), AVERAGEIF($F175:Refsz_Verbräuche[[#This Row],[2028]],"&lt;&gt;"""), ""),IF(Startseite!$D$68=(Refsz_Verbräuche[[#Headers],[2029]]-1),Refsz_Verbräuche[[#This Row],[2028]],IF(Startseite!$D$68&lt;Refsz_Verbräuche[[#Headers],[2029]],Refsz_Verbräuche[[#This Row],[2028]],"")))</f>
        <v/>
      </c>
      <c r="U175" s="110" t="str">
        <f>IF(Refsz_Verbräuche[[#Headers],[2030]]=Startseite!$D$68,IF(OR(SUMIF($F175:Refsz_Verbräuche[[#This Row],[2029]],"&gt;0")&gt;0,), AVERAGEIF($F175:Refsz_Verbräuche[[#This Row],[2029]],"&lt;&gt;"""), ""),IF(Startseite!$D$68=(Refsz_Verbräuche[[#Headers],[2030]]-1),Refsz_Verbräuche[[#This Row],[2029]],IF(Startseite!$D$68&lt;Refsz_Verbräuche[[#Headers],[2030]],Refsz_Verbräuche[[#This Row],[2029]],"")))</f>
        <v/>
      </c>
      <c r="V175" s="110" t="str">
        <f>IF(Refsz_Verbräuche[[#Headers],[2035]]=Startseite!$D$68,IF(OR(SUMIF($F175:Refsz_Verbräuche[[#This Row],[2030]],"&gt;0")&gt;0,), AVERAGEIF($F175:Refsz_Verbräuche[[#This Row],[2030]],"&lt;&gt;"""), ""),IF(Startseite!$D$68=(Refsz_Verbräuche[[#Headers],[2035]]-1),Refsz_Verbräuche[[#This Row],[2030]],IF(Startseite!$D$68&lt;Refsz_Verbräuche[[#Headers],[2035]],Refsz_Verbräuche[[#This Row],[2030]],"")))</f>
        <v/>
      </c>
      <c r="W175" s="110" t="str">
        <f>IF(Refsz_Verbräuche[[#Headers],[2040]]=Startseite!$D$68,IF(OR(SUMIF($F175:Refsz_Verbräuche[[#This Row],[2035]],"&gt;0")&gt;0,), AVERAGEIF($F175:Refsz_Verbräuche[[#This Row],[2035]],"&lt;&gt;"""), ""),IF(Startseite!$D$68=(Refsz_Verbräuche[[#Headers],[2040]]-1),Refsz_Verbräuche[[#This Row],[2035]],IF(Startseite!$D$68&lt;Refsz_Verbräuche[[#Headers],[2040]],Refsz_Verbräuche[[#This Row],[2035]],"")))</f>
        <v/>
      </c>
      <c r="X175" s="110" t="str">
        <f>IF(Refsz_Verbräuche[[#Headers],[2045]]=Startseite!$D$68,IF(OR(SUMIF($F175:Refsz_Verbräuche[[#This Row],[2040]],"&gt;0")&gt;0,), AVERAGEIF($F175:Refsz_Verbräuche[[#This Row],[2040]],"&lt;&gt;"""), ""),IF(Startseite!$D$68=(Refsz_Verbräuche[[#Headers],[2045]]-1),Refsz_Verbräuche[[#This Row],[2040]],IF(Startseite!$D$68&lt;Refsz_Verbräuche[[#Headers],[2045]],Refsz_Verbräuche[[#This Row],[2040]],"")))</f>
        <v/>
      </c>
      <c r="Y175" s="110" t="str">
        <f>IF(Refsz_Verbräuche[[#Headers],[2050]]=Startseite!$D$68,IF(OR(SUMIF($F175:Refsz_Verbräuche[[#This Row],[2045]],"&gt;0")&gt;0,), AVERAGEIF($F175:Refsz_Verbräuche[[#This Row],[2045]],"&lt;&gt;"""), ""),IF(Startseite!$D$68=(Refsz_Verbräuche[[#Headers],[2050]]-1),Refsz_Verbräuche[[#This Row],[2045]],IF(Startseite!$D$68&lt;Refsz_Verbräuche[[#Headers],[2050]],Refsz_Verbräuche[[#This Row],[2045]],"")))</f>
        <v/>
      </c>
      <c r="AA175" s="14"/>
    </row>
    <row r="176" spans="2:27">
      <c r="B176" s="14">
        <v>159</v>
      </c>
      <c r="C176" s="110"/>
      <c r="D176" s="125"/>
      <c r="E176" s="104"/>
      <c r="F176" s="110"/>
      <c r="G176" s="110"/>
      <c r="H176" s="110"/>
      <c r="I176" s="110"/>
      <c r="J176" s="110"/>
      <c r="K176" s="110"/>
      <c r="L176" s="110"/>
      <c r="M176" s="110" t="str">
        <f>IF(Refsz_Verbräuche[[#Headers],[2022]]=Startseite!$D$68,IF(OR(SUMIF($F176:Refsz_Verbräuche[[#This Row],[2021]],"&gt;0")&gt;0,), AVERAGEIF($F176:Refsz_Verbräuche[[#This Row],[2021]],"&lt;&gt;"""), ""),IF(Startseite!$D$68=(Refsz_Verbräuche[[#Headers],[2022]]-1),Refsz_Verbräuche[[#This Row],[2021]],IF(Startseite!$D$68&lt;Refsz_Verbräuche[[#Headers],[2022]],Refsz_Verbräuche[[#This Row],[2021]],"")))</f>
        <v/>
      </c>
      <c r="N176" s="110" t="str">
        <f>IF(Refsz_Verbräuche[[#Headers],[2023]]=Startseite!$D$68,IF(OR(SUMIF($F176:Refsz_Verbräuche[[#This Row],[2022]],"&gt;0")&gt;0,), AVERAGEIF($F176:Refsz_Verbräuche[[#This Row],[2022]],"&lt;&gt;"""), ""),IF(Startseite!$D$68=(Refsz_Verbräuche[[#Headers],[2023]]-1),Refsz_Verbräuche[[#This Row],[2022]],IF(Startseite!$D$68&lt;Refsz_Verbräuche[[#Headers],[2023]],Refsz_Verbräuche[[#This Row],[2022]],"")))</f>
        <v/>
      </c>
      <c r="O176" s="110" t="str">
        <f>IF(Refsz_Verbräuche[[#Headers],[2024]]=Startseite!$D$68,IF(OR(SUMIF($F176:Refsz_Verbräuche[[#This Row],[2023]],"&gt;0")&gt;0,), AVERAGEIF($F176:Refsz_Verbräuche[[#This Row],[2023]],"&lt;&gt;"""), ""),IF(Startseite!$D$68=(Refsz_Verbräuche[[#Headers],[2024]]-1),Refsz_Verbräuche[[#This Row],[2023]],IF(Startseite!$D$68&lt;Refsz_Verbräuche[[#Headers],[2024]],Refsz_Verbräuche[[#This Row],[2023]],"")))</f>
        <v/>
      </c>
      <c r="P176" s="110" t="str">
        <f>IF(Refsz_Verbräuche[[#Headers],[2025]]=Startseite!$D$68,IF(OR(SUMIF($F176:Refsz_Verbräuche[[#This Row],[2024]],"&gt;0")&gt;0,), AVERAGEIF($F176:Refsz_Verbräuche[[#This Row],[2024]],"&lt;&gt;"""), ""),IF(Startseite!$D$68=(Refsz_Verbräuche[[#Headers],[2025]]-1),Refsz_Verbräuche[[#This Row],[2024]],IF(Startseite!$D$68&lt;Refsz_Verbräuche[[#Headers],[2025]],Refsz_Verbräuche[[#This Row],[2024]],"")))</f>
        <v/>
      </c>
      <c r="Q176" s="110" t="str">
        <f>IF(Refsz_Verbräuche[[#Headers],[2026]]=Startseite!$D$68,IF(OR(SUMIF($F176:Refsz_Verbräuche[[#This Row],[2025]],"&gt;0")&gt;0,), AVERAGEIF($F176:Refsz_Verbräuche[[#This Row],[2025]],"&lt;&gt;"""), ""),IF(Startseite!$D$68=(Refsz_Verbräuche[[#Headers],[2026]]-1),Refsz_Verbräuche[[#This Row],[2025]],IF(Startseite!$D$68&lt;Refsz_Verbräuche[[#Headers],[2026]],Refsz_Verbräuche[[#This Row],[2025]],"")))</f>
        <v/>
      </c>
      <c r="R176" s="110" t="str">
        <f>IF(Refsz_Verbräuche[[#Headers],[2027]]=Startseite!$D$68,IF(OR(SUMIF($F176:Refsz_Verbräuche[[#This Row],[2026]],"&gt;0")&gt;0,), AVERAGEIF($F176:Refsz_Verbräuche[[#This Row],[2026]],"&lt;&gt;"""), ""),IF(Startseite!$D$68=(Refsz_Verbräuche[[#Headers],[2027]]-1),Refsz_Verbräuche[[#This Row],[2026]],IF(Startseite!$D$68&lt;Refsz_Verbräuche[[#Headers],[2027]],Refsz_Verbräuche[[#This Row],[2026]],"")))</f>
        <v/>
      </c>
      <c r="S176" s="110" t="str">
        <f>IF(Refsz_Verbräuche[[#Headers],[2028]]=Startseite!$D$68,IF(OR(SUMIF($F176:Refsz_Verbräuche[[#This Row],[2027]],"&gt;0")&gt;0,), AVERAGEIF($F176:Refsz_Verbräuche[[#This Row],[2027]],"&lt;&gt;"""), ""),IF(Startseite!$D$68=(Refsz_Verbräuche[[#Headers],[2028]]-1),Refsz_Verbräuche[[#This Row],[2027]],IF(Startseite!$D$68&lt;Refsz_Verbräuche[[#Headers],[2028]],Refsz_Verbräuche[[#This Row],[2027]],"")))</f>
        <v/>
      </c>
      <c r="T176" s="110" t="str">
        <f>IF(Refsz_Verbräuche[[#Headers],[2029]]=Startseite!$D$68,IF(OR(SUMIF($F176:Refsz_Verbräuche[[#This Row],[2028]],"&gt;0")&gt;0,), AVERAGEIF($F176:Refsz_Verbräuche[[#This Row],[2028]],"&lt;&gt;"""), ""),IF(Startseite!$D$68=(Refsz_Verbräuche[[#Headers],[2029]]-1),Refsz_Verbräuche[[#This Row],[2028]],IF(Startseite!$D$68&lt;Refsz_Verbräuche[[#Headers],[2029]],Refsz_Verbräuche[[#This Row],[2028]],"")))</f>
        <v/>
      </c>
      <c r="U176" s="110" t="str">
        <f>IF(Refsz_Verbräuche[[#Headers],[2030]]=Startseite!$D$68,IF(OR(SUMIF($F176:Refsz_Verbräuche[[#This Row],[2029]],"&gt;0")&gt;0,), AVERAGEIF($F176:Refsz_Verbräuche[[#This Row],[2029]],"&lt;&gt;"""), ""),IF(Startseite!$D$68=(Refsz_Verbräuche[[#Headers],[2030]]-1),Refsz_Verbräuche[[#This Row],[2029]],IF(Startseite!$D$68&lt;Refsz_Verbräuche[[#Headers],[2030]],Refsz_Verbräuche[[#This Row],[2029]],"")))</f>
        <v/>
      </c>
      <c r="V176" s="110" t="str">
        <f>IF(Refsz_Verbräuche[[#Headers],[2035]]=Startseite!$D$68,IF(OR(SUMIF($F176:Refsz_Verbräuche[[#This Row],[2030]],"&gt;0")&gt;0,), AVERAGEIF($F176:Refsz_Verbräuche[[#This Row],[2030]],"&lt;&gt;"""), ""),IF(Startseite!$D$68=(Refsz_Verbräuche[[#Headers],[2035]]-1),Refsz_Verbräuche[[#This Row],[2030]],IF(Startseite!$D$68&lt;Refsz_Verbräuche[[#Headers],[2035]],Refsz_Verbräuche[[#This Row],[2030]],"")))</f>
        <v/>
      </c>
      <c r="W176" s="110" t="str">
        <f>IF(Refsz_Verbräuche[[#Headers],[2040]]=Startseite!$D$68,IF(OR(SUMIF($F176:Refsz_Verbräuche[[#This Row],[2035]],"&gt;0")&gt;0,), AVERAGEIF($F176:Refsz_Verbräuche[[#This Row],[2035]],"&lt;&gt;"""), ""),IF(Startseite!$D$68=(Refsz_Verbräuche[[#Headers],[2040]]-1),Refsz_Verbräuche[[#This Row],[2035]],IF(Startseite!$D$68&lt;Refsz_Verbräuche[[#Headers],[2040]],Refsz_Verbräuche[[#This Row],[2035]],"")))</f>
        <v/>
      </c>
      <c r="X176" s="110" t="str">
        <f>IF(Refsz_Verbräuche[[#Headers],[2045]]=Startseite!$D$68,IF(OR(SUMIF($F176:Refsz_Verbräuche[[#This Row],[2040]],"&gt;0")&gt;0,), AVERAGEIF($F176:Refsz_Verbräuche[[#This Row],[2040]],"&lt;&gt;"""), ""),IF(Startseite!$D$68=(Refsz_Verbräuche[[#Headers],[2045]]-1),Refsz_Verbräuche[[#This Row],[2040]],IF(Startseite!$D$68&lt;Refsz_Verbräuche[[#Headers],[2045]],Refsz_Verbräuche[[#This Row],[2040]],"")))</f>
        <v/>
      </c>
      <c r="Y176" s="110" t="str">
        <f>IF(Refsz_Verbräuche[[#Headers],[2050]]=Startseite!$D$68,IF(OR(SUMIF($F176:Refsz_Verbräuche[[#This Row],[2045]],"&gt;0")&gt;0,), AVERAGEIF($F176:Refsz_Verbräuche[[#This Row],[2045]],"&lt;&gt;"""), ""),IF(Startseite!$D$68=(Refsz_Verbräuche[[#Headers],[2050]]-1),Refsz_Verbräuche[[#This Row],[2045]],IF(Startseite!$D$68&lt;Refsz_Verbräuche[[#Headers],[2050]],Refsz_Verbräuche[[#This Row],[2045]],"")))</f>
        <v/>
      </c>
      <c r="AA176" s="14"/>
    </row>
    <row r="177" spans="2:27">
      <c r="B177" s="14">
        <v>160</v>
      </c>
      <c r="C177" s="110"/>
      <c r="D177" s="125"/>
      <c r="E177" s="104"/>
      <c r="F177" s="110"/>
      <c r="G177" s="110"/>
      <c r="H177" s="110"/>
      <c r="I177" s="110"/>
      <c r="J177" s="110"/>
      <c r="K177" s="110"/>
      <c r="L177" s="110"/>
      <c r="M177" s="110" t="str">
        <f>IF(Refsz_Verbräuche[[#Headers],[2022]]=Startseite!$D$68,IF(OR(SUMIF($F177:Refsz_Verbräuche[[#This Row],[2021]],"&gt;0")&gt;0,), AVERAGEIF($F177:Refsz_Verbräuche[[#This Row],[2021]],"&lt;&gt;"""), ""),IF(Startseite!$D$68=(Refsz_Verbräuche[[#Headers],[2022]]-1),Refsz_Verbräuche[[#This Row],[2021]],IF(Startseite!$D$68&lt;Refsz_Verbräuche[[#Headers],[2022]],Refsz_Verbräuche[[#This Row],[2021]],"")))</f>
        <v/>
      </c>
      <c r="N177" s="110" t="str">
        <f>IF(Refsz_Verbräuche[[#Headers],[2023]]=Startseite!$D$68,IF(OR(SUMIF($F177:Refsz_Verbräuche[[#This Row],[2022]],"&gt;0")&gt;0,), AVERAGEIF($F177:Refsz_Verbräuche[[#This Row],[2022]],"&lt;&gt;"""), ""),IF(Startseite!$D$68=(Refsz_Verbräuche[[#Headers],[2023]]-1),Refsz_Verbräuche[[#This Row],[2022]],IF(Startseite!$D$68&lt;Refsz_Verbräuche[[#Headers],[2023]],Refsz_Verbräuche[[#This Row],[2022]],"")))</f>
        <v/>
      </c>
      <c r="O177" s="110" t="str">
        <f>IF(Refsz_Verbräuche[[#Headers],[2024]]=Startseite!$D$68,IF(OR(SUMIF($F177:Refsz_Verbräuche[[#This Row],[2023]],"&gt;0")&gt;0,), AVERAGEIF($F177:Refsz_Verbräuche[[#This Row],[2023]],"&lt;&gt;"""), ""),IF(Startseite!$D$68=(Refsz_Verbräuche[[#Headers],[2024]]-1),Refsz_Verbräuche[[#This Row],[2023]],IF(Startseite!$D$68&lt;Refsz_Verbräuche[[#Headers],[2024]],Refsz_Verbräuche[[#This Row],[2023]],"")))</f>
        <v/>
      </c>
      <c r="P177" s="110" t="str">
        <f>IF(Refsz_Verbräuche[[#Headers],[2025]]=Startseite!$D$68,IF(OR(SUMIF($F177:Refsz_Verbräuche[[#This Row],[2024]],"&gt;0")&gt;0,), AVERAGEIF($F177:Refsz_Verbräuche[[#This Row],[2024]],"&lt;&gt;"""), ""),IF(Startseite!$D$68=(Refsz_Verbräuche[[#Headers],[2025]]-1),Refsz_Verbräuche[[#This Row],[2024]],IF(Startseite!$D$68&lt;Refsz_Verbräuche[[#Headers],[2025]],Refsz_Verbräuche[[#This Row],[2024]],"")))</f>
        <v/>
      </c>
      <c r="Q177" s="110" t="str">
        <f>IF(Refsz_Verbräuche[[#Headers],[2026]]=Startseite!$D$68,IF(OR(SUMIF($F177:Refsz_Verbräuche[[#This Row],[2025]],"&gt;0")&gt;0,), AVERAGEIF($F177:Refsz_Verbräuche[[#This Row],[2025]],"&lt;&gt;"""), ""),IF(Startseite!$D$68=(Refsz_Verbräuche[[#Headers],[2026]]-1),Refsz_Verbräuche[[#This Row],[2025]],IF(Startseite!$D$68&lt;Refsz_Verbräuche[[#Headers],[2026]],Refsz_Verbräuche[[#This Row],[2025]],"")))</f>
        <v/>
      </c>
      <c r="R177" s="110" t="str">
        <f>IF(Refsz_Verbräuche[[#Headers],[2027]]=Startseite!$D$68,IF(OR(SUMIF($F177:Refsz_Verbräuche[[#This Row],[2026]],"&gt;0")&gt;0,), AVERAGEIF($F177:Refsz_Verbräuche[[#This Row],[2026]],"&lt;&gt;"""), ""),IF(Startseite!$D$68=(Refsz_Verbräuche[[#Headers],[2027]]-1),Refsz_Verbräuche[[#This Row],[2026]],IF(Startseite!$D$68&lt;Refsz_Verbräuche[[#Headers],[2027]],Refsz_Verbräuche[[#This Row],[2026]],"")))</f>
        <v/>
      </c>
      <c r="S177" s="110" t="str">
        <f>IF(Refsz_Verbräuche[[#Headers],[2028]]=Startseite!$D$68,IF(OR(SUMIF($F177:Refsz_Verbräuche[[#This Row],[2027]],"&gt;0")&gt;0,), AVERAGEIF($F177:Refsz_Verbräuche[[#This Row],[2027]],"&lt;&gt;"""), ""),IF(Startseite!$D$68=(Refsz_Verbräuche[[#Headers],[2028]]-1),Refsz_Verbräuche[[#This Row],[2027]],IF(Startseite!$D$68&lt;Refsz_Verbräuche[[#Headers],[2028]],Refsz_Verbräuche[[#This Row],[2027]],"")))</f>
        <v/>
      </c>
      <c r="T177" s="110" t="str">
        <f>IF(Refsz_Verbräuche[[#Headers],[2029]]=Startseite!$D$68,IF(OR(SUMIF($F177:Refsz_Verbräuche[[#This Row],[2028]],"&gt;0")&gt;0,), AVERAGEIF($F177:Refsz_Verbräuche[[#This Row],[2028]],"&lt;&gt;"""), ""),IF(Startseite!$D$68=(Refsz_Verbräuche[[#Headers],[2029]]-1),Refsz_Verbräuche[[#This Row],[2028]],IF(Startseite!$D$68&lt;Refsz_Verbräuche[[#Headers],[2029]],Refsz_Verbräuche[[#This Row],[2028]],"")))</f>
        <v/>
      </c>
      <c r="U177" s="110" t="str">
        <f>IF(Refsz_Verbräuche[[#Headers],[2030]]=Startseite!$D$68,IF(OR(SUMIF($F177:Refsz_Verbräuche[[#This Row],[2029]],"&gt;0")&gt;0,), AVERAGEIF($F177:Refsz_Verbräuche[[#This Row],[2029]],"&lt;&gt;"""), ""),IF(Startseite!$D$68=(Refsz_Verbräuche[[#Headers],[2030]]-1),Refsz_Verbräuche[[#This Row],[2029]],IF(Startseite!$D$68&lt;Refsz_Verbräuche[[#Headers],[2030]],Refsz_Verbräuche[[#This Row],[2029]],"")))</f>
        <v/>
      </c>
      <c r="V177" s="110" t="str">
        <f>IF(Refsz_Verbräuche[[#Headers],[2035]]=Startseite!$D$68,IF(OR(SUMIF($F177:Refsz_Verbräuche[[#This Row],[2030]],"&gt;0")&gt;0,), AVERAGEIF($F177:Refsz_Verbräuche[[#This Row],[2030]],"&lt;&gt;"""), ""),IF(Startseite!$D$68=(Refsz_Verbräuche[[#Headers],[2035]]-1),Refsz_Verbräuche[[#This Row],[2030]],IF(Startseite!$D$68&lt;Refsz_Verbräuche[[#Headers],[2035]],Refsz_Verbräuche[[#This Row],[2030]],"")))</f>
        <v/>
      </c>
      <c r="W177" s="110" t="str">
        <f>IF(Refsz_Verbräuche[[#Headers],[2040]]=Startseite!$D$68,IF(OR(SUMIF($F177:Refsz_Verbräuche[[#This Row],[2035]],"&gt;0")&gt;0,), AVERAGEIF($F177:Refsz_Verbräuche[[#This Row],[2035]],"&lt;&gt;"""), ""),IF(Startseite!$D$68=(Refsz_Verbräuche[[#Headers],[2040]]-1),Refsz_Verbräuche[[#This Row],[2035]],IF(Startseite!$D$68&lt;Refsz_Verbräuche[[#Headers],[2040]],Refsz_Verbräuche[[#This Row],[2035]],"")))</f>
        <v/>
      </c>
      <c r="X177" s="110" t="str">
        <f>IF(Refsz_Verbräuche[[#Headers],[2045]]=Startseite!$D$68,IF(OR(SUMIF($F177:Refsz_Verbräuche[[#This Row],[2040]],"&gt;0")&gt;0,), AVERAGEIF($F177:Refsz_Verbräuche[[#This Row],[2040]],"&lt;&gt;"""), ""),IF(Startseite!$D$68=(Refsz_Verbräuche[[#Headers],[2045]]-1),Refsz_Verbräuche[[#This Row],[2040]],IF(Startseite!$D$68&lt;Refsz_Verbräuche[[#Headers],[2045]],Refsz_Verbräuche[[#This Row],[2040]],"")))</f>
        <v/>
      </c>
      <c r="Y177" s="110" t="str">
        <f>IF(Refsz_Verbräuche[[#Headers],[2050]]=Startseite!$D$68,IF(OR(SUMIF($F177:Refsz_Verbräuche[[#This Row],[2045]],"&gt;0")&gt;0,), AVERAGEIF($F177:Refsz_Verbräuche[[#This Row],[2045]],"&lt;&gt;"""), ""),IF(Startseite!$D$68=(Refsz_Verbräuche[[#Headers],[2050]]-1),Refsz_Verbräuche[[#This Row],[2045]],IF(Startseite!$D$68&lt;Refsz_Verbräuche[[#Headers],[2050]],Refsz_Verbräuche[[#This Row],[2045]],"")))</f>
        <v/>
      </c>
      <c r="AA177" s="14"/>
    </row>
    <row r="178" spans="2:27">
      <c r="B178" s="14">
        <v>161</v>
      </c>
      <c r="C178" s="110"/>
      <c r="D178" s="125"/>
      <c r="E178" s="104"/>
      <c r="F178" s="110"/>
      <c r="G178" s="110"/>
      <c r="H178" s="110"/>
      <c r="I178" s="110"/>
      <c r="J178" s="110"/>
      <c r="K178" s="110"/>
      <c r="L178" s="110"/>
      <c r="M178" s="110" t="str">
        <f>IF(Refsz_Verbräuche[[#Headers],[2022]]=Startseite!$D$68,IF(OR(SUMIF($F178:Refsz_Verbräuche[[#This Row],[2021]],"&gt;0")&gt;0,), AVERAGEIF($F178:Refsz_Verbräuche[[#This Row],[2021]],"&lt;&gt;"""), ""),IF(Startseite!$D$68=(Refsz_Verbräuche[[#Headers],[2022]]-1),Refsz_Verbräuche[[#This Row],[2021]],IF(Startseite!$D$68&lt;Refsz_Verbräuche[[#Headers],[2022]],Refsz_Verbräuche[[#This Row],[2021]],"")))</f>
        <v/>
      </c>
      <c r="N178" s="110" t="str">
        <f>IF(Refsz_Verbräuche[[#Headers],[2023]]=Startseite!$D$68,IF(OR(SUMIF($F178:Refsz_Verbräuche[[#This Row],[2022]],"&gt;0")&gt;0,), AVERAGEIF($F178:Refsz_Verbräuche[[#This Row],[2022]],"&lt;&gt;"""), ""),IF(Startseite!$D$68=(Refsz_Verbräuche[[#Headers],[2023]]-1),Refsz_Verbräuche[[#This Row],[2022]],IF(Startseite!$D$68&lt;Refsz_Verbräuche[[#Headers],[2023]],Refsz_Verbräuche[[#This Row],[2022]],"")))</f>
        <v/>
      </c>
      <c r="O178" s="110" t="str">
        <f>IF(Refsz_Verbräuche[[#Headers],[2024]]=Startseite!$D$68,IF(OR(SUMIF($F178:Refsz_Verbräuche[[#This Row],[2023]],"&gt;0")&gt;0,), AVERAGEIF($F178:Refsz_Verbräuche[[#This Row],[2023]],"&lt;&gt;"""), ""),IF(Startseite!$D$68=(Refsz_Verbräuche[[#Headers],[2024]]-1),Refsz_Verbräuche[[#This Row],[2023]],IF(Startseite!$D$68&lt;Refsz_Verbräuche[[#Headers],[2024]],Refsz_Verbräuche[[#This Row],[2023]],"")))</f>
        <v/>
      </c>
      <c r="P178" s="110" t="str">
        <f>IF(Refsz_Verbräuche[[#Headers],[2025]]=Startseite!$D$68,IF(OR(SUMIF($F178:Refsz_Verbräuche[[#This Row],[2024]],"&gt;0")&gt;0,), AVERAGEIF($F178:Refsz_Verbräuche[[#This Row],[2024]],"&lt;&gt;"""), ""),IF(Startseite!$D$68=(Refsz_Verbräuche[[#Headers],[2025]]-1),Refsz_Verbräuche[[#This Row],[2024]],IF(Startseite!$D$68&lt;Refsz_Verbräuche[[#Headers],[2025]],Refsz_Verbräuche[[#This Row],[2024]],"")))</f>
        <v/>
      </c>
      <c r="Q178" s="110" t="str">
        <f>IF(Refsz_Verbräuche[[#Headers],[2026]]=Startseite!$D$68,IF(OR(SUMIF($F178:Refsz_Verbräuche[[#This Row],[2025]],"&gt;0")&gt;0,), AVERAGEIF($F178:Refsz_Verbräuche[[#This Row],[2025]],"&lt;&gt;"""), ""),IF(Startseite!$D$68=(Refsz_Verbräuche[[#Headers],[2026]]-1),Refsz_Verbräuche[[#This Row],[2025]],IF(Startseite!$D$68&lt;Refsz_Verbräuche[[#Headers],[2026]],Refsz_Verbräuche[[#This Row],[2025]],"")))</f>
        <v/>
      </c>
      <c r="R178" s="110" t="str">
        <f>IF(Refsz_Verbräuche[[#Headers],[2027]]=Startseite!$D$68,IF(OR(SUMIF($F178:Refsz_Verbräuche[[#This Row],[2026]],"&gt;0")&gt;0,), AVERAGEIF($F178:Refsz_Verbräuche[[#This Row],[2026]],"&lt;&gt;"""), ""),IF(Startseite!$D$68=(Refsz_Verbräuche[[#Headers],[2027]]-1),Refsz_Verbräuche[[#This Row],[2026]],IF(Startseite!$D$68&lt;Refsz_Verbräuche[[#Headers],[2027]],Refsz_Verbräuche[[#This Row],[2026]],"")))</f>
        <v/>
      </c>
      <c r="S178" s="110" t="str">
        <f>IF(Refsz_Verbräuche[[#Headers],[2028]]=Startseite!$D$68,IF(OR(SUMIF($F178:Refsz_Verbräuche[[#This Row],[2027]],"&gt;0")&gt;0,), AVERAGEIF($F178:Refsz_Verbräuche[[#This Row],[2027]],"&lt;&gt;"""), ""),IF(Startseite!$D$68=(Refsz_Verbräuche[[#Headers],[2028]]-1),Refsz_Verbräuche[[#This Row],[2027]],IF(Startseite!$D$68&lt;Refsz_Verbräuche[[#Headers],[2028]],Refsz_Verbräuche[[#This Row],[2027]],"")))</f>
        <v/>
      </c>
      <c r="T178" s="110" t="str">
        <f>IF(Refsz_Verbräuche[[#Headers],[2029]]=Startseite!$D$68,IF(OR(SUMIF($F178:Refsz_Verbräuche[[#This Row],[2028]],"&gt;0")&gt;0,), AVERAGEIF($F178:Refsz_Verbräuche[[#This Row],[2028]],"&lt;&gt;"""), ""),IF(Startseite!$D$68=(Refsz_Verbräuche[[#Headers],[2029]]-1),Refsz_Verbräuche[[#This Row],[2028]],IF(Startseite!$D$68&lt;Refsz_Verbräuche[[#Headers],[2029]],Refsz_Verbräuche[[#This Row],[2028]],"")))</f>
        <v/>
      </c>
      <c r="U178" s="110" t="str">
        <f>IF(Refsz_Verbräuche[[#Headers],[2030]]=Startseite!$D$68,IF(OR(SUMIF($F178:Refsz_Verbräuche[[#This Row],[2029]],"&gt;0")&gt;0,), AVERAGEIF($F178:Refsz_Verbräuche[[#This Row],[2029]],"&lt;&gt;"""), ""),IF(Startseite!$D$68=(Refsz_Verbräuche[[#Headers],[2030]]-1),Refsz_Verbräuche[[#This Row],[2029]],IF(Startseite!$D$68&lt;Refsz_Verbräuche[[#Headers],[2030]],Refsz_Verbräuche[[#This Row],[2029]],"")))</f>
        <v/>
      </c>
      <c r="V178" s="110" t="str">
        <f>IF(Refsz_Verbräuche[[#Headers],[2035]]=Startseite!$D$68,IF(OR(SUMIF($F178:Refsz_Verbräuche[[#This Row],[2030]],"&gt;0")&gt;0,), AVERAGEIF($F178:Refsz_Verbräuche[[#This Row],[2030]],"&lt;&gt;"""), ""),IF(Startseite!$D$68=(Refsz_Verbräuche[[#Headers],[2035]]-1),Refsz_Verbräuche[[#This Row],[2030]],IF(Startseite!$D$68&lt;Refsz_Verbräuche[[#Headers],[2035]],Refsz_Verbräuche[[#This Row],[2030]],"")))</f>
        <v/>
      </c>
      <c r="W178" s="110" t="str">
        <f>IF(Refsz_Verbräuche[[#Headers],[2040]]=Startseite!$D$68,IF(OR(SUMIF($F178:Refsz_Verbräuche[[#This Row],[2035]],"&gt;0")&gt;0,), AVERAGEIF($F178:Refsz_Verbräuche[[#This Row],[2035]],"&lt;&gt;"""), ""),IF(Startseite!$D$68=(Refsz_Verbräuche[[#Headers],[2040]]-1),Refsz_Verbräuche[[#This Row],[2035]],IF(Startseite!$D$68&lt;Refsz_Verbräuche[[#Headers],[2040]],Refsz_Verbräuche[[#This Row],[2035]],"")))</f>
        <v/>
      </c>
      <c r="X178" s="110" t="str">
        <f>IF(Refsz_Verbräuche[[#Headers],[2045]]=Startseite!$D$68,IF(OR(SUMIF($F178:Refsz_Verbräuche[[#This Row],[2040]],"&gt;0")&gt;0,), AVERAGEIF($F178:Refsz_Verbräuche[[#This Row],[2040]],"&lt;&gt;"""), ""),IF(Startseite!$D$68=(Refsz_Verbräuche[[#Headers],[2045]]-1),Refsz_Verbräuche[[#This Row],[2040]],IF(Startseite!$D$68&lt;Refsz_Verbräuche[[#Headers],[2045]],Refsz_Verbräuche[[#This Row],[2040]],"")))</f>
        <v/>
      </c>
      <c r="Y178" s="110" t="str">
        <f>IF(Refsz_Verbräuche[[#Headers],[2050]]=Startseite!$D$68,IF(OR(SUMIF($F178:Refsz_Verbräuche[[#This Row],[2045]],"&gt;0")&gt;0,), AVERAGEIF($F178:Refsz_Verbräuche[[#This Row],[2045]],"&lt;&gt;"""), ""),IF(Startseite!$D$68=(Refsz_Verbräuche[[#Headers],[2050]]-1),Refsz_Verbräuche[[#This Row],[2045]],IF(Startseite!$D$68&lt;Refsz_Verbräuche[[#Headers],[2050]],Refsz_Verbräuche[[#This Row],[2045]],"")))</f>
        <v/>
      </c>
      <c r="AA178" s="14"/>
    </row>
  </sheetData>
  <mergeCells count="3">
    <mergeCell ref="E13:G13"/>
    <mergeCell ref="E14:G14"/>
    <mergeCell ref="E15:G15"/>
  </mergeCells>
  <phoneticPr fontId="8" type="noConversion"/>
  <hyperlinks>
    <hyperlink ref="J1" r:id="rId1" tooltip="Kontakt zur Autorin" display="Kontakt zur Autorin" xr:uid="{220FCFB7-5F95-49E3-884C-C5946C92273C}"/>
    <hyperlink ref="B1" location="Startseite!B44" tooltip="Zurück zur Einleitung" display="      Zur Navigation" xr:uid="{A850E28B-41E5-4BB1-8E2A-1D526834D71A}"/>
    <hyperlink ref="E1" location="Datengüte!B1" display="       Weiter" xr:uid="{16324527-61B5-41C4-B581-66E53F74DF89}"/>
    <hyperlink ref="E14" location="Emissionsfaktoren!B1" tooltip="2. Dateneingabe (Profi)" display="Emissionsfaktoren" xr:uid="{FC18F130-6309-4D5B-B2A7-94CA5A59E32E}"/>
    <hyperlink ref="E15" location="Umrechnen!B1" tooltip="Einheiten umrechnen" display="Einheiten umrechnen" xr:uid="{FCBE3A36-1537-46B6-A168-B808C3784308}"/>
    <hyperlink ref="E13" location="'Strommix &amp; BHKW'!B1" display="Individueller Strommix und institutseigenes BHKW" xr:uid="{3A7A5CC8-A6D9-4F05-80D1-19B52895D2FD}"/>
    <hyperlink ref="H9" location="Startseite!H51" display="      Zum Handbuch" xr:uid="{A436A75D-7A69-4223-AF83-894B92EAB9BA}"/>
  </hyperlinks>
  <pageMargins left="0.7" right="0.7" top="0.78740157499999996" bottom="0.78740157499999996" header="0.3" footer="0.3"/>
  <pageSetup paperSize="9" orientation="portrait" r:id="rId2"/>
  <drawing r:id="rId3"/>
  <legacy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expression" priority="104" id="{00000000-000E-0000-0100-00002D000000}">
            <xm:f>M$17&gt;=Startseite!$D$68</xm:f>
            <x14:dxf>
              <font>
                <color auto="1"/>
              </font>
              <fill>
                <patternFill patternType="solid">
                  <bgColor rgb="FFFFC000"/>
                </patternFill>
              </fill>
            </x14:dxf>
          </x14:cfRule>
          <xm:sqref>M18:Y178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7C7D54B-2963-4EEC-9C0A-14C3D95C6DF1}">
          <x14:formula1>
            <xm:f>'Refsz-Emissionen'!$C$350:$C$360</xm:f>
          </x14:formula1>
          <xm:sqref>C18:C46 C48:C53 C55:C70 C72:C74 C76:C78 C80:C93 C95:C97 C99:C101 C103:C104 C106:C109 C111:C120 C122:C132 C134:C161 C163 C165:C178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56721-77D0-4CAB-99CE-5067D3CEAF92}">
  <sheetPr>
    <tabColor rgb="FF92D050"/>
  </sheetPr>
  <dimension ref="B1:AA178"/>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baseColWidth="10" defaultRowHeight="14.5"/>
  <cols>
    <col min="1" max="1" width="2.54296875" customWidth="1"/>
    <col min="2" max="2" width="5" customWidth="1"/>
    <col min="3" max="3" width="28.26953125" customWidth="1"/>
    <col min="4" max="4" width="34.26953125" style="26" customWidth="1"/>
    <col min="5" max="5" width="9.81640625" customWidth="1"/>
    <col min="7" max="26" width="9.81640625" customWidth="1"/>
    <col min="27" max="27" width="41.1796875" customWidth="1"/>
  </cols>
  <sheetData>
    <row r="1" spans="2:12">
      <c r="B1" s="4" t="s">
        <v>556</v>
      </c>
      <c r="D1"/>
      <c r="E1" s="25" t="s">
        <v>565</v>
      </c>
      <c r="F1" s="5"/>
      <c r="G1" s="5"/>
      <c r="H1" s="5"/>
      <c r="I1" s="5"/>
      <c r="J1" s="3" t="s">
        <v>489</v>
      </c>
    </row>
    <row r="3" spans="2:12" ht="18.5">
      <c r="B3" s="24" t="s">
        <v>457</v>
      </c>
    </row>
    <row r="4" spans="2:12">
      <c r="D4" s="284"/>
      <c r="E4" s="284"/>
    </row>
    <row r="5" spans="2:12">
      <c r="D5" s="137"/>
    </row>
    <row r="10" spans="2:12">
      <c r="B10" s="195" t="s">
        <v>248</v>
      </c>
      <c r="C10" s="29"/>
      <c r="J10" s="25" t="s">
        <v>631</v>
      </c>
      <c r="L10" s="13"/>
    </row>
    <row r="11" spans="2:12" hidden="1">
      <c r="B11" s="195"/>
      <c r="C11" s="29"/>
      <c r="L11" s="13"/>
    </row>
    <row r="12" spans="2:12" hidden="1">
      <c r="B12" s="195"/>
      <c r="C12" s="29"/>
      <c r="L12" s="13"/>
    </row>
    <row r="13" spans="2:12" hidden="1">
      <c r="B13" s="195"/>
      <c r="C13" s="29"/>
      <c r="L13" s="13"/>
    </row>
    <row r="14" spans="2:12" hidden="1">
      <c r="B14" s="195" t="str">
        <f>Startseite!D68</f>
        <v>2022</v>
      </c>
      <c r="C14" s="29"/>
      <c r="L14" s="13"/>
    </row>
    <row r="15" spans="2:12" hidden="1">
      <c r="B15" s="1"/>
      <c r="L15" s="13"/>
    </row>
    <row r="16" spans="2:12">
      <c r="B16" s="1"/>
      <c r="L16" s="13"/>
    </row>
    <row r="17" spans="2:27" ht="45.65" customHeight="1">
      <c r="B17" t="s">
        <v>38</v>
      </c>
      <c r="C17" t="s">
        <v>28</v>
      </c>
      <c r="D17" s="14" t="s">
        <v>435</v>
      </c>
      <c r="E17" s="26" t="s">
        <v>2</v>
      </c>
      <c r="F17" s="7" t="s">
        <v>491</v>
      </c>
      <c r="G17" t="s">
        <v>3</v>
      </c>
      <c r="H17" t="s">
        <v>4</v>
      </c>
      <c r="I17" t="s">
        <v>5</v>
      </c>
      <c r="J17" t="s">
        <v>6</v>
      </c>
      <c r="K17" t="s">
        <v>7</v>
      </c>
      <c r="L17" t="s">
        <v>8</v>
      </c>
      <c r="M17" t="s">
        <v>9</v>
      </c>
      <c r="N17" t="s">
        <v>10</v>
      </c>
      <c r="O17" t="s">
        <v>11</v>
      </c>
      <c r="P17" t="s">
        <v>12</v>
      </c>
      <c r="Q17" t="s">
        <v>13</v>
      </c>
      <c r="R17" t="s">
        <v>14</v>
      </c>
      <c r="S17" t="s">
        <v>216</v>
      </c>
      <c r="T17" t="s">
        <v>217</v>
      </c>
      <c r="U17" t="s">
        <v>218</v>
      </c>
      <c r="V17" t="s">
        <v>15</v>
      </c>
      <c r="W17" t="s">
        <v>16</v>
      </c>
      <c r="X17" t="s">
        <v>17</v>
      </c>
      <c r="Y17" t="s">
        <v>18</v>
      </c>
      <c r="Z17" t="s">
        <v>19</v>
      </c>
      <c r="AA17" t="s">
        <v>462</v>
      </c>
    </row>
    <row r="18" spans="2:27">
      <c r="B18" s="14">
        <v>1</v>
      </c>
      <c r="C18" s="197" t="str">
        <f>Refsz_Verbräuche[[#This Row],[Handlungsfeld]]</f>
        <v>Elektrischer Strom</v>
      </c>
      <c r="D18" s="46" t="str">
        <f>Refsz_Verbräuche[[#This Row],[Datenpunkt]]</f>
        <v>Bundesmix</v>
      </c>
      <c r="E18" s="26" t="str">
        <f>Refsz_Verbräuche[[#This Row],[Einheit]]</f>
        <v>MWh</v>
      </c>
      <c r="F18" s="108"/>
      <c r="G18" s="14" t="str">
        <f>IF(ISBLANK(Refsz_Verbräuche[[#This Row],[2015]]),"",Refsz_Verbräuche[[#This Row],[2015]])</f>
        <v/>
      </c>
      <c r="H18" s="14" t="str">
        <f>IF(ISBLANK(Refsz_Verbräuche[[#This Row],[2016]]),"",Refsz_Verbräuche[[#This Row],[2016]])</f>
        <v/>
      </c>
      <c r="I18" s="14" t="str">
        <f>IF(ISBLANK(Refsz_Verbräuche[[#This Row],[2017]]),"",Refsz_Verbräuche[[#This Row],[2017]])</f>
        <v/>
      </c>
      <c r="J18" s="14" t="str">
        <f>IF(ISBLANK(Refsz_Verbräuche[[#This Row],[2018]]),"",Refsz_Verbräuche[[#This Row],[2018]])</f>
        <v/>
      </c>
      <c r="K18" s="14" t="str">
        <f>IF(ISBLANK(Refsz_Verbräuche[[#This Row],[2019]]),"",Refsz_Verbräuche[[#This Row],[2019]])</f>
        <v/>
      </c>
      <c r="L18" s="14" t="str">
        <f>IF(ISBLANK(Refsz_Verbräuche[[#This Row],[2020]]),"",Refsz_Verbräuche[[#This Row],[2020]])</f>
        <v/>
      </c>
      <c r="M18" s="14" t="str">
        <f>IF(ISBLANK(Refsz_Verbräuche[[#This Row],[2021]]),"",Refsz_Verbräuche[[#This Row],[2021]])</f>
        <v/>
      </c>
      <c r="N18" s="49"/>
      <c r="O18" s="49"/>
      <c r="P18" s="49"/>
      <c r="Q18" s="49"/>
      <c r="R18" s="49"/>
      <c r="S18" s="49"/>
      <c r="T18" s="49" t="str">
        <f>IF(Klisz_Verbräuche[[#Headers],[2028]]=$B$14,IF(COUNTIF($G18:Klisz_Verbräuche[[#This Row],[2027]],"&gt;0")&gt;0, AVERAGEIF($G18:Klisz_Verbräuche[[#This Row],[2027]],"&lt;&gt;"), ""),IF($B$14&lt;Klisz_Verbräuche[[#Headers],[2028]],IF(COUNTIF($G18:Klisz_Verbräuche[[#This Row],[2027]],"&gt;0")&gt;0,IF(COUNTIF($G18:Klisz_Verbräuche[[#This Row],[2027]],"&gt;0")&gt;0,Klisz_Verbräuche[[#This Row],[2027]]*(1-$F18)^1, ""), ""),IF($B$14&gt;Klisz_Verbräuche[[#Headers],[2028]],Refsz_Verbräuche[[#This Row],[2028]],"")))</f>
        <v/>
      </c>
      <c r="U18" s="49" t="str">
        <f>IF(Klisz_Verbräuche[[#Headers],[2029]]=$B$14,IF(COUNTIF($G18:Klisz_Verbräuche[[#This Row],[2028]],"&gt;0")&gt;0, AVERAGEIF($G18:Klisz_Verbräuche[[#This Row],[2028]],"&lt;&gt;"), ""),IF($B$14&lt;Klisz_Verbräuche[[#Headers],[2029]],IF(COUNTIF($G18:Klisz_Verbräuche[[#This Row],[2028]],"&gt;0")&gt;0,IF(COUNTIF($G18:Klisz_Verbräuche[[#This Row],[2028]],"&gt;0")&gt;0,Klisz_Verbräuche[[#This Row],[2028]]*(1-$F18)^1, ""), ""),IF($B$14&gt;Klisz_Verbräuche[[#Headers],[2029]],Refsz_Verbräuche[[#This Row],[2029]],"")))</f>
        <v/>
      </c>
      <c r="V18" s="49" t="str">
        <f>IF(Klisz_Verbräuche[[#Headers],[2030]]=$B$14,IF(COUNTIF($G18:Klisz_Verbräuche[[#This Row],[2029]],"&gt;0")&gt;0, AVERAGEIF($G18:Klisz_Verbräuche[[#This Row],[2029]],"&lt;&gt;"), ""),IF($B$14&lt;Klisz_Verbräuche[[#Headers],[2030]],IF(COUNTIF($G18:Klisz_Verbräuche[[#This Row],[2029]],"&gt;0")&gt;0,IF(COUNTIF($G18:Klisz_Verbräuche[[#This Row],[2029]],"&gt;0")&gt;0,Klisz_Verbräuche[[#This Row],[2029]]*(1-$F18)^1, ""), ""),IF($B$14&gt;Klisz_Verbräuche[[#Headers],[2030]],Refsz_Verbräuche[[#This Row],[2030]],"")))</f>
        <v/>
      </c>
      <c r="W18" s="49" t="str">
        <f>IF(Klisz_Verbräuche[[#Headers],[2035]]=$B$14,IF(COUNTIF($G18:Klisz_Verbräuche[[#This Row],[2030]],"&gt;0")&gt;0, AVERAGEIF($G18:Klisz_Verbräuche[[#This Row],[2030]],"&lt;&gt;"), ""),IF($B$14&lt;Klisz_Verbräuche[[#Headers],[2035]],IF(COUNTIF($G18:Klisz_Verbräuche[[#This Row],[2030]],"&gt;0")&gt;0,IF(COUNTIF($G18:Klisz_Verbräuche[[#This Row],[2030]],"&gt;0")&gt;0,Klisz_Verbräuche[[#This Row],[2030]]*(1-$F18)^5, ""), ""),IF($B$14&gt;Klisz_Verbräuche[[#Headers],[2035]],Refsz_Verbräuche[[#This Row],[2035]],"")))</f>
        <v/>
      </c>
      <c r="X18" s="49" t="str">
        <f>IF(Klisz_Verbräuche[[#Headers],[2040]]=$B$14,IF(COUNTIF($G18:Klisz_Verbräuche[[#This Row],[2035]],"&gt;0")&gt;0, AVERAGEIF($G18:Klisz_Verbräuche[[#This Row],[2035]],"&lt;&gt;"), ""),IF($B$14&lt;Klisz_Verbräuche[[#Headers],[2040]],IF(COUNTIF($G18:Klisz_Verbräuche[[#This Row],[2035]],"&gt;0")&gt;0,IF(COUNTIF($G18:Klisz_Verbräuche[[#This Row],[2035]],"&gt;0")&gt;0,Klisz_Verbräuche[[#This Row],[2035]]*(1-$F18)^5, ""), ""),IF($B$14&gt;Klisz_Verbräuche[[#Headers],[2040]],Refsz_Verbräuche[[#This Row],[2040]],"")))</f>
        <v/>
      </c>
      <c r="Y18" s="49" t="str">
        <f>IF(Klisz_Verbräuche[[#Headers],[2045]]=$B$14,IF(COUNTIF($G18:Klisz_Verbräuche[[#This Row],[2040]],"&gt;0")&gt;0, AVERAGEIF($G18:Klisz_Verbräuche[[#This Row],[2040]],"&lt;&gt;"), ""),IF($B$14&lt;Klisz_Verbräuche[[#Headers],[2045]],IF(COUNTIF($G18:Klisz_Verbräuche[[#This Row],[2040]],"&gt;0")&gt;0,IF(COUNTIF($G18:Klisz_Verbräuche[[#This Row],[2040]],"&gt;0")&gt;0,Klisz_Verbräuche[[#This Row],[2040]]*(1-$F18)^5, ""), ""),IF($B$14&gt;Klisz_Verbräuche[[#Headers],[2045]],Refsz_Verbräuche[[#This Row],[2045]],"")))</f>
        <v/>
      </c>
      <c r="Z18" s="49" t="str">
        <f>IF(Klisz_Verbräuche[[#Headers],[2050]]=$B$14,IF(COUNTIF($G18:Klisz_Verbräuche[[#This Row],[2045]],"&gt;0")&gt;0, AVERAGEIF($G18:Klisz_Verbräuche[[#This Row],[2045]],"&lt;&gt;"), ""),IF($B$14&lt;Klisz_Verbräuche[[#Headers],[2050]],IF(COUNTIF($G18:Klisz_Verbräuche[[#This Row],[2045]],"&gt;0")&gt;0,IF(COUNTIF($G18:Klisz_Verbräuche[[#This Row],[2045]],"&gt;0")&gt;0,Klisz_Verbräuche[[#This Row],[2045]]*(1-$F18)^5, ""), ""),IF($B$14&gt;Klisz_Verbräuche[[#Headers],[2050]],Refsz_Verbräuche[[#This Row],[2050]],"")))</f>
        <v/>
      </c>
      <c r="AA18" s="14"/>
    </row>
    <row r="19" spans="2:27" hidden="1">
      <c r="B19" s="14">
        <v>2</v>
      </c>
      <c r="C19" s="197" t="str">
        <f>Refsz_Verbräuche[[#This Row],[Handlungsfeld]]</f>
        <v>Elektrischer Strom</v>
      </c>
      <c r="D19" s="46" t="str">
        <f>Refsz_Verbräuche[[#This Row],[Datenpunkt]]</f>
        <v>Bundesmix KS80</v>
      </c>
      <c r="E19" s="138" t="str">
        <f>Refsz_Verbräuche[[#This Row],[Einheit]]</f>
        <v>Nichts eintragen</v>
      </c>
      <c r="F19" s="108"/>
      <c r="G19" s="14" t="str">
        <f>IF(ISBLANK(Refsz_Verbräuche[[#This Row],[2015]]),"",Refsz_Verbräuche[[#This Row],[2015]])</f>
        <v/>
      </c>
      <c r="H19" s="14" t="str">
        <f>IF(ISBLANK(Refsz_Verbräuche[[#This Row],[2016]]),"",Refsz_Verbräuche[[#This Row],[2016]])</f>
        <v/>
      </c>
      <c r="I19" s="14" t="str">
        <f>IF(ISBLANK(Refsz_Verbräuche[[#This Row],[2017]]),"",Refsz_Verbräuche[[#This Row],[2017]])</f>
        <v/>
      </c>
      <c r="J19" s="14" t="str">
        <f>IF(ISBLANK(Refsz_Verbräuche[[#This Row],[2018]]),"",Refsz_Verbräuche[[#This Row],[2018]])</f>
        <v/>
      </c>
      <c r="K19" s="14" t="str">
        <f>IF(ISBLANK(Refsz_Verbräuche[[#This Row],[2019]]),"",Refsz_Verbräuche[[#This Row],[2019]])</f>
        <v/>
      </c>
      <c r="L19" s="14" t="str">
        <f>IF(ISBLANK(Refsz_Verbräuche[[#This Row],[2020]]),"",Refsz_Verbräuche[[#This Row],[2020]])</f>
        <v/>
      </c>
      <c r="M19" s="14" t="str">
        <f>IF(ISBLANK(Refsz_Verbräuche[[#This Row],[2021]]),"",Refsz_Verbräuche[[#This Row],[2021]])</f>
        <v/>
      </c>
      <c r="N19" s="49"/>
      <c r="O19" s="49"/>
      <c r="P19" s="49"/>
      <c r="Q19" s="49"/>
      <c r="R19" s="49"/>
      <c r="S19" s="49"/>
      <c r="T19" s="49" t="str">
        <f>IF(Klisz_Verbräuche[[#Headers],[2028]]=$B$14,IF(COUNTIF($G19:Klisz_Verbräuche[[#This Row],[2027]],"&gt;0")&gt;0, AVERAGEIF($G19:Klisz_Verbräuche[[#This Row],[2027]],"&lt;&gt;"), ""),IF($B$14&lt;Klisz_Verbräuche[[#Headers],[2028]],IF(COUNTIF($G19:Klisz_Verbräuche[[#This Row],[2027]],"&gt;0")&gt;0,IF(COUNTIF($G19:Klisz_Verbräuche[[#This Row],[2027]],"&gt;0")&gt;0,Klisz_Verbräuche[[#This Row],[2027]]*(1-$F19)^1, ""), ""),IF($B$14&gt;Klisz_Verbräuche[[#Headers],[2028]],Refsz_Verbräuche[[#This Row],[2028]],"")))</f>
        <v/>
      </c>
      <c r="U19" s="49" t="str">
        <f>IF(Klisz_Verbräuche[[#Headers],[2029]]=$B$14,IF(COUNTIF($G19:Klisz_Verbräuche[[#This Row],[2028]],"&gt;0")&gt;0, AVERAGEIF($G19:Klisz_Verbräuche[[#This Row],[2028]],"&lt;&gt;"), ""),IF($B$14&lt;Klisz_Verbräuche[[#Headers],[2029]],IF(COUNTIF($G19:Klisz_Verbräuche[[#This Row],[2028]],"&gt;0")&gt;0,IF(COUNTIF($G19:Klisz_Verbräuche[[#This Row],[2028]],"&gt;0")&gt;0,Klisz_Verbräuche[[#This Row],[2028]]*(1-$F19)^1, ""), ""),IF($B$14&gt;Klisz_Verbräuche[[#Headers],[2029]],Refsz_Verbräuche[[#This Row],[2029]],"")))</f>
        <v/>
      </c>
      <c r="V19" s="49" t="str">
        <f>IF(Klisz_Verbräuche[[#Headers],[2030]]=$B$14,IF(COUNTIF($G19:Klisz_Verbräuche[[#This Row],[2029]],"&gt;0")&gt;0, AVERAGEIF($G19:Klisz_Verbräuche[[#This Row],[2029]],"&lt;&gt;"), ""),IF($B$14&lt;Klisz_Verbräuche[[#Headers],[2030]],IF(COUNTIF($G19:Klisz_Verbräuche[[#This Row],[2029]],"&gt;0")&gt;0,IF(COUNTIF($G19:Klisz_Verbräuche[[#This Row],[2029]],"&gt;0")&gt;0,Klisz_Verbräuche[[#This Row],[2029]]*(1-$F19)^1, ""), ""),IF($B$14&gt;Klisz_Verbräuche[[#Headers],[2030]],Refsz_Verbräuche[[#This Row],[2030]],"")))</f>
        <v/>
      </c>
      <c r="W19" s="49" t="str">
        <f>IF(Klisz_Verbräuche[[#Headers],[2035]]=$B$14,IF(COUNTIF($G19:Klisz_Verbräuche[[#This Row],[2030]],"&gt;0")&gt;0, AVERAGEIF($G19:Klisz_Verbräuche[[#This Row],[2030]],"&lt;&gt;"), ""),IF($B$14&lt;Klisz_Verbräuche[[#Headers],[2035]],IF(COUNTIF($G19:Klisz_Verbräuche[[#This Row],[2030]],"&gt;0")&gt;0,IF(COUNTIF($G19:Klisz_Verbräuche[[#This Row],[2030]],"&gt;0")&gt;0,Klisz_Verbräuche[[#This Row],[2030]]*(1-$F19)^5, ""), ""),IF($B$14&gt;Klisz_Verbräuche[[#Headers],[2035]],Refsz_Verbräuche[[#This Row],[2035]],"")))</f>
        <v/>
      </c>
      <c r="X19" s="49" t="str">
        <f>IF(Klisz_Verbräuche[[#Headers],[2040]]=$B$14,IF(COUNTIF($G19:Klisz_Verbräuche[[#This Row],[2035]],"&gt;0")&gt;0, AVERAGEIF($G19:Klisz_Verbräuche[[#This Row],[2035]],"&lt;&gt;"), ""),IF($B$14&lt;Klisz_Verbräuche[[#Headers],[2040]],IF(COUNTIF($G19:Klisz_Verbräuche[[#This Row],[2035]],"&gt;0")&gt;0,IF(COUNTIF($G19:Klisz_Verbräuche[[#This Row],[2035]],"&gt;0")&gt;0,Klisz_Verbräuche[[#This Row],[2035]]*(1-$F19)^5, ""), ""),IF($B$14&gt;Klisz_Verbräuche[[#Headers],[2040]],Refsz_Verbräuche[[#This Row],[2040]],"")))</f>
        <v/>
      </c>
      <c r="Y19" s="49" t="str">
        <f>IF(Klisz_Verbräuche[[#Headers],[2045]]=$B$14,IF(COUNTIF($G19:Klisz_Verbräuche[[#This Row],[2040]],"&gt;0")&gt;0, AVERAGEIF($G19:Klisz_Verbräuche[[#This Row],[2040]],"&lt;&gt;"), ""),IF($B$14&lt;Klisz_Verbräuche[[#Headers],[2045]],IF(COUNTIF($G19:Klisz_Verbräuche[[#This Row],[2040]],"&gt;0")&gt;0,IF(COUNTIF($G19:Klisz_Verbräuche[[#This Row],[2040]],"&gt;0")&gt;0,Klisz_Verbräuche[[#This Row],[2040]]*(1-$F19)^5, ""), ""),IF($B$14&gt;Klisz_Verbräuche[[#Headers],[2045]],Refsz_Verbräuche[[#This Row],[2045]],"")))</f>
        <v/>
      </c>
      <c r="Z19" s="49" t="str">
        <f>IF(Klisz_Verbräuche[[#Headers],[2050]]=$B$14,IF(COUNTIF($G19:Klisz_Verbräuche[[#This Row],[2045]],"&gt;0")&gt;0, AVERAGEIF($G19:Klisz_Verbräuche[[#This Row],[2045]],"&lt;&gt;"), ""),IF($B$14&lt;Klisz_Verbräuche[[#Headers],[2050]],IF(COUNTIF($G19:Klisz_Verbräuche[[#This Row],[2045]],"&gt;0")&gt;0,IF(COUNTIF($G19:Klisz_Verbräuche[[#This Row],[2045]],"&gt;0")&gt;0,Klisz_Verbräuche[[#This Row],[2045]]*(1-$F19)^5, ""), ""),IF($B$14&gt;Klisz_Verbräuche[[#Headers],[2050]],Refsz_Verbräuche[[#This Row],[2050]],"")))</f>
        <v/>
      </c>
      <c r="AA19" s="14"/>
    </row>
    <row r="20" spans="2:27">
      <c r="B20" s="14">
        <v>3</v>
      </c>
      <c r="C20" s="197" t="str">
        <f>Refsz_Verbräuche[[#This Row],[Handlungsfeld]]</f>
        <v>Elektrischer Strom</v>
      </c>
      <c r="D20" s="46" t="str">
        <f>Refsz_Verbräuche[[#This Row],[Datenpunkt]]</f>
        <v>Individueller Strommix Einrichtung 1</v>
      </c>
      <c r="E20" s="26" t="str">
        <f>Refsz_Verbräuche[[#This Row],[Einheit]]</f>
        <v>MWh</v>
      </c>
      <c r="F20" s="108"/>
      <c r="G20" s="14" t="str">
        <f>IF(ISBLANK(Refsz_Verbräuche[[#This Row],[2015]]),"",Refsz_Verbräuche[[#This Row],[2015]])</f>
        <v/>
      </c>
      <c r="H20" s="14" t="str">
        <f>IF(ISBLANK(Refsz_Verbräuche[[#This Row],[2016]]),"",Refsz_Verbräuche[[#This Row],[2016]])</f>
        <v/>
      </c>
      <c r="I20" s="14" t="str">
        <f>IF(ISBLANK(Refsz_Verbräuche[[#This Row],[2017]]),"",Refsz_Verbräuche[[#This Row],[2017]])</f>
        <v/>
      </c>
      <c r="J20" s="14" t="str">
        <f>IF(ISBLANK(Refsz_Verbräuche[[#This Row],[2018]]),"",Refsz_Verbräuche[[#This Row],[2018]])</f>
        <v/>
      </c>
      <c r="K20" s="14" t="str">
        <f>IF(ISBLANK(Refsz_Verbräuche[[#This Row],[2019]]),"",Refsz_Verbräuche[[#This Row],[2019]])</f>
        <v/>
      </c>
      <c r="L20" s="14" t="str">
        <f>IF(ISBLANK(Refsz_Verbräuche[[#This Row],[2020]]),"",Refsz_Verbräuche[[#This Row],[2020]])</f>
        <v/>
      </c>
      <c r="M20" s="14" t="str">
        <f>IF(ISBLANK(Refsz_Verbräuche[[#This Row],[2021]]),"",Refsz_Verbräuche[[#This Row],[2021]])</f>
        <v/>
      </c>
      <c r="N20" s="49"/>
      <c r="O20" s="49"/>
      <c r="P20" s="49"/>
      <c r="Q20" s="49"/>
      <c r="R20" s="49"/>
      <c r="S20" s="49"/>
      <c r="T20" s="49" t="str">
        <f>IF(Klisz_Verbräuche[[#Headers],[2028]]=$B$14,IF(COUNTIF($G20:Klisz_Verbräuche[[#This Row],[2027]],"&gt;0")&gt;0, AVERAGEIF($G20:Klisz_Verbräuche[[#This Row],[2027]],"&lt;&gt;"), ""),IF($B$14&lt;Klisz_Verbräuche[[#Headers],[2028]],IF(COUNTIF($G20:Klisz_Verbräuche[[#This Row],[2027]],"&gt;0")&gt;0,IF(COUNTIF($G20:Klisz_Verbräuche[[#This Row],[2027]],"&gt;0")&gt;0,Klisz_Verbräuche[[#This Row],[2027]]*(1-$F20)^1, ""), ""),IF($B$14&gt;Klisz_Verbräuche[[#Headers],[2028]],Refsz_Verbräuche[[#This Row],[2028]],"")))</f>
        <v/>
      </c>
      <c r="U20" s="49" t="str">
        <f>IF(Klisz_Verbräuche[[#Headers],[2029]]=$B$14,IF(COUNTIF($G20:Klisz_Verbräuche[[#This Row],[2028]],"&gt;0")&gt;0, AVERAGEIF($G20:Klisz_Verbräuche[[#This Row],[2028]],"&lt;&gt;"), ""),IF($B$14&lt;Klisz_Verbräuche[[#Headers],[2029]],IF(COUNTIF($G20:Klisz_Verbräuche[[#This Row],[2028]],"&gt;0")&gt;0,IF(COUNTIF($G20:Klisz_Verbräuche[[#This Row],[2028]],"&gt;0")&gt;0,Klisz_Verbräuche[[#This Row],[2028]]*(1-$F20)^1, ""), ""),IF($B$14&gt;Klisz_Verbräuche[[#Headers],[2029]],Refsz_Verbräuche[[#This Row],[2029]],"")))</f>
        <v/>
      </c>
      <c r="V20" s="49" t="str">
        <f>IF(Klisz_Verbräuche[[#Headers],[2030]]=$B$14,IF(COUNTIF($G20:Klisz_Verbräuche[[#This Row],[2029]],"&gt;0")&gt;0, AVERAGEIF($G20:Klisz_Verbräuche[[#This Row],[2029]],"&lt;&gt;"), ""),IF($B$14&lt;Klisz_Verbräuche[[#Headers],[2030]],IF(COUNTIF($G20:Klisz_Verbräuche[[#This Row],[2029]],"&gt;0")&gt;0,IF(COUNTIF($G20:Klisz_Verbräuche[[#This Row],[2029]],"&gt;0")&gt;0,Klisz_Verbräuche[[#This Row],[2029]]*(1-$F20)^1, ""), ""),IF($B$14&gt;Klisz_Verbräuche[[#Headers],[2030]],Refsz_Verbräuche[[#This Row],[2030]],"")))</f>
        <v/>
      </c>
      <c r="W20" s="49" t="str">
        <f>IF(Klisz_Verbräuche[[#Headers],[2035]]=$B$14,IF(COUNTIF($G20:Klisz_Verbräuche[[#This Row],[2030]],"&gt;0")&gt;0, AVERAGEIF($G20:Klisz_Verbräuche[[#This Row],[2030]],"&lt;&gt;"), ""),IF($B$14&lt;Klisz_Verbräuche[[#Headers],[2035]],IF(COUNTIF($G20:Klisz_Verbräuche[[#This Row],[2030]],"&gt;0")&gt;0,IF(COUNTIF($G20:Klisz_Verbräuche[[#This Row],[2030]],"&gt;0")&gt;0,Klisz_Verbräuche[[#This Row],[2030]]*(1-$F20)^5, ""), ""),IF($B$14&gt;Klisz_Verbräuche[[#Headers],[2035]],Refsz_Verbräuche[[#This Row],[2035]],"")))</f>
        <v/>
      </c>
      <c r="X20" s="49" t="str">
        <f>IF(Klisz_Verbräuche[[#Headers],[2040]]=$B$14,IF(COUNTIF($G20:Klisz_Verbräuche[[#This Row],[2035]],"&gt;0")&gt;0, AVERAGEIF($G20:Klisz_Verbräuche[[#This Row],[2035]],"&lt;&gt;"), ""),IF($B$14&lt;Klisz_Verbräuche[[#Headers],[2040]],IF(COUNTIF($G20:Klisz_Verbräuche[[#This Row],[2035]],"&gt;0")&gt;0,IF(COUNTIF($G20:Klisz_Verbräuche[[#This Row],[2035]],"&gt;0")&gt;0,Klisz_Verbräuche[[#This Row],[2035]]*(1-$F20)^5, ""), ""),IF($B$14&gt;Klisz_Verbräuche[[#Headers],[2040]],Refsz_Verbräuche[[#This Row],[2040]],"")))</f>
        <v/>
      </c>
      <c r="Y20" s="49" t="str">
        <f>IF(Klisz_Verbräuche[[#Headers],[2045]]=$B$14,IF(COUNTIF($G20:Klisz_Verbräuche[[#This Row],[2040]],"&gt;0")&gt;0, AVERAGEIF($G20:Klisz_Verbräuche[[#This Row],[2040]],"&lt;&gt;"), ""),IF($B$14&lt;Klisz_Verbräuche[[#Headers],[2045]],IF(COUNTIF($G20:Klisz_Verbräuche[[#This Row],[2040]],"&gt;0")&gt;0,IF(COUNTIF($G20:Klisz_Verbräuche[[#This Row],[2040]],"&gt;0")&gt;0,Klisz_Verbräuche[[#This Row],[2040]]*(1-$F20)^5, ""), ""),IF($B$14&gt;Klisz_Verbräuche[[#Headers],[2045]],Refsz_Verbräuche[[#This Row],[2045]],"")))</f>
        <v/>
      </c>
      <c r="Z20" s="49" t="str">
        <f>IF(Klisz_Verbräuche[[#Headers],[2050]]=$B$14,IF(COUNTIF($G20:Klisz_Verbräuche[[#This Row],[2045]],"&gt;0")&gt;0, AVERAGEIF($G20:Klisz_Verbräuche[[#This Row],[2045]],"&lt;&gt;"), ""),IF($B$14&lt;Klisz_Verbräuche[[#Headers],[2050]],IF(COUNTIF($G20:Klisz_Verbräuche[[#This Row],[2045]],"&gt;0")&gt;0,IF(COUNTIF($G20:Klisz_Verbräuche[[#This Row],[2045]],"&gt;0")&gt;0,Klisz_Verbräuche[[#This Row],[2045]]*(1-$F20)^5, ""), ""),IF($B$14&gt;Klisz_Verbräuche[[#Headers],[2050]],Refsz_Verbräuche[[#This Row],[2050]],"")))</f>
        <v/>
      </c>
      <c r="AA20" s="14"/>
    </row>
    <row r="21" spans="2:27">
      <c r="B21" s="14">
        <v>4</v>
      </c>
      <c r="C21" s="197" t="str">
        <f>Refsz_Verbräuche[[#This Row],[Handlungsfeld]]</f>
        <v>Elektrischer Strom</v>
      </c>
      <c r="D21" s="46" t="str">
        <f>Refsz_Verbräuche[[#This Row],[Datenpunkt]]</f>
        <v>Individueller Strommix Einrichtung 2</v>
      </c>
      <c r="E21" s="26" t="str">
        <f>Refsz_Verbräuche[[#This Row],[Einheit]]</f>
        <v>MWh</v>
      </c>
      <c r="F21" s="108"/>
      <c r="G21" s="14" t="str">
        <f>IF(ISBLANK(Refsz_Verbräuche[[#This Row],[2015]]),"",Refsz_Verbräuche[[#This Row],[2015]])</f>
        <v/>
      </c>
      <c r="H21" s="14" t="str">
        <f>IF(ISBLANK(Refsz_Verbräuche[[#This Row],[2016]]),"",Refsz_Verbräuche[[#This Row],[2016]])</f>
        <v/>
      </c>
      <c r="I21" s="14" t="str">
        <f>IF(ISBLANK(Refsz_Verbräuche[[#This Row],[2017]]),"",Refsz_Verbräuche[[#This Row],[2017]])</f>
        <v/>
      </c>
      <c r="J21" s="14" t="str">
        <f>IF(ISBLANK(Refsz_Verbräuche[[#This Row],[2018]]),"",Refsz_Verbräuche[[#This Row],[2018]])</f>
        <v/>
      </c>
      <c r="K21" s="14" t="str">
        <f>IF(ISBLANK(Refsz_Verbräuche[[#This Row],[2019]]),"",Refsz_Verbräuche[[#This Row],[2019]])</f>
        <v/>
      </c>
      <c r="L21" s="14" t="str">
        <f>IF(ISBLANK(Refsz_Verbräuche[[#This Row],[2020]]),"",Refsz_Verbräuche[[#This Row],[2020]])</f>
        <v/>
      </c>
      <c r="M21" s="14" t="str">
        <f>IF(ISBLANK(Refsz_Verbräuche[[#This Row],[2021]]),"",Refsz_Verbräuche[[#This Row],[2021]])</f>
        <v/>
      </c>
      <c r="N21" s="49" t="str">
        <f>IF(Klisz_Verbräuche[[#Headers],[2022]]=$B$14,IF(COUNTIF($G21:Klisz_Verbräuche[[#This Row],[2021]],"&gt;0")&gt;0, AVERAGEIF($G21:Klisz_Verbräuche[[#This Row],[2021]],"&lt;&gt;"), ""),IF($B$14&lt;Klisz_Verbräuche[[#Headers],[2022]],IF(COUNTIF($G21:Klisz_Verbräuche[[#This Row],[2021]],"&gt;0")&gt;0,IF(COUNTIF($G21:Klisz_Verbräuche[[#This Row],[2021]],"&gt;0")&gt;0,Klisz_Verbräuche[[#This Row],[2021]]*(1-$F21)^1, ""), ""),IF($B$14&gt;Klisz_Verbräuche[[#Headers],[2022]],Refsz_Verbräuche[[#This Row],[2022]],"")))</f>
        <v/>
      </c>
      <c r="O21" s="49" t="str">
        <f>IF(Klisz_Verbräuche[[#Headers],[2023]]=$B$14,IF(COUNTIF($G21:Klisz_Verbräuche[[#This Row],[2022]],"&gt;0")&gt;0, AVERAGEIF($G21:Klisz_Verbräuche[[#This Row],[2022]],"&lt;&gt;"), ""),IF($B$14&lt;Klisz_Verbräuche[[#Headers],[2023]],IF(COUNTIF($G21:Klisz_Verbräuche[[#This Row],[2022]],"&gt;0")&gt;0,IF(COUNTIF($G21:Klisz_Verbräuche[[#This Row],[2022]],"&gt;0")&gt;0,Klisz_Verbräuche[[#This Row],[2022]]*(1-$F21)^1, ""), ""),IF($B$14&gt;Klisz_Verbräuche[[#Headers],[2023]],Refsz_Verbräuche[[#This Row],[2023]],"")))</f>
        <v/>
      </c>
      <c r="P21" s="49" t="str">
        <f>IF(Klisz_Verbräuche[[#Headers],[2024]]=$B$14,IF(COUNTIF($G21:Klisz_Verbräuche[[#This Row],[2023]],"&gt;0")&gt;0, AVERAGEIF($G21:Klisz_Verbräuche[[#This Row],[2023]],"&lt;&gt;"), ""),IF($B$14&lt;Klisz_Verbräuche[[#Headers],[2024]],IF(COUNTIF($G21:Klisz_Verbräuche[[#This Row],[2023]],"&gt;0")&gt;0,IF(COUNTIF($G21:Klisz_Verbräuche[[#This Row],[2023]],"&gt;0")&gt;0,Klisz_Verbräuche[[#This Row],[2023]]*(1-$F21)^1, ""), ""),IF($B$14&gt;Klisz_Verbräuche[[#Headers],[2024]],Refsz_Verbräuche[[#This Row],[2024]],"")))</f>
        <v/>
      </c>
      <c r="Q21" s="49" t="str">
        <f>IF(Klisz_Verbräuche[[#Headers],[2025]]=$B$14,IF(COUNTIF($G21:Klisz_Verbräuche[[#This Row],[2024]],"&gt;0")&gt;0, AVERAGEIF($G21:Klisz_Verbräuche[[#This Row],[2024]],"&lt;&gt;"), ""),IF($B$14&lt;Klisz_Verbräuche[[#Headers],[2025]],IF(COUNTIF($G21:Klisz_Verbräuche[[#This Row],[2024]],"&gt;0")&gt;0,IF(COUNTIF($G21:Klisz_Verbräuche[[#This Row],[2024]],"&gt;0")&gt;0,Klisz_Verbräuche[[#This Row],[2024]]*(1-$F21)^1, ""), ""),IF($B$14&gt;Klisz_Verbräuche[[#Headers],[2025]],Refsz_Verbräuche[[#This Row],[2025]],"")))</f>
        <v/>
      </c>
      <c r="R21" s="49" t="str">
        <f>IF(Klisz_Verbräuche[[#Headers],[2026]]=$B$14,IF(COUNTIF($G21:Klisz_Verbräuche[[#This Row],[2025]],"&gt;0")&gt;0, AVERAGEIF($G21:Klisz_Verbräuche[[#This Row],[2025]],"&lt;&gt;"), ""),IF($B$14&lt;Klisz_Verbräuche[[#Headers],[2026]],IF(COUNTIF($G21:Klisz_Verbräuche[[#This Row],[2025]],"&gt;0")&gt;0,IF(COUNTIF($G21:Klisz_Verbräuche[[#This Row],[2025]],"&gt;0")&gt;0,Klisz_Verbräuche[[#This Row],[2025]]*(1-$F21)^1, ""), ""),IF($B$14&gt;Klisz_Verbräuche[[#Headers],[2026]],Refsz_Verbräuche[[#This Row],[2026]],"")))</f>
        <v/>
      </c>
      <c r="S21" s="49" t="str">
        <f>IF(Klisz_Verbräuche[[#Headers],[2027]]=$B$14,IF(COUNTIF($G21:Klisz_Verbräuche[[#This Row],[2026]],"&gt;0")&gt;0, AVERAGEIF($G21:Klisz_Verbräuche[[#This Row],[2026]],"&lt;&gt;"), ""),IF($B$14&lt;Klisz_Verbräuche[[#Headers],[2027]],IF(COUNTIF($G21:Klisz_Verbräuche[[#This Row],[2026]],"&gt;0")&gt;0,IF(COUNTIF($G21:Klisz_Verbräuche[[#This Row],[2026]],"&gt;0")&gt;0,Klisz_Verbräuche[[#This Row],[2026]]*(1-$F21)^1, ""), ""),IF($B$14&gt;Klisz_Verbräuche[[#Headers],[2027]],Refsz_Verbräuche[[#This Row],[2027]],"")))</f>
        <v/>
      </c>
      <c r="T21" s="49" t="str">
        <f>IF(Klisz_Verbräuche[[#Headers],[2028]]=$B$14,IF(COUNTIF($G21:Klisz_Verbräuche[[#This Row],[2027]],"&gt;0")&gt;0, AVERAGEIF($G21:Klisz_Verbräuche[[#This Row],[2027]],"&lt;&gt;"), ""),IF($B$14&lt;Klisz_Verbräuche[[#Headers],[2028]],IF(COUNTIF($G21:Klisz_Verbräuche[[#This Row],[2027]],"&gt;0")&gt;0,IF(COUNTIF($G21:Klisz_Verbräuche[[#This Row],[2027]],"&gt;0")&gt;0,Klisz_Verbräuche[[#This Row],[2027]]*(1-$F21)^1, ""), ""),IF($B$14&gt;Klisz_Verbräuche[[#Headers],[2028]],Refsz_Verbräuche[[#This Row],[2028]],"")))</f>
        <v/>
      </c>
      <c r="U21" s="49" t="str">
        <f>IF(Klisz_Verbräuche[[#Headers],[2029]]=$B$14,IF(COUNTIF($G21:Klisz_Verbräuche[[#This Row],[2028]],"&gt;0")&gt;0, AVERAGEIF($G21:Klisz_Verbräuche[[#This Row],[2028]],"&lt;&gt;"), ""),IF($B$14&lt;Klisz_Verbräuche[[#Headers],[2029]],IF(COUNTIF($G21:Klisz_Verbräuche[[#This Row],[2028]],"&gt;0")&gt;0,IF(COUNTIF($G21:Klisz_Verbräuche[[#This Row],[2028]],"&gt;0")&gt;0,Klisz_Verbräuche[[#This Row],[2028]]*(1-$F21)^1, ""), ""),IF($B$14&gt;Klisz_Verbräuche[[#Headers],[2029]],Refsz_Verbräuche[[#This Row],[2029]],"")))</f>
        <v/>
      </c>
      <c r="V21" s="49" t="str">
        <f>IF(Klisz_Verbräuche[[#Headers],[2030]]=$B$14,IF(COUNTIF($G21:Klisz_Verbräuche[[#This Row],[2029]],"&gt;0")&gt;0, AVERAGEIF($G21:Klisz_Verbräuche[[#This Row],[2029]],"&lt;&gt;"), ""),IF($B$14&lt;Klisz_Verbräuche[[#Headers],[2030]],IF(COUNTIF($G21:Klisz_Verbräuche[[#This Row],[2029]],"&gt;0")&gt;0,IF(COUNTIF($G21:Klisz_Verbräuche[[#This Row],[2029]],"&gt;0")&gt;0,Klisz_Verbräuche[[#This Row],[2029]]*(1-$F21)^1, ""), ""),IF($B$14&gt;Klisz_Verbräuche[[#Headers],[2030]],Refsz_Verbräuche[[#This Row],[2030]],"")))</f>
        <v/>
      </c>
      <c r="W21" s="49" t="str">
        <f>IF(Klisz_Verbräuche[[#Headers],[2035]]=$B$14,IF(COUNTIF($G21:Klisz_Verbräuche[[#This Row],[2030]],"&gt;0")&gt;0, AVERAGEIF($G21:Klisz_Verbräuche[[#This Row],[2030]],"&lt;&gt;"), ""),IF($B$14&lt;Klisz_Verbräuche[[#Headers],[2035]],IF(COUNTIF($G21:Klisz_Verbräuche[[#This Row],[2030]],"&gt;0")&gt;0,IF(COUNTIF($G21:Klisz_Verbräuche[[#This Row],[2030]],"&gt;0")&gt;0,Klisz_Verbräuche[[#This Row],[2030]]*(1-$F21)^5, ""), ""),IF($B$14&gt;Klisz_Verbräuche[[#Headers],[2035]],Refsz_Verbräuche[[#This Row],[2035]],"")))</f>
        <v/>
      </c>
      <c r="X21" s="49" t="str">
        <f>IF(Klisz_Verbräuche[[#Headers],[2040]]=$B$14,IF(COUNTIF($G21:Klisz_Verbräuche[[#This Row],[2035]],"&gt;0")&gt;0, AVERAGEIF($G21:Klisz_Verbräuche[[#This Row],[2035]],"&lt;&gt;"), ""),IF($B$14&lt;Klisz_Verbräuche[[#Headers],[2040]],IF(COUNTIF($G21:Klisz_Verbräuche[[#This Row],[2035]],"&gt;0")&gt;0,IF(COUNTIF($G21:Klisz_Verbräuche[[#This Row],[2035]],"&gt;0")&gt;0,Klisz_Verbräuche[[#This Row],[2035]]*(1-$F21)^5, ""), ""),IF($B$14&gt;Klisz_Verbräuche[[#Headers],[2040]],Refsz_Verbräuche[[#This Row],[2040]],"")))</f>
        <v/>
      </c>
      <c r="Y21" s="49" t="str">
        <f>IF(Klisz_Verbräuche[[#Headers],[2045]]=$B$14,IF(COUNTIF($G21:Klisz_Verbräuche[[#This Row],[2040]],"&gt;0")&gt;0, AVERAGEIF($G21:Klisz_Verbräuche[[#This Row],[2040]],"&lt;&gt;"), ""),IF($B$14&lt;Klisz_Verbräuche[[#Headers],[2045]],IF(COUNTIF($G21:Klisz_Verbräuche[[#This Row],[2040]],"&gt;0")&gt;0,IF(COUNTIF($G21:Klisz_Verbräuche[[#This Row],[2040]],"&gt;0")&gt;0,Klisz_Verbräuche[[#This Row],[2040]]*(1-$F21)^5, ""), ""),IF($B$14&gt;Klisz_Verbräuche[[#Headers],[2045]],Refsz_Verbräuche[[#This Row],[2045]],"")))</f>
        <v/>
      </c>
      <c r="Z21" s="49" t="str">
        <f>IF(Klisz_Verbräuche[[#Headers],[2050]]=$B$14,IF(COUNTIF($G21:Klisz_Verbräuche[[#This Row],[2045]],"&gt;0")&gt;0, AVERAGEIF($G21:Klisz_Verbräuche[[#This Row],[2045]],"&lt;&gt;"), ""),IF($B$14&lt;Klisz_Verbräuche[[#Headers],[2050]],IF(COUNTIF($G21:Klisz_Verbräuche[[#This Row],[2045]],"&gt;0")&gt;0,IF(COUNTIF($G21:Klisz_Verbräuche[[#This Row],[2045]],"&gt;0")&gt;0,Klisz_Verbräuche[[#This Row],[2045]]*(1-$F21)^5, ""), ""),IF($B$14&gt;Klisz_Verbräuche[[#Headers],[2050]],Refsz_Verbräuche[[#This Row],[2050]],"")))</f>
        <v/>
      </c>
      <c r="AA21" s="14"/>
    </row>
    <row r="22" spans="2:27">
      <c r="B22" s="14">
        <v>5</v>
      </c>
      <c r="C22" s="197" t="str">
        <f>Refsz_Verbräuche[[#This Row],[Handlungsfeld]]</f>
        <v>Elektrischer Strom</v>
      </c>
      <c r="D22" s="46" t="str">
        <f>Refsz_Verbräuche[[#This Row],[Datenpunkt]]</f>
        <v>Individueller Strommix Einrichtung 3</v>
      </c>
      <c r="E22" s="26" t="str">
        <f>Refsz_Verbräuche[[#This Row],[Einheit]]</f>
        <v>MWh</v>
      </c>
      <c r="F22" s="108"/>
      <c r="G22" s="14" t="str">
        <f>IF(ISBLANK(Refsz_Verbräuche[[#This Row],[2015]]),"",Refsz_Verbräuche[[#This Row],[2015]])</f>
        <v/>
      </c>
      <c r="H22" s="14" t="str">
        <f>IF(ISBLANK(Refsz_Verbräuche[[#This Row],[2016]]),"",Refsz_Verbräuche[[#This Row],[2016]])</f>
        <v/>
      </c>
      <c r="I22" s="14" t="str">
        <f>IF(ISBLANK(Refsz_Verbräuche[[#This Row],[2017]]),"",Refsz_Verbräuche[[#This Row],[2017]])</f>
        <v/>
      </c>
      <c r="J22" s="14" t="str">
        <f>IF(ISBLANK(Refsz_Verbräuche[[#This Row],[2018]]),"",Refsz_Verbräuche[[#This Row],[2018]])</f>
        <v/>
      </c>
      <c r="K22" s="14" t="str">
        <f>IF(ISBLANK(Refsz_Verbräuche[[#This Row],[2019]]),"",Refsz_Verbräuche[[#This Row],[2019]])</f>
        <v/>
      </c>
      <c r="L22" s="14" t="str">
        <f>IF(ISBLANK(Refsz_Verbräuche[[#This Row],[2020]]),"",Refsz_Verbräuche[[#This Row],[2020]])</f>
        <v/>
      </c>
      <c r="M22" s="14" t="str">
        <f>IF(ISBLANK(Refsz_Verbräuche[[#This Row],[2021]]),"",Refsz_Verbräuche[[#This Row],[2021]])</f>
        <v/>
      </c>
      <c r="N22" s="49" t="str">
        <f>IF(Klisz_Verbräuche[[#Headers],[2022]]=$B$14,IF(COUNTIF($G22:Klisz_Verbräuche[[#This Row],[2021]],"&gt;0")&gt;0, AVERAGEIF($G22:Klisz_Verbräuche[[#This Row],[2021]],"&lt;&gt;"), ""),IF($B$14&lt;Klisz_Verbräuche[[#Headers],[2022]],IF(COUNTIF($G22:Klisz_Verbräuche[[#This Row],[2021]],"&gt;0")&gt;0,IF(COUNTIF($G22:Klisz_Verbräuche[[#This Row],[2021]],"&gt;0")&gt;0,Klisz_Verbräuche[[#This Row],[2021]]*(1-$F22)^1, ""), ""),IF($B$14&gt;Klisz_Verbräuche[[#Headers],[2022]],Refsz_Verbräuche[[#This Row],[2022]],"")))</f>
        <v/>
      </c>
      <c r="O22" s="49" t="str">
        <f>IF(Klisz_Verbräuche[[#Headers],[2023]]=$B$14,IF(COUNTIF($G22:Klisz_Verbräuche[[#This Row],[2022]],"&gt;0")&gt;0, AVERAGEIF($G22:Klisz_Verbräuche[[#This Row],[2022]],"&lt;&gt;"), ""),IF($B$14&lt;Klisz_Verbräuche[[#Headers],[2023]],IF(COUNTIF($G22:Klisz_Verbräuche[[#This Row],[2022]],"&gt;0")&gt;0,IF(COUNTIF($G22:Klisz_Verbräuche[[#This Row],[2022]],"&gt;0")&gt;0,Klisz_Verbräuche[[#This Row],[2022]]*(1-$F22)^1, ""), ""),IF($B$14&gt;Klisz_Verbräuche[[#Headers],[2023]],Refsz_Verbräuche[[#This Row],[2023]],"")))</f>
        <v/>
      </c>
      <c r="P22" s="49" t="str">
        <f>IF(Klisz_Verbräuche[[#Headers],[2024]]=$B$14,IF(COUNTIF($G22:Klisz_Verbräuche[[#This Row],[2023]],"&gt;0")&gt;0, AVERAGEIF($G22:Klisz_Verbräuche[[#This Row],[2023]],"&lt;&gt;"), ""),IF($B$14&lt;Klisz_Verbräuche[[#Headers],[2024]],IF(COUNTIF($G22:Klisz_Verbräuche[[#This Row],[2023]],"&gt;0")&gt;0,IF(COUNTIF($G22:Klisz_Verbräuche[[#This Row],[2023]],"&gt;0")&gt;0,Klisz_Verbräuche[[#This Row],[2023]]*(1-$F22)^1, ""), ""),IF($B$14&gt;Klisz_Verbräuche[[#Headers],[2024]],Refsz_Verbräuche[[#This Row],[2024]],"")))</f>
        <v/>
      </c>
      <c r="Q22" s="49" t="str">
        <f>IF(Klisz_Verbräuche[[#Headers],[2025]]=$B$14,IF(COUNTIF($G22:Klisz_Verbräuche[[#This Row],[2024]],"&gt;0")&gt;0, AVERAGEIF($G22:Klisz_Verbräuche[[#This Row],[2024]],"&lt;&gt;"), ""),IF($B$14&lt;Klisz_Verbräuche[[#Headers],[2025]],IF(COUNTIF($G22:Klisz_Verbräuche[[#This Row],[2024]],"&gt;0")&gt;0,IF(COUNTIF($G22:Klisz_Verbräuche[[#This Row],[2024]],"&gt;0")&gt;0,Klisz_Verbräuche[[#This Row],[2024]]*(1-$F22)^1, ""), ""),IF($B$14&gt;Klisz_Verbräuche[[#Headers],[2025]],Refsz_Verbräuche[[#This Row],[2025]],"")))</f>
        <v/>
      </c>
      <c r="R22" s="49" t="str">
        <f>IF(Klisz_Verbräuche[[#Headers],[2026]]=$B$14,IF(COUNTIF($G22:Klisz_Verbräuche[[#This Row],[2025]],"&gt;0")&gt;0, AVERAGEIF($G22:Klisz_Verbräuche[[#This Row],[2025]],"&lt;&gt;"), ""),IF($B$14&lt;Klisz_Verbräuche[[#Headers],[2026]],IF(COUNTIF($G22:Klisz_Verbräuche[[#This Row],[2025]],"&gt;0")&gt;0,IF(COUNTIF($G22:Klisz_Verbräuche[[#This Row],[2025]],"&gt;0")&gt;0,Klisz_Verbräuche[[#This Row],[2025]]*(1-$F22)^1, ""), ""),IF($B$14&gt;Klisz_Verbräuche[[#Headers],[2026]],Refsz_Verbräuche[[#This Row],[2026]],"")))</f>
        <v/>
      </c>
      <c r="S22" s="49" t="str">
        <f>IF(Klisz_Verbräuche[[#Headers],[2027]]=$B$14,IF(COUNTIF($G22:Klisz_Verbräuche[[#This Row],[2026]],"&gt;0")&gt;0, AVERAGEIF($G22:Klisz_Verbräuche[[#This Row],[2026]],"&lt;&gt;"), ""),IF($B$14&lt;Klisz_Verbräuche[[#Headers],[2027]],IF(COUNTIF($G22:Klisz_Verbräuche[[#This Row],[2026]],"&gt;0")&gt;0,IF(COUNTIF($G22:Klisz_Verbräuche[[#This Row],[2026]],"&gt;0")&gt;0,Klisz_Verbräuche[[#This Row],[2026]]*(1-$F22)^1, ""), ""),IF($B$14&gt;Klisz_Verbräuche[[#Headers],[2027]],Refsz_Verbräuche[[#This Row],[2027]],"")))</f>
        <v/>
      </c>
      <c r="T22" s="49" t="str">
        <f>IF(Klisz_Verbräuche[[#Headers],[2028]]=$B$14,IF(COUNTIF($G22:Klisz_Verbräuche[[#This Row],[2027]],"&gt;0")&gt;0, AVERAGEIF($G22:Klisz_Verbräuche[[#This Row],[2027]],"&lt;&gt;"), ""),IF($B$14&lt;Klisz_Verbräuche[[#Headers],[2028]],IF(COUNTIF($G22:Klisz_Verbräuche[[#This Row],[2027]],"&gt;0")&gt;0,IF(COUNTIF($G22:Klisz_Verbräuche[[#This Row],[2027]],"&gt;0")&gt;0,Klisz_Verbräuche[[#This Row],[2027]]*(1-$F22)^1, ""), ""),IF($B$14&gt;Klisz_Verbräuche[[#Headers],[2028]],Refsz_Verbräuche[[#This Row],[2028]],"")))</f>
        <v/>
      </c>
      <c r="U22" s="49" t="str">
        <f>IF(Klisz_Verbräuche[[#Headers],[2029]]=$B$14,IF(COUNTIF($G22:Klisz_Verbräuche[[#This Row],[2028]],"&gt;0")&gt;0, AVERAGEIF($G22:Klisz_Verbräuche[[#This Row],[2028]],"&lt;&gt;"), ""),IF($B$14&lt;Klisz_Verbräuche[[#Headers],[2029]],IF(COUNTIF($G22:Klisz_Verbräuche[[#This Row],[2028]],"&gt;0")&gt;0,IF(COUNTIF($G22:Klisz_Verbräuche[[#This Row],[2028]],"&gt;0")&gt;0,Klisz_Verbräuche[[#This Row],[2028]]*(1-$F22)^1, ""), ""),IF($B$14&gt;Klisz_Verbräuche[[#Headers],[2029]],Refsz_Verbräuche[[#This Row],[2029]],"")))</f>
        <v/>
      </c>
      <c r="V22" s="49" t="str">
        <f>IF(Klisz_Verbräuche[[#Headers],[2030]]=$B$14,IF(COUNTIF($G22:Klisz_Verbräuche[[#This Row],[2029]],"&gt;0")&gt;0, AVERAGEIF($G22:Klisz_Verbräuche[[#This Row],[2029]],"&lt;&gt;"), ""),IF($B$14&lt;Klisz_Verbräuche[[#Headers],[2030]],IF(COUNTIF($G22:Klisz_Verbräuche[[#This Row],[2029]],"&gt;0")&gt;0,IF(COUNTIF($G22:Klisz_Verbräuche[[#This Row],[2029]],"&gt;0")&gt;0,Klisz_Verbräuche[[#This Row],[2029]]*(1-$F22)^1, ""), ""),IF($B$14&gt;Klisz_Verbräuche[[#Headers],[2030]],Refsz_Verbräuche[[#This Row],[2030]],"")))</f>
        <v/>
      </c>
      <c r="W22" s="49" t="str">
        <f>IF(Klisz_Verbräuche[[#Headers],[2035]]=$B$14,IF(COUNTIF($G22:Klisz_Verbräuche[[#This Row],[2030]],"&gt;0")&gt;0, AVERAGEIF($G22:Klisz_Verbräuche[[#This Row],[2030]],"&lt;&gt;"), ""),IF($B$14&lt;Klisz_Verbräuche[[#Headers],[2035]],IF(COUNTIF($G22:Klisz_Verbräuche[[#This Row],[2030]],"&gt;0")&gt;0,IF(COUNTIF($G22:Klisz_Verbräuche[[#This Row],[2030]],"&gt;0")&gt;0,Klisz_Verbräuche[[#This Row],[2030]]*(1-$F22)^5, ""), ""),IF($B$14&gt;Klisz_Verbräuche[[#Headers],[2035]],Refsz_Verbräuche[[#This Row],[2035]],"")))</f>
        <v/>
      </c>
      <c r="X22" s="49" t="str">
        <f>IF(Klisz_Verbräuche[[#Headers],[2040]]=$B$14,IF(COUNTIF($G22:Klisz_Verbräuche[[#This Row],[2035]],"&gt;0")&gt;0, AVERAGEIF($G22:Klisz_Verbräuche[[#This Row],[2035]],"&lt;&gt;"), ""),IF($B$14&lt;Klisz_Verbräuche[[#Headers],[2040]],IF(COUNTIF($G22:Klisz_Verbräuche[[#This Row],[2035]],"&gt;0")&gt;0,IF(COUNTIF($G22:Klisz_Verbräuche[[#This Row],[2035]],"&gt;0")&gt;0,Klisz_Verbräuche[[#This Row],[2035]]*(1-$F22)^5, ""), ""),IF($B$14&gt;Klisz_Verbräuche[[#Headers],[2040]],Refsz_Verbräuche[[#This Row],[2040]],"")))</f>
        <v/>
      </c>
      <c r="Y22" s="49" t="str">
        <f>IF(Klisz_Verbräuche[[#Headers],[2045]]=$B$14,IF(COUNTIF($G22:Klisz_Verbräuche[[#This Row],[2040]],"&gt;0")&gt;0, AVERAGEIF($G22:Klisz_Verbräuche[[#This Row],[2040]],"&lt;&gt;"), ""),IF($B$14&lt;Klisz_Verbräuche[[#Headers],[2045]],IF(COUNTIF($G22:Klisz_Verbräuche[[#This Row],[2040]],"&gt;0")&gt;0,IF(COUNTIF($G22:Klisz_Verbräuche[[#This Row],[2040]],"&gt;0")&gt;0,Klisz_Verbräuche[[#This Row],[2040]]*(1-$F22)^5, ""), ""),IF($B$14&gt;Klisz_Verbräuche[[#Headers],[2045]],Refsz_Verbräuche[[#This Row],[2045]],"")))</f>
        <v/>
      </c>
      <c r="Z22" s="49" t="str">
        <f>IF(Klisz_Verbräuche[[#Headers],[2050]]=$B$14,IF(COUNTIF($G22:Klisz_Verbräuche[[#This Row],[2045]],"&gt;0")&gt;0, AVERAGEIF($G22:Klisz_Verbräuche[[#This Row],[2045]],"&lt;&gt;"), ""),IF($B$14&lt;Klisz_Verbräuche[[#Headers],[2050]],IF(COUNTIF($G22:Klisz_Verbräuche[[#This Row],[2045]],"&gt;0")&gt;0,IF(COUNTIF($G22:Klisz_Verbräuche[[#This Row],[2045]],"&gt;0")&gt;0,Klisz_Verbräuche[[#This Row],[2045]]*(1-$F22)^5, ""), ""),IF($B$14&gt;Klisz_Verbräuche[[#Headers],[2050]],Refsz_Verbräuche[[#This Row],[2050]],"")))</f>
        <v/>
      </c>
      <c r="AA22" s="14"/>
    </row>
    <row r="23" spans="2:27">
      <c r="B23" s="14">
        <v>6</v>
      </c>
      <c r="C23" s="197" t="str">
        <f>Refsz_Verbräuche[[#This Row],[Handlungsfeld]]</f>
        <v>Elektrischer Strom</v>
      </c>
      <c r="D23" s="46" t="str">
        <f>Refsz_Verbräuche[[#This Row],[Datenpunkt]]</f>
        <v>Individueller Strommix Einrichtung 4</v>
      </c>
      <c r="E23" s="26" t="str">
        <f>Refsz_Verbräuche[[#This Row],[Einheit]]</f>
        <v>MWh</v>
      </c>
      <c r="F23" s="108"/>
      <c r="G23" s="14" t="str">
        <f>IF(ISBLANK(Refsz_Verbräuche[[#This Row],[2015]]),"",Refsz_Verbräuche[[#This Row],[2015]])</f>
        <v/>
      </c>
      <c r="H23" s="14" t="str">
        <f>IF(ISBLANK(Refsz_Verbräuche[[#This Row],[2016]]),"",Refsz_Verbräuche[[#This Row],[2016]])</f>
        <v/>
      </c>
      <c r="I23" s="14" t="str">
        <f>IF(ISBLANK(Refsz_Verbräuche[[#This Row],[2017]]),"",Refsz_Verbräuche[[#This Row],[2017]])</f>
        <v/>
      </c>
      <c r="J23" s="14" t="str">
        <f>IF(ISBLANK(Refsz_Verbräuche[[#This Row],[2018]]),"",Refsz_Verbräuche[[#This Row],[2018]])</f>
        <v/>
      </c>
      <c r="K23" s="14" t="str">
        <f>IF(ISBLANK(Refsz_Verbräuche[[#This Row],[2019]]),"",Refsz_Verbräuche[[#This Row],[2019]])</f>
        <v/>
      </c>
      <c r="L23" s="14" t="str">
        <f>IF(ISBLANK(Refsz_Verbräuche[[#This Row],[2020]]),"",Refsz_Verbräuche[[#This Row],[2020]])</f>
        <v/>
      </c>
      <c r="M23" s="14" t="str">
        <f>IF(ISBLANK(Refsz_Verbräuche[[#This Row],[2021]]),"",Refsz_Verbräuche[[#This Row],[2021]])</f>
        <v/>
      </c>
      <c r="N23" s="49" t="str">
        <f>IF(Klisz_Verbräuche[[#Headers],[2022]]=$B$14,IF(COUNTIF($G23:Klisz_Verbräuche[[#This Row],[2021]],"&gt;0")&gt;0, AVERAGEIF($G23:Klisz_Verbräuche[[#This Row],[2021]],"&lt;&gt;"), ""),IF($B$14&lt;Klisz_Verbräuche[[#Headers],[2022]],IF(COUNTIF($G23:Klisz_Verbräuche[[#This Row],[2021]],"&gt;0")&gt;0,IF(COUNTIF($G23:Klisz_Verbräuche[[#This Row],[2021]],"&gt;0")&gt;0,Klisz_Verbräuche[[#This Row],[2021]]*(1-$F23)^1, ""), ""),IF($B$14&gt;Klisz_Verbräuche[[#Headers],[2022]],Refsz_Verbräuche[[#This Row],[2022]],"")))</f>
        <v/>
      </c>
      <c r="O23" s="49" t="str">
        <f>IF(Klisz_Verbräuche[[#Headers],[2023]]=$B$14,IF(COUNTIF($G23:Klisz_Verbräuche[[#This Row],[2022]],"&gt;0")&gt;0, AVERAGEIF($G23:Klisz_Verbräuche[[#This Row],[2022]],"&lt;&gt;"), ""),IF($B$14&lt;Klisz_Verbräuche[[#Headers],[2023]],IF(COUNTIF($G23:Klisz_Verbräuche[[#This Row],[2022]],"&gt;0")&gt;0,IF(COUNTIF($G23:Klisz_Verbräuche[[#This Row],[2022]],"&gt;0")&gt;0,Klisz_Verbräuche[[#This Row],[2022]]*(1-$F23)^1, ""), ""),IF($B$14&gt;Klisz_Verbräuche[[#Headers],[2023]],Refsz_Verbräuche[[#This Row],[2023]],"")))</f>
        <v/>
      </c>
      <c r="P23" s="49" t="str">
        <f>IF(Klisz_Verbräuche[[#Headers],[2024]]=$B$14,IF(COUNTIF($G23:Klisz_Verbräuche[[#This Row],[2023]],"&gt;0")&gt;0, AVERAGEIF($G23:Klisz_Verbräuche[[#This Row],[2023]],"&lt;&gt;"), ""),IF($B$14&lt;Klisz_Verbräuche[[#Headers],[2024]],IF(COUNTIF($G23:Klisz_Verbräuche[[#This Row],[2023]],"&gt;0")&gt;0,IF(COUNTIF($G23:Klisz_Verbräuche[[#This Row],[2023]],"&gt;0")&gt;0,Klisz_Verbräuche[[#This Row],[2023]]*(1-$F23)^1, ""), ""),IF($B$14&gt;Klisz_Verbräuche[[#Headers],[2024]],Refsz_Verbräuche[[#This Row],[2024]],"")))</f>
        <v/>
      </c>
      <c r="Q23" s="49" t="str">
        <f>IF(Klisz_Verbräuche[[#Headers],[2025]]=$B$14,IF(COUNTIF($G23:Klisz_Verbräuche[[#This Row],[2024]],"&gt;0")&gt;0, AVERAGEIF($G23:Klisz_Verbräuche[[#This Row],[2024]],"&lt;&gt;"), ""),IF($B$14&lt;Klisz_Verbräuche[[#Headers],[2025]],IF(COUNTIF($G23:Klisz_Verbräuche[[#This Row],[2024]],"&gt;0")&gt;0,IF(COUNTIF($G23:Klisz_Verbräuche[[#This Row],[2024]],"&gt;0")&gt;0,Klisz_Verbräuche[[#This Row],[2024]]*(1-$F23)^1, ""), ""),IF($B$14&gt;Klisz_Verbräuche[[#Headers],[2025]],Refsz_Verbräuche[[#This Row],[2025]],"")))</f>
        <v/>
      </c>
      <c r="R23" s="49" t="str">
        <f>IF(Klisz_Verbräuche[[#Headers],[2026]]=$B$14,IF(COUNTIF($G23:Klisz_Verbräuche[[#This Row],[2025]],"&gt;0")&gt;0, AVERAGEIF($G23:Klisz_Verbräuche[[#This Row],[2025]],"&lt;&gt;"), ""),IF($B$14&lt;Klisz_Verbräuche[[#Headers],[2026]],IF(COUNTIF($G23:Klisz_Verbräuche[[#This Row],[2025]],"&gt;0")&gt;0,IF(COUNTIF($G23:Klisz_Verbräuche[[#This Row],[2025]],"&gt;0")&gt;0,Klisz_Verbräuche[[#This Row],[2025]]*(1-$F23)^1, ""), ""),IF($B$14&gt;Klisz_Verbräuche[[#Headers],[2026]],Refsz_Verbräuche[[#This Row],[2026]],"")))</f>
        <v/>
      </c>
      <c r="S23" s="49" t="str">
        <f>IF(Klisz_Verbräuche[[#Headers],[2027]]=$B$14,IF(COUNTIF($G23:Klisz_Verbräuche[[#This Row],[2026]],"&gt;0")&gt;0, AVERAGEIF($G23:Klisz_Verbräuche[[#This Row],[2026]],"&lt;&gt;"), ""),IF($B$14&lt;Klisz_Verbräuche[[#Headers],[2027]],IF(COUNTIF($G23:Klisz_Verbräuche[[#This Row],[2026]],"&gt;0")&gt;0,IF(COUNTIF($G23:Klisz_Verbräuche[[#This Row],[2026]],"&gt;0")&gt;0,Klisz_Verbräuche[[#This Row],[2026]]*(1-$F23)^1, ""), ""),IF($B$14&gt;Klisz_Verbräuche[[#Headers],[2027]],Refsz_Verbräuche[[#This Row],[2027]],"")))</f>
        <v/>
      </c>
      <c r="T23" s="49" t="str">
        <f>IF(Klisz_Verbräuche[[#Headers],[2028]]=$B$14,IF(COUNTIF($G23:Klisz_Verbräuche[[#This Row],[2027]],"&gt;0")&gt;0, AVERAGEIF($G23:Klisz_Verbräuche[[#This Row],[2027]],"&lt;&gt;"), ""),IF($B$14&lt;Klisz_Verbräuche[[#Headers],[2028]],IF(COUNTIF($G23:Klisz_Verbräuche[[#This Row],[2027]],"&gt;0")&gt;0,IF(COUNTIF($G23:Klisz_Verbräuche[[#This Row],[2027]],"&gt;0")&gt;0,Klisz_Verbräuche[[#This Row],[2027]]*(1-$F23)^1, ""), ""),IF($B$14&gt;Klisz_Verbräuche[[#Headers],[2028]],Refsz_Verbräuche[[#This Row],[2028]],"")))</f>
        <v/>
      </c>
      <c r="U23" s="49" t="str">
        <f>IF(Klisz_Verbräuche[[#Headers],[2029]]=$B$14,IF(COUNTIF($G23:Klisz_Verbräuche[[#This Row],[2028]],"&gt;0")&gt;0, AVERAGEIF($G23:Klisz_Verbräuche[[#This Row],[2028]],"&lt;&gt;"), ""),IF($B$14&lt;Klisz_Verbräuche[[#Headers],[2029]],IF(COUNTIF($G23:Klisz_Verbräuche[[#This Row],[2028]],"&gt;0")&gt;0,IF(COUNTIF($G23:Klisz_Verbräuche[[#This Row],[2028]],"&gt;0")&gt;0,Klisz_Verbräuche[[#This Row],[2028]]*(1-$F23)^1, ""), ""),IF($B$14&gt;Klisz_Verbräuche[[#Headers],[2029]],Refsz_Verbräuche[[#This Row],[2029]],"")))</f>
        <v/>
      </c>
      <c r="V23" s="49" t="str">
        <f>IF(Klisz_Verbräuche[[#Headers],[2030]]=$B$14,IF(COUNTIF($G23:Klisz_Verbräuche[[#This Row],[2029]],"&gt;0")&gt;0, AVERAGEIF($G23:Klisz_Verbräuche[[#This Row],[2029]],"&lt;&gt;"), ""),IF($B$14&lt;Klisz_Verbräuche[[#Headers],[2030]],IF(COUNTIF($G23:Klisz_Verbräuche[[#This Row],[2029]],"&gt;0")&gt;0,IF(COUNTIF($G23:Klisz_Verbräuche[[#This Row],[2029]],"&gt;0")&gt;0,Klisz_Verbräuche[[#This Row],[2029]]*(1-$F23)^1, ""), ""),IF($B$14&gt;Klisz_Verbräuche[[#Headers],[2030]],Refsz_Verbräuche[[#This Row],[2030]],"")))</f>
        <v/>
      </c>
      <c r="W23" s="49" t="str">
        <f>IF(Klisz_Verbräuche[[#Headers],[2035]]=$B$14,IF(COUNTIF($G23:Klisz_Verbräuche[[#This Row],[2030]],"&gt;0")&gt;0, AVERAGEIF($G23:Klisz_Verbräuche[[#This Row],[2030]],"&lt;&gt;"), ""),IF($B$14&lt;Klisz_Verbräuche[[#Headers],[2035]],IF(COUNTIF($G23:Klisz_Verbräuche[[#This Row],[2030]],"&gt;0")&gt;0,IF(COUNTIF($G23:Klisz_Verbräuche[[#This Row],[2030]],"&gt;0")&gt;0,Klisz_Verbräuche[[#This Row],[2030]]*(1-$F23)^5, ""), ""),IF($B$14&gt;Klisz_Verbräuche[[#Headers],[2035]],Refsz_Verbräuche[[#This Row],[2035]],"")))</f>
        <v/>
      </c>
      <c r="X23" s="49" t="str">
        <f>IF(Klisz_Verbräuche[[#Headers],[2040]]=$B$14,IF(COUNTIF($G23:Klisz_Verbräuche[[#This Row],[2035]],"&gt;0")&gt;0, AVERAGEIF($G23:Klisz_Verbräuche[[#This Row],[2035]],"&lt;&gt;"), ""),IF($B$14&lt;Klisz_Verbräuche[[#Headers],[2040]],IF(COUNTIF($G23:Klisz_Verbräuche[[#This Row],[2035]],"&gt;0")&gt;0,IF(COUNTIF($G23:Klisz_Verbräuche[[#This Row],[2035]],"&gt;0")&gt;0,Klisz_Verbräuche[[#This Row],[2035]]*(1-$F23)^5, ""), ""),IF($B$14&gt;Klisz_Verbräuche[[#Headers],[2040]],Refsz_Verbräuche[[#This Row],[2040]],"")))</f>
        <v/>
      </c>
      <c r="Y23" s="49" t="str">
        <f>IF(Klisz_Verbräuche[[#Headers],[2045]]=$B$14,IF(COUNTIF($G23:Klisz_Verbräuche[[#This Row],[2040]],"&gt;0")&gt;0, AVERAGEIF($G23:Klisz_Verbräuche[[#This Row],[2040]],"&lt;&gt;"), ""),IF($B$14&lt;Klisz_Verbräuche[[#Headers],[2045]],IF(COUNTIF($G23:Klisz_Verbräuche[[#This Row],[2040]],"&gt;0")&gt;0,IF(COUNTIF($G23:Klisz_Verbräuche[[#This Row],[2040]],"&gt;0")&gt;0,Klisz_Verbräuche[[#This Row],[2040]]*(1-$F23)^5, ""), ""),IF($B$14&gt;Klisz_Verbräuche[[#Headers],[2045]],Refsz_Verbräuche[[#This Row],[2045]],"")))</f>
        <v/>
      </c>
      <c r="Z23" s="49" t="str">
        <f>IF(Klisz_Verbräuche[[#Headers],[2050]]=$B$14,IF(COUNTIF($G23:Klisz_Verbräuche[[#This Row],[2045]],"&gt;0")&gt;0, AVERAGEIF($G23:Klisz_Verbräuche[[#This Row],[2045]],"&lt;&gt;"), ""),IF($B$14&lt;Klisz_Verbräuche[[#Headers],[2050]],IF(COUNTIF($G23:Klisz_Verbräuche[[#This Row],[2045]],"&gt;0")&gt;0,IF(COUNTIF($G23:Klisz_Verbräuche[[#This Row],[2045]],"&gt;0")&gt;0,Klisz_Verbräuche[[#This Row],[2045]]*(1-$F23)^5, ""), ""),IF($B$14&gt;Klisz_Verbräuche[[#Headers],[2050]],Refsz_Verbräuche[[#This Row],[2050]],"")))</f>
        <v/>
      </c>
      <c r="AA23" s="14"/>
    </row>
    <row r="24" spans="2:27">
      <c r="B24" s="14">
        <v>7</v>
      </c>
      <c r="C24" s="197" t="str">
        <f>Refsz_Verbräuche[[#This Row],[Handlungsfeld]]</f>
        <v>Elektrischer Strom</v>
      </c>
      <c r="D24" s="46" t="str">
        <f>Refsz_Verbräuche[[#This Row],[Datenpunkt]]</f>
        <v>Individueller Strommix Einrichtung 5</v>
      </c>
      <c r="E24" s="26" t="str">
        <f>Refsz_Verbräuche[[#This Row],[Einheit]]</f>
        <v>MWh</v>
      </c>
      <c r="F24" s="108"/>
      <c r="G24" s="14" t="str">
        <f>IF(ISBLANK(Refsz_Verbräuche[[#This Row],[2015]]),"",Refsz_Verbräuche[[#This Row],[2015]])</f>
        <v/>
      </c>
      <c r="H24" s="14" t="str">
        <f>IF(ISBLANK(Refsz_Verbräuche[[#This Row],[2016]]),"",Refsz_Verbräuche[[#This Row],[2016]])</f>
        <v/>
      </c>
      <c r="I24" s="14" t="str">
        <f>IF(ISBLANK(Refsz_Verbräuche[[#This Row],[2017]]),"",Refsz_Verbräuche[[#This Row],[2017]])</f>
        <v/>
      </c>
      <c r="J24" s="14" t="str">
        <f>IF(ISBLANK(Refsz_Verbräuche[[#This Row],[2018]]),"",Refsz_Verbräuche[[#This Row],[2018]])</f>
        <v/>
      </c>
      <c r="K24" s="14" t="str">
        <f>IF(ISBLANK(Refsz_Verbräuche[[#This Row],[2019]]),"",Refsz_Verbräuche[[#This Row],[2019]])</f>
        <v/>
      </c>
      <c r="L24" s="14" t="str">
        <f>IF(ISBLANK(Refsz_Verbräuche[[#This Row],[2020]]),"",Refsz_Verbräuche[[#This Row],[2020]])</f>
        <v/>
      </c>
      <c r="M24" s="14" t="str">
        <f>IF(ISBLANK(Refsz_Verbräuche[[#This Row],[2021]]),"",Refsz_Verbräuche[[#This Row],[2021]])</f>
        <v/>
      </c>
      <c r="N24" s="49" t="str">
        <f>IF(Klisz_Verbräuche[[#Headers],[2022]]=$B$14,IF(COUNTIF($G24:Klisz_Verbräuche[[#This Row],[2021]],"&gt;0")&gt;0, AVERAGEIF($G24:Klisz_Verbräuche[[#This Row],[2021]],"&lt;&gt;"), ""),IF($B$14&lt;Klisz_Verbräuche[[#Headers],[2022]],IF(COUNTIF($G24:Klisz_Verbräuche[[#This Row],[2021]],"&gt;0")&gt;0,IF(COUNTIF($G24:Klisz_Verbräuche[[#This Row],[2021]],"&gt;0")&gt;0,Klisz_Verbräuche[[#This Row],[2021]]*(1-$F24)^1, ""), ""),IF($B$14&gt;Klisz_Verbräuche[[#Headers],[2022]],Refsz_Verbräuche[[#This Row],[2022]],"")))</f>
        <v/>
      </c>
      <c r="O24" s="49" t="str">
        <f>IF(Klisz_Verbräuche[[#Headers],[2023]]=$B$14,IF(COUNTIF($G24:Klisz_Verbräuche[[#This Row],[2022]],"&gt;0")&gt;0, AVERAGEIF($G24:Klisz_Verbräuche[[#This Row],[2022]],"&lt;&gt;"), ""),IF($B$14&lt;Klisz_Verbräuche[[#Headers],[2023]],IF(COUNTIF($G24:Klisz_Verbräuche[[#This Row],[2022]],"&gt;0")&gt;0,IF(COUNTIF($G24:Klisz_Verbräuche[[#This Row],[2022]],"&gt;0")&gt;0,Klisz_Verbräuche[[#This Row],[2022]]*(1-$F24)^1, ""), ""),IF($B$14&gt;Klisz_Verbräuche[[#Headers],[2023]],Refsz_Verbräuche[[#This Row],[2023]],"")))</f>
        <v/>
      </c>
      <c r="P24" s="49" t="str">
        <f>IF(Klisz_Verbräuche[[#Headers],[2024]]=$B$14,IF(COUNTIF($G24:Klisz_Verbräuche[[#This Row],[2023]],"&gt;0")&gt;0, AVERAGEIF($G24:Klisz_Verbräuche[[#This Row],[2023]],"&lt;&gt;"), ""),IF($B$14&lt;Klisz_Verbräuche[[#Headers],[2024]],IF(COUNTIF($G24:Klisz_Verbräuche[[#This Row],[2023]],"&gt;0")&gt;0,IF(COUNTIF($G24:Klisz_Verbräuche[[#This Row],[2023]],"&gt;0")&gt;0,Klisz_Verbräuche[[#This Row],[2023]]*(1-$F24)^1, ""), ""),IF($B$14&gt;Klisz_Verbräuche[[#Headers],[2024]],Refsz_Verbräuche[[#This Row],[2024]],"")))</f>
        <v/>
      </c>
      <c r="Q24" s="49" t="str">
        <f>IF(Klisz_Verbräuche[[#Headers],[2025]]=$B$14,IF(COUNTIF($G24:Klisz_Verbräuche[[#This Row],[2024]],"&gt;0")&gt;0, AVERAGEIF($G24:Klisz_Verbräuche[[#This Row],[2024]],"&lt;&gt;"), ""),IF($B$14&lt;Klisz_Verbräuche[[#Headers],[2025]],IF(COUNTIF($G24:Klisz_Verbräuche[[#This Row],[2024]],"&gt;0")&gt;0,IF(COUNTIF($G24:Klisz_Verbräuche[[#This Row],[2024]],"&gt;0")&gt;0,Klisz_Verbräuche[[#This Row],[2024]]*(1-$F24)^1, ""), ""),IF($B$14&gt;Klisz_Verbräuche[[#Headers],[2025]],Refsz_Verbräuche[[#This Row],[2025]],"")))</f>
        <v/>
      </c>
      <c r="R24" s="49" t="str">
        <f>IF(Klisz_Verbräuche[[#Headers],[2026]]=$B$14,IF(COUNTIF($G24:Klisz_Verbräuche[[#This Row],[2025]],"&gt;0")&gt;0, AVERAGEIF($G24:Klisz_Verbräuche[[#This Row],[2025]],"&lt;&gt;"), ""),IF($B$14&lt;Klisz_Verbräuche[[#Headers],[2026]],IF(COUNTIF($G24:Klisz_Verbräuche[[#This Row],[2025]],"&gt;0")&gt;0,IF(COUNTIF($G24:Klisz_Verbräuche[[#This Row],[2025]],"&gt;0")&gt;0,Klisz_Verbräuche[[#This Row],[2025]]*(1-$F24)^1, ""), ""),IF($B$14&gt;Klisz_Verbräuche[[#Headers],[2026]],Refsz_Verbräuche[[#This Row],[2026]],"")))</f>
        <v/>
      </c>
      <c r="S24" s="49" t="str">
        <f>IF(Klisz_Verbräuche[[#Headers],[2027]]=$B$14,IF(COUNTIF($G24:Klisz_Verbräuche[[#This Row],[2026]],"&gt;0")&gt;0, AVERAGEIF($G24:Klisz_Verbräuche[[#This Row],[2026]],"&lt;&gt;"), ""),IF($B$14&lt;Klisz_Verbräuche[[#Headers],[2027]],IF(COUNTIF($G24:Klisz_Verbräuche[[#This Row],[2026]],"&gt;0")&gt;0,IF(COUNTIF($G24:Klisz_Verbräuche[[#This Row],[2026]],"&gt;0")&gt;0,Klisz_Verbräuche[[#This Row],[2026]]*(1-$F24)^1, ""), ""),IF($B$14&gt;Klisz_Verbräuche[[#Headers],[2027]],Refsz_Verbräuche[[#This Row],[2027]],"")))</f>
        <v/>
      </c>
      <c r="T24" s="49" t="str">
        <f>IF(Klisz_Verbräuche[[#Headers],[2028]]=$B$14,IF(COUNTIF($G24:Klisz_Verbräuche[[#This Row],[2027]],"&gt;0")&gt;0, AVERAGEIF($G24:Klisz_Verbräuche[[#This Row],[2027]],"&lt;&gt;"), ""),IF($B$14&lt;Klisz_Verbräuche[[#Headers],[2028]],IF(COUNTIF($G24:Klisz_Verbräuche[[#This Row],[2027]],"&gt;0")&gt;0,IF(COUNTIF($G24:Klisz_Verbräuche[[#This Row],[2027]],"&gt;0")&gt;0,Klisz_Verbräuche[[#This Row],[2027]]*(1-$F24)^1, ""), ""),IF($B$14&gt;Klisz_Verbräuche[[#Headers],[2028]],Refsz_Verbräuche[[#This Row],[2028]],"")))</f>
        <v/>
      </c>
      <c r="U24" s="49" t="str">
        <f>IF(Klisz_Verbräuche[[#Headers],[2029]]=$B$14,IF(COUNTIF($G24:Klisz_Verbräuche[[#This Row],[2028]],"&gt;0")&gt;0, AVERAGEIF($G24:Klisz_Verbräuche[[#This Row],[2028]],"&lt;&gt;"), ""),IF($B$14&lt;Klisz_Verbräuche[[#Headers],[2029]],IF(COUNTIF($G24:Klisz_Verbräuche[[#This Row],[2028]],"&gt;0")&gt;0,IF(COUNTIF($G24:Klisz_Verbräuche[[#This Row],[2028]],"&gt;0")&gt;0,Klisz_Verbräuche[[#This Row],[2028]]*(1-$F24)^1, ""), ""),IF($B$14&gt;Klisz_Verbräuche[[#Headers],[2029]],Refsz_Verbräuche[[#This Row],[2029]],"")))</f>
        <v/>
      </c>
      <c r="V24" s="49" t="str">
        <f>IF(Klisz_Verbräuche[[#Headers],[2030]]=$B$14,IF(COUNTIF($G24:Klisz_Verbräuche[[#This Row],[2029]],"&gt;0")&gt;0, AVERAGEIF($G24:Klisz_Verbräuche[[#This Row],[2029]],"&lt;&gt;"), ""),IF($B$14&lt;Klisz_Verbräuche[[#Headers],[2030]],IF(COUNTIF($G24:Klisz_Verbräuche[[#This Row],[2029]],"&gt;0")&gt;0,IF(COUNTIF($G24:Klisz_Verbräuche[[#This Row],[2029]],"&gt;0")&gt;0,Klisz_Verbräuche[[#This Row],[2029]]*(1-$F24)^1, ""), ""),IF($B$14&gt;Klisz_Verbräuche[[#Headers],[2030]],Refsz_Verbräuche[[#This Row],[2030]],"")))</f>
        <v/>
      </c>
      <c r="W24" s="49" t="str">
        <f>IF(Klisz_Verbräuche[[#Headers],[2035]]=$B$14,IF(COUNTIF($G24:Klisz_Verbräuche[[#This Row],[2030]],"&gt;0")&gt;0, AVERAGEIF($G24:Klisz_Verbräuche[[#This Row],[2030]],"&lt;&gt;"), ""),IF($B$14&lt;Klisz_Verbräuche[[#Headers],[2035]],IF(COUNTIF($G24:Klisz_Verbräuche[[#This Row],[2030]],"&gt;0")&gt;0,IF(COUNTIF($G24:Klisz_Verbräuche[[#This Row],[2030]],"&gt;0")&gt;0,Klisz_Verbräuche[[#This Row],[2030]]*(1-$F24)^5, ""), ""),IF($B$14&gt;Klisz_Verbräuche[[#Headers],[2035]],Refsz_Verbräuche[[#This Row],[2035]],"")))</f>
        <v/>
      </c>
      <c r="X24" s="49" t="str">
        <f>IF(Klisz_Verbräuche[[#Headers],[2040]]=$B$14,IF(COUNTIF($G24:Klisz_Verbräuche[[#This Row],[2035]],"&gt;0")&gt;0, AVERAGEIF($G24:Klisz_Verbräuche[[#This Row],[2035]],"&lt;&gt;"), ""),IF($B$14&lt;Klisz_Verbräuche[[#Headers],[2040]],IF(COUNTIF($G24:Klisz_Verbräuche[[#This Row],[2035]],"&gt;0")&gt;0,IF(COUNTIF($G24:Klisz_Verbräuche[[#This Row],[2035]],"&gt;0")&gt;0,Klisz_Verbräuche[[#This Row],[2035]]*(1-$F24)^5, ""), ""),IF($B$14&gt;Klisz_Verbräuche[[#Headers],[2040]],Refsz_Verbräuche[[#This Row],[2040]],"")))</f>
        <v/>
      </c>
      <c r="Y24" s="49" t="str">
        <f>IF(Klisz_Verbräuche[[#Headers],[2045]]=$B$14,IF(COUNTIF($G24:Klisz_Verbräuche[[#This Row],[2040]],"&gt;0")&gt;0, AVERAGEIF($G24:Klisz_Verbräuche[[#This Row],[2040]],"&lt;&gt;"), ""),IF($B$14&lt;Klisz_Verbräuche[[#Headers],[2045]],IF(COUNTIF($G24:Klisz_Verbräuche[[#This Row],[2040]],"&gt;0")&gt;0,IF(COUNTIF($G24:Klisz_Verbräuche[[#This Row],[2040]],"&gt;0")&gt;0,Klisz_Verbräuche[[#This Row],[2040]]*(1-$F24)^5, ""), ""),IF($B$14&gt;Klisz_Verbräuche[[#Headers],[2045]],Refsz_Verbräuche[[#This Row],[2045]],"")))</f>
        <v/>
      </c>
      <c r="Z24" s="49" t="str">
        <f>IF(Klisz_Verbräuche[[#Headers],[2050]]=$B$14,IF(COUNTIF($G24:Klisz_Verbräuche[[#This Row],[2045]],"&gt;0")&gt;0, AVERAGEIF($G24:Klisz_Verbräuche[[#This Row],[2045]],"&lt;&gt;"), ""),IF($B$14&lt;Klisz_Verbräuche[[#Headers],[2050]],IF(COUNTIF($G24:Klisz_Verbräuche[[#This Row],[2045]],"&gt;0")&gt;0,IF(COUNTIF($G24:Klisz_Verbräuche[[#This Row],[2045]],"&gt;0")&gt;0,Klisz_Verbräuche[[#This Row],[2045]]*(1-$F24)^5, ""), ""),IF($B$14&gt;Klisz_Verbräuche[[#Headers],[2050]],Refsz_Verbräuche[[#This Row],[2050]],"")))</f>
        <v/>
      </c>
      <c r="AA24" s="14"/>
    </row>
    <row r="25" spans="2:27">
      <c r="B25" s="14">
        <v>8</v>
      </c>
      <c r="C25" s="197" t="str">
        <f>Refsz_Verbräuche[[#This Row],[Handlungsfeld]]</f>
        <v>Elektrischer Strom</v>
      </c>
      <c r="D25" s="46" t="str">
        <f>Refsz_Verbräuche[[#This Row],[Datenpunkt]]</f>
        <v>Individueller Strommix Einrichtung 6</v>
      </c>
      <c r="E25" s="26" t="str">
        <f>Refsz_Verbräuche[[#This Row],[Einheit]]</f>
        <v>MWh</v>
      </c>
      <c r="F25" s="108"/>
      <c r="G25" s="14" t="str">
        <f>IF(ISBLANK(Refsz_Verbräuche[[#This Row],[2015]]),"",Refsz_Verbräuche[[#This Row],[2015]])</f>
        <v/>
      </c>
      <c r="H25" s="14" t="str">
        <f>IF(ISBLANK(Refsz_Verbräuche[[#This Row],[2016]]),"",Refsz_Verbräuche[[#This Row],[2016]])</f>
        <v/>
      </c>
      <c r="I25" s="14" t="str">
        <f>IF(ISBLANK(Refsz_Verbräuche[[#This Row],[2017]]),"",Refsz_Verbräuche[[#This Row],[2017]])</f>
        <v/>
      </c>
      <c r="J25" s="14" t="str">
        <f>IF(ISBLANK(Refsz_Verbräuche[[#This Row],[2018]]),"",Refsz_Verbräuche[[#This Row],[2018]])</f>
        <v/>
      </c>
      <c r="K25" s="14" t="str">
        <f>IF(ISBLANK(Refsz_Verbräuche[[#This Row],[2019]]),"",Refsz_Verbräuche[[#This Row],[2019]])</f>
        <v/>
      </c>
      <c r="L25" s="14" t="str">
        <f>IF(ISBLANK(Refsz_Verbräuche[[#This Row],[2020]]),"",Refsz_Verbräuche[[#This Row],[2020]])</f>
        <v/>
      </c>
      <c r="M25" s="14" t="str">
        <f>IF(ISBLANK(Refsz_Verbräuche[[#This Row],[2021]]),"",Refsz_Verbräuche[[#This Row],[2021]])</f>
        <v/>
      </c>
      <c r="N25" s="49" t="str">
        <f>IF(Klisz_Verbräuche[[#Headers],[2022]]=$B$14,IF(COUNTIF($G25:Klisz_Verbräuche[[#This Row],[2021]],"&gt;0")&gt;0, AVERAGEIF($G25:Klisz_Verbräuche[[#This Row],[2021]],"&lt;&gt;"), ""),IF($B$14&lt;Klisz_Verbräuche[[#Headers],[2022]],IF(COUNTIF($G25:Klisz_Verbräuche[[#This Row],[2021]],"&gt;0")&gt;0,IF(COUNTIF($G25:Klisz_Verbräuche[[#This Row],[2021]],"&gt;0")&gt;0,Klisz_Verbräuche[[#This Row],[2021]]*(1-$F25)^1, ""), ""),IF($B$14&gt;Klisz_Verbräuche[[#Headers],[2022]],Refsz_Verbräuche[[#This Row],[2022]],"")))</f>
        <v/>
      </c>
      <c r="O25" s="49" t="str">
        <f>IF(Klisz_Verbräuche[[#Headers],[2023]]=$B$14,IF(COUNTIF($G25:Klisz_Verbräuche[[#This Row],[2022]],"&gt;0")&gt;0, AVERAGEIF($G25:Klisz_Verbräuche[[#This Row],[2022]],"&lt;&gt;"), ""),IF($B$14&lt;Klisz_Verbräuche[[#Headers],[2023]],IF(COUNTIF($G25:Klisz_Verbräuche[[#This Row],[2022]],"&gt;0")&gt;0,IF(COUNTIF($G25:Klisz_Verbräuche[[#This Row],[2022]],"&gt;0")&gt;0,Klisz_Verbräuche[[#This Row],[2022]]*(1-$F25)^1, ""), ""),IF($B$14&gt;Klisz_Verbräuche[[#Headers],[2023]],Refsz_Verbräuche[[#This Row],[2023]],"")))</f>
        <v/>
      </c>
      <c r="P25" s="49" t="str">
        <f>IF(Klisz_Verbräuche[[#Headers],[2024]]=$B$14,IF(COUNTIF($G25:Klisz_Verbräuche[[#This Row],[2023]],"&gt;0")&gt;0, AVERAGEIF($G25:Klisz_Verbräuche[[#This Row],[2023]],"&lt;&gt;"), ""),IF($B$14&lt;Klisz_Verbräuche[[#Headers],[2024]],IF(COUNTIF($G25:Klisz_Verbräuche[[#This Row],[2023]],"&gt;0")&gt;0,IF(COUNTIF($G25:Klisz_Verbräuche[[#This Row],[2023]],"&gt;0")&gt;0,Klisz_Verbräuche[[#This Row],[2023]]*(1-$F25)^1, ""), ""),IF($B$14&gt;Klisz_Verbräuche[[#Headers],[2024]],Refsz_Verbräuche[[#This Row],[2024]],"")))</f>
        <v/>
      </c>
      <c r="Q25" s="49" t="str">
        <f>IF(Klisz_Verbräuche[[#Headers],[2025]]=$B$14,IF(COUNTIF($G25:Klisz_Verbräuche[[#This Row],[2024]],"&gt;0")&gt;0, AVERAGEIF($G25:Klisz_Verbräuche[[#This Row],[2024]],"&lt;&gt;"), ""),IF($B$14&lt;Klisz_Verbräuche[[#Headers],[2025]],IF(COUNTIF($G25:Klisz_Verbräuche[[#This Row],[2024]],"&gt;0")&gt;0,IF(COUNTIF($G25:Klisz_Verbräuche[[#This Row],[2024]],"&gt;0")&gt;0,Klisz_Verbräuche[[#This Row],[2024]]*(1-$F25)^1, ""), ""),IF($B$14&gt;Klisz_Verbräuche[[#Headers],[2025]],Refsz_Verbräuche[[#This Row],[2025]],"")))</f>
        <v/>
      </c>
      <c r="R25" s="49" t="str">
        <f>IF(Klisz_Verbräuche[[#Headers],[2026]]=$B$14,IF(COUNTIF($G25:Klisz_Verbräuche[[#This Row],[2025]],"&gt;0")&gt;0, AVERAGEIF($G25:Klisz_Verbräuche[[#This Row],[2025]],"&lt;&gt;"), ""),IF($B$14&lt;Klisz_Verbräuche[[#Headers],[2026]],IF(COUNTIF($G25:Klisz_Verbräuche[[#This Row],[2025]],"&gt;0")&gt;0,IF(COUNTIF($G25:Klisz_Verbräuche[[#This Row],[2025]],"&gt;0")&gt;0,Klisz_Verbräuche[[#This Row],[2025]]*(1-$F25)^1, ""), ""),IF($B$14&gt;Klisz_Verbräuche[[#Headers],[2026]],Refsz_Verbräuche[[#This Row],[2026]],"")))</f>
        <v/>
      </c>
      <c r="S25" s="49" t="str">
        <f>IF(Klisz_Verbräuche[[#Headers],[2027]]=$B$14,IF(COUNTIF($G25:Klisz_Verbräuche[[#This Row],[2026]],"&gt;0")&gt;0, AVERAGEIF($G25:Klisz_Verbräuche[[#This Row],[2026]],"&lt;&gt;"), ""),IF($B$14&lt;Klisz_Verbräuche[[#Headers],[2027]],IF(COUNTIF($G25:Klisz_Verbräuche[[#This Row],[2026]],"&gt;0")&gt;0,IF(COUNTIF($G25:Klisz_Verbräuche[[#This Row],[2026]],"&gt;0")&gt;0,Klisz_Verbräuche[[#This Row],[2026]]*(1-$F25)^1, ""), ""),IF($B$14&gt;Klisz_Verbräuche[[#Headers],[2027]],Refsz_Verbräuche[[#This Row],[2027]],"")))</f>
        <v/>
      </c>
      <c r="T25" s="49" t="str">
        <f>IF(Klisz_Verbräuche[[#Headers],[2028]]=$B$14,IF(COUNTIF($G25:Klisz_Verbräuche[[#This Row],[2027]],"&gt;0")&gt;0, AVERAGEIF($G25:Klisz_Verbräuche[[#This Row],[2027]],"&lt;&gt;"), ""),IF($B$14&lt;Klisz_Verbräuche[[#Headers],[2028]],IF(COUNTIF($G25:Klisz_Verbräuche[[#This Row],[2027]],"&gt;0")&gt;0,IF(COUNTIF($G25:Klisz_Verbräuche[[#This Row],[2027]],"&gt;0")&gt;0,Klisz_Verbräuche[[#This Row],[2027]]*(1-$F25)^1, ""), ""),IF($B$14&gt;Klisz_Verbräuche[[#Headers],[2028]],Refsz_Verbräuche[[#This Row],[2028]],"")))</f>
        <v/>
      </c>
      <c r="U25" s="49" t="str">
        <f>IF(Klisz_Verbräuche[[#Headers],[2029]]=$B$14,IF(COUNTIF($G25:Klisz_Verbräuche[[#This Row],[2028]],"&gt;0")&gt;0, AVERAGEIF($G25:Klisz_Verbräuche[[#This Row],[2028]],"&lt;&gt;"), ""),IF($B$14&lt;Klisz_Verbräuche[[#Headers],[2029]],IF(COUNTIF($G25:Klisz_Verbräuche[[#This Row],[2028]],"&gt;0")&gt;0,IF(COUNTIF($G25:Klisz_Verbräuche[[#This Row],[2028]],"&gt;0")&gt;0,Klisz_Verbräuche[[#This Row],[2028]]*(1-$F25)^1, ""), ""),IF($B$14&gt;Klisz_Verbräuche[[#Headers],[2029]],Refsz_Verbräuche[[#This Row],[2029]],"")))</f>
        <v/>
      </c>
      <c r="V25" s="49" t="str">
        <f>IF(Klisz_Verbräuche[[#Headers],[2030]]=$B$14,IF(COUNTIF($G25:Klisz_Verbräuche[[#This Row],[2029]],"&gt;0")&gt;0, AVERAGEIF($G25:Klisz_Verbräuche[[#This Row],[2029]],"&lt;&gt;"), ""),IF($B$14&lt;Klisz_Verbräuche[[#Headers],[2030]],IF(COUNTIF($G25:Klisz_Verbräuche[[#This Row],[2029]],"&gt;0")&gt;0,IF(COUNTIF($G25:Klisz_Verbräuche[[#This Row],[2029]],"&gt;0")&gt;0,Klisz_Verbräuche[[#This Row],[2029]]*(1-$F25)^1, ""), ""),IF($B$14&gt;Klisz_Verbräuche[[#Headers],[2030]],Refsz_Verbräuche[[#This Row],[2030]],"")))</f>
        <v/>
      </c>
      <c r="W25" s="49" t="str">
        <f>IF(Klisz_Verbräuche[[#Headers],[2035]]=$B$14,IF(COUNTIF($G25:Klisz_Verbräuche[[#This Row],[2030]],"&gt;0")&gt;0, AVERAGEIF($G25:Klisz_Verbräuche[[#This Row],[2030]],"&lt;&gt;"), ""),IF($B$14&lt;Klisz_Verbräuche[[#Headers],[2035]],IF(COUNTIF($G25:Klisz_Verbräuche[[#This Row],[2030]],"&gt;0")&gt;0,IF(COUNTIF($G25:Klisz_Verbräuche[[#This Row],[2030]],"&gt;0")&gt;0,Klisz_Verbräuche[[#This Row],[2030]]*(1-$F25)^5, ""), ""),IF($B$14&gt;Klisz_Verbräuche[[#Headers],[2035]],Refsz_Verbräuche[[#This Row],[2035]],"")))</f>
        <v/>
      </c>
      <c r="X25" s="49" t="str">
        <f>IF(Klisz_Verbräuche[[#Headers],[2040]]=$B$14,IF(COUNTIF($G25:Klisz_Verbräuche[[#This Row],[2035]],"&gt;0")&gt;0, AVERAGEIF($G25:Klisz_Verbräuche[[#This Row],[2035]],"&lt;&gt;"), ""),IF($B$14&lt;Klisz_Verbräuche[[#Headers],[2040]],IF(COUNTIF($G25:Klisz_Verbräuche[[#This Row],[2035]],"&gt;0")&gt;0,IF(COUNTIF($G25:Klisz_Verbräuche[[#This Row],[2035]],"&gt;0")&gt;0,Klisz_Verbräuche[[#This Row],[2035]]*(1-$F25)^5, ""), ""),IF($B$14&gt;Klisz_Verbräuche[[#Headers],[2040]],Refsz_Verbräuche[[#This Row],[2040]],"")))</f>
        <v/>
      </c>
      <c r="Y25" s="49" t="str">
        <f>IF(Klisz_Verbräuche[[#Headers],[2045]]=$B$14,IF(COUNTIF($G25:Klisz_Verbräuche[[#This Row],[2040]],"&gt;0")&gt;0, AVERAGEIF($G25:Klisz_Verbräuche[[#This Row],[2040]],"&lt;&gt;"), ""),IF($B$14&lt;Klisz_Verbräuche[[#Headers],[2045]],IF(COUNTIF($G25:Klisz_Verbräuche[[#This Row],[2040]],"&gt;0")&gt;0,IF(COUNTIF($G25:Klisz_Verbräuche[[#This Row],[2040]],"&gt;0")&gt;0,Klisz_Verbräuche[[#This Row],[2040]]*(1-$F25)^5, ""), ""),IF($B$14&gt;Klisz_Verbräuche[[#Headers],[2045]],Refsz_Verbräuche[[#This Row],[2045]],"")))</f>
        <v/>
      </c>
      <c r="Z25" s="49" t="str">
        <f>IF(Klisz_Verbräuche[[#Headers],[2050]]=$B$14,IF(COUNTIF($G25:Klisz_Verbräuche[[#This Row],[2045]],"&gt;0")&gt;0, AVERAGEIF($G25:Klisz_Verbräuche[[#This Row],[2045]],"&lt;&gt;"), ""),IF($B$14&lt;Klisz_Verbräuche[[#Headers],[2050]],IF(COUNTIF($G25:Klisz_Verbräuche[[#This Row],[2045]],"&gt;0")&gt;0,IF(COUNTIF($G25:Klisz_Verbräuche[[#This Row],[2045]],"&gt;0")&gt;0,Klisz_Verbräuche[[#This Row],[2045]]*(1-$F25)^5, ""), ""),IF($B$14&gt;Klisz_Verbräuche[[#Headers],[2050]],Refsz_Verbräuche[[#This Row],[2050]],"")))</f>
        <v/>
      </c>
      <c r="AA25" s="14"/>
    </row>
    <row r="26" spans="2:27" hidden="1">
      <c r="B26" s="14">
        <v>9</v>
      </c>
      <c r="C26" s="197" t="str">
        <f>Refsz_Verbräuche[[#This Row],[Handlungsfeld]]</f>
        <v>Elektrischer Strom</v>
      </c>
      <c r="D26" s="46" t="str">
        <f>Refsz_Verbräuche[[#This Row],[Datenpunkt]]</f>
        <v>BHKW</v>
      </c>
      <c r="E26" s="138" t="str">
        <f>Refsz_Verbräuche[[#This Row],[Einheit]]</f>
        <v>Nichts eintragen</v>
      </c>
      <c r="F26" s="108"/>
      <c r="G26" s="14" t="str">
        <f>IF(ISBLANK(Refsz_Verbräuche[[#This Row],[2015]]),"",Refsz_Verbräuche[[#This Row],[2015]])</f>
        <v/>
      </c>
      <c r="H26" s="14" t="str">
        <f>IF(ISBLANK(Refsz_Verbräuche[[#This Row],[2016]]),"",Refsz_Verbräuche[[#This Row],[2016]])</f>
        <v/>
      </c>
      <c r="I26" s="14" t="str">
        <f>IF(ISBLANK(Refsz_Verbräuche[[#This Row],[2017]]),"",Refsz_Verbräuche[[#This Row],[2017]])</f>
        <v/>
      </c>
      <c r="J26" s="14" t="str">
        <f>IF(ISBLANK(Refsz_Verbräuche[[#This Row],[2018]]),"",Refsz_Verbräuche[[#This Row],[2018]])</f>
        <v/>
      </c>
      <c r="K26" s="14" t="str">
        <f>IF(ISBLANK(Refsz_Verbräuche[[#This Row],[2019]]),"",Refsz_Verbräuche[[#This Row],[2019]])</f>
        <v/>
      </c>
      <c r="L26" s="14" t="str">
        <f>IF(ISBLANK(Refsz_Verbräuche[[#This Row],[2020]]),"",Refsz_Verbräuche[[#This Row],[2020]])</f>
        <v/>
      </c>
      <c r="M26" s="14" t="str">
        <f>IF(ISBLANK(Refsz_Verbräuche[[#This Row],[2021]]),"",Refsz_Verbräuche[[#This Row],[2021]])</f>
        <v/>
      </c>
      <c r="N26" s="49" t="str">
        <f>IF(Klisz_Verbräuche[[#Headers],[2022]]=$B$14,IF(COUNTIF($G26:Klisz_Verbräuche[[#This Row],[2021]],"&gt;0")&gt;0, AVERAGEIF($G26:Klisz_Verbräuche[[#This Row],[2021]],"&lt;&gt;"), ""),IF($B$14&lt;Klisz_Verbräuche[[#Headers],[2022]],IF(COUNTIF($G26:Klisz_Verbräuche[[#This Row],[2021]],"&gt;0")&gt;0,IF(COUNTIF($G26:Klisz_Verbräuche[[#This Row],[2021]],"&gt;0")&gt;0,Klisz_Verbräuche[[#This Row],[2021]]*(1-$F26)^1, ""), ""),IF($B$14&gt;Klisz_Verbräuche[[#Headers],[2022]],Refsz_Verbräuche[[#This Row],[2022]],"")))</f>
        <v/>
      </c>
      <c r="O26" s="49" t="str">
        <f>IF(Klisz_Verbräuche[[#Headers],[2023]]=$B$14,IF(COUNTIF($G26:Klisz_Verbräuche[[#This Row],[2022]],"&gt;0")&gt;0, AVERAGEIF($G26:Klisz_Verbräuche[[#This Row],[2022]],"&lt;&gt;"), ""),IF($B$14&lt;Klisz_Verbräuche[[#Headers],[2023]],IF(COUNTIF($G26:Klisz_Verbräuche[[#This Row],[2022]],"&gt;0")&gt;0,IF(COUNTIF($G26:Klisz_Verbräuche[[#This Row],[2022]],"&gt;0")&gt;0,Klisz_Verbräuche[[#This Row],[2022]]*(1-$F26)^1, ""), ""),IF($B$14&gt;Klisz_Verbräuche[[#Headers],[2023]],Refsz_Verbräuche[[#This Row],[2023]],"")))</f>
        <v/>
      </c>
      <c r="P26" s="49" t="str">
        <f>IF(Klisz_Verbräuche[[#Headers],[2024]]=$B$14,IF(COUNTIF($G26:Klisz_Verbräuche[[#This Row],[2023]],"&gt;0")&gt;0, AVERAGEIF($G26:Klisz_Verbräuche[[#This Row],[2023]],"&lt;&gt;"), ""),IF($B$14&lt;Klisz_Verbräuche[[#Headers],[2024]],IF(COUNTIF($G26:Klisz_Verbräuche[[#This Row],[2023]],"&gt;0")&gt;0,IF(COUNTIF($G26:Klisz_Verbräuche[[#This Row],[2023]],"&gt;0")&gt;0,Klisz_Verbräuche[[#This Row],[2023]]*(1-$F26)^1, ""), ""),IF($B$14&gt;Klisz_Verbräuche[[#Headers],[2024]],Refsz_Verbräuche[[#This Row],[2024]],"")))</f>
        <v/>
      </c>
      <c r="Q26" s="49" t="str">
        <f>IF(Klisz_Verbräuche[[#Headers],[2025]]=$B$14,IF(COUNTIF($G26:Klisz_Verbräuche[[#This Row],[2024]],"&gt;0")&gt;0, AVERAGEIF($G26:Klisz_Verbräuche[[#This Row],[2024]],"&lt;&gt;"), ""),IF($B$14&lt;Klisz_Verbräuche[[#Headers],[2025]],IF(COUNTIF($G26:Klisz_Verbräuche[[#This Row],[2024]],"&gt;0")&gt;0,IF(COUNTIF($G26:Klisz_Verbräuche[[#This Row],[2024]],"&gt;0")&gt;0,Klisz_Verbräuche[[#This Row],[2024]]*(1-$F26)^1, ""), ""),IF($B$14&gt;Klisz_Verbräuche[[#Headers],[2025]],Refsz_Verbräuche[[#This Row],[2025]],"")))</f>
        <v/>
      </c>
      <c r="R26" s="49" t="str">
        <f>IF(Klisz_Verbräuche[[#Headers],[2026]]=$B$14,IF(COUNTIF($G26:Klisz_Verbräuche[[#This Row],[2025]],"&gt;0")&gt;0, AVERAGEIF($G26:Klisz_Verbräuche[[#This Row],[2025]],"&lt;&gt;"), ""),IF($B$14&lt;Klisz_Verbräuche[[#Headers],[2026]],IF(COUNTIF($G26:Klisz_Verbräuche[[#This Row],[2025]],"&gt;0")&gt;0,IF(COUNTIF($G26:Klisz_Verbräuche[[#This Row],[2025]],"&gt;0")&gt;0,Klisz_Verbräuche[[#This Row],[2025]]*(1-$F26)^1, ""), ""),IF($B$14&gt;Klisz_Verbräuche[[#Headers],[2026]],Refsz_Verbräuche[[#This Row],[2026]],"")))</f>
        <v/>
      </c>
      <c r="S26" s="49" t="str">
        <f>IF(Klisz_Verbräuche[[#Headers],[2027]]=$B$14,IF(COUNTIF($G26:Klisz_Verbräuche[[#This Row],[2026]],"&gt;0")&gt;0, AVERAGEIF($G26:Klisz_Verbräuche[[#This Row],[2026]],"&lt;&gt;"), ""),IF($B$14&lt;Klisz_Verbräuche[[#Headers],[2027]],IF(COUNTIF($G26:Klisz_Verbräuche[[#This Row],[2026]],"&gt;0")&gt;0,IF(COUNTIF($G26:Klisz_Verbräuche[[#This Row],[2026]],"&gt;0")&gt;0,Klisz_Verbräuche[[#This Row],[2026]]*(1-$F26)^1, ""), ""),IF($B$14&gt;Klisz_Verbräuche[[#Headers],[2027]],Refsz_Verbräuche[[#This Row],[2027]],"")))</f>
        <v/>
      </c>
      <c r="T26" s="49" t="str">
        <f>IF(Klisz_Verbräuche[[#Headers],[2028]]=$B$14,IF(COUNTIF($G26:Klisz_Verbräuche[[#This Row],[2027]],"&gt;0")&gt;0, AVERAGEIF($G26:Klisz_Verbräuche[[#This Row],[2027]],"&lt;&gt;"), ""),IF($B$14&lt;Klisz_Verbräuche[[#Headers],[2028]],IF(COUNTIF($G26:Klisz_Verbräuche[[#This Row],[2027]],"&gt;0")&gt;0,IF(COUNTIF($G26:Klisz_Verbräuche[[#This Row],[2027]],"&gt;0")&gt;0,Klisz_Verbräuche[[#This Row],[2027]]*(1-$F26)^1, ""), ""),IF($B$14&gt;Klisz_Verbräuche[[#Headers],[2028]],Refsz_Verbräuche[[#This Row],[2028]],"")))</f>
        <v/>
      </c>
      <c r="U26" s="49" t="str">
        <f>IF(Klisz_Verbräuche[[#Headers],[2029]]=$B$14,IF(COUNTIF($G26:Klisz_Verbräuche[[#This Row],[2028]],"&gt;0")&gt;0, AVERAGEIF($G26:Klisz_Verbräuche[[#This Row],[2028]],"&lt;&gt;"), ""),IF($B$14&lt;Klisz_Verbräuche[[#Headers],[2029]],IF(COUNTIF($G26:Klisz_Verbräuche[[#This Row],[2028]],"&gt;0")&gt;0,IF(COUNTIF($G26:Klisz_Verbräuche[[#This Row],[2028]],"&gt;0")&gt;0,Klisz_Verbräuche[[#This Row],[2028]]*(1-$F26)^1, ""), ""),IF($B$14&gt;Klisz_Verbräuche[[#Headers],[2029]],Refsz_Verbräuche[[#This Row],[2029]],"")))</f>
        <v/>
      </c>
      <c r="V26" s="49" t="str">
        <f>IF(Klisz_Verbräuche[[#Headers],[2030]]=$B$14,IF(COUNTIF($G26:Klisz_Verbräuche[[#This Row],[2029]],"&gt;0")&gt;0, AVERAGEIF($G26:Klisz_Verbräuche[[#This Row],[2029]],"&lt;&gt;"), ""),IF($B$14&lt;Klisz_Verbräuche[[#Headers],[2030]],IF(COUNTIF($G26:Klisz_Verbräuche[[#This Row],[2029]],"&gt;0")&gt;0,IF(COUNTIF($G26:Klisz_Verbräuche[[#This Row],[2029]],"&gt;0")&gt;0,Klisz_Verbräuche[[#This Row],[2029]]*(1-$F26)^1, ""), ""),IF($B$14&gt;Klisz_Verbräuche[[#Headers],[2030]],Refsz_Verbräuche[[#This Row],[2030]],"")))</f>
        <v/>
      </c>
      <c r="W26" s="49" t="str">
        <f>IF(Klisz_Verbräuche[[#Headers],[2035]]=$B$14,IF(COUNTIF($G26:Klisz_Verbräuche[[#This Row],[2030]],"&gt;0")&gt;0, AVERAGEIF($G26:Klisz_Verbräuche[[#This Row],[2030]],"&lt;&gt;"), ""),IF($B$14&lt;Klisz_Verbräuche[[#Headers],[2035]],IF(COUNTIF($G26:Klisz_Verbräuche[[#This Row],[2030]],"&gt;0")&gt;0,IF(COUNTIF($G26:Klisz_Verbräuche[[#This Row],[2030]],"&gt;0")&gt;0,Klisz_Verbräuche[[#This Row],[2030]]*(1-$F26)^5, ""), ""),IF($B$14&gt;Klisz_Verbräuche[[#Headers],[2035]],Refsz_Verbräuche[[#This Row],[2035]],"")))</f>
        <v/>
      </c>
      <c r="X26" s="49" t="str">
        <f>IF(Klisz_Verbräuche[[#Headers],[2040]]=$B$14,IF(COUNTIF($G26:Klisz_Verbräuche[[#This Row],[2035]],"&gt;0")&gt;0, AVERAGEIF($G26:Klisz_Verbräuche[[#This Row],[2035]],"&lt;&gt;"), ""),IF($B$14&lt;Klisz_Verbräuche[[#Headers],[2040]],IF(COUNTIF($G26:Klisz_Verbräuche[[#This Row],[2035]],"&gt;0")&gt;0,IF(COUNTIF($G26:Klisz_Verbräuche[[#This Row],[2035]],"&gt;0")&gt;0,Klisz_Verbräuche[[#This Row],[2035]]*(1-$F26)^5, ""), ""),IF($B$14&gt;Klisz_Verbräuche[[#Headers],[2040]],Refsz_Verbräuche[[#This Row],[2040]],"")))</f>
        <v/>
      </c>
      <c r="Y26" s="49" t="str">
        <f>IF(Klisz_Verbräuche[[#Headers],[2045]]=$B$14,IF(COUNTIF($G26:Klisz_Verbräuche[[#This Row],[2040]],"&gt;0")&gt;0, AVERAGEIF($G26:Klisz_Verbräuche[[#This Row],[2040]],"&lt;&gt;"), ""),IF($B$14&lt;Klisz_Verbräuche[[#Headers],[2045]],IF(COUNTIF($G26:Klisz_Verbräuche[[#This Row],[2040]],"&gt;0")&gt;0,IF(COUNTIF($G26:Klisz_Verbräuche[[#This Row],[2040]],"&gt;0")&gt;0,Klisz_Verbräuche[[#This Row],[2040]]*(1-$F26)^5, ""), ""),IF($B$14&gt;Klisz_Verbräuche[[#Headers],[2045]],Refsz_Verbräuche[[#This Row],[2045]],"")))</f>
        <v/>
      </c>
      <c r="Z26" s="49" t="str">
        <f>IF(Klisz_Verbräuche[[#Headers],[2050]]=$B$14,IF(COUNTIF($G26:Klisz_Verbräuche[[#This Row],[2045]],"&gt;0")&gt;0, AVERAGEIF($G26:Klisz_Verbräuche[[#This Row],[2045]],"&lt;&gt;"), ""),IF($B$14&lt;Klisz_Verbräuche[[#Headers],[2050]],IF(COUNTIF($G26:Klisz_Verbräuche[[#This Row],[2045]],"&gt;0")&gt;0,IF(COUNTIF($G26:Klisz_Verbräuche[[#This Row],[2045]],"&gt;0")&gt;0,Klisz_Verbräuche[[#This Row],[2045]]*(1-$F26)^5, ""), ""),IF($B$14&gt;Klisz_Verbräuche[[#Headers],[2050]],Refsz_Verbräuche[[#This Row],[2050]],"")))</f>
        <v/>
      </c>
      <c r="AA26" s="14"/>
    </row>
    <row r="27" spans="2:27">
      <c r="B27" s="14">
        <v>10</v>
      </c>
      <c r="C27" s="197" t="str">
        <f>Refsz_Verbräuche[[#This Row],[Handlungsfeld]]</f>
        <v>Elektrischer Strom</v>
      </c>
      <c r="D27" s="46" t="str">
        <f>Refsz_Verbräuche[[#This Row],[Datenpunkt]]</f>
        <v>Ökostrom</v>
      </c>
      <c r="E27" s="26" t="str">
        <f>Refsz_Verbräuche[[#This Row],[Einheit]]</f>
        <v>MWh</v>
      </c>
      <c r="F27" s="108"/>
      <c r="G27" s="14" t="str">
        <f>IF(ISBLANK(Refsz_Verbräuche[[#This Row],[2015]]),"",Refsz_Verbräuche[[#This Row],[2015]])</f>
        <v/>
      </c>
      <c r="H27" s="14" t="str">
        <f>IF(ISBLANK(Refsz_Verbräuche[[#This Row],[2016]]),"",Refsz_Verbräuche[[#This Row],[2016]])</f>
        <v/>
      </c>
      <c r="I27" s="14" t="str">
        <f>IF(ISBLANK(Refsz_Verbräuche[[#This Row],[2017]]),"",Refsz_Verbräuche[[#This Row],[2017]])</f>
        <v/>
      </c>
      <c r="J27" s="14" t="str">
        <f>IF(ISBLANK(Refsz_Verbräuche[[#This Row],[2018]]),"",Refsz_Verbräuche[[#This Row],[2018]])</f>
        <v/>
      </c>
      <c r="K27" s="14" t="str">
        <f>IF(ISBLANK(Refsz_Verbräuche[[#This Row],[2019]]),"",Refsz_Verbräuche[[#This Row],[2019]])</f>
        <v/>
      </c>
      <c r="L27" s="14" t="str">
        <f>IF(ISBLANK(Refsz_Verbräuche[[#This Row],[2020]]),"",Refsz_Verbräuche[[#This Row],[2020]])</f>
        <v/>
      </c>
      <c r="M27" s="14" t="str">
        <f>IF(ISBLANK(Refsz_Verbräuche[[#This Row],[2021]]),"",Refsz_Verbräuche[[#This Row],[2021]])</f>
        <v/>
      </c>
      <c r="N27" s="203" t="str">
        <f>M20</f>
        <v/>
      </c>
      <c r="O27" s="203" t="str">
        <f>IF(Klisz_Verbräuche[[#Headers],[2023]]=$B$14,IF(COUNTIF($G27:Klisz_Verbräuche[[#This Row],[2022]],"&gt;0")&gt;0, AVERAGEIF($G27:Klisz_Verbräuche[[#This Row],[2022]],"&lt;&gt;"), ""),IF($B$14&lt;Klisz_Verbräuche[[#Headers],[2023]],IF(COUNTIF($G27:Klisz_Verbräuche[[#This Row],[2022]],"&gt;0")&gt;0,IF(COUNTIF($G27:Klisz_Verbräuche[[#This Row],[2022]],"&gt;0")&gt;0,Klisz_Verbräuche[[#This Row],[2022]]*(1-$F27)^1, ""), ""),IF($B$14&gt;Klisz_Verbräuche[[#Headers],[2023]],Refsz_Verbräuche[[#This Row],[2023]],"")))</f>
        <v/>
      </c>
      <c r="P27" s="203" t="str">
        <f>IF(Klisz_Verbräuche[[#Headers],[2024]]=$B$14,IF(COUNTIF($G27:Klisz_Verbräuche[[#This Row],[2023]],"&gt;0")&gt;0, AVERAGEIF($G27:Klisz_Verbräuche[[#This Row],[2023]],"&lt;&gt;"), ""),IF($B$14&lt;Klisz_Verbräuche[[#Headers],[2024]],IF(COUNTIF($G27:Klisz_Verbräuche[[#This Row],[2023]],"&gt;0")&gt;0,IF(COUNTIF($G27:Klisz_Verbräuche[[#This Row],[2023]],"&gt;0")&gt;0,Klisz_Verbräuche[[#This Row],[2023]]*(1-$F27)^1, ""), ""),IF($B$14&gt;Klisz_Verbräuche[[#Headers],[2024]],Refsz_Verbräuche[[#This Row],[2024]],"")))</f>
        <v/>
      </c>
      <c r="Q27" s="203" t="str">
        <f>IF(Klisz_Verbräuche[[#Headers],[2025]]=$B$14,IF(COUNTIF($G27:Klisz_Verbräuche[[#This Row],[2024]],"&gt;0")&gt;0, AVERAGEIF($G27:Klisz_Verbräuche[[#This Row],[2024]],"&lt;&gt;"), ""),IF($B$14&lt;Klisz_Verbräuche[[#Headers],[2025]],IF(COUNTIF($G27:Klisz_Verbräuche[[#This Row],[2024]],"&gt;0")&gt;0,IF(COUNTIF($G27:Klisz_Verbräuche[[#This Row],[2024]],"&gt;0")&gt;0,Klisz_Verbräuche[[#This Row],[2024]]*(1-$F27)^1, ""), ""),IF($B$14&gt;Klisz_Verbräuche[[#Headers],[2025]],Refsz_Verbräuche[[#This Row],[2025]],"")))</f>
        <v/>
      </c>
      <c r="R27" s="203" t="str">
        <f>IF(Klisz_Verbräuche[[#Headers],[2026]]=$B$14,IF(COUNTIF($G27:Klisz_Verbräuche[[#This Row],[2025]],"&gt;0")&gt;0, AVERAGEIF($G27:Klisz_Verbräuche[[#This Row],[2025]],"&lt;&gt;"), ""),IF($B$14&lt;Klisz_Verbräuche[[#Headers],[2026]],IF(COUNTIF($G27:Klisz_Verbräuche[[#This Row],[2025]],"&gt;0")&gt;0,IF(COUNTIF($G27:Klisz_Verbräuche[[#This Row],[2025]],"&gt;0")&gt;0,Klisz_Verbräuche[[#This Row],[2025]]*(1-$F27)^1, ""), ""),IF($B$14&gt;Klisz_Verbräuche[[#Headers],[2026]],Refsz_Verbräuche[[#This Row],[2026]],"")))</f>
        <v/>
      </c>
      <c r="S27" s="203" t="str">
        <f>IF(Klisz_Verbräuche[[#Headers],[2027]]=$B$14,IF(COUNTIF($G27:Klisz_Verbräuche[[#This Row],[2026]],"&gt;0")&gt;0, AVERAGEIF($G27:Klisz_Verbräuche[[#This Row],[2026]],"&lt;&gt;"), ""),IF($B$14&lt;Klisz_Verbräuche[[#Headers],[2027]],IF(COUNTIF($G27:Klisz_Verbräuche[[#This Row],[2026]],"&gt;0")&gt;0,IF(COUNTIF($G27:Klisz_Verbräuche[[#This Row],[2026]],"&gt;0")&gt;0,Klisz_Verbräuche[[#This Row],[2026]]*(1-$F27)^1, ""), ""),IF($B$14&gt;Klisz_Verbräuche[[#Headers],[2027]],Refsz_Verbräuche[[#This Row],[2027]],"")))</f>
        <v/>
      </c>
      <c r="T27" s="49" t="str">
        <f>IF(Klisz_Verbräuche[[#Headers],[2028]]=$B$14,IF(COUNTIF($G27:Klisz_Verbräuche[[#This Row],[2027]],"&gt;0")&gt;0, AVERAGEIF($G27:Klisz_Verbräuche[[#This Row],[2027]],"&lt;&gt;"), ""),IF($B$14&lt;Klisz_Verbräuche[[#Headers],[2028]],IF(COUNTIF($G27:Klisz_Verbräuche[[#This Row],[2027]],"&gt;0")&gt;0,IF(COUNTIF($G27:Klisz_Verbräuche[[#This Row],[2027]],"&gt;0")&gt;0,Klisz_Verbräuche[[#This Row],[2027]]*(1-$F27)^1, ""), ""),IF($B$14&gt;Klisz_Verbräuche[[#Headers],[2028]],Refsz_Verbräuche[[#This Row],[2028]],"")))</f>
        <v/>
      </c>
      <c r="U27" s="49" t="str">
        <f>IF(Klisz_Verbräuche[[#Headers],[2029]]=$B$14,IF(COUNTIF($G27:Klisz_Verbräuche[[#This Row],[2028]],"&gt;0")&gt;0, AVERAGEIF($G27:Klisz_Verbräuche[[#This Row],[2028]],"&lt;&gt;"), ""),IF($B$14&lt;Klisz_Verbräuche[[#Headers],[2029]],IF(COUNTIF($G27:Klisz_Verbräuche[[#This Row],[2028]],"&gt;0")&gt;0,IF(COUNTIF($G27:Klisz_Verbräuche[[#This Row],[2028]],"&gt;0")&gt;0,Klisz_Verbräuche[[#This Row],[2028]]*(1-$F27)^1, ""), ""),IF($B$14&gt;Klisz_Verbräuche[[#Headers],[2029]],Refsz_Verbräuche[[#This Row],[2029]],"")))</f>
        <v/>
      </c>
      <c r="V27" s="49" t="str">
        <f>IF(Klisz_Verbräuche[[#Headers],[2030]]=$B$14,IF(COUNTIF($G27:Klisz_Verbräuche[[#This Row],[2029]],"&gt;0")&gt;0, AVERAGEIF($G27:Klisz_Verbräuche[[#This Row],[2029]],"&lt;&gt;"), ""),IF($B$14&lt;Klisz_Verbräuche[[#Headers],[2030]],IF(COUNTIF($G27:Klisz_Verbräuche[[#This Row],[2029]],"&gt;0")&gt;0,IF(COUNTIF($G27:Klisz_Verbräuche[[#This Row],[2029]],"&gt;0")&gt;0,Klisz_Verbräuche[[#This Row],[2029]]*(1-$F27)^1, ""), ""),IF($B$14&gt;Klisz_Verbräuche[[#Headers],[2030]],Refsz_Verbräuche[[#This Row],[2030]],"")))</f>
        <v/>
      </c>
      <c r="W27" s="49" t="str">
        <f>IF(Klisz_Verbräuche[[#Headers],[2035]]=$B$14,IF(COUNTIF($G27:Klisz_Verbräuche[[#This Row],[2030]],"&gt;0")&gt;0, AVERAGEIF($G27:Klisz_Verbräuche[[#This Row],[2030]],"&lt;&gt;"), ""),IF($B$14&lt;Klisz_Verbräuche[[#Headers],[2035]],IF(COUNTIF($G27:Klisz_Verbräuche[[#This Row],[2030]],"&gt;0")&gt;0,IF(COUNTIF($G27:Klisz_Verbräuche[[#This Row],[2030]],"&gt;0")&gt;0,Klisz_Verbräuche[[#This Row],[2030]]*(1-$F27)^5, ""), ""),IF($B$14&gt;Klisz_Verbräuche[[#Headers],[2035]],Refsz_Verbräuche[[#This Row],[2035]],"")))</f>
        <v/>
      </c>
      <c r="X27" s="49" t="str">
        <f>IF(Klisz_Verbräuche[[#Headers],[2040]]=$B$14,IF(COUNTIF($G27:Klisz_Verbräuche[[#This Row],[2035]],"&gt;0")&gt;0, AVERAGEIF($G27:Klisz_Verbräuche[[#This Row],[2035]],"&lt;&gt;"), ""),IF($B$14&lt;Klisz_Verbräuche[[#Headers],[2040]],IF(COUNTIF($G27:Klisz_Verbräuche[[#This Row],[2035]],"&gt;0")&gt;0,IF(COUNTIF($G27:Klisz_Verbräuche[[#This Row],[2035]],"&gt;0")&gt;0,Klisz_Verbräuche[[#This Row],[2035]]*(1-$F27)^5, ""), ""),IF($B$14&gt;Klisz_Verbräuche[[#Headers],[2040]],Refsz_Verbräuche[[#This Row],[2040]],"")))</f>
        <v/>
      </c>
      <c r="Y27" s="49" t="str">
        <f>IF(Klisz_Verbräuche[[#Headers],[2045]]=$B$14,IF(COUNTIF($G27:Klisz_Verbräuche[[#This Row],[2040]],"&gt;0")&gt;0, AVERAGEIF($G27:Klisz_Verbräuche[[#This Row],[2040]],"&lt;&gt;"), ""),IF($B$14&lt;Klisz_Verbräuche[[#Headers],[2045]],IF(COUNTIF($G27:Klisz_Verbräuche[[#This Row],[2040]],"&gt;0")&gt;0,IF(COUNTIF($G27:Klisz_Verbräuche[[#This Row],[2040]],"&gt;0")&gt;0,Klisz_Verbräuche[[#This Row],[2040]]*(1-$F27)^5, ""), ""),IF($B$14&gt;Klisz_Verbräuche[[#Headers],[2045]],Refsz_Verbräuche[[#This Row],[2045]],"")))</f>
        <v/>
      </c>
      <c r="Z27" s="49" t="str">
        <f>IF(Klisz_Verbräuche[[#Headers],[2050]]=$B$14,IF(COUNTIF($G27:Klisz_Verbräuche[[#This Row],[2045]],"&gt;0")&gt;0, AVERAGEIF($G27:Klisz_Verbräuche[[#This Row],[2045]],"&lt;&gt;"), ""),IF($B$14&lt;Klisz_Verbräuche[[#Headers],[2050]],IF(COUNTIF($G27:Klisz_Verbräuche[[#This Row],[2045]],"&gt;0")&gt;0,IF(COUNTIF($G27:Klisz_Verbräuche[[#This Row],[2045]],"&gt;0")&gt;0,Klisz_Verbräuche[[#This Row],[2045]]*(1-$F27)^5, ""), ""),IF($B$14&gt;Klisz_Verbräuche[[#Headers],[2050]],Refsz_Verbräuche[[#This Row],[2050]],"")))</f>
        <v/>
      </c>
      <c r="AA27" s="14"/>
    </row>
    <row r="28" spans="2:27">
      <c r="B28" s="14">
        <v>11</v>
      </c>
      <c r="C28" s="197" t="str">
        <f>Refsz_Verbräuche[[#This Row],[Handlungsfeld]]</f>
        <v>Elektrischer Strom</v>
      </c>
      <c r="D28" s="46" t="str">
        <f>Refsz_Verbräuche[[#This Row],[Datenpunkt]]</f>
        <v>PV-Eigennutzung</v>
      </c>
      <c r="E28" s="26" t="str">
        <f>Refsz_Verbräuche[[#This Row],[Einheit]]</f>
        <v>MWh</v>
      </c>
      <c r="F28" s="108"/>
      <c r="G28" s="14" t="str">
        <f>IF(ISBLANK(Refsz_Verbräuche[[#This Row],[2015]]),"",Refsz_Verbräuche[[#This Row],[2015]])</f>
        <v/>
      </c>
      <c r="H28" s="14" t="str">
        <f>IF(ISBLANK(Refsz_Verbräuche[[#This Row],[2016]]),"",Refsz_Verbräuche[[#This Row],[2016]])</f>
        <v/>
      </c>
      <c r="I28" s="14" t="str">
        <f>IF(ISBLANK(Refsz_Verbräuche[[#This Row],[2017]]),"",Refsz_Verbräuche[[#This Row],[2017]])</f>
        <v/>
      </c>
      <c r="J28" s="14" t="str">
        <f>IF(ISBLANK(Refsz_Verbräuche[[#This Row],[2018]]),"",Refsz_Verbräuche[[#This Row],[2018]])</f>
        <v/>
      </c>
      <c r="K28" s="14" t="str">
        <f>IF(ISBLANK(Refsz_Verbräuche[[#This Row],[2019]]),"",Refsz_Verbräuche[[#This Row],[2019]])</f>
        <v/>
      </c>
      <c r="L28" s="14" t="str">
        <f>IF(ISBLANK(Refsz_Verbräuche[[#This Row],[2020]]),"",Refsz_Verbräuche[[#This Row],[2020]])</f>
        <v/>
      </c>
      <c r="M28" s="14" t="str">
        <f>IF(ISBLANK(Refsz_Verbräuche[[#This Row],[2021]]),"",Refsz_Verbräuche[[#This Row],[2021]])</f>
        <v/>
      </c>
      <c r="N28" s="49" t="str">
        <f>IF(Klisz_Verbräuche[[#Headers],[2022]]=$B$14,IF(COUNTIF($G28:Klisz_Verbräuche[[#This Row],[2021]],"&gt;0")&gt;0, AVERAGEIF($G28:Klisz_Verbräuche[[#This Row],[2021]],"&lt;&gt;"), ""),IF($B$14&lt;Klisz_Verbräuche[[#Headers],[2022]],IF(COUNTIF($G28:Klisz_Verbräuche[[#This Row],[2021]],"&gt;0")&gt;0,IF(COUNTIF($G28:Klisz_Verbräuche[[#This Row],[2021]],"&gt;0")&gt;0,Klisz_Verbräuche[[#This Row],[2021]]*(1-$F28)^1, ""), ""),IF($B$14&gt;Klisz_Verbräuche[[#Headers],[2022]],Refsz_Verbräuche[[#This Row],[2022]],"")))</f>
        <v/>
      </c>
      <c r="O28" s="49" t="str">
        <f>IF(Klisz_Verbräuche[[#Headers],[2023]]=$B$14,IF(COUNTIF($G28:Klisz_Verbräuche[[#This Row],[2022]],"&gt;0")&gt;0, AVERAGEIF($G28:Klisz_Verbräuche[[#This Row],[2022]],"&lt;&gt;"), ""),IF($B$14&lt;Klisz_Verbräuche[[#Headers],[2023]],IF(COUNTIF($G28:Klisz_Verbräuche[[#This Row],[2022]],"&gt;0")&gt;0,IF(COUNTIF($G28:Klisz_Verbräuche[[#This Row],[2022]],"&gt;0")&gt;0,Klisz_Verbräuche[[#This Row],[2022]]*(1-$F28)^1, ""), ""),IF($B$14&gt;Klisz_Verbräuche[[#Headers],[2023]],Refsz_Verbräuche[[#This Row],[2023]],"")))</f>
        <v/>
      </c>
      <c r="P28" s="49" t="str">
        <f>IF(Klisz_Verbräuche[[#Headers],[2024]]=$B$14,IF(COUNTIF($G28:Klisz_Verbräuche[[#This Row],[2023]],"&gt;0")&gt;0, AVERAGEIF($G28:Klisz_Verbräuche[[#This Row],[2023]],"&lt;&gt;"), ""),IF($B$14&lt;Klisz_Verbräuche[[#Headers],[2024]],IF(COUNTIF($G28:Klisz_Verbräuche[[#This Row],[2023]],"&gt;0")&gt;0,IF(COUNTIF($G28:Klisz_Verbräuche[[#This Row],[2023]],"&gt;0")&gt;0,Klisz_Verbräuche[[#This Row],[2023]]*(1-$F28)^1, ""), ""),IF($B$14&gt;Klisz_Verbräuche[[#Headers],[2024]],Refsz_Verbräuche[[#This Row],[2024]],"")))</f>
        <v/>
      </c>
      <c r="Q28" s="49" t="str">
        <f>IF(Klisz_Verbräuche[[#Headers],[2025]]=$B$14,IF(COUNTIF($G28:Klisz_Verbräuche[[#This Row],[2024]],"&gt;0")&gt;0, AVERAGEIF($G28:Klisz_Verbräuche[[#This Row],[2024]],"&lt;&gt;"), ""),IF($B$14&lt;Klisz_Verbräuche[[#Headers],[2025]],IF(COUNTIF($G28:Klisz_Verbräuche[[#This Row],[2024]],"&gt;0")&gt;0,IF(COUNTIF($G28:Klisz_Verbräuche[[#This Row],[2024]],"&gt;0")&gt;0,Klisz_Verbräuche[[#This Row],[2024]]*(1-$F28)^1, ""), ""),IF($B$14&gt;Klisz_Verbräuche[[#Headers],[2025]],Refsz_Verbräuche[[#This Row],[2025]],"")))</f>
        <v/>
      </c>
      <c r="R28" s="49" t="str">
        <f>IF(Klisz_Verbräuche[[#Headers],[2026]]=$B$14,IF(COUNTIF($G28:Klisz_Verbräuche[[#This Row],[2025]],"&gt;0")&gt;0, AVERAGEIF($G28:Klisz_Verbräuche[[#This Row],[2025]],"&lt;&gt;"), ""),IF($B$14&lt;Klisz_Verbräuche[[#Headers],[2026]],IF(COUNTIF($G28:Klisz_Verbräuche[[#This Row],[2025]],"&gt;0")&gt;0,IF(COUNTIF($G28:Klisz_Verbräuche[[#This Row],[2025]],"&gt;0")&gt;0,Klisz_Verbräuche[[#This Row],[2025]]*(1-$F28)^1, ""), ""),IF($B$14&gt;Klisz_Verbräuche[[#Headers],[2026]],Refsz_Verbräuche[[#This Row],[2026]],"")))</f>
        <v/>
      </c>
      <c r="S28" s="49" t="str">
        <f>IF(Klisz_Verbräuche[[#Headers],[2027]]=$B$14,IF(COUNTIF($G28:Klisz_Verbräuche[[#This Row],[2026]],"&gt;0")&gt;0, AVERAGEIF($G28:Klisz_Verbräuche[[#This Row],[2026]],"&lt;&gt;"), ""),IF($B$14&lt;Klisz_Verbräuche[[#Headers],[2027]],IF(COUNTIF($G28:Klisz_Verbräuche[[#This Row],[2026]],"&gt;0")&gt;0,IF(COUNTIF($G28:Klisz_Verbräuche[[#This Row],[2026]],"&gt;0")&gt;0,Klisz_Verbräuche[[#This Row],[2026]]*(1-$F28)^1, ""), ""),IF($B$14&gt;Klisz_Verbräuche[[#Headers],[2027]],Refsz_Verbräuche[[#This Row],[2027]],"")))</f>
        <v/>
      </c>
      <c r="T28" s="49" t="str">
        <f>IF(Klisz_Verbräuche[[#Headers],[2028]]=$B$14,IF(COUNTIF($G28:Klisz_Verbräuche[[#This Row],[2027]],"&gt;0")&gt;0, AVERAGEIF($G28:Klisz_Verbräuche[[#This Row],[2027]],"&lt;&gt;"), ""),IF($B$14&lt;Klisz_Verbräuche[[#Headers],[2028]],IF(COUNTIF($G28:Klisz_Verbräuche[[#This Row],[2027]],"&gt;0")&gt;0,IF(COUNTIF($G28:Klisz_Verbräuche[[#This Row],[2027]],"&gt;0")&gt;0,Klisz_Verbräuche[[#This Row],[2027]]*(1-$F28)^1, ""), ""),IF($B$14&gt;Klisz_Verbräuche[[#Headers],[2028]],Refsz_Verbräuche[[#This Row],[2028]],"")))</f>
        <v/>
      </c>
      <c r="U28" s="49" t="str">
        <f>IF(Klisz_Verbräuche[[#Headers],[2029]]=$B$14,IF(COUNTIF($G28:Klisz_Verbräuche[[#This Row],[2028]],"&gt;0")&gt;0, AVERAGEIF($G28:Klisz_Verbräuche[[#This Row],[2028]],"&lt;&gt;"), ""),IF($B$14&lt;Klisz_Verbräuche[[#Headers],[2029]],IF(COUNTIF($G28:Klisz_Verbräuche[[#This Row],[2028]],"&gt;0")&gt;0,IF(COUNTIF($G28:Klisz_Verbräuche[[#This Row],[2028]],"&gt;0")&gt;0,Klisz_Verbräuche[[#This Row],[2028]]*(1-$F28)^1, ""), ""),IF($B$14&gt;Klisz_Verbräuche[[#Headers],[2029]],Refsz_Verbräuche[[#This Row],[2029]],"")))</f>
        <v/>
      </c>
      <c r="V28" s="49" t="str">
        <f>IF(Klisz_Verbräuche[[#Headers],[2030]]=$B$14,IF(COUNTIF($G28:Klisz_Verbräuche[[#This Row],[2029]],"&gt;0")&gt;0, AVERAGEIF($G28:Klisz_Verbräuche[[#This Row],[2029]],"&lt;&gt;"), ""),IF($B$14&lt;Klisz_Verbräuche[[#Headers],[2030]],IF(COUNTIF($G28:Klisz_Verbräuche[[#This Row],[2029]],"&gt;0")&gt;0,IF(COUNTIF($G28:Klisz_Verbräuche[[#This Row],[2029]],"&gt;0")&gt;0,Klisz_Verbräuche[[#This Row],[2029]]*(1-$F28)^1, ""), ""),IF($B$14&gt;Klisz_Verbräuche[[#Headers],[2030]],Refsz_Verbräuche[[#This Row],[2030]],"")))</f>
        <v/>
      </c>
      <c r="W28" s="49" t="str">
        <f>IF(Klisz_Verbräuche[[#Headers],[2035]]=$B$14,IF(COUNTIF($G28:Klisz_Verbräuche[[#This Row],[2030]],"&gt;0")&gt;0, AVERAGEIF($G28:Klisz_Verbräuche[[#This Row],[2030]],"&lt;&gt;"), ""),IF($B$14&lt;Klisz_Verbräuche[[#Headers],[2035]],IF(COUNTIF($G28:Klisz_Verbräuche[[#This Row],[2030]],"&gt;0")&gt;0,IF(COUNTIF($G28:Klisz_Verbräuche[[#This Row],[2030]],"&gt;0")&gt;0,Klisz_Verbräuche[[#This Row],[2030]]*(1-$F28)^5, ""), ""),IF($B$14&gt;Klisz_Verbräuche[[#Headers],[2035]],Refsz_Verbräuche[[#This Row],[2035]],"")))</f>
        <v/>
      </c>
      <c r="X28" s="49" t="str">
        <f>IF(Klisz_Verbräuche[[#Headers],[2040]]=$B$14,IF(COUNTIF($G28:Klisz_Verbräuche[[#This Row],[2035]],"&gt;0")&gt;0, AVERAGEIF($G28:Klisz_Verbräuche[[#This Row],[2035]],"&lt;&gt;"), ""),IF($B$14&lt;Klisz_Verbräuche[[#Headers],[2040]],IF(COUNTIF($G28:Klisz_Verbräuche[[#This Row],[2035]],"&gt;0")&gt;0,IF(COUNTIF($G28:Klisz_Verbräuche[[#This Row],[2035]],"&gt;0")&gt;0,Klisz_Verbräuche[[#This Row],[2035]]*(1-$F28)^5, ""), ""),IF($B$14&gt;Klisz_Verbräuche[[#Headers],[2040]],Refsz_Verbräuche[[#This Row],[2040]],"")))</f>
        <v/>
      </c>
      <c r="Y28" s="49" t="str">
        <f>IF(Klisz_Verbräuche[[#Headers],[2045]]=$B$14,IF(COUNTIF($G28:Klisz_Verbräuche[[#This Row],[2040]],"&gt;0")&gt;0, AVERAGEIF($G28:Klisz_Verbräuche[[#This Row],[2040]],"&lt;&gt;"), ""),IF($B$14&lt;Klisz_Verbräuche[[#Headers],[2045]],IF(COUNTIF($G28:Klisz_Verbräuche[[#This Row],[2040]],"&gt;0")&gt;0,IF(COUNTIF($G28:Klisz_Verbräuche[[#This Row],[2040]],"&gt;0")&gt;0,Klisz_Verbräuche[[#This Row],[2040]]*(1-$F28)^5, ""), ""),IF($B$14&gt;Klisz_Verbräuche[[#Headers],[2045]],Refsz_Verbräuche[[#This Row],[2045]],"")))</f>
        <v/>
      </c>
      <c r="Z28" s="49" t="str">
        <f>IF(Klisz_Verbräuche[[#Headers],[2050]]=$B$14,IF(COUNTIF($G28:Klisz_Verbräuche[[#This Row],[2045]],"&gt;0")&gt;0, AVERAGEIF($G28:Klisz_Verbräuche[[#This Row],[2045]],"&lt;&gt;"), ""),IF($B$14&lt;Klisz_Verbräuche[[#Headers],[2050]],IF(COUNTIF($G28:Klisz_Verbräuche[[#This Row],[2045]],"&gt;0")&gt;0,IF(COUNTIF($G28:Klisz_Verbräuche[[#This Row],[2045]],"&gt;0")&gt;0,Klisz_Verbräuche[[#This Row],[2045]]*(1-$F28)^5, ""), ""),IF($B$14&gt;Klisz_Verbräuche[[#Headers],[2050]],Refsz_Verbräuche[[#This Row],[2050]],"")))</f>
        <v/>
      </c>
      <c r="AA28" s="14"/>
    </row>
    <row r="29" spans="2:27">
      <c r="B29" s="14">
        <v>12</v>
      </c>
      <c r="C29" s="197" t="str">
        <f>Refsz_Verbräuche[[#This Row],[Handlungsfeld]]</f>
        <v>Wärme</v>
      </c>
      <c r="D29" s="46" t="str">
        <f>Refsz_Verbräuche[[#This Row],[Datenpunkt]]</f>
        <v>Erdgas</v>
      </c>
      <c r="E29" s="26" t="str">
        <f>Refsz_Verbräuche[[#This Row],[Einheit]]</f>
        <v>MWh</v>
      </c>
      <c r="F29" s="108"/>
      <c r="G29" s="14" t="str">
        <f>IF(ISBLANK(Refsz_Verbräuche[[#This Row],[2015]]),"",Refsz_Verbräuche[[#This Row],[2015]])</f>
        <v/>
      </c>
      <c r="H29" s="14" t="str">
        <f>IF(ISBLANK(Refsz_Verbräuche[[#This Row],[2016]]),"",Refsz_Verbräuche[[#This Row],[2016]])</f>
        <v/>
      </c>
      <c r="I29" s="14" t="str">
        <f>IF(ISBLANK(Refsz_Verbräuche[[#This Row],[2017]]),"",Refsz_Verbräuche[[#This Row],[2017]])</f>
        <v/>
      </c>
      <c r="J29" s="14" t="str">
        <f>IF(ISBLANK(Refsz_Verbräuche[[#This Row],[2018]]),"",Refsz_Verbräuche[[#This Row],[2018]])</f>
        <v/>
      </c>
      <c r="K29" s="14" t="str">
        <f>IF(ISBLANK(Refsz_Verbräuche[[#This Row],[2019]]),"",Refsz_Verbräuche[[#This Row],[2019]])</f>
        <v/>
      </c>
      <c r="L29" s="14" t="str">
        <f>IF(ISBLANK(Refsz_Verbräuche[[#This Row],[2020]]),"",Refsz_Verbräuche[[#This Row],[2020]])</f>
        <v/>
      </c>
      <c r="M29" s="14" t="str">
        <f>IF(ISBLANK(Refsz_Verbräuche[[#This Row],[2021]]),"",Refsz_Verbräuche[[#This Row],[2021]])</f>
        <v/>
      </c>
      <c r="N29" s="49" t="str">
        <f>IF(Klisz_Verbräuche[[#Headers],[2022]]=$B$14,IF(COUNTIF($G29:Klisz_Verbräuche[[#This Row],[2021]],"&gt;0")&gt;0, AVERAGEIF($G29:Klisz_Verbräuche[[#This Row],[2021]],"&lt;&gt;"), ""),IF($B$14&lt;Klisz_Verbräuche[[#Headers],[2022]],IF(COUNTIF($G29:Klisz_Verbräuche[[#This Row],[2021]],"&gt;0")&gt;0,IF(COUNTIF($G29:Klisz_Verbräuche[[#This Row],[2021]],"&gt;0")&gt;0,Klisz_Verbräuche[[#This Row],[2021]]*(1-$F29)^1, ""), ""),IF($B$14&gt;Klisz_Verbräuche[[#Headers],[2022]],Refsz_Verbräuche[[#This Row],[2022]],"")))</f>
        <v/>
      </c>
      <c r="O29" s="49" t="str">
        <f>IF(Klisz_Verbräuche[[#Headers],[2023]]=$B$14,IF(COUNTIF($G29:Klisz_Verbräuche[[#This Row],[2022]],"&gt;0")&gt;0, AVERAGEIF($G29:Klisz_Verbräuche[[#This Row],[2022]],"&lt;&gt;"), ""),IF($B$14&lt;Klisz_Verbräuche[[#Headers],[2023]],IF(COUNTIF($G29:Klisz_Verbräuche[[#This Row],[2022]],"&gt;0")&gt;0,IF(COUNTIF($G29:Klisz_Verbräuche[[#This Row],[2022]],"&gt;0")&gt;0,Klisz_Verbräuche[[#This Row],[2022]]*(1-$F29)^1, ""), ""),IF($B$14&gt;Klisz_Verbräuche[[#Headers],[2023]],Refsz_Verbräuche[[#This Row],[2023]],"")))</f>
        <v/>
      </c>
      <c r="P29" s="49" t="str">
        <f>IF(Klisz_Verbräuche[[#Headers],[2024]]=$B$14,IF(COUNTIF($G29:Klisz_Verbräuche[[#This Row],[2023]],"&gt;0")&gt;0, AVERAGEIF($G29:Klisz_Verbräuche[[#This Row],[2023]],"&lt;&gt;"), ""),IF($B$14&lt;Klisz_Verbräuche[[#Headers],[2024]],IF(COUNTIF($G29:Klisz_Verbräuche[[#This Row],[2023]],"&gt;0")&gt;0,IF(COUNTIF($G29:Klisz_Verbräuche[[#This Row],[2023]],"&gt;0")&gt;0,Klisz_Verbräuche[[#This Row],[2023]]*(1-$F29)^1, ""), ""),IF($B$14&gt;Klisz_Verbräuche[[#Headers],[2024]],Refsz_Verbräuche[[#This Row],[2024]],"")))</f>
        <v/>
      </c>
      <c r="Q29" s="49" t="str">
        <f>IF(Klisz_Verbräuche[[#Headers],[2025]]=$B$14,IF(COUNTIF($G29:Klisz_Verbräuche[[#This Row],[2024]],"&gt;0")&gt;0, AVERAGEIF($G29:Klisz_Verbräuche[[#This Row],[2024]],"&lt;&gt;"), ""),IF($B$14&lt;Klisz_Verbräuche[[#Headers],[2025]],IF(COUNTIF($G29:Klisz_Verbräuche[[#This Row],[2024]],"&gt;0")&gt;0,IF(COUNTIF($G29:Klisz_Verbräuche[[#This Row],[2024]],"&gt;0")&gt;0,Klisz_Verbräuche[[#This Row],[2024]]*(1-$F29)^1, ""), ""),IF($B$14&gt;Klisz_Verbräuche[[#Headers],[2025]],Refsz_Verbräuche[[#This Row],[2025]],"")))</f>
        <v/>
      </c>
      <c r="R29" s="49" t="str">
        <f>IF(Klisz_Verbräuche[[#Headers],[2026]]=$B$14,IF(COUNTIF($G29:Klisz_Verbräuche[[#This Row],[2025]],"&gt;0")&gt;0, AVERAGEIF($G29:Klisz_Verbräuche[[#This Row],[2025]],"&lt;&gt;"), ""),IF($B$14&lt;Klisz_Verbräuche[[#Headers],[2026]],IF(COUNTIF($G29:Klisz_Verbräuche[[#This Row],[2025]],"&gt;0")&gt;0,IF(COUNTIF($G29:Klisz_Verbräuche[[#This Row],[2025]],"&gt;0")&gt;0,Klisz_Verbräuche[[#This Row],[2025]]*(1-$F29)^1, ""), ""),IF($B$14&gt;Klisz_Verbräuche[[#Headers],[2026]],Refsz_Verbräuche[[#This Row],[2026]],"")))</f>
        <v/>
      </c>
      <c r="S29" s="49" t="str">
        <f>IF(Klisz_Verbräuche[[#Headers],[2027]]=$B$14,IF(COUNTIF($G29:Klisz_Verbräuche[[#This Row],[2026]],"&gt;0")&gt;0, AVERAGEIF($G29:Klisz_Verbräuche[[#This Row],[2026]],"&lt;&gt;"), ""),IF($B$14&lt;Klisz_Verbräuche[[#Headers],[2027]],IF(COUNTIF($G29:Klisz_Verbräuche[[#This Row],[2026]],"&gt;0")&gt;0,IF(COUNTIF($G29:Klisz_Verbräuche[[#This Row],[2026]],"&gt;0")&gt;0,Klisz_Verbräuche[[#This Row],[2026]]*(1-$F29)^1, ""), ""),IF($B$14&gt;Klisz_Verbräuche[[#Headers],[2027]],Refsz_Verbräuche[[#This Row],[2027]],"")))</f>
        <v/>
      </c>
      <c r="T29" s="49" t="str">
        <f>IF(Klisz_Verbräuche[[#Headers],[2028]]=$B$14,IF(COUNTIF($G29:Klisz_Verbräuche[[#This Row],[2027]],"&gt;0")&gt;0, AVERAGEIF($G29:Klisz_Verbräuche[[#This Row],[2027]],"&lt;&gt;"), ""),IF($B$14&lt;Klisz_Verbräuche[[#Headers],[2028]],IF(COUNTIF($G29:Klisz_Verbräuche[[#This Row],[2027]],"&gt;0")&gt;0,IF(COUNTIF($G29:Klisz_Verbräuche[[#This Row],[2027]],"&gt;0")&gt;0,Klisz_Verbräuche[[#This Row],[2027]]*(1-$F29)^1, ""), ""),IF($B$14&gt;Klisz_Verbräuche[[#Headers],[2028]],Refsz_Verbräuche[[#This Row],[2028]],"")))</f>
        <v/>
      </c>
      <c r="U29" s="49" t="str">
        <f>IF(Klisz_Verbräuche[[#Headers],[2029]]=$B$14,IF(COUNTIF($G29:Klisz_Verbräuche[[#This Row],[2028]],"&gt;0")&gt;0, AVERAGEIF($G29:Klisz_Verbräuche[[#This Row],[2028]],"&lt;&gt;"), ""),IF($B$14&lt;Klisz_Verbräuche[[#Headers],[2029]],IF(COUNTIF($G29:Klisz_Verbräuche[[#This Row],[2028]],"&gt;0")&gt;0,IF(COUNTIF($G29:Klisz_Verbräuche[[#This Row],[2028]],"&gt;0")&gt;0,Klisz_Verbräuche[[#This Row],[2028]]*(1-$F29)^1, ""), ""),IF($B$14&gt;Klisz_Verbräuche[[#Headers],[2029]],Refsz_Verbräuche[[#This Row],[2029]],"")))</f>
        <v/>
      </c>
      <c r="V29" s="49" t="str">
        <f>IF(Klisz_Verbräuche[[#Headers],[2030]]=$B$14,IF(COUNTIF($G29:Klisz_Verbräuche[[#This Row],[2029]],"&gt;0")&gt;0, AVERAGEIF($G29:Klisz_Verbräuche[[#This Row],[2029]],"&lt;&gt;"), ""),IF($B$14&lt;Klisz_Verbräuche[[#Headers],[2030]],IF(COUNTIF($G29:Klisz_Verbräuche[[#This Row],[2029]],"&gt;0")&gt;0,IF(COUNTIF($G29:Klisz_Verbräuche[[#This Row],[2029]],"&gt;0")&gt;0,Klisz_Verbräuche[[#This Row],[2029]]*(1-$F29)^1, ""), ""),IF($B$14&gt;Klisz_Verbräuche[[#Headers],[2030]],Refsz_Verbräuche[[#This Row],[2030]],"")))</f>
        <v/>
      </c>
      <c r="W29" s="49" t="str">
        <f>IF(Klisz_Verbräuche[[#Headers],[2035]]=$B$14,IF(COUNTIF($G29:Klisz_Verbräuche[[#This Row],[2030]],"&gt;0")&gt;0, AVERAGEIF($G29:Klisz_Verbräuche[[#This Row],[2030]],"&lt;&gt;"), ""),IF($B$14&lt;Klisz_Verbräuche[[#Headers],[2035]],IF(COUNTIF($G29:Klisz_Verbräuche[[#This Row],[2030]],"&gt;0")&gt;0,IF(COUNTIF($G29:Klisz_Verbräuche[[#This Row],[2030]],"&gt;0")&gt;0,Klisz_Verbräuche[[#This Row],[2030]]*(1-$F29)^5, ""), ""),IF($B$14&gt;Klisz_Verbräuche[[#Headers],[2035]],Refsz_Verbräuche[[#This Row],[2035]],"")))</f>
        <v/>
      </c>
      <c r="X29" s="49" t="str">
        <f>IF(Klisz_Verbräuche[[#Headers],[2040]]=$B$14,IF(COUNTIF($G29:Klisz_Verbräuche[[#This Row],[2035]],"&gt;0")&gt;0, AVERAGEIF($G29:Klisz_Verbräuche[[#This Row],[2035]],"&lt;&gt;"), ""),IF($B$14&lt;Klisz_Verbräuche[[#Headers],[2040]],IF(COUNTIF($G29:Klisz_Verbräuche[[#This Row],[2035]],"&gt;0")&gt;0,IF(COUNTIF($G29:Klisz_Verbräuche[[#This Row],[2035]],"&gt;0")&gt;0,Klisz_Verbräuche[[#This Row],[2035]]*(1-$F29)^5, ""), ""),IF($B$14&gt;Klisz_Verbräuche[[#Headers],[2040]],Refsz_Verbräuche[[#This Row],[2040]],"")))</f>
        <v/>
      </c>
      <c r="Y29" s="49" t="str">
        <f>IF(Klisz_Verbräuche[[#Headers],[2045]]=$B$14,IF(COUNTIF($G29:Klisz_Verbräuche[[#This Row],[2040]],"&gt;0")&gt;0, AVERAGEIF($G29:Klisz_Verbräuche[[#This Row],[2040]],"&lt;&gt;"), ""),IF($B$14&lt;Klisz_Verbräuche[[#Headers],[2045]],IF(COUNTIF($G29:Klisz_Verbräuche[[#This Row],[2040]],"&gt;0")&gt;0,IF(COUNTIF($G29:Klisz_Verbräuche[[#This Row],[2040]],"&gt;0")&gt;0,Klisz_Verbräuche[[#This Row],[2040]]*(1-$F29)^5, ""), ""),IF($B$14&gt;Klisz_Verbräuche[[#Headers],[2045]],Refsz_Verbräuche[[#This Row],[2045]],"")))</f>
        <v/>
      </c>
      <c r="Z29" s="49" t="str">
        <f>IF(Klisz_Verbräuche[[#Headers],[2050]]=$B$14,IF(COUNTIF($G29:Klisz_Verbräuche[[#This Row],[2045]],"&gt;0")&gt;0, AVERAGEIF($G29:Klisz_Verbräuche[[#This Row],[2045]],"&lt;&gt;"), ""),IF($B$14&lt;Klisz_Verbräuche[[#Headers],[2050]],IF(COUNTIF($G29:Klisz_Verbräuche[[#This Row],[2045]],"&gt;0")&gt;0,IF(COUNTIF($G29:Klisz_Verbräuche[[#This Row],[2045]],"&gt;0")&gt;0,Klisz_Verbräuche[[#This Row],[2045]]*(1-$F29)^5, ""), ""),IF($B$14&gt;Klisz_Verbräuche[[#Headers],[2050]],Refsz_Verbräuche[[#This Row],[2050]],"")))</f>
        <v/>
      </c>
      <c r="AA29" s="14"/>
    </row>
    <row r="30" spans="2:27" hidden="1">
      <c r="B30" s="14">
        <v>13</v>
      </c>
      <c r="C30" s="197" t="str">
        <f>Refsz_Verbräuche[[#This Row],[Handlungsfeld]]</f>
        <v>Wärme</v>
      </c>
      <c r="D30" s="46" t="str">
        <f>Refsz_Verbräuche[[#This Row],[Datenpunkt]]</f>
        <v>BHKW</v>
      </c>
      <c r="E30" s="138" t="str">
        <f>Refsz_Verbräuche[[#This Row],[Einheit]]</f>
        <v>Nichts eintragen</v>
      </c>
      <c r="F30" s="108"/>
      <c r="G30" s="14" t="str">
        <f>IF(ISBLANK(Refsz_Verbräuche[[#This Row],[2015]]),"",Refsz_Verbräuche[[#This Row],[2015]])</f>
        <v/>
      </c>
      <c r="H30" s="14" t="str">
        <f>IF(ISBLANK(Refsz_Verbräuche[[#This Row],[2016]]),"",Refsz_Verbräuche[[#This Row],[2016]])</f>
        <v/>
      </c>
      <c r="I30" s="14" t="str">
        <f>IF(ISBLANK(Refsz_Verbräuche[[#This Row],[2017]]),"",Refsz_Verbräuche[[#This Row],[2017]])</f>
        <v/>
      </c>
      <c r="J30" s="14" t="str">
        <f>IF(ISBLANK(Refsz_Verbräuche[[#This Row],[2018]]),"",Refsz_Verbräuche[[#This Row],[2018]])</f>
        <v/>
      </c>
      <c r="K30" s="14" t="str">
        <f>IF(ISBLANK(Refsz_Verbräuche[[#This Row],[2019]]),"",Refsz_Verbräuche[[#This Row],[2019]])</f>
        <v/>
      </c>
      <c r="L30" s="14" t="str">
        <f>IF(ISBLANK(Refsz_Verbräuche[[#This Row],[2020]]),"",Refsz_Verbräuche[[#This Row],[2020]])</f>
        <v/>
      </c>
      <c r="M30" s="14" t="str">
        <f>IF(ISBLANK(Refsz_Verbräuche[[#This Row],[2021]]),"",Refsz_Verbräuche[[#This Row],[2021]])</f>
        <v/>
      </c>
      <c r="N30" s="49" t="str">
        <f>IF(Klisz_Verbräuche[[#Headers],[2022]]=$B$14,IF(COUNTIF($G30:Klisz_Verbräuche[[#This Row],[2021]],"&gt;0")&gt;0, AVERAGEIF($G30:Klisz_Verbräuche[[#This Row],[2021]],"&lt;&gt;"), ""),IF($B$14&lt;Klisz_Verbräuche[[#Headers],[2022]],IF(COUNTIF($G30:Klisz_Verbräuche[[#This Row],[2021]],"&gt;0")&gt;0,IF(COUNTIF($G30:Klisz_Verbräuche[[#This Row],[2021]],"&gt;0")&gt;0,Klisz_Verbräuche[[#This Row],[2021]]*(1-$F30)^1, ""), ""),IF($B$14&gt;Klisz_Verbräuche[[#Headers],[2022]],Refsz_Verbräuche[[#This Row],[2022]],"")))</f>
        <v/>
      </c>
      <c r="O30" s="49" t="str">
        <f>IF(Klisz_Verbräuche[[#Headers],[2023]]=$B$14,IF(COUNTIF($G30:Klisz_Verbräuche[[#This Row],[2022]],"&gt;0")&gt;0, AVERAGEIF($G30:Klisz_Verbräuche[[#This Row],[2022]],"&lt;&gt;"), ""),IF($B$14&lt;Klisz_Verbräuche[[#Headers],[2023]],IF(COUNTIF($G30:Klisz_Verbräuche[[#This Row],[2022]],"&gt;0")&gt;0,IF(COUNTIF($G30:Klisz_Verbräuche[[#This Row],[2022]],"&gt;0")&gt;0,Klisz_Verbräuche[[#This Row],[2022]]*(1-$F30)^1, ""), ""),IF($B$14&gt;Klisz_Verbräuche[[#Headers],[2023]],Refsz_Verbräuche[[#This Row],[2023]],"")))</f>
        <v/>
      </c>
      <c r="P30" s="49" t="str">
        <f>IF(Klisz_Verbräuche[[#Headers],[2024]]=$B$14,IF(COUNTIF($G30:Klisz_Verbräuche[[#This Row],[2023]],"&gt;0")&gt;0, AVERAGEIF($G30:Klisz_Verbräuche[[#This Row],[2023]],"&lt;&gt;"), ""),IF($B$14&lt;Klisz_Verbräuche[[#Headers],[2024]],IF(COUNTIF($G30:Klisz_Verbräuche[[#This Row],[2023]],"&gt;0")&gt;0,IF(COUNTIF($G30:Klisz_Verbräuche[[#This Row],[2023]],"&gt;0")&gt;0,Klisz_Verbräuche[[#This Row],[2023]]*(1-$F30)^1, ""), ""),IF($B$14&gt;Klisz_Verbräuche[[#Headers],[2024]],Refsz_Verbräuche[[#This Row],[2024]],"")))</f>
        <v/>
      </c>
      <c r="Q30" s="49" t="str">
        <f>IF(Klisz_Verbräuche[[#Headers],[2025]]=$B$14,IF(COUNTIF($G30:Klisz_Verbräuche[[#This Row],[2024]],"&gt;0")&gt;0, AVERAGEIF($G30:Klisz_Verbräuche[[#This Row],[2024]],"&lt;&gt;"), ""),IF($B$14&lt;Klisz_Verbräuche[[#Headers],[2025]],IF(COUNTIF($G30:Klisz_Verbräuche[[#This Row],[2024]],"&gt;0")&gt;0,IF(COUNTIF($G30:Klisz_Verbräuche[[#This Row],[2024]],"&gt;0")&gt;0,Klisz_Verbräuche[[#This Row],[2024]]*(1-$F30)^1, ""), ""),IF($B$14&gt;Klisz_Verbräuche[[#Headers],[2025]],Refsz_Verbräuche[[#This Row],[2025]],"")))</f>
        <v/>
      </c>
      <c r="R30" s="49" t="str">
        <f>IF(Klisz_Verbräuche[[#Headers],[2026]]=$B$14,IF(COUNTIF($G30:Klisz_Verbräuche[[#This Row],[2025]],"&gt;0")&gt;0, AVERAGEIF($G30:Klisz_Verbräuche[[#This Row],[2025]],"&lt;&gt;"), ""),IF($B$14&lt;Klisz_Verbräuche[[#Headers],[2026]],IF(COUNTIF($G30:Klisz_Verbräuche[[#This Row],[2025]],"&gt;0")&gt;0,IF(COUNTIF($G30:Klisz_Verbräuche[[#This Row],[2025]],"&gt;0")&gt;0,Klisz_Verbräuche[[#This Row],[2025]]*(1-$F30)^1, ""), ""),IF($B$14&gt;Klisz_Verbräuche[[#Headers],[2026]],Refsz_Verbräuche[[#This Row],[2026]],"")))</f>
        <v/>
      </c>
      <c r="S30" s="49" t="str">
        <f>IF(Klisz_Verbräuche[[#Headers],[2027]]=$B$14,IF(COUNTIF($G30:Klisz_Verbräuche[[#This Row],[2026]],"&gt;0")&gt;0, AVERAGEIF($G30:Klisz_Verbräuche[[#This Row],[2026]],"&lt;&gt;"), ""),IF($B$14&lt;Klisz_Verbräuche[[#Headers],[2027]],IF(COUNTIF($G30:Klisz_Verbräuche[[#This Row],[2026]],"&gt;0")&gt;0,IF(COUNTIF($G30:Klisz_Verbräuche[[#This Row],[2026]],"&gt;0")&gt;0,Klisz_Verbräuche[[#This Row],[2026]]*(1-$F30)^1, ""), ""),IF($B$14&gt;Klisz_Verbräuche[[#Headers],[2027]],Refsz_Verbräuche[[#This Row],[2027]],"")))</f>
        <v/>
      </c>
      <c r="T30" s="49" t="str">
        <f>IF(Klisz_Verbräuche[[#Headers],[2028]]=$B$14,IF(COUNTIF($G30:Klisz_Verbräuche[[#This Row],[2027]],"&gt;0")&gt;0, AVERAGEIF($G30:Klisz_Verbräuche[[#This Row],[2027]],"&lt;&gt;"), ""),IF($B$14&lt;Klisz_Verbräuche[[#Headers],[2028]],IF(COUNTIF($G30:Klisz_Verbräuche[[#This Row],[2027]],"&gt;0")&gt;0,IF(COUNTIF($G30:Klisz_Verbräuche[[#This Row],[2027]],"&gt;0")&gt;0,Klisz_Verbräuche[[#This Row],[2027]]*(1-$F30)^1, ""), ""),IF($B$14&gt;Klisz_Verbräuche[[#Headers],[2028]],Refsz_Verbräuche[[#This Row],[2028]],"")))</f>
        <v/>
      </c>
      <c r="U30" s="49" t="str">
        <f>IF(Klisz_Verbräuche[[#Headers],[2029]]=$B$14,IF(COUNTIF($G30:Klisz_Verbräuche[[#This Row],[2028]],"&gt;0")&gt;0, AVERAGEIF($G30:Klisz_Verbräuche[[#This Row],[2028]],"&lt;&gt;"), ""),IF($B$14&lt;Klisz_Verbräuche[[#Headers],[2029]],IF(COUNTIF($G30:Klisz_Verbräuche[[#This Row],[2028]],"&gt;0")&gt;0,IF(COUNTIF($G30:Klisz_Verbräuche[[#This Row],[2028]],"&gt;0")&gt;0,Klisz_Verbräuche[[#This Row],[2028]]*(1-$F30)^1, ""), ""),IF($B$14&gt;Klisz_Verbräuche[[#Headers],[2029]],Refsz_Verbräuche[[#This Row],[2029]],"")))</f>
        <v/>
      </c>
      <c r="V30" s="49" t="str">
        <f>IF(Klisz_Verbräuche[[#Headers],[2030]]=$B$14,IF(COUNTIF($G30:Klisz_Verbräuche[[#This Row],[2029]],"&gt;0")&gt;0, AVERAGEIF($G30:Klisz_Verbräuche[[#This Row],[2029]],"&lt;&gt;"), ""),IF($B$14&lt;Klisz_Verbräuche[[#Headers],[2030]],IF(COUNTIF($G30:Klisz_Verbräuche[[#This Row],[2029]],"&gt;0")&gt;0,IF(COUNTIF($G30:Klisz_Verbräuche[[#This Row],[2029]],"&gt;0")&gt;0,Klisz_Verbräuche[[#This Row],[2029]]*(1-$F30)^1, ""), ""),IF($B$14&gt;Klisz_Verbräuche[[#Headers],[2030]],Refsz_Verbräuche[[#This Row],[2030]],"")))</f>
        <v/>
      </c>
      <c r="W30" s="49" t="str">
        <f>IF(Klisz_Verbräuche[[#Headers],[2035]]=$B$14,IF(COUNTIF($G30:Klisz_Verbräuche[[#This Row],[2030]],"&gt;0")&gt;0, AVERAGEIF($G30:Klisz_Verbräuche[[#This Row],[2030]],"&lt;&gt;"), ""),IF($B$14&lt;Klisz_Verbräuche[[#Headers],[2035]],IF(COUNTIF($G30:Klisz_Verbräuche[[#This Row],[2030]],"&gt;0")&gt;0,IF(COUNTIF($G30:Klisz_Verbräuche[[#This Row],[2030]],"&gt;0")&gt;0,Klisz_Verbräuche[[#This Row],[2030]]*(1-$F30)^5, ""), ""),IF($B$14&gt;Klisz_Verbräuche[[#Headers],[2035]],Refsz_Verbräuche[[#This Row],[2035]],"")))</f>
        <v/>
      </c>
      <c r="X30" s="49" t="str">
        <f>IF(Klisz_Verbräuche[[#Headers],[2040]]=$B$14,IF(COUNTIF($G30:Klisz_Verbräuche[[#This Row],[2035]],"&gt;0")&gt;0, AVERAGEIF($G30:Klisz_Verbräuche[[#This Row],[2035]],"&lt;&gt;"), ""),IF($B$14&lt;Klisz_Verbräuche[[#Headers],[2040]],IF(COUNTIF($G30:Klisz_Verbräuche[[#This Row],[2035]],"&gt;0")&gt;0,IF(COUNTIF($G30:Klisz_Verbräuche[[#This Row],[2035]],"&gt;0")&gt;0,Klisz_Verbräuche[[#This Row],[2035]]*(1-$F30)^5, ""), ""),IF($B$14&gt;Klisz_Verbräuche[[#Headers],[2040]],Refsz_Verbräuche[[#This Row],[2040]],"")))</f>
        <v/>
      </c>
      <c r="Y30" s="49" t="str">
        <f>IF(Klisz_Verbräuche[[#Headers],[2045]]=$B$14,IF(COUNTIF($G30:Klisz_Verbräuche[[#This Row],[2040]],"&gt;0")&gt;0, AVERAGEIF($G30:Klisz_Verbräuche[[#This Row],[2040]],"&lt;&gt;"), ""),IF($B$14&lt;Klisz_Verbräuche[[#Headers],[2045]],IF(COUNTIF($G30:Klisz_Verbräuche[[#This Row],[2040]],"&gt;0")&gt;0,IF(COUNTIF($G30:Klisz_Verbräuche[[#This Row],[2040]],"&gt;0")&gt;0,Klisz_Verbräuche[[#This Row],[2040]]*(1-$F30)^5, ""), ""),IF($B$14&gt;Klisz_Verbräuche[[#Headers],[2045]],Refsz_Verbräuche[[#This Row],[2045]],"")))</f>
        <v/>
      </c>
      <c r="Z30" s="49" t="str">
        <f>IF(Klisz_Verbräuche[[#Headers],[2050]]=$B$14,IF(COUNTIF($G30:Klisz_Verbräuche[[#This Row],[2045]],"&gt;0")&gt;0, AVERAGEIF($G30:Klisz_Verbräuche[[#This Row],[2045]],"&lt;&gt;"), ""),IF($B$14&lt;Klisz_Verbräuche[[#Headers],[2050]],IF(COUNTIF($G30:Klisz_Verbräuche[[#This Row],[2045]],"&gt;0")&gt;0,IF(COUNTIF($G30:Klisz_Verbräuche[[#This Row],[2045]],"&gt;0")&gt;0,Klisz_Verbräuche[[#This Row],[2045]]*(1-$F30)^5, ""), ""),IF($B$14&gt;Klisz_Verbräuche[[#Headers],[2050]],Refsz_Verbräuche[[#This Row],[2050]],"")))</f>
        <v/>
      </c>
      <c r="AA30" s="14"/>
    </row>
    <row r="31" spans="2:27">
      <c r="B31" s="14">
        <v>14</v>
      </c>
      <c r="C31" s="197" t="str">
        <f>Refsz_Verbräuche[[#This Row],[Handlungsfeld]]</f>
        <v>Wärme</v>
      </c>
      <c r="D31" s="46" t="str">
        <f>Refsz_Verbräuche[[#This Row],[Datenpunkt]]</f>
        <v>Biogas</v>
      </c>
      <c r="E31" s="26" t="str">
        <f>Refsz_Verbräuche[[#This Row],[Einheit]]</f>
        <v>MWh</v>
      </c>
      <c r="F31" s="108"/>
      <c r="G31" s="14" t="str">
        <f>IF(ISBLANK(Refsz_Verbräuche[[#This Row],[2015]]),"",Refsz_Verbräuche[[#This Row],[2015]])</f>
        <v/>
      </c>
      <c r="H31" s="14" t="str">
        <f>IF(ISBLANK(Refsz_Verbräuche[[#This Row],[2016]]),"",Refsz_Verbräuche[[#This Row],[2016]])</f>
        <v/>
      </c>
      <c r="I31" s="14" t="str">
        <f>IF(ISBLANK(Refsz_Verbräuche[[#This Row],[2017]]),"",Refsz_Verbräuche[[#This Row],[2017]])</f>
        <v/>
      </c>
      <c r="J31" s="14" t="str">
        <f>IF(ISBLANK(Refsz_Verbräuche[[#This Row],[2018]]),"",Refsz_Verbräuche[[#This Row],[2018]])</f>
        <v/>
      </c>
      <c r="K31" s="14" t="str">
        <f>IF(ISBLANK(Refsz_Verbräuche[[#This Row],[2019]]),"",Refsz_Verbräuche[[#This Row],[2019]])</f>
        <v/>
      </c>
      <c r="L31" s="14" t="str">
        <f>IF(ISBLANK(Refsz_Verbräuche[[#This Row],[2020]]),"",Refsz_Verbräuche[[#This Row],[2020]])</f>
        <v/>
      </c>
      <c r="M31" s="14" t="str">
        <f>IF(ISBLANK(Refsz_Verbräuche[[#This Row],[2021]]),"",Refsz_Verbräuche[[#This Row],[2021]])</f>
        <v/>
      </c>
      <c r="N31" s="49" t="str">
        <f>IF(Klisz_Verbräuche[[#Headers],[2022]]=$B$14,IF(COUNTIF($G31:Klisz_Verbräuche[[#This Row],[2021]],"&gt;0")&gt;0, AVERAGEIF($G31:Klisz_Verbräuche[[#This Row],[2021]],"&lt;&gt;"), ""),IF($B$14&lt;Klisz_Verbräuche[[#Headers],[2022]],IF(COUNTIF($G31:Klisz_Verbräuche[[#This Row],[2021]],"&gt;0")&gt;0,IF(COUNTIF($G31:Klisz_Verbräuche[[#This Row],[2021]],"&gt;0")&gt;0,Klisz_Verbräuche[[#This Row],[2021]]*(1-$F31)^1, ""), ""),IF($B$14&gt;Klisz_Verbräuche[[#Headers],[2022]],Refsz_Verbräuche[[#This Row],[2022]],"")))</f>
        <v/>
      </c>
      <c r="O31" s="49" t="str">
        <f>IF(Klisz_Verbräuche[[#Headers],[2023]]=$B$14,IF(COUNTIF($G31:Klisz_Verbräuche[[#This Row],[2022]],"&gt;0")&gt;0, AVERAGEIF($G31:Klisz_Verbräuche[[#This Row],[2022]],"&lt;&gt;"), ""),IF($B$14&lt;Klisz_Verbräuche[[#Headers],[2023]],IF(COUNTIF($G31:Klisz_Verbräuche[[#This Row],[2022]],"&gt;0")&gt;0,IF(COUNTIF($G31:Klisz_Verbräuche[[#This Row],[2022]],"&gt;0")&gt;0,Klisz_Verbräuche[[#This Row],[2022]]*(1-$F31)^1, ""), ""),IF($B$14&gt;Klisz_Verbräuche[[#Headers],[2023]],Refsz_Verbräuche[[#This Row],[2023]],"")))</f>
        <v/>
      </c>
      <c r="P31" s="49" t="str">
        <f>IF(Klisz_Verbräuche[[#Headers],[2024]]=$B$14,IF(COUNTIF($G31:Klisz_Verbräuche[[#This Row],[2023]],"&gt;0")&gt;0, AVERAGEIF($G31:Klisz_Verbräuche[[#This Row],[2023]],"&lt;&gt;"), ""),IF($B$14&lt;Klisz_Verbräuche[[#Headers],[2024]],IF(COUNTIF($G31:Klisz_Verbräuche[[#This Row],[2023]],"&gt;0")&gt;0,IF(COUNTIF($G31:Klisz_Verbräuche[[#This Row],[2023]],"&gt;0")&gt;0,Klisz_Verbräuche[[#This Row],[2023]]*(1-$F31)^1, ""), ""),IF($B$14&gt;Klisz_Verbräuche[[#Headers],[2024]],Refsz_Verbräuche[[#This Row],[2024]],"")))</f>
        <v/>
      </c>
      <c r="Q31" s="49" t="str">
        <f>IF(Klisz_Verbräuche[[#Headers],[2025]]=$B$14,IF(COUNTIF($G31:Klisz_Verbräuche[[#This Row],[2024]],"&gt;0")&gt;0, AVERAGEIF($G31:Klisz_Verbräuche[[#This Row],[2024]],"&lt;&gt;"), ""),IF($B$14&lt;Klisz_Verbräuche[[#Headers],[2025]],IF(COUNTIF($G31:Klisz_Verbräuche[[#This Row],[2024]],"&gt;0")&gt;0,IF(COUNTIF($G31:Klisz_Verbräuche[[#This Row],[2024]],"&gt;0")&gt;0,Klisz_Verbräuche[[#This Row],[2024]]*(1-$F31)^1, ""), ""),IF($B$14&gt;Klisz_Verbräuche[[#Headers],[2025]],Refsz_Verbräuche[[#This Row],[2025]],"")))</f>
        <v/>
      </c>
      <c r="R31" s="49" t="str">
        <f>IF(Klisz_Verbräuche[[#Headers],[2026]]=$B$14,IF(COUNTIF($G31:Klisz_Verbräuche[[#This Row],[2025]],"&gt;0")&gt;0, AVERAGEIF($G31:Klisz_Verbräuche[[#This Row],[2025]],"&lt;&gt;"), ""),IF($B$14&lt;Klisz_Verbräuche[[#Headers],[2026]],IF(COUNTIF($G31:Klisz_Verbräuche[[#This Row],[2025]],"&gt;0")&gt;0,IF(COUNTIF($G31:Klisz_Verbräuche[[#This Row],[2025]],"&gt;0")&gt;0,Klisz_Verbräuche[[#This Row],[2025]]*(1-$F31)^1, ""), ""),IF($B$14&gt;Klisz_Verbräuche[[#Headers],[2026]],Refsz_Verbräuche[[#This Row],[2026]],"")))</f>
        <v/>
      </c>
      <c r="S31" s="49" t="str">
        <f>IF(Klisz_Verbräuche[[#Headers],[2027]]=$B$14,IF(COUNTIF($G31:Klisz_Verbräuche[[#This Row],[2026]],"&gt;0")&gt;0, AVERAGEIF($G31:Klisz_Verbräuche[[#This Row],[2026]],"&lt;&gt;"), ""),IF($B$14&lt;Klisz_Verbräuche[[#Headers],[2027]],IF(COUNTIF($G31:Klisz_Verbräuche[[#This Row],[2026]],"&gt;0")&gt;0,IF(COUNTIF($G31:Klisz_Verbräuche[[#This Row],[2026]],"&gt;0")&gt;0,Klisz_Verbräuche[[#This Row],[2026]]*(1-$F31)^1, ""), ""),IF($B$14&gt;Klisz_Verbräuche[[#Headers],[2027]],Refsz_Verbräuche[[#This Row],[2027]],"")))</f>
        <v/>
      </c>
      <c r="T31" s="49" t="str">
        <f>IF(Klisz_Verbräuche[[#Headers],[2028]]=$B$14,IF(COUNTIF($G31:Klisz_Verbräuche[[#This Row],[2027]],"&gt;0")&gt;0, AVERAGEIF($G31:Klisz_Verbräuche[[#This Row],[2027]],"&lt;&gt;"), ""),IF($B$14&lt;Klisz_Verbräuche[[#Headers],[2028]],IF(COUNTIF($G31:Klisz_Verbräuche[[#This Row],[2027]],"&gt;0")&gt;0,IF(COUNTIF($G31:Klisz_Verbräuche[[#This Row],[2027]],"&gt;0")&gt;0,Klisz_Verbräuche[[#This Row],[2027]]*(1-$F31)^1, ""), ""),IF($B$14&gt;Klisz_Verbräuche[[#Headers],[2028]],Refsz_Verbräuche[[#This Row],[2028]],"")))</f>
        <v/>
      </c>
      <c r="U31" s="49" t="str">
        <f>IF(Klisz_Verbräuche[[#Headers],[2029]]=$B$14,IF(COUNTIF($G31:Klisz_Verbräuche[[#This Row],[2028]],"&gt;0")&gt;0, AVERAGEIF($G31:Klisz_Verbräuche[[#This Row],[2028]],"&lt;&gt;"), ""),IF($B$14&lt;Klisz_Verbräuche[[#Headers],[2029]],IF(COUNTIF($G31:Klisz_Verbräuche[[#This Row],[2028]],"&gt;0")&gt;0,IF(COUNTIF($G31:Klisz_Verbräuche[[#This Row],[2028]],"&gt;0")&gt;0,Klisz_Verbräuche[[#This Row],[2028]]*(1-$F31)^1, ""), ""),IF($B$14&gt;Klisz_Verbräuche[[#Headers],[2029]],Refsz_Verbräuche[[#This Row],[2029]],"")))</f>
        <v/>
      </c>
      <c r="V31" s="49" t="str">
        <f>IF(Klisz_Verbräuche[[#Headers],[2030]]=$B$14,IF(COUNTIF($G31:Klisz_Verbräuche[[#This Row],[2029]],"&gt;0")&gt;0, AVERAGEIF($G31:Klisz_Verbräuche[[#This Row],[2029]],"&lt;&gt;"), ""),IF($B$14&lt;Klisz_Verbräuche[[#Headers],[2030]],IF(COUNTIF($G31:Klisz_Verbräuche[[#This Row],[2029]],"&gt;0")&gt;0,IF(COUNTIF($G31:Klisz_Verbräuche[[#This Row],[2029]],"&gt;0")&gt;0,Klisz_Verbräuche[[#This Row],[2029]]*(1-$F31)^1, ""), ""),IF($B$14&gt;Klisz_Verbräuche[[#Headers],[2030]],Refsz_Verbräuche[[#This Row],[2030]],"")))</f>
        <v/>
      </c>
      <c r="W31" s="49" t="str">
        <f>IF(Klisz_Verbräuche[[#Headers],[2035]]=$B$14,IF(COUNTIF($G31:Klisz_Verbräuche[[#This Row],[2030]],"&gt;0")&gt;0, AVERAGEIF($G31:Klisz_Verbräuche[[#This Row],[2030]],"&lt;&gt;"), ""),IF($B$14&lt;Klisz_Verbräuche[[#Headers],[2035]],IF(COUNTIF($G31:Klisz_Verbräuche[[#This Row],[2030]],"&gt;0")&gt;0,IF(COUNTIF($G31:Klisz_Verbräuche[[#This Row],[2030]],"&gt;0")&gt;0,Klisz_Verbräuche[[#This Row],[2030]]*(1-$F31)^5, ""), ""),IF($B$14&gt;Klisz_Verbräuche[[#Headers],[2035]],Refsz_Verbräuche[[#This Row],[2035]],"")))</f>
        <v/>
      </c>
      <c r="X31" s="49" t="str">
        <f>IF(Klisz_Verbräuche[[#Headers],[2040]]=$B$14,IF(COUNTIF($G31:Klisz_Verbräuche[[#This Row],[2035]],"&gt;0")&gt;0, AVERAGEIF($G31:Klisz_Verbräuche[[#This Row],[2035]],"&lt;&gt;"), ""),IF($B$14&lt;Klisz_Verbräuche[[#Headers],[2040]],IF(COUNTIF($G31:Klisz_Verbräuche[[#This Row],[2035]],"&gt;0")&gt;0,IF(COUNTIF($G31:Klisz_Verbräuche[[#This Row],[2035]],"&gt;0")&gt;0,Klisz_Verbräuche[[#This Row],[2035]]*(1-$F31)^5, ""), ""),IF($B$14&gt;Klisz_Verbräuche[[#Headers],[2040]],Refsz_Verbräuche[[#This Row],[2040]],"")))</f>
        <v/>
      </c>
      <c r="Y31" s="49" t="str">
        <f>IF(Klisz_Verbräuche[[#Headers],[2045]]=$B$14,IF(COUNTIF($G31:Klisz_Verbräuche[[#This Row],[2040]],"&gt;0")&gt;0, AVERAGEIF($G31:Klisz_Verbräuche[[#This Row],[2040]],"&lt;&gt;"), ""),IF($B$14&lt;Klisz_Verbräuche[[#Headers],[2045]],IF(COUNTIF($G31:Klisz_Verbräuche[[#This Row],[2040]],"&gt;0")&gt;0,IF(COUNTIF($G31:Klisz_Verbräuche[[#This Row],[2040]],"&gt;0")&gt;0,Klisz_Verbräuche[[#This Row],[2040]]*(1-$F31)^5, ""), ""),IF($B$14&gt;Klisz_Verbräuche[[#Headers],[2045]],Refsz_Verbräuche[[#This Row],[2045]],"")))</f>
        <v/>
      </c>
      <c r="Z31" s="49" t="str">
        <f>IF(Klisz_Verbräuche[[#Headers],[2050]]=$B$14,IF(COUNTIF($G31:Klisz_Verbräuche[[#This Row],[2045]],"&gt;0")&gt;0, AVERAGEIF($G31:Klisz_Verbräuche[[#This Row],[2045]],"&lt;&gt;"), ""),IF($B$14&lt;Klisz_Verbräuche[[#Headers],[2050]],IF(COUNTIF($G31:Klisz_Verbräuche[[#This Row],[2045]],"&gt;0")&gt;0,IF(COUNTIF($G31:Klisz_Verbräuche[[#This Row],[2045]],"&gt;0")&gt;0,Klisz_Verbräuche[[#This Row],[2045]]*(1-$F31)^5, ""), ""),IF($B$14&gt;Klisz_Verbräuche[[#Headers],[2050]],Refsz_Verbräuche[[#This Row],[2050]],"")))</f>
        <v/>
      </c>
      <c r="AA31" s="14"/>
    </row>
    <row r="32" spans="2:27">
      <c r="B32" s="14">
        <v>15</v>
      </c>
      <c r="C32" s="197" t="str">
        <f>Refsz_Verbräuche[[#This Row],[Handlungsfeld]]</f>
        <v>Wärme</v>
      </c>
      <c r="D32" s="46" t="str">
        <f>Refsz_Verbräuche[[#This Row],[Datenpunkt]]</f>
        <v>Individueller Emissionsfaktor</v>
      </c>
      <c r="E32" s="26" t="str">
        <f>Refsz_Verbräuche[[#This Row],[Einheit]]</f>
        <v>MWh</v>
      </c>
      <c r="F32" s="108"/>
      <c r="G32" s="14" t="str">
        <f>IF(ISBLANK(Refsz_Verbräuche[[#This Row],[2015]]),"",Refsz_Verbräuche[[#This Row],[2015]])</f>
        <v/>
      </c>
      <c r="H32" s="14" t="str">
        <f>IF(ISBLANK(Refsz_Verbräuche[[#This Row],[2016]]),"",Refsz_Verbräuche[[#This Row],[2016]])</f>
        <v/>
      </c>
      <c r="I32" s="14" t="str">
        <f>IF(ISBLANK(Refsz_Verbräuche[[#This Row],[2017]]),"",Refsz_Verbräuche[[#This Row],[2017]])</f>
        <v/>
      </c>
      <c r="J32" s="14" t="str">
        <f>IF(ISBLANK(Refsz_Verbräuche[[#This Row],[2018]]),"",Refsz_Verbräuche[[#This Row],[2018]])</f>
        <v/>
      </c>
      <c r="K32" s="14" t="str">
        <f>IF(ISBLANK(Refsz_Verbräuche[[#This Row],[2019]]),"",Refsz_Verbräuche[[#This Row],[2019]])</f>
        <v/>
      </c>
      <c r="L32" s="14" t="str">
        <f>IF(ISBLANK(Refsz_Verbräuche[[#This Row],[2020]]),"",Refsz_Verbräuche[[#This Row],[2020]])</f>
        <v/>
      </c>
      <c r="M32" s="14" t="str">
        <f>IF(ISBLANK(Refsz_Verbräuche[[#This Row],[2021]]),"",Refsz_Verbräuche[[#This Row],[2021]])</f>
        <v/>
      </c>
      <c r="N32" s="49" t="str">
        <f>IF(Klisz_Verbräuche[[#Headers],[2022]]=$B$14,IF(COUNTIF($G32:Klisz_Verbräuche[[#This Row],[2021]],"&gt;0")&gt;0, AVERAGEIF($G32:Klisz_Verbräuche[[#This Row],[2021]],"&lt;&gt;"), ""),IF($B$14&lt;Klisz_Verbräuche[[#Headers],[2022]],IF(COUNTIF($G32:Klisz_Verbräuche[[#This Row],[2021]],"&gt;0")&gt;0,IF(COUNTIF($G32:Klisz_Verbräuche[[#This Row],[2021]],"&gt;0")&gt;0,Klisz_Verbräuche[[#This Row],[2021]]*(1-$F32)^1, ""), ""),IF($B$14&gt;Klisz_Verbräuche[[#Headers],[2022]],Refsz_Verbräuche[[#This Row],[2022]],"")))</f>
        <v/>
      </c>
      <c r="O32" s="49" t="str">
        <f>IF(Klisz_Verbräuche[[#Headers],[2023]]=$B$14,IF(COUNTIF($G32:Klisz_Verbräuche[[#This Row],[2022]],"&gt;0")&gt;0, AVERAGEIF($G32:Klisz_Verbräuche[[#This Row],[2022]],"&lt;&gt;"), ""),IF($B$14&lt;Klisz_Verbräuche[[#Headers],[2023]],IF(COUNTIF($G32:Klisz_Verbräuche[[#This Row],[2022]],"&gt;0")&gt;0,IF(COUNTIF($G32:Klisz_Verbräuche[[#This Row],[2022]],"&gt;0")&gt;0,Klisz_Verbräuche[[#This Row],[2022]]*(1-$F32)^1, ""), ""),IF($B$14&gt;Klisz_Verbräuche[[#Headers],[2023]],Refsz_Verbräuche[[#This Row],[2023]],"")))</f>
        <v/>
      </c>
      <c r="P32" s="49" t="str">
        <f>IF(Klisz_Verbräuche[[#Headers],[2024]]=$B$14,IF(COUNTIF($G32:Klisz_Verbräuche[[#This Row],[2023]],"&gt;0")&gt;0, AVERAGEIF($G32:Klisz_Verbräuche[[#This Row],[2023]],"&lt;&gt;"), ""),IF($B$14&lt;Klisz_Verbräuche[[#Headers],[2024]],IF(COUNTIF($G32:Klisz_Verbräuche[[#This Row],[2023]],"&gt;0")&gt;0,IF(COUNTIF($G32:Klisz_Verbräuche[[#This Row],[2023]],"&gt;0")&gt;0,Klisz_Verbräuche[[#This Row],[2023]]*(1-$F32)^1, ""), ""),IF($B$14&gt;Klisz_Verbräuche[[#Headers],[2024]],Refsz_Verbräuche[[#This Row],[2024]],"")))</f>
        <v/>
      </c>
      <c r="Q32" s="49" t="str">
        <f>IF(Klisz_Verbräuche[[#Headers],[2025]]=$B$14,IF(COUNTIF($G32:Klisz_Verbräuche[[#This Row],[2024]],"&gt;0")&gt;0, AVERAGEIF($G32:Klisz_Verbräuche[[#This Row],[2024]],"&lt;&gt;"), ""),IF($B$14&lt;Klisz_Verbräuche[[#Headers],[2025]],IF(COUNTIF($G32:Klisz_Verbräuche[[#This Row],[2024]],"&gt;0")&gt;0,IF(COUNTIF($G32:Klisz_Verbräuche[[#This Row],[2024]],"&gt;0")&gt;0,Klisz_Verbräuche[[#This Row],[2024]]*(1-$F32)^1, ""), ""),IF($B$14&gt;Klisz_Verbräuche[[#Headers],[2025]],Refsz_Verbräuche[[#This Row],[2025]],"")))</f>
        <v/>
      </c>
      <c r="R32" s="49" t="str">
        <f>IF(Klisz_Verbräuche[[#Headers],[2026]]=$B$14,IF(COUNTIF($G32:Klisz_Verbräuche[[#This Row],[2025]],"&gt;0")&gt;0, AVERAGEIF($G32:Klisz_Verbräuche[[#This Row],[2025]],"&lt;&gt;"), ""),IF($B$14&lt;Klisz_Verbräuche[[#Headers],[2026]],IF(COUNTIF($G32:Klisz_Verbräuche[[#This Row],[2025]],"&gt;0")&gt;0,IF(COUNTIF($G32:Klisz_Verbräuche[[#This Row],[2025]],"&gt;0")&gt;0,Klisz_Verbräuche[[#This Row],[2025]]*(1-$F32)^1, ""), ""),IF($B$14&gt;Klisz_Verbräuche[[#Headers],[2026]],Refsz_Verbräuche[[#This Row],[2026]],"")))</f>
        <v/>
      </c>
      <c r="S32" s="49" t="str">
        <f>IF(Klisz_Verbräuche[[#Headers],[2027]]=$B$14,IF(COUNTIF($G32:Klisz_Verbräuche[[#This Row],[2026]],"&gt;0")&gt;0, AVERAGEIF($G32:Klisz_Verbräuche[[#This Row],[2026]],"&lt;&gt;"), ""),IF($B$14&lt;Klisz_Verbräuche[[#Headers],[2027]],IF(COUNTIF($G32:Klisz_Verbräuche[[#This Row],[2026]],"&gt;0")&gt;0,IF(COUNTIF($G32:Klisz_Verbräuche[[#This Row],[2026]],"&gt;0")&gt;0,Klisz_Verbräuche[[#This Row],[2026]]*(1-$F32)^1, ""), ""),IF($B$14&gt;Klisz_Verbräuche[[#Headers],[2027]],Refsz_Verbräuche[[#This Row],[2027]],"")))</f>
        <v/>
      </c>
      <c r="T32" s="49" t="str">
        <f>IF(Klisz_Verbräuche[[#Headers],[2028]]=$B$14,IF(COUNTIF($G32:Klisz_Verbräuche[[#This Row],[2027]],"&gt;0")&gt;0, AVERAGEIF($G32:Klisz_Verbräuche[[#This Row],[2027]],"&lt;&gt;"), ""),IF($B$14&lt;Klisz_Verbräuche[[#Headers],[2028]],IF(COUNTIF($G32:Klisz_Verbräuche[[#This Row],[2027]],"&gt;0")&gt;0,IF(COUNTIF($G32:Klisz_Verbräuche[[#This Row],[2027]],"&gt;0")&gt;0,Klisz_Verbräuche[[#This Row],[2027]]*(1-$F32)^1, ""), ""),IF($B$14&gt;Klisz_Verbräuche[[#Headers],[2028]],Refsz_Verbräuche[[#This Row],[2028]],"")))</f>
        <v/>
      </c>
      <c r="U32" s="49" t="str">
        <f>IF(Klisz_Verbräuche[[#Headers],[2029]]=$B$14,IF(COUNTIF($G32:Klisz_Verbräuche[[#This Row],[2028]],"&gt;0")&gt;0, AVERAGEIF($G32:Klisz_Verbräuche[[#This Row],[2028]],"&lt;&gt;"), ""),IF($B$14&lt;Klisz_Verbräuche[[#Headers],[2029]],IF(COUNTIF($G32:Klisz_Verbräuche[[#This Row],[2028]],"&gt;0")&gt;0,IF(COUNTIF($G32:Klisz_Verbräuche[[#This Row],[2028]],"&gt;0")&gt;0,Klisz_Verbräuche[[#This Row],[2028]]*(1-$F32)^1, ""), ""),IF($B$14&gt;Klisz_Verbräuche[[#Headers],[2029]],Refsz_Verbräuche[[#This Row],[2029]],"")))</f>
        <v/>
      </c>
      <c r="V32" s="49" t="str">
        <f>IF(Klisz_Verbräuche[[#Headers],[2030]]=$B$14,IF(COUNTIF($G32:Klisz_Verbräuche[[#This Row],[2029]],"&gt;0")&gt;0, AVERAGEIF($G32:Klisz_Verbräuche[[#This Row],[2029]],"&lt;&gt;"), ""),IF($B$14&lt;Klisz_Verbräuche[[#Headers],[2030]],IF(COUNTIF($G32:Klisz_Verbräuche[[#This Row],[2029]],"&gt;0")&gt;0,IF(COUNTIF($G32:Klisz_Verbräuche[[#This Row],[2029]],"&gt;0")&gt;0,Klisz_Verbräuche[[#This Row],[2029]]*(1-$F32)^1, ""), ""),IF($B$14&gt;Klisz_Verbräuche[[#Headers],[2030]],Refsz_Verbräuche[[#This Row],[2030]],"")))</f>
        <v/>
      </c>
      <c r="W32" s="49" t="str">
        <f>IF(Klisz_Verbräuche[[#Headers],[2035]]=$B$14,IF(COUNTIF($G32:Klisz_Verbräuche[[#This Row],[2030]],"&gt;0")&gt;0, AVERAGEIF($G32:Klisz_Verbräuche[[#This Row],[2030]],"&lt;&gt;"), ""),IF($B$14&lt;Klisz_Verbräuche[[#Headers],[2035]],IF(COUNTIF($G32:Klisz_Verbräuche[[#This Row],[2030]],"&gt;0")&gt;0,IF(COUNTIF($G32:Klisz_Verbräuche[[#This Row],[2030]],"&gt;0")&gt;0,Klisz_Verbräuche[[#This Row],[2030]]*(1-$F32)^5, ""), ""),IF($B$14&gt;Klisz_Verbräuche[[#Headers],[2035]],Refsz_Verbräuche[[#This Row],[2035]],"")))</f>
        <v/>
      </c>
      <c r="X32" s="49" t="str">
        <f>IF(Klisz_Verbräuche[[#Headers],[2040]]=$B$14,IF(COUNTIF($G32:Klisz_Verbräuche[[#This Row],[2035]],"&gt;0")&gt;0, AVERAGEIF($G32:Klisz_Verbräuche[[#This Row],[2035]],"&lt;&gt;"), ""),IF($B$14&lt;Klisz_Verbräuche[[#Headers],[2040]],IF(COUNTIF($G32:Klisz_Verbräuche[[#This Row],[2035]],"&gt;0")&gt;0,IF(COUNTIF($G32:Klisz_Verbräuche[[#This Row],[2035]],"&gt;0")&gt;0,Klisz_Verbräuche[[#This Row],[2035]]*(1-$F32)^5, ""), ""),IF($B$14&gt;Klisz_Verbräuche[[#Headers],[2040]],Refsz_Verbräuche[[#This Row],[2040]],"")))</f>
        <v/>
      </c>
      <c r="Y32" s="49" t="str">
        <f>IF(Klisz_Verbräuche[[#Headers],[2045]]=$B$14,IF(COUNTIF($G32:Klisz_Verbräuche[[#This Row],[2040]],"&gt;0")&gt;0, AVERAGEIF($G32:Klisz_Verbräuche[[#This Row],[2040]],"&lt;&gt;"), ""),IF($B$14&lt;Klisz_Verbräuche[[#Headers],[2045]],IF(COUNTIF($G32:Klisz_Verbräuche[[#This Row],[2040]],"&gt;0")&gt;0,IF(COUNTIF($G32:Klisz_Verbräuche[[#This Row],[2040]],"&gt;0")&gt;0,Klisz_Verbräuche[[#This Row],[2040]]*(1-$F32)^5, ""), ""),IF($B$14&gt;Klisz_Verbräuche[[#Headers],[2045]],Refsz_Verbräuche[[#This Row],[2045]],"")))</f>
        <v/>
      </c>
      <c r="Z32" s="49" t="str">
        <f>IF(Klisz_Verbräuche[[#Headers],[2050]]=$B$14,IF(COUNTIF($G32:Klisz_Verbräuche[[#This Row],[2045]],"&gt;0")&gt;0, AVERAGEIF($G32:Klisz_Verbräuche[[#This Row],[2045]],"&lt;&gt;"), ""),IF($B$14&lt;Klisz_Verbräuche[[#Headers],[2050]],IF(COUNTIF($G32:Klisz_Verbräuche[[#This Row],[2045]],"&gt;0")&gt;0,IF(COUNTIF($G32:Klisz_Verbräuche[[#This Row],[2045]],"&gt;0")&gt;0,Klisz_Verbräuche[[#This Row],[2045]]*(1-$F32)^5, ""), ""),IF($B$14&gt;Klisz_Verbräuche[[#Headers],[2050]],Refsz_Verbräuche[[#This Row],[2050]],"")))</f>
        <v/>
      </c>
      <c r="AA32" s="14"/>
    </row>
    <row r="33" spans="2:27">
      <c r="B33" s="14">
        <v>16</v>
      </c>
      <c r="C33" s="197" t="str">
        <f>Refsz_Verbräuche[[#This Row],[Handlungsfeld]]</f>
        <v>Wärme</v>
      </c>
      <c r="D33" s="46" t="str">
        <f>Refsz_Verbräuche[[#This Row],[Datenpunkt]]</f>
        <v>Holzhackschnitzel</v>
      </c>
      <c r="E33" s="26" t="str">
        <f>Refsz_Verbräuche[[#This Row],[Einheit]]</f>
        <v>MWh</v>
      </c>
      <c r="F33" s="108"/>
      <c r="G33" s="14" t="str">
        <f>IF(ISBLANK(Refsz_Verbräuche[[#This Row],[2015]]),"",Refsz_Verbräuche[[#This Row],[2015]])</f>
        <v/>
      </c>
      <c r="H33" s="14" t="str">
        <f>IF(ISBLANK(Refsz_Verbräuche[[#This Row],[2016]]),"",Refsz_Verbräuche[[#This Row],[2016]])</f>
        <v/>
      </c>
      <c r="I33" s="14" t="str">
        <f>IF(ISBLANK(Refsz_Verbräuche[[#This Row],[2017]]),"",Refsz_Verbräuche[[#This Row],[2017]])</f>
        <v/>
      </c>
      <c r="J33" s="14" t="str">
        <f>IF(ISBLANK(Refsz_Verbräuche[[#This Row],[2018]]),"",Refsz_Verbräuche[[#This Row],[2018]])</f>
        <v/>
      </c>
      <c r="K33" s="14" t="str">
        <f>IF(ISBLANK(Refsz_Verbräuche[[#This Row],[2019]]),"",Refsz_Verbräuche[[#This Row],[2019]])</f>
        <v/>
      </c>
      <c r="L33" s="14" t="str">
        <f>IF(ISBLANK(Refsz_Verbräuche[[#This Row],[2020]]),"",Refsz_Verbräuche[[#This Row],[2020]])</f>
        <v/>
      </c>
      <c r="M33" s="14" t="str">
        <f>IF(ISBLANK(Refsz_Verbräuche[[#This Row],[2021]]),"",Refsz_Verbräuche[[#This Row],[2021]])</f>
        <v/>
      </c>
      <c r="N33" s="49" t="str">
        <f>IF(Klisz_Verbräuche[[#Headers],[2022]]=$B$14,IF(COUNTIF($G33:Klisz_Verbräuche[[#This Row],[2021]],"&gt;0")&gt;0, AVERAGEIF($G33:Klisz_Verbräuche[[#This Row],[2021]],"&lt;&gt;"), ""),IF($B$14&lt;Klisz_Verbräuche[[#Headers],[2022]],IF(COUNTIF($G33:Klisz_Verbräuche[[#This Row],[2021]],"&gt;0")&gt;0,IF(COUNTIF($G33:Klisz_Verbräuche[[#This Row],[2021]],"&gt;0")&gt;0,Klisz_Verbräuche[[#This Row],[2021]]*(1-$F33)^1, ""), ""),IF($B$14&gt;Klisz_Verbräuche[[#Headers],[2022]],Refsz_Verbräuche[[#This Row],[2022]],"")))</f>
        <v/>
      </c>
      <c r="O33" s="49" t="str">
        <f>IF(Klisz_Verbräuche[[#Headers],[2023]]=$B$14,IF(COUNTIF($G33:Klisz_Verbräuche[[#This Row],[2022]],"&gt;0")&gt;0, AVERAGEIF($G33:Klisz_Verbräuche[[#This Row],[2022]],"&lt;&gt;"), ""),IF($B$14&lt;Klisz_Verbräuche[[#Headers],[2023]],IF(COUNTIF($G33:Klisz_Verbräuche[[#This Row],[2022]],"&gt;0")&gt;0,IF(COUNTIF($G33:Klisz_Verbräuche[[#This Row],[2022]],"&gt;0")&gt;0,Klisz_Verbräuche[[#This Row],[2022]]*(1-$F33)^1, ""), ""),IF($B$14&gt;Klisz_Verbräuche[[#Headers],[2023]],Refsz_Verbräuche[[#This Row],[2023]],"")))</f>
        <v/>
      </c>
      <c r="P33" s="49" t="str">
        <f>IF(Klisz_Verbräuche[[#Headers],[2024]]=$B$14,IF(COUNTIF($G33:Klisz_Verbräuche[[#This Row],[2023]],"&gt;0")&gt;0, AVERAGEIF($G33:Klisz_Verbräuche[[#This Row],[2023]],"&lt;&gt;"), ""),IF($B$14&lt;Klisz_Verbräuche[[#Headers],[2024]],IF(COUNTIF($G33:Klisz_Verbräuche[[#This Row],[2023]],"&gt;0")&gt;0,IF(COUNTIF($G33:Klisz_Verbräuche[[#This Row],[2023]],"&gt;0")&gt;0,Klisz_Verbräuche[[#This Row],[2023]]*(1-$F33)^1, ""), ""),IF($B$14&gt;Klisz_Verbräuche[[#Headers],[2024]],Refsz_Verbräuche[[#This Row],[2024]],"")))</f>
        <v/>
      </c>
      <c r="Q33" s="49" t="str">
        <f>IF(Klisz_Verbräuche[[#Headers],[2025]]=$B$14,IF(COUNTIF($G33:Klisz_Verbräuche[[#This Row],[2024]],"&gt;0")&gt;0, AVERAGEIF($G33:Klisz_Verbräuche[[#This Row],[2024]],"&lt;&gt;"), ""),IF($B$14&lt;Klisz_Verbräuche[[#Headers],[2025]],IF(COUNTIF($G33:Klisz_Verbräuche[[#This Row],[2024]],"&gt;0")&gt;0,IF(COUNTIF($G33:Klisz_Verbräuche[[#This Row],[2024]],"&gt;0")&gt;0,Klisz_Verbräuche[[#This Row],[2024]]*(1-$F33)^1, ""), ""),IF($B$14&gt;Klisz_Verbräuche[[#Headers],[2025]],Refsz_Verbräuche[[#This Row],[2025]],"")))</f>
        <v/>
      </c>
      <c r="R33" s="49" t="str">
        <f>IF(Klisz_Verbräuche[[#Headers],[2026]]=$B$14,IF(COUNTIF($G33:Klisz_Verbräuche[[#This Row],[2025]],"&gt;0")&gt;0, AVERAGEIF($G33:Klisz_Verbräuche[[#This Row],[2025]],"&lt;&gt;"), ""),IF($B$14&lt;Klisz_Verbräuche[[#Headers],[2026]],IF(COUNTIF($G33:Klisz_Verbräuche[[#This Row],[2025]],"&gt;0")&gt;0,IF(COUNTIF($G33:Klisz_Verbräuche[[#This Row],[2025]],"&gt;0")&gt;0,Klisz_Verbräuche[[#This Row],[2025]]*(1-$F33)^1, ""), ""),IF($B$14&gt;Klisz_Verbräuche[[#Headers],[2026]],Refsz_Verbräuche[[#This Row],[2026]],"")))</f>
        <v/>
      </c>
      <c r="S33" s="49" t="str">
        <f>IF(Klisz_Verbräuche[[#Headers],[2027]]=$B$14,IF(COUNTIF($G33:Klisz_Verbräuche[[#This Row],[2026]],"&gt;0")&gt;0, AVERAGEIF($G33:Klisz_Verbräuche[[#This Row],[2026]],"&lt;&gt;"), ""),IF($B$14&lt;Klisz_Verbräuche[[#Headers],[2027]],IF(COUNTIF($G33:Klisz_Verbräuche[[#This Row],[2026]],"&gt;0")&gt;0,IF(COUNTIF($G33:Klisz_Verbräuche[[#This Row],[2026]],"&gt;0")&gt;0,Klisz_Verbräuche[[#This Row],[2026]]*(1-$F33)^1, ""), ""),IF($B$14&gt;Klisz_Verbräuche[[#Headers],[2027]],Refsz_Verbräuche[[#This Row],[2027]],"")))</f>
        <v/>
      </c>
      <c r="T33" s="49" t="str">
        <f>IF(Klisz_Verbräuche[[#Headers],[2028]]=$B$14,IF(COUNTIF($G33:Klisz_Verbräuche[[#This Row],[2027]],"&gt;0")&gt;0, AVERAGEIF($G33:Klisz_Verbräuche[[#This Row],[2027]],"&lt;&gt;"), ""),IF($B$14&lt;Klisz_Verbräuche[[#Headers],[2028]],IF(COUNTIF($G33:Klisz_Verbräuche[[#This Row],[2027]],"&gt;0")&gt;0,IF(COUNTIF($G33:Klisz_Verbräuche[[#This Row],[2027]],"&gt;0")&gt;0,Klisz_Verbräuche[[#This Row],[2027]]*(1-$F33)^1, ""), ""),IF($B$14&gt;Klisz_Verbräuche[[#Headers],[2028]],Refsz_Verbräuche[[#This Row],[2028]],"")))</f>
        <v/>
      </c>
      <c r="U33" s="49" t="str">
        <f>IF(Klisz_Verbräuche[[#Headers],[2029]]=$B$14,IF(COUNTIF($G33:Klisz_Verbräuche[[#This Row],[2028]],"&gt;0")&gt;0, AVERAGEIF($G33:Klisz_Verbräuche[[#This Row],[2028]],"&lt;&gt;"), ""),IF($B$14&lt;Klisz_Verbräuche[[#Headers],[2029]],IF(COUNTIF($G33:Klisz_Verbräuche[[#This Row],[2028]],"&gt;0")&gt;0,IF(COUNTIF($G33:Klisz_Verbräuche[[#This Row],[2028]],"&gt;0")&gt;0,Klisz_Verbräuche[[#This Row],[2028]]*(1-$F33)^1, ""), ""),IF($B$14&gt;Klisz_Verbräuche[[#Headers],[2029]],Refsz_Verbräuche[[#This Row],[2029]],"")))</f>
        <v/>
      </c>
      <c r="V33" s="49" t="str">
        <f>IF(Klisz_Verbräuche[[#Headers],[2030]]=$B$14,IF(COUNTIF($G33:Klisz_Verbräuche[[#This Row],[2029]],"&gt;0")&gt;0, AVERAGEIF($G33:Klisz_Verbräuche[[#This Row],[2029]],"&lt;&gt;"), ""),IF($B$14&lt;Klisz_Verbräuche[[#Headers],[2030]],IF(COUNTIF($G33:Klisz_Verbräuche[[#This Row],[2029]],"&gt;0")&gt;0,IF(COUNTIF($G33:Klisz_Verbräuche[[#This Row],[2029]],"&gt;0")&gt;0,Klisz_Verbräuche[[#This Row],[2029]]*(1-$F33)^1, ""), ""),IF($B$14&gt;Klisz_Verbräuche[[#Headers],[2030]],Refsz_Verbräuche[[#This Row],[2030]],"")))</f>
        <v/>
      </c>
      <c r="W33" s="49" t="str">
        <f>IF(Klisz_Verbräuche[[#Headers],[2035]]=$B$14,IF(COUNTIF($G33:Klisz_Verbräuche[[#This Row],[2030]],"&gt;0")&gt;0, AVERAGEIF($G33:Klisz_Verbräuche[[#This Row],[2030]],"&lt;&gt;"), ""),IF($B$14&lt;Klisz_Verbräuche[[#Headers],[2035]],IF(COUNTIF($G33:Klisz_Verbräuche[[#This Row],[2030]],"&gt;0")&gt;0,IF(COUNTIF($G33:Klisz_Verbräuche[[#This Row],[2030]],"&gt;0")&gt;0,Klisz_Verbräuche[[#This Row],[2030]]*(1-$F33)^5, ""), ""),IF($B$14&gt;Klisz_Verbräuche[[#Headers],[2035]],Refsz_Verbräuche[[#This Row],[2035]],"")))</f>
        <v/>
      </c>
      <c r="X33" s="49" t="str">
        <f>IF(Klisz_Verbräuche[[#Headers],[2040]]=$B$14,IF(COUNTIF($G33:Klisz_Verbräuche[[#This Row],[2035]],"&gt;0")&gt;0, AVERAGEIF($G33:Klisz_Verbräuche[[#This Row],[2035]],"&lt;&gt;"), ""),IF($B$14&lt;Klisz_Verbräuche[[#Headers],[2040]],IF(COUNTIF($G33:Klisz_Verbräuche[[#This Row],[2035]],"&gt;0")&gt;0,IF(COUNTIF($G33:Klisz_Verbräuche[[#This Row],[2035]],"&gt;0")&gt;0,Klisz_Verbräuche[[#This Row],[2035]]*(1-$F33)^5, ""), ""),IF($B$14&gt;Klisz_Verbräuche[[#Headers],[2040]],Refsz_Verbräuche[[#This Row],[2040]],"")))</f>
        <v/>
      </c>
      <c r="Y33" s="49" t="str">
        <f>IF(Klisz_Verbräuche[[#Headers],[2045]]=$B$14,IF(COUNTIF($G33:Klisz_Verbräuche[[#This Row],[2040]],"&gt;0")&gt;0, AVERAGEIF($G33:Klisz_Verbräuche[[#This Row],[2040]],"&lt;&gt;"), ""),IF($B$14&lt;Klisz_Verbräuche[[#Headers],[2045]],IF(COUNTIF($G33:Klisz_Verbräuche[[#This Row],[2040]],"&gt;0")&gt;0,IF(COUNTIF($G33:Klisz_Verbräuche[[#This Row],[2040]],"&gt;0")&gt;0,Klisz_Verbräuche[[#This Row],[2040]]*(1-$F33)^5, ""), ""),IF($B$14&gt;Klisz_Verbräuche[[#Headers],[2045]],Refsz_Verbräuche[[#This Row],[2045]],"")))</f>
        <v/>
      </c>
      <c r="Z33" s="49" t="str">
        <f>IF(Klisz_Verbräuche[[#Headers],[2050]]=$B$14,IF(COUNTIF($G33:Klisz_Verbräuche[[#This Row],[2045]],"&gt;0")&gt;0, AVERAGEIF($G33:Klisz_Verbräuche[[#This Row],[2045]],"&lt;&gt;"), ""),IF($B$14&lt;Klisz_Verbräuche[[#Headers],[2050]],IF(COUNTIF($G33:Klisz_Verbräuche[[#This Row],[2045]],"&gt;0")&gt;0,IF(COUNTIF($G33:Klisz_Verbräuche[[#This Row],[2045]],"&gt;0")&gt;0,Klisz_Verbräuche[[#This Row],[2045]]*(1-$F33)^5, ""), ""),IF($B$14&gt;Klisz_Verbräuche[[#Headers],[2050]],Refsz_Verbräuche[[#This Row],[2050]],"")))</f>
        <v/>
      </c>
      <c r="AA33" s="14"/>
    </row>
    <row r="34" spans="2:27">
      <c r="B34" s="14">
        <v>17</v>
      </c>
      <c r="C34" s="197" t="str">
        <f>Refsz_Verbräuche[[#This Row],[Handlungsfeld]]</f>
        <v>Wärme</v>
      </c>
      <c r="D34" s="46" t="str">
        <f>Refsz_Verbräuche[[#This Row],[Datenpunkt]]</f>
        <v>Holzpellets, 10kW/kleinere Zentralheizung</v>
      </c>
      <c r="E34" s="26" t="str">
        <f>Refsz_Verbräuche[[#This Row],[Einheit]]</f>
        <v>MWh</v>
      </c>
      <c r="F34" s="108"/>
      <c r="G34" s="14" t="str">
        <f>IF(ISBLANK(Refsz_Verbräuche[[#This Row],[2015]]),"",Refsz_Verbräuche[[#This Row],[2015]])</f>
        <v/>
      </c>
      <c r="H34" s="14" t="str">
        <f>IF(ISBLANK(Refsz_Verbräuche[[#This Row],[2016]]),"",Refsz_Verbräuche[[#This Row],[2016]])</f>
        <v/>
      </c>
      <c r="I34" s="14" t="str">
        <f>IF(ISBLANK(Refsz_Verbräuche[[#This Row],[2017]]),"",Refsz_Verbräuche[[#This Row],[2017]])</f>
        <v/>
      </c>
      <c r="J34" s="14" t="str">
        <f>IF(ISBLANK(Refsz_Verbräuche[[#This Row],[2018]]),"",Refsz_Verbräuche[[#This Row],[2018]])</f>
        <v/>
      </c>
      <c r="K34" s="14" t="str">
        <f>IF(ISBLANK(Refsz_Verbräuche[[#This Row],[2019]]),"",Refsz_Verbräuche[[#This Row],[2019]])</f>
        <v/>
      </c>
      <c r="L34" s="14" t="str">
        <f>IF(ISBLANK(Refsz_Verbräuche[[#This Row],[2020]]),"",Refsz_Verbräuche[[#This Row],[2020]])</f>
        <v/>
      </c>
      <c r="M34" s="14" t="str">
        <f>IF(ISBLANK(Refsz_Verbräuche[[#This Row],[2021]]),"",Refsz_Verbräuche[[#This Row],[2021]])</f>
        <v/>
      </c>
      <c r="N34" s="49" t="str">
        <f>IF(Klisz_Verbräuche[[#Headers],[2022]]=$B$14,IF(COUNTIF($G34:Klisz_Verbräuche[[#This Row],[2021]],"&gt;0")&gt;0, AVERAGEIF($G34:Klisz_Verbräuche[[#This Row],[2021]],"&lt;&gt;"), ""),IF($B$14&lt;Klisz_Verbräuche[[#Headers],[2022]],IF(COUNTIF($G34:Klisz_Verbräuche[[#This Row],[2021]],"&gt;0")&gt;0,IF(COUNTIF($G34:Klisz_Verbräuche[[#This Row],[2021]],"&gt;0")&gt;0,Klisz_Verbräuche[[#This Row],[2021]]*(1-$F34)^1, ""), ""),IF($B$14&gt;Klisz_Verbräuche[[#Headers],[2022]],Refsz_Verbräuche[[#This Row],[2022]],"")))</f>
        <v/>
      </c>
      <c r="O34" s="49" t="str">
        <f>IF(Klisz_Verbräuche[[#Headers],[2023]]=$B$14,IF(COUNTIF($G34:Klisz_Verbräuche[[#This Row],[2022]],"&gt;0")&gt;0, AVERAGEIF($G34:Klisz_Verbräuche[[#This Row],[2022]],"&lt;&gt;"), ""),IF($B$14&lt;Klisz_Verbräuche[[#Headers],[2023]],IF(COUNTIF($G34:Klisz_Verbräuche[[#This Row],[2022]],"&gt;0")&gt;0,IF(COUNTIF($G34:Klisz_Verbräuche[[#This Row],[2022]],"&gt;0")&gt;0,Klisz_Verbräuche[[#This Row],[2022]]*(1-$F34)^1, ""), ""),IF($B$14&gt;Klisz_Verbräuche[[#Headers],[2023]],Refsz_Verbräuche[[#This Row],[2023]],"")))</f>
        <v/>
      </c>
      <c r="P34" s="49" t="str">
        <f>IF(Klisz_Verbräuche[[#Headers],[2024]]=$B$14,IF(COUNTIF($G34:Klisz_Verbräuche[[#This Row],[2023]],"&gt;0")&gt;0, AVERAGEIF($G34:Klisz_Verbräuche[[#This Row],[2023]],"&lt;&gt;"), ""),IF($B$14&lt;Klisz_Verbräuche[[#Headers],[2024]],IF(COUNTIF($G34:Klisz_Verbräuche[[#This Row],[2023]],"&gt;0")&gt;0,IF(COUNTIF($G34:Klisz_Verbräuche[[#This Row],[2023]],"&gt;0")&gt;0,Klisz_Verbräuche[[#This Row],[2023]]*(1-$F34)^1, ""), ""),IF($B$14&gt;Klisz_Verbräuche[[#Headers],[2024]],Refsz_Verbräuche[[#This Row],[2024]],"")))</f>
        <v/>
      </c>
      <c r="Q34" s="49" t="str">
        <f>IF(Klisz_Verbräuche[[#Headers],[2025]]=$B$14,IF(COUNTIF($G34:Klisz_Verbräuche[[#This Row],[2024]],"&gt;0")&gt;0, AVERAGEIF($G34:Klisz_Verbräuche[[#This Row],[2024]],"&lt;&gt;"), ""),IF($B$14&lt;Klisz_Verbräuche[[#Headers],[2025]],IF(COUNTIF($G34:Klisz_Verbräuche[[#This Row],[2024]],"&gt;0")&gt;0,IF(COUNTIF($G34:Klisz_Verbräuche[[#This Row],[2024]],"&gt;0")&gt;0,Klisz_Verbräuche[[#This Row],[2024]]*(1-$F34)^1, ""), ""),IF($B$14&gt;Klisz_Verbräuche[[#Headers],[2025]],Refsz_Verbräuche[[#This Row],[2025]],"")))</f>
        <v/>
      </c>
      <c r="R34" s="49" t="str">
        <f>IF(Klisz_Verbräuche[[#Headers],[2026]]=$B$14,IF(COUNTIF($G34:Klisz_Verbräuche[[#This Row],[2025]],"&gt;0")&gt;0, AVERAGEIF($G34:Klisz_Verbräuche[[#This Row],[2025]],"&lt;&gt;"), ""),IF($B$14&lt;Klisz_Verbräuche[[#Headers],[2026]],IF(COUNTIF($G34:Klisz_Verbräuche[[#This Row],[2025]],"&gt;0")&gt;0,IF(COUNTIF($G34:Klisz_Verbräuche[[#This Row],[2025]],"&gt;0")&gt;0,Klisz_Verbräuche[[#This Row],[2025]]*(1-$F34)^1, ""), ""),IF($B$14&gt;Klisz_Verbräuche[[#Headers],[2026]],Refsz_Verbräuche[[#This Row],[2026]],"")))</f>
        <v/>
      </c>
      <c r="S34" s="49" t="str">
        <f>IF(Klisz_Verbräuche[[#Headers],[2027]]=$B$14,IF(COUNTIF($G34:Klisz_Verbräuche[[#This Row],[2026]],"&gt;0")&gt;0, AVERAGEIF($G34:Klisz_Verbräuche[[#This Row],[2026]],"&lt;&gt;"), ""),IF($B$14&lt;Klisz_Verbräuche[[#Headers],[2027]],IF(COUNTIF($G34:Klisz_Verbräuche[[#This Row],[2026]],"&gt;0")&gt;0,IF(COUNTIF($G34:Klisz_Verbräuche[[#This Row],[2026]],"&gt;0")&gt;0,Klisz_Verbräuche[[#This Row],[2026]]*(1-$F34)^1, ""), ""),IF($B$14&gt;Klisz_Verbräuche[[#Headers],[2027]],Refsz_Verbräuche[[#This Row],[2027]],"")))</f>
        <v/>
      </c>
      <c r="T34" s="49" t="str">
        <f>IF(Klisz_Verbräuche[[#Headers],[2028]]=$B$14,IF(COUNTIF($G34:Klisz_Verbräuche[[#This Row],[2027]],"&gt;0")&gt;0, AVERAGEIF($G34:Klisz_Verbräuche[[#This Row],[2027]],"&lt;&gt;"), ""),IF($B$14&lt;Klisz_Verbräuche[[#Headers],[2028]],IF(COUNTIF($G34:Klisz_Verbräuche[[#This Row],[2027]],"&gt;0")&gt;0,IF(COUNTIF($G34:Klisz_Verbräuche[[#This Row],[2027]],"&gt;0")&gt;0,Klisz_Verbräuche[[#This Row],[2027]]*(1-$F34)^1, ""), ""),IF($B$14&gt;Klisz_Verbräuche[[#Headers],[2028]],Refsz_Verbräuche[[#This Row],[2028]],"")))</f>
        <v/>
      </c>
      <c r="U34" s="49" t="str">
        <f>IF(Klisz_Verbräuche[[#Headers],[2029]]=$B$14,IF(COUNTIF($G34:Klisz_Verbräuche[[#This Row],[2028]],"&gt;0")&gt;0, AVERAGEIF($G34:Klisz_Verbräuche[[#This Row],[2028]],"&lt;&gt;"), ""),IF($B$14&lt;Klisz_Verbräuche[[#Headers],[2029]],IF(COUNTIF($G34:Klisz_Verbräuche[[#This Row],[2028]],"&gt;0")&gt;0,IF(COUNTIF($G34:Klisz_Verbräuche[[#This Row],[2028]],"&gt;0")&gt;0,Klisz_Verbräuche[[#This Row],[2028]]*(1-$F34)^1, ""), ""),IF($B$14&gt;Klisz_Verbräuche[[#Headers],[2029]],Refsz_Verbräuche[[#This Row],[2029]],"")))</f>
        <v/>
      </c>
      <c r="V34" s="49" t="str">
        <f>IF(Klisz_Verbräuche[[#Headers],[2030]]=$B$14,IF(COUNTIF($G34:Klisz_Verbräuche[[#This Row],[2029]],"&gt;0")&gt;0, AVERAGEIF($G34:Klisz_Verbräuche[[#This Row],[2029]],"&lt;&gt;"), ""),IF($B$14&lt;Klisz_Verbräuche[[#Headers],[2030]],IF(COUNTIF($G34:Klisz_Verbräuche[[#This Row],[2029]],"&gt;0")&gt;0,IF(COUNTIF($G34:Klisz_Verbräuche[[#This Row],[2029]],"&gt;0")&gt;0,Klisz_Verbräuche[[#This Row],[2029]]*(1-$F34)^1, ""), ""),IF($B$14&gt;Klisz_Verbräuche[[#Headers],[2030]],Refsz_Verbräuche[[#This Row],[2030]],"")))</f>
        <v/>
      </c>
      <c r="W34" s="49" t="str">
        <f>IF(Klisz_Verbräuche[[#Headers],[2035]]=$B$14,IF(COUNTIF($G34:Klisz_Verbräuche[[#This Row],[2030]],"&gt;0")&gt;0, AVERAGEIF($G34:Klisz_Verbräuche[[#This Row],[2030]],"&lt;&gt;"), ""),IF($B$14&lt;Klisz_Verbräuche[[#Headers],[2035]],IF(COUNTIF($G34:Klisz_Verbräuche[[#This Row],[2030]],"&gt;0")&gt;0,IF(COUNTIF($G34:Klisz_Verbräuche[[#This Row],[2030]],"&gt;0")&gt;0,Klisz_Verbräuche[[#This Row],[2030]]*(1-$F34)^5, ""), ""),IF($B$14&gt;Klisz_Verbräuche[[#Headers],[2035]],Refsz_Verbräuche[[#This Row],[2035]],"")))</f>
        <v/>
      </c>
      <c r="X34" s="49" t="str">
        <f>IF(Klisz_Verbräuche[[#Headers],[2040]]=$B$14,IF(COUNTIF($G34:Klisz_Verbräuche[[#This Row],[2035]],"&gt;0")&gt;0, AVERAGEIF($G34:Klisz_Verbräuche[[#This Row],[2035]],"&lt;&gt;"), ""),IF($B$14&lt;Klisz_Verbräuche[[#Headers],[2040]],IF(COUNTIF($G34:Klisz_Verbräuche[[#This Row],[2035]],"&gt;0")&gt;0,IF(COUNTIF($G34:Klisz_Verbräuche[[#This Row],[2035]],"&gt;0")&gt;0,Klisz_Verbräuche[[#This Row],[2035]]*(1-$F34)^5, ""), ""),IF($B$14&gt;Klisz_Verbräuche[[#Headers],[2040]],Refsz_Verbräuche[[#This Row],[2040]],"")))</f>
        <v/>
      </c>
      <c r="Y34" s="49" t="str">
        <f>IF(Klisz_Verbräuche[[#Headers],[2045]]=$B$14,IF(COUNTIF($G34:Klisz_Verbräuche[[#This Row],[2040]],"&gt;0")&gt;0, AVERAGEIF($G34:Klisz_Verbräuche[[#This Row],[2040]],"&lt;&gt;"), ""),IF($B$14&lt;Klisz_Verbräuche[[#Headers],[2045]],IF(COUNTIF($G34:Klisz_Verbräuche[[#This Row],[2040]],"&gt;0")&gt;0,IF(COUNTIF($G34:Klisz_Verbräuche[[#This Row],[2040]],"&gt;0")&gt;0,Klisz_Verbräuche[[#This Row],[2040]]*(1-$F34)^5, ""), ""),IF($B$14&gt;Klisz_Verbräuche[[#Headers],[2045]],Refsz_Verbräuche[[#This Row],[2045]],"")))</f>
        <v/>
      </c>
      <c r="Z34" s="49" t="str">
        <f>IF(Klisz_Verbräuche[[#Headers],[2050]]=$B$14,IF(COUNTIF($G34:Klisz_Verbräuche[[#This Row],[2045]],"&gt;0")&gt;0, AVERAGEIF($G34:Klisz_Verbräuche[[#This Row],[2045]],"&lt;&gt;"), ""),IF($B$14&lt;Klisz_Verbräuche[[#Headers],[2050]],IF(COUNTIF($G34:Klisz_Verbräuche[[#This Row],[2045]],"&gt;0")&gt;0,IF(COUNTIF($G34:Klisz_Verbräuche[[#This Row],[2045]],"&gt;0")&gt;0,Klisz_Verbräuche[[#This Row],[2045]]*(1-$F34)^5, ""), ""),IF($B$14&gt;Klisz_Verbräuche[[#Headers],[2050]],Refsz_Verbräuche[[#This Row],[2050]],"")))</f>
        <v/>
      </c>
      <c r="AA34" s="14"/>
    </row>
    <row r="35" spans="2:27">
      <c r="B35" s="14">
        <v>18</v>
      </c>
      <c r="C35" s="197" t="str">
        <f>Refsz_Verbräuche[[#This Row],[Handlungsfeld]]</f>
        <v>Wärme</v>
      </c>
      <c r="D35" s="46" t="str">
        <f>Refsz_Verbräuche[[#This Row],[Datenpunkt]]</f>
        <v>Holzpellets, 50kW/größere Zentralheizung</v>
      </c>
      <c r="E35" s="26" t="str">
        <f>Refsz_Verbräuche[[#This Row],[Einheit]]</f>
        <v>MWh</v>
      </c>
      <c r="F35" s="108"/>
      <c r="G35" s="14" t="str">
        <f>IF(ISBLANK(Refsz_Verbräuche[[#This Row],[2015]]),"",Refsz_Verbräuche[[#This Row],[2015]])</f>
        <v/>
      </c>
      <c r="H35" s="14" t="str">
        <f>IF(ISBLANK(Refsz_Verbräuche[[#This Row],[2016]]),"",Refsz_Verbräuche[[#This Row],[2016]])</f>
        <v/>
      </c>
      <c r="I35" s="14" t="str">
        <f>IF(ISBLANK(Refsz_Verbräuche[[#This Row],[2017]]),"",Refsz_Verbräuche[[#This Row],[2017]])</f>
        <v/>
      </c>
      <c r="J35" s="14" t="str">
        <f>IF(ISBLANK(Refsz_Verbräuche[[#This Row],[2018]]),"",Refsz_Verbräuche[[#This Row],[2018]])</f>
        <v/>
      </c>
      <c r="K35" s="14" t="str">
        <f>IF(ISBLANK(Refsz_Verbräuche[[#This Row],[2019]]),"",Refsz_Verbräuche[[#This Row],[2019]])</f>
        <v/>
      </c>
      <c r="L35" s="14" t="str">
        <f>IF(ISBLANK(Refsz_Verbräuche[[#This Row],[2020]]),"",Refsz_Verbräuche[[#This Row],[2020]])</f>
        <v/>
      </c>
      <c r="M35" s="14" t="str">
        <f>IF(ISBLANK(Refsz_Verbräuche[[#This Row],[2021]]),"",Refsz_Verbräuche[[#This Row],[2021]])</f>
        <v/>
      </c>
      <c r="N35" s="49" t="str">
        <f>IF(Klisz_Verbräuche[[#Headers],[2022]]=$B$14,IF(COUNTIF($G35:Klisz_Verbräuche[[#This Row],[2021]],"&gt;0")&gt;0, AVERAGEIF($G35:Klisz_Verbräuche[[#This Row],[2021]],"&lt;&gt;"), ""),IF($B$14&lt;Klisz_Verbräuche[[#Headers],[2022]],IF(COUNTIF($G35:Klisz_Verbräuche[[#This Row],[2021]],"&gt;0")&gt;0,IF(COUNTIF($G35:Klisz_Verbräuche[[#This Row],[2021]],"&gt;0")&gt;0,Klisz_Verbräuche[[#This Row],[2021]]*(1-$F35)^1, ""), ""),IF($B$14&gt;Klisz_Verbräuche[[#Headers],[2022]],Refsz_Verbräuche[[#This Row],[2022]],"")))</f>
        <v/>
      </c>
      <c r="O35" s="49" t="str">
        <f>IF(Klisz_Verbräuche[[#Headers],[2023]]=$B$14,IF(COUNTIF($G35:Klisz_Verbräuche[[#This Row],[2022]],"&gt;0")&gt;0, AVERAGEIF($G35:Klisz_Verbräuche[[#This Row],[2022]],"&lt;&gt;"), ""),IF($B$14&lt;Klisz_Verbräuche[[#Headers],[2023]],IF(COUNTIF($G35:Klisz_Verbräuche[[#This Row],[2022]],"&gt;0")&gt;0,IF(COUNTIF($G35:Klisz_Verbräuche[[#This Row],[2022]],"&gt;0")&gt;0,Klisz_Verbräuche[[#This Row],[2022]]*(1-$F35)^1, ""), ""),IF($B$14&gt;Klisz_Verbräuche[[#Headers],[2023]],Refsz_Verbräuche[[#This Row],[2023]],"")))</f>
        <v/>
      </c>
      <c r="P35" s="49" t="str">
        <f>IF(Klisz_Verbräuche[[#Headers],[2024]]=$B$14,IF(COUNTIF($G35:Klisz_Verbräuche[[#This Row],[2023]],"&gt;0")&gt;0, AVERAGEIF($G35:Klisz_Verbräuche[[#This Row],[2023]],"&lt;&gt;"), ""),IF($B$14&lt;Klisz_Verbräuche[[#Headers],[2024]],IF(COUNTIF($G35:Klisz_Verbräuche[[#This Row],[2023]],"&gt;0")&gt;0,IF(COUNTIF($G35:Klisz_Verbräuche[[#This Row],[2023]],"&gt;0")&gt;0,Klisz_Verbräuche[[#This Row],[2023]]*(1-$F35)^1, ""), ""),IF($B$14&gt;Klisz_Verbräuche[[#Headers],[2024]],Refsz_Verbräuche[[#This Row],[2024]],"")))</f>
        <v/>
      </c>
      <c r="Q35" s="49" t="str">
        <f>IF(Klisz_Verbräuche[[#Headers],[2025]]=$B$14,IF(COUNTIF($G35:Klisz_Verbräuche[[#This Row],[2024]],"&gt;0")&gt;0, AVERAGEIF($G35:Klisz_Verbräuche[[#This Row],[2024]],"&lt;&gt;"), ""),IF($B$14&lt;Klisz_Verbräuche[[#Headers],[2025]],IF(COUNTIF($G35:Klisz_Verbräuche[[#This Row],[2024]],"&gt;0")&gt;0,IF(COUNTIF($G35:Klisz_Verbräuche[[#This Row],[2024]],"&gt;0")&gt;0,Klisz_Verbräuche[[#This Row],[2024]]*(1-$F35)^1, ""), ""),IF($B$14&gt;Klisz_Verbräuche[[#Headers],[2025]],Refsz_Verbräuche[[#This Row],[2025]],"")))</f>
        <v/>
      </c>
      <c r="R35" s="49" t="str">
        <f>IF(Klisz_Verbräuche[[#Headers],[2026]]=$B$14,IF(COUNTIF($G35:Klisz_Verbräuche[[#This Row],[2025]],"&gt;0")&gt;0, AVERAGEIF($G35:Klisz_Verbräuche[[#This Row],[2025]],"&lt;&gt;"), ""),IF($B$14&lt;Klisz_Verbräuche[[#Headers],[2026]],IF(COUNTIF($G35:Klisz_Verbräuche[[#This Row],[2025]],"&gt;0")&gt;0,IF(COUNTIF($G35:Klisz_Verbräuche[[#This Row],[2025]],"&gt;0")&gt;0,Klisz_Verbräuche[[#This Row],[2025]]*(1-$F35)^1, ""), ""),IF($B$14&gt;Klisz_Verbräuche[[#Headers],[2026]],Refsz_Verbräuche[[#This Row],[2026]],"")))</f>
        <v/>
      </c>
      <c r="S35" s="49" t="str">
        <f>IF(Klisz_Verbräuche[[#Headers],[2027]]=$B$14,IF(COUNTIF($G35:Klisz_Verbräuche[[#This Row],[2026]],"&gt;0")&gt;0, AVERAGEIF($G35:Klisz_Verbräuche[[#This Row],[2026]],"&lt;&gt;"), ""),IF($B$14&lt;Klisz_Verbräuche[[#Headers],[2027]],IF(COUNTIF($G35:Klisz_Verbräuche[[#This Row],[2026]],"&gt;0")&gt;0,IF(COUNTIF($G35:Klisz_Verbräuche[[#This Row],[2026]],"&gt;0")&gt;0,Klisz_Verbräuche[[#This Row],[2026]]*(1-$F35)^1, ""), ""),IF($B$14&gt;Klisz_Verbräuche[[#Headers],[2027]],Refsz_Verbräuche[[#This Row],[2027]],"")))</f>
        <v/>
      </c>
      <c r="T35" s="49" t="str">
        <f>IF(Klisz_Verbräuche[[#Headers],[2028]]=$B$14,IF(COUNTIF($G35:Klisz_Verbräuche[[#This Row],[2027]],"&gt;0")&gt;0, AVERAGEIF($G35:Klisz_Verbräuche[[#This Row],[2027]],"&lt;&gt;"), ""),IF($B$14&lt;Klisz_Verbräuche[[#Headers],[2028]],IF(COUNTIF($G35:Klisz_Verbräuche[[#This Row],[2027]],"&gt;0")&gt;0,IF(COUNTIF($G35:Klisz_Verbräuche[[#This Row],[2027]],"&gt;0")&gt;0,Klisz_Verbräuche[[#This Row],[2027]]*(1-$F35)^1, ""), ""),IF($B$14&gt;Klisz_Verbräuche[[#Headers],[2028]],Refsz_Verbräuche[[#This Row],[2028]],"")))</f>
        <v/>
      </c>
      <c r="U35" s="49" t="str">
        <f>IF(Klisz_Verbräuche[[#Headers],[2029]]=$B$14,IF(COUNTIF($G35:Klisz_Verbräuche[[#This Row],[2028]],"&gt;0")&gt;0, AVERAGEIF($G35:Klisz_Verbräuche[[#This Row],[2028]],"&lt;&gt;"), ""),IF($B$14&lt;Klisz_Verbräuche[[#Headers],[2029]],IF(COUNTIF($G35:Klisz_Verbräuche[[#This Row],[2028]],"&gt;0")&gt;0,IF(COUNTIF($G35:Klisz_Verbräuche[[#This Row],[2028]],"&gt;0")&gt;0,Klisz_Verbräuche[[#This Row],[2028]]*(1-$F35)^1, ""), ""),IF($B$14&gt;Klisz_Verbräuche[[#Headers],[2029]],Refsz_Verbräuche[[#This Row],[2029]],"")))</f>
        <v/>
      </c>
      <c r="V35" s="49" t="str">
        <f>IF(Klisz_Verbräuche[[#Headers],[2030]]=$B$14,IF(COUNTIF($G35:Klisz_Verbräuche[[#This Row],[2029]],"&gt;0")&gt;0, AVERAGEIF($G35:Klisz_Verbräuche[[#This Row],[2029]],"&lt;&gt;"), ""),IF($B$14&lt;Klisz_Verbräuche[[#Headers],[2030]],IF(COUNTIF($G35:Klisz_Verbräuche[[#This Row],[2029]],"&gt;0")&gt;0,IF(COUNTIF($G35:Klisz_Verbräuche[[#This Row],[2029]],"&gt;0")&gt;0,Klisz_Verbräuche[[#This Row],[2029]]*(1-$F35)^1, ""), ""),IF($B$14&gt;Klisz_Verbräuche[[#Headers],[2030]],Refsz_Verbräuche[[#This Row],[2030]],"")))</f>
        <v/>
      </c>
      <c r="W35" s="49" t="str">
        <f>IF(Klisz_Verbräuche[[#Headers],[2035]]=$B$14,IF(COUNTIF($G35:Klisz_Verbräuche[[#This Row],[2030]],"&gt;0")&gt;0, AVERAGEIF($G35:Klisz_Verbräuche[[#This Row],[2030]],"&lt;&gt;"), ""),IF($B$14&lt;Klisz_Verbräuche[[#Headers],[2035]],IF(COUNTIF($G35:Klisz_Verbräuche[[#This Row],[2030]],"&gt;0")&gt;0,IF(COUNTIF($G35:Klisz_Verbräuche[[#This Row],[2030]],"&gt;0")&gt;0,Klisz_Verbräuche[[#This Row],[2030]]*(1-$F35)^5, ""), ""),IF($B$14&gt;Klisz_Verbräuche[[#Headers],[2035]],Refsz_Verbräuche[[#This Row],[2035]],"")))</f>
        <v/>
      </c>
      <c r="X35" s="49" t="str">
        <f>IF(Klisz_Verbräuche[[#Headers],[2040]]=$B$14,IF(COUNTIF($G35:Klisz_Verbräuche[[#This Row],[2035]],"&gt;0")&gt;0, AVERAGEIF($G35:Klisz_Verbräuche[[#This Row],[2035]],"&lt;&gt;"), ""),IF($B$14&lt;Klisz_Verbräuche[[#Headers],[2040]],IF(COUNTIF($G35:Klisz_Verbräuche[[#This Row],[2035]],"&gt;0")&gt;0,IF(COUNTIF($G35:Klisz_Verbräuche[[#This Row],[2035]],"&gt;0")&gt;0,Klisz_Verbräuche[[#This Row],[2035]]*(1-$F35)^5, ""), ""),IF($B$14&gt;Klisz_Verbräuche[[#Headers],[2040]],Refsz_Verbräuche[[#This Row],[2040]],"")))</f>
        <v/>
      </c>
      <c r="Y35" s="49" t="str">
        <f>IF(Klisz_Verbräuche[[#Headers],[2045]]=$B$14,IF(COUNTIF($G35:Klisz_Verbräuche[[#This Row],[2040]],"&gt;0")&gt;0, AVERAGEIF($G35:Klisz_Verbräuche[[#This Row],[2040]],"&lt;&gt;"), ""),IF($B$14&lt;Klisz_Verbräuche[[#Headers],[2045]],IF(COUNTIF($G35:Klisz_Verbräuche[[#This Row],[2040]],"&gt;0")&gt;0,IF(COUNTIF($G35:Klisz_Verbräuche[[#This Row],[2040]],"&gt;0")&gt;0,Klisz_Verbräuche[[#This Row],[2040]]*(1-$F35)^5, ""), ""),IF($B$14&gt;Klisz_Verbräuche[[#Headers],[2045]],Refsz_Verbräuche[[#This Row],[2045]],"")))</f>
        <v/>
      </c>
      <c r="Z35" s="49" t="str">
        <f>IF(Klisz_Verbräuche[[#Headers],[2050]]=$B$14,IF(COUNTIF($G35:Klisz_Verbräuche[[#This Row],[2045]],"&gt;0")&gt;0, AVERAGEIF($G35:Klisz_Verbräuche[[#This Row],[2045]],"&lt;&gt;"), ""),IF($B$14&lt;Klisz_Verbräuche[[#Headers],[2050]],IF(COUNTIF($G35:Klisz_Verbräuche[[#This Row],[2045]],"&gt;0")&gt;0,IF(COUNTIF($G35:Klisz_Verbräuche[[#This Row],[2045]],"&gt;0")&gt;0,Klisz_Verbräuche[[#This Row],[2045]]*(1-$F35)^5, ""), ""),IF($B$14&gt;Klisz_Verbräuche[[#Headers],[2050]],Refsz_Verbräuche[[#This Row],[2050]],"")))</f>
        <v/>
      </c>
      <c r="AA35" s="14"/>
    </row>
    <row r="36" spans="2:27">
      <c r="B36" s="14">
        <v>19</v>
      </c>
      <c r="C36" s="197" t="str">
        <f>Refsz_Verbräuche[[#This Row],[Handlungsfeld]]</f>
        <v>Wärme</v>
      </c>
      <c r="D36" s="46" t="str">
        <f>Refsz_Verbräuche[[#This Row],[Datenpunkt]]</f>
        <v>Fernwärme Mix</v>
      </c>
      <c r="E36" s="26" t="str">
        <f>Refsz_Verbräuche[[#This Row],[Einheit]]</f>
        <v>MWh</v>
      </c>
      <c r="F36" s="108"/>
      <c r="G36" s="14" t="str">
        <f>IF(ISBLANK(Refsz_Verbräuche[[#This Row],[2015]]),"",Refsz_Verbräuche[[#This Row],[2015]])</f>
        <v/>
      </c>
      <c r="H36" s="14" t="str">
        <f>IF(ISBLANK(Refsz_Verbräuche[[#This Row],[2016]]),"",Refsz_Verbräuche[[#This Row],[2016]])</f>
        <v/>
      </c>
      <c r="I36" s="14" t="str">
        <f>IF(ISBLANK(Refsz_Verbräuche[[#This Row],[2017]]),"",Refsz_Verbräuche[[#This Row],[2017]])</f>
        <v/>
      </c>
      <c r="J36" s="14" t="str">
        <f>IF(ISBLANK(Refsz_Verbräuche[[#This Row],[2018]]),"",Refsz_Verbräuche[[#This Row],[2018]])</f>
        <v/>
      </c>
      <c r="K36" s="14" t="str">
        <f>IF(ISBLANK(Refsz_Verbräuche[[#This Row],[2019]]),"",Refsz_Verbräuche[[#This Row],[2019]])</f>
        <v/>
      </c>
      <c r="L36" s="14" t="str">
        <f>IF(ISBLANK(Refsz_Verbräuche[[#This Row],[2020]]),"",Refsz_Verbräuche[[#This Row],[2020]])</f>
        <v/>
      </c>
      <c r="M36" s="14" t="str">
        <f>IF(ISBLANK(Refsz_Verbräuche[[#This Row],[2021]]),"",Refsz_Verbräuche[[#This Row],[2021]])</f>
        <v/>
      </c>
      <c r="N36" s="49" t="str">
        <f>IF(Klisz_Verbräuche[[#Headers],[2022]]=$B$14,IF(COUNTIF($G36:Klisz_Verbräuche[[#This Row],[2021]],"&gt;0")&gt;0, AVERAGEIF($G36:Klisz_Verbräuche[[#This Row],[2021]],"&lt;&gt;"), ""),IF($B$14&lt;Klisz_Verbräuche[[#Headers],[2022]],IF(COUNTIF($G36:Klisz_Verbräuche[[#This Row],[2021]],"&gt;0")&gt;0,IF(COUNTIF($G36:Klisz_Verbräuche[[#This Row],[2021]],"&gt;0")&gt;0,Klisz_Verbräuche[[#This Row],[2021]]*(1-$F36)^1, ""), ""),IF($B$14&gt;Klisz_Verbräuche[[#Headers],[2022]],Refsz_Verbräuche[[#This Row],[2022]],"")))</f>
        <v/>
      </c>
      <c r="O36" s="49" t="str">
        <f>IF(Klisz_Verbräuche[[#Headers],[2023]]=$B$14,IF(COUNTIF($G36:Klisz_Verbräuche[[#This Row],[2022]],"&gt;0")&gt;0, AVERAGEIF($G36:Klisz_Verbräuche[[#This Row],[2022]],"&lt;&gt;"), ""),IF($B$14&lt;Klisz_Verbräuche[[#Headers],[2023]],IF(COUNTIF($G36:Klisz_Verbräuche[[#This Row],[2022]],"&gt;0")&gt;0,IF(COUNTIF($G36:Klisz_Verbräuche[[#This Row],[2022]],"&gt;0")&gt;0,Klisz_Verbräuche[[#This Row],[2022]]*(1-$F36)^1, ""), ""),IF($B$14&gt;Klisz_Verbräuche[[#Headers],[2023]],Refsz_Verbräuche[[#This Row],[2023]],"")))</f>
        <v/>
      </c>
      <c r="P36" s="49" t="str">
        <f>IF(Klisz_Verbräuche[[#Headers],[2024]]=$B$14,IF(COUNTIF($G36:Klisz_Verbräuche[[#This Row],[2023]],"&gt;0")&gt;0, AVERAGEIF($G36:Klisz_Verbräuche[[#This Row],[2023]],"&lt;&gt;"), ""),IF($B$14&lt;Klisz_Verbräuche[[#Headers],[2024]],IF(COUNTIF($G36:Klisz_Verbräuche[[#This Row],[2023]],"&gt;0")&gt;0,IF(COUNTIF($G36:Klisz_Verbräuche[[#This Row],[2023]],"&gt;0")&gt;0,Klisz_Verbräuche[[#This Row],[2023]]*(1-$F36)^1, ""), ""),IF($B$14&gt;Klisz_Verbräuche[[#Headers],[2024]],Refsz_Verbräuche[[#This Row],[2024]],"")))</f>
        <v/>
      </c>
      <c r="Q36" s="49" t="str">
        <f>IF(Klisz_Verbräuche[[#Headers],[2025]]=$B$14,IF(COUNTIF($G36:Klisz_Verbräuche[[#This Row],[2024]],"&gt;0")&gt;0, AVERAGEIF($G36:Klisz_Verbräuche[[#This Row],[2024]],"&lt;&gt;"), ""),IF($B$14&lt;Klisz_Verbräuche[[#Headers],[2025]],IF(COUNTIF($G36:Klisz_Verbräuche[[#This Row],[2024]],"&gt;0")&gt;0,IF(COUNTIF($G36:Klisz_Verbräuche[[#This Row],[2024]],"&gt;0")&gt;0,Klisz_Verbräuche[[#This Row],[2024]]*(1-$F36)^1, ""), ""),IF($B$14&gt;Klisz_Verbräuche[[#Headers],[2025]],Refsz_Verbräuche[[#This Row],[2025]],"")))</f>
        <v/>
      </c>
      <c r="R36" s="49" t="str">
        <f>IF(Klisz_Verbräuche[[#Headers],[2026]]=$B$14,IF(COUNTIF($G36:Klisz_Verbräuche[[#This Row],[2025]],"&gt;0")&gt;0, AVERAGEIF($G36:Klisz_Verbräuche[[#This Row],[2025]],"&lt;&gt;"), ""),IF($B$14&lt;Klisz_Verbräuche[[#Headers],[2026]],IF(COUNTIF($G36:Klisz_Verbräuche[[#This Row],[2025]],"&gt;0")&gt;0,IF(COUNTIF($G36:Klisz_Verbräuche[[#This Row],[2025]],"&gt;0")&gt;0,Klisz_Verbräuche[[#This Row],[2025]]*(1-$F36)^1, ""), ""),IF($B$14&gt;Klisz_Verbräuche[[#Headers],[2026]],Refsz_Verbräuche[[#This Row],[2026]],"")))</f>
        <v/>
      </c>
      <c r="S36" s="49" t="str">
        <f>IF(Klisz_Verbräuche[[#Headers],[2027]]=$B$14,IF(COUNTIF($G36:Klisz_Verbräuche[[#This Row],[2026]],"&gt;0")&gt;0, AVERAGEIF($G36:Klisz_Verbräuche[[#This Row],[2026]],"&lt;&gt;"), ""),IF($B$14&lt;Klisz_Verbräuche[[#Headers],[2027]],IF(COUNTIF($G36:Klisz_Verbräuche[[#This Row],[2026]],"&gt;0")&gt;0,IF(COUNTIF($G36:Klisz_Verbräuche[[#This Row],[2026]],"&gt;0")&gt;0,Klisz_Verbräuche[[#This Row],[2026]]*(1-$F36)^1, ""), ""),IF($B$14&gt;Klisz_Verbräuche[[#Headers],[2027]],Refsz_Verbräuche[[#This Row],[2027]],"")))</f>
        <v/>
      </c>
      <c r="T36" s="49" t="str">
        <f>IF(Klisz_Verbräuche[[#Headers],[2028]]=$B$14,IF(COUNTIF($G36:Klisz_Verbräuche[[#This Row],[2027]],"&gt;0")&gt;0, AVERAGEIF($G36:Klisz_Verbräuche[[#This Row],[2027]],"&lt;&gt;"), ""),IF($B$14&lt;Klisz_Verbräuche[[#Headers],[2028]],IF(COUNTIF($G36:Klisz_Verbräuche[[#This Row],[2027]],"&gt;0")&gt;0,IF(COUNTIF($G36:Klisz_Verbräuche[[#This Row],[2027]],"&gt;0")&gt;0,Klisz_Verbräuche[[#This Row],[2027]]*(1-$F36)^1, ""), ""),IF($B$14&gt;Klisz_Verbräuche[[#Headers],[2028]],Refsz_Verbräuche[[#This Row],[2028]],"")))</f>
        <v/>
      </c>
      <c r="U36" s="49" t="str">
        <f>IF(Klisz_Verbräuche[[#Headers],[2029]]=$B$14,IF(COUNTIF($G36:Klisz_Verbräuche[[#This Row],[2028]],"&gt;0")&gt;0, AVERAGEIF($G36:Klisz_Verbräuche[[#This Row],[2028]],"&lt;&gt;"), ""),IF($B$14&lt;Klisz_Verbräuche[[#Headers],[2029]],IF(COUNTIF($G36:Klisz_Verbräuche[[#This Row],[2028]],"&gt;0")&gt;0,IF(COUNTIF($G36:Klisz_Verbräuche[[#This Row],[2028]],"&gt;0")&gt;0,Klisz_Verbräuche[[#This Row],[2028]]*(1-$F36)^1, ""), ""),IF($B$14&gt;Klisz_Verbräuche[[#Headers],[2029]],Refsz_Verbräuche[[#This Row],[2029]],"")))</f>
        <v/>
      </c>
      <c r="V36" s="49" t="str">
        <f>IF(Klisz_Verbräuche[[#Headers],[2030]]=$B$14,IF(COUNTIF($G36:Klisz_Verbräuche[[#This Row],[2029]],"&gt;0")&gt;0, AVERAGEIF($G36:Klisz_Verbräuche[[#This Row],[2029]],"&lt;&gt;"), ""),IF($B$14&lt;Klisz_Verbräuche[[#Headers],[2030]],IF(COUNTIF($G36:Klisz_Verbräuche[[#This Row],[2029]],"&gt;0")&gt;0,IF(COUNTIF($G36:Klisz_Verbräuche[[#This Row],[2029]],"&gt;0")&gt;0,Klisz_Verbräuche[[#This Row],[2029]]*(1-$F36)^1, ""), ""),IF($B$14&gt;Klisz_Verbräuche[[#Headers],[2030]],Refsz_Verbräuche[[#This Row],[2030]],"")))</f>
        <v/>
      </c>
      <c r="W36" s="49" t="str">
        <f>IF(Klisz_Verbräuche[[#Headers],[2035]]=$B$14,IF(COUNTIF($G36:Klisz_Verbräuche[[#This Row],[2030]],"&gt;0")&gt;0, AVERAGEIF($G36:Klisz_Verbräuche[[#This Row],[2030]],"&lt;&gt;"), ""),IF($B$14&lt;Klisz_Verbräuche[[#Headers],[2035]],IF(COUNTIF($G36:Klisz_Verbräuche[[#This Row],[2030]],"&gt;0")&gt;0,IF(COUNTIF($G36:Klisz_Verbräuche[[#This Row],[2030]],"&gt;0")&gt;0,Klisz_Verbräuche[[#This Row],[2030]]*(1-$F36)^5, ""), ""),IF($B$14&gt;Klisz_Verbräuche[[#Headers],[2035]],Refsz_Verbräuche[[#This Row],[2035]],"")))</f>
        <v/>
      </c>
      <c r="X36" s="49" t="str">
        <f>IF(Klisz_Verbräuche[[#Headers],[2040]]=$B$14,IF(COUNTIF($G36:Klisz_Verbräuche[[#This Row],[2035]],"&gt;0")&gt;0, AVERAGEIF($G36:Klisz_Verbräuche[[#This Row],[2035]],"&lt;&gt;"), ""),IF($B$14&lt;Klisz_Verbräuche[[#Headers],[2040]],IF(COUNTIF($G36:Klisz_Verbräuche[[#This Row],[2035]],"&gt;0")&gt;0,IF(COUNTIF($G36:Klisz_Verbräuche[[#This Row],[2035]],"&gt;0")&gt;0,Klisz_Verbräuche[[#This Row],[2035]]*(1-$F36)^5, ""), ""),IF($B$14&gt;Klisz_Verbräuche[[#Headers],[2040]],Refsz_Verbräuche[[#This Row],[2040]],"")))</f>
        <v/>
      </c>
      <c r="Y36" s="49" t="str">
        <f>IF(Klisz_Verbräuche[[#Headers],[2045]]=$B$14,IF(COUNTIF($G36:Klisz_Verbräuche[[#This Row],[2040]],"&gt;0")&gt;0, AVERAGEIF($G36:Klisz_Verbräuche[[#This Row],[2040]],"&lt;&gt;"), ""),IF($B$14&lt;Klisz_Verbräuche[[#Headers],[2045]],IF(COUNTIF($G36:Klisz_Verbräuche[[#This Row],[2040]],"&gt;0")&gt;0,IF(COUNTIF($G36:Klisz_Verbräuche[[#This Row],[2040]],"&gt;0")&gt;0,Klisz_Verbräuche[[#This Row],[2040]]*(1-$F36)^5, ""), ""),IF($B$14&gt;Klisz_Verbräuche[[#Headers],[2045]],Refsz_Verbräuche[[#This Row],[2045]],"")))</f>
        <v/>
      </c>
      <c r="Z36" s="49" t="str">
        <f>IF(Klisz_Verbräuche[[#Headers],[2050]]=$B$14,IF(COUNTIF($G36:Klisz_Verbräuche[[#This Row],[2045]],"&gt;0")&gt;0, AVERAGEIF($G36:Klisz_Verbräuche[[#This Row],[2045]],"&lt;&gt;"), ""),IF($B$14&lt;Klisz_Verbräuche[[#Headers],[2050]],IF(COUNTIF($G36:Klisz_Verbräuche[[#This Row],[2045]],"&gt;0")&gt;0,IF(COUNTIF($G36:Klisz_Verbräuche[[#This Row],[2045]],"&gt;0")&gt;0,Klisz_Verbräuche[[#This Row],[2045]]*(1-$F36)^5, ""), ""),IF($B$14&gt;Klisz_Verbräuche[[#Headers],[2050]],Refsz_Verbräuche[[#This Row],[2050]],"")))</f>
        <v/>
      </c>
      <c r="AA36" s="14"/>
    </row>
    <row r="37" spans="2:27">
      <c r="B37" s="14">
        <v>20</v>
      </c>
      <c r="C37" s="197" t="str">
        <f>Refsz_Verbräuche[[#This Row],[Handlungsfeld]]</f>
        <v>Wärme</v>
      </c>
      <c r="D37" s="46" t="str">
        <f>Refsz_Verbräuche[[#This Row],[Datenpunkt]]</f>
        <v>Fernwärme Abfall</v>
      </c>
      <c r="E37" s="26" t="str">
        <f>Refsz_Verbräuche[[#This Row],[Einheit]]</f>
        <v>MWh</v>
      </c>
      <c r="F37" s="108"/>
      <c r="G37" s="14" t="str">
        <f>IF(ISBLANK(Refsz_Verbräuche[[#This Row],[2015]]),"",Refsz_Verbräuche[[#This Row],[2015]])</f>
        <v/>
      </c>
      <c r="H37" s="14" t="str">
        <f>IF(ISBLANK(Refsz_Verbräuche[[#This Row],[2016]]),"",Refsz_Verbräuche[[#This Row],[2016]])</f>
        <v/>
      </c>
      <c r="I37" s="14" t="str">
        <f>IF(ISBLANK(Refsz_Verbräuche[[#This Row],[2017]]),"",Refsz_Verbräuche[[#This Row],[2017]])</f>
        <v/>
      </c>
      <c r="J37" s="14" t="str">
        <f>IF(ISBLANK(Refsz_Verbräuche[[#This Row],[2018]]),"",Refsz_Verbräuche[[#This Row],[2018]])</f>
        <v/>
      </c>
      <c r="K37" s="14" t="str">
        <f>IF(ISBLANK(Refsz_Verbräuche[[#This Row],[2019]]),"",Refsz_Verbräuche[[#This Row],[2019]])</f>
        <v/>
      </c>
      <c r="L37" s="14" t="str">
        <f>IF(ISBLANK(Refsz_Verbräuche[[#This Row],[2020]]),"",Refsz_Verbräuche[[#This Row],[2020]])</f>
        <v/>
      </c>
      <c r="M37" s="14" t="str">
        <f>IF(ISBLANK(Refsz_Verbräuche[[#This Row],[2021]]),"",Refsz_Verbräuche[[#This Row],[2021]])</f>
        <v/>
      </c>
      <c r="N37" s="49" t="str">
        <f>IF(Klisz_Verbräuche[[#Headers],[2022]]=$B$14,IF(COUNTIF($G37:Klisz_Verbräuche[[#This Row],[2021]],"&gt;0")&gt;0, AVERAGEIF($G37:Klisz_Verbräuche[[#This Row],[2021]],"&lt;&gt;"), ""),IF($B$14&lt;Klisz_Verbräuche[[#Headers],[2022]],IF(COUNTIF($G37:Klisz_Verbräuche[[#This Row],[2021]],"&gt;0")&gt;0,IF(COUNTIF($G37:Klisz_Verbräuche[[#This Row],[2021]],"&gt;0")&gt;0,Klisz_Verbräuche[[#This Row],[2021]]*(1-$F37)^1, ""), ""),IF($B$14&gt;Klisz_Verbräuche[[#Headers],[2022]],Refsz_Verbräuche[[#This Row],[2022]],"")))</f>
        <v/>
      </c>
      <c r="O37" s="49" t="str">
        <f>IF(Klisz_Verbräuche[[#Headers],[2023]]=$B$14,IF(COUNTIF($G37:Klisz_Verbräuche[[#This Row],[2022]],"&gt;0")&gt;0, AVERAGEIF($G37:Klisz_Verbräuche[[#This Row],[2022]],"&lt;&gt;"), ""),IF($B$14&lt;Klisz_Verbräuche[[#Headers],[2023]],IF(COUNTIF($G37:Klisz_Verbräuche[[#This Row],[2022]],"&gt;0")&gt;0,IF(COUNTIF($G37:Klisz_Verbräuche[[#This Row],[2022]],"&gt;0")&gt;0,Klisz_Verbräuche[[#This Row],[2022]]*(1-$F37)^1, ""), ""),IF($B$14&gt;Klisz_Verbräuche[[#Headers],[2023]],Refsz_Verbräuche[[#This Row],[2023]],"")))</f>
        <v/>
      </c>
      <c r="P37" s="49" t="str">
        <f>IF(Klisz_Verbräuche[[#Headers],[2024]]=$B$14,IF(COUNTIF($G37:Klisz_Verbräuche[[#This Row],[2023]],"&gt;0")&gt;0, AVERAGEIF($G37:Klisz_Verbräuche[[#This Row],[2023]],"&lt;&gt;"), ""),IF($B$14&lt;Klisz_Verbräuche[[#Headers],[2024]],IF(COUNTIF($G37:Klisz_Verbräuche[[#This Row],[2023]],"&gt;0")&gt;0,IF(COUNTIF($G37:Klisz_Verbräuche[[#This Row],[2023]],"&gt;0")&gt;0,Klisz_Verbräuche[[#This Row],[2023]]*(1-$F37)^1, ""), ""),IF($B$14&gt;Klisz_Verbräuche[[#Headers],[2024]],Refsz_Verbräuche[[#This Row],[2024]],"")))</f>
        <v/>
      </c>
      <c r="Q37" s="49" t="str">
        <f>IF(Klisz_Verbräuche[[#Headers],[2025]]=$B$14,IF(COUNTIF($G37:Klisz_Verbräuche[[#This Row],[2024]],"&gt;0")&gt;0, AVERAGEIF($G37:Klisz_Verbräuche[[#This Row],[2024]],"&lt;&gt;"), ""),IF($B$14&lt;Klisz_Verbräuche[[#Headers],[2025]],IF(COUNTIF($G37:Klisz_Verbräuche[[#This Row],[2024]],"&gt;0")&gt;0,IF(COUNTIF($G37:Klisz_Verbräuche[[#This Row],[2024]],"&gt;0")&gt;0,Klisz_Verbräuche[[#This Row],[2024]]*(1-$F37)^1, ""), ""),IF($B$14&gt;Klisz_Verbräuche[[#Headers],[2025]],Refsz_Verbräuche[[#This Row],[2025]],"")))</f>
        <v/>
      </c>
      <c r="R37" s="49" t="str">
        <f>IF(Klisz_Verbräuche[[#Headers],[2026]]=$B$14,IF(COUNTIF($G37:Klisz_Verbräuche[[#This Row],[2025]],"&gt;0")&gt;0, AVERAGEIF($G37:Klisz_Verbräuche[[#This Row],[2025]],"&lt;&gt;"), ""),IF($B$14&lt;Klisz_Verbräuche[[#Headers],[2026]],IF(COUNTIF($G37:Klisz_Verbräuche[[#This Row],[2025]],"&gt;0")&gt;0,IF(COUNTIF($G37:Klisz_Verbräuche[[#This Row],[2025]],"&gt;0")&gt;0,Klisz_Verbräuche[[#This Row],[2025]]*(1-$F37)^1, ""), ""),IF($B$14&gt;Klisz_Verbräuche[[#Headers],[2026]],Refsz_Verbräuche[[#This Row],[2026]],"")))</f>
        <v/>
      </c>
      <c r="S37" s="49" t="str">
        <f>IF(Klisz_Verbräuche[[#Headers],[2027]]=$B$14,IF(COUNTIF($G37:Klisz_Verbräuche[[#This Row],[2026]],"&gt;0")&gt;0, AVERAGEIF($G37:Klisz_Verbräuche[[#This Row],[2026]],"&lt;&gt;"), ""),IF($B$14&lt;Klisz_Verbräuche[[#Headers],[2027]],IF(COUNTIF($G37:Klisz_Verbräuche[[#This Row],[2026]],"&gt;0")&gt;0,IF(COUNTIF($G37:Klisz_Verbräuche[[#This Row],[2026]],"&gt;0")&gt;0,Klisz_Verbräuche[[#This Row],[2026]]*(1-$F37)^1, ""), ""),IF($B$14&gt;Klisz_Verbräuche[[#Headers],[2027]],Refsz_Verbräuche[[#This Row],[2027]],"")))</f>
        <v/>
      </c>
      <c r="T37" s="49" t="str">
        <f>IF(Klisz_Verbräuche[[#Headers],[2028]]=$B$14,IF(COUNTIF($G37:Klisz_Verbräuche[[#This Row],[2027]],"&gt;0")&gt;0, AVERAGEIF($G37:Klisz_Verbräuche[[#This Row],[2027]],"&lt;&gt;"), ""),IF($B$14&lt;Klisz_Verbräuche[[#Headers],[2028]],IF(COUNTIF($G37:Klisz_Verbräuche[[#This Row],[2027]],"&gt;0")&gt;0,IF(COUNTIF($G37:Klisz_Verbräuche[[#This Row],[2027]],"&gt;0")&gt;0,Klisz_Verbräuche[[#This Row],[2027]]*(1-$F37)^1, ""), ""),IF($B$14&gt;Klisz_Verbräuche[[#Headers],[2028]],Refsz_Verbräuche[[#This Row],[2028]],"")))</f>
        <v/>
      </c>
      <c r="U37" s="49" t="str">
        <f>IF(Klisz_Verbräuche[[#Headers],[2029]]=$B$14,IF(COUNTIF($G37:Klisz_Verbräuche[[#This Row],[2028]],"&gt;0")&gt;0, AVERAGEIF($G37:Klisz_Verbräuche[[#This Row],[2028]],"&lt;&gt;"), ""),IF($B$14&lt;Klisz_Verbräuche[[#Headers],[2029]],IF(COUNTIF($G37:Klisz_Verbräuche[[#This Row],[2028]],"&gt;0")&gt;0,IF(COUNTIF($G37:Klisz_Verbräuche[[#This Row],[2028]],"&gt;0")&gt;0,Klisz_Verbräuche[[#This Row],[2028]]*(1-$F37)^1, ""), ""),IF($B$14&gt;Klisz_Verbräuche[[#Headers],[2029]],Refsz_Verbräuche[[#This Row],[2029]],"")))</f>
        <v/>
      </c>
      <c r="V37" s="49" t="str">
        <f>IF(Klisz_Verbräuche[[#Headers],[2030]]=$B$14,IF(COUNTIF($G37:Klisz_Verbräuche[[#This Row],[2029]],"&gt;0")&gt;0, AVERAGEIF($G37:Klisz_Verbräuche[[#This Row],[2029]],"&lt;&gt;"), ""),IF($B$14&lt;Klisz_Verbräuche[[#Headers],[2030]],IF(COUNTIF($G37:Klisz_Verbräuche[[#This Row],[2029]],"&gt;0")&gt;0,IF(COUNTIF($G37:Klisz_Verbräuche[[#This Row],[2029]],"&gt;0")&gt;0,Klisz_Verbräuche[[#This Row],[2029]]*(1-$F37)^1, ""), ""),IF($B$14&gt;Klisz_Verbräuche[[#Headers],[2030]],Refsz_Verbräuche[[#This Row],[2030]],"")))</f>
        <v/>
      </c>
      <c r="W37" s="49" t="str">
        <f>IF(Klisz_Verbräuche[[#Headers],[2035]]=$B$14,IF(COUNTIF($G37:Klisz_Verbräuche[[#This Row],[2030]],"&gt;0")&gt;0, AVERAGEIF($G37:Klisz_Verbräuche[[#This Row],[2030]],"&lt;&gt;"), ""),IF($B$14&lt;Klisz_Verbräuche[[#Headers],[2035]],IF(COUNTIF($G37:Klisz_Verbräuche[[#This Row],[2030]],"&gt;0")&gt;0,IF(COUNTIF($G37:Klisz_Verbräuche[[#This Row],[2030]],"&gt;0")&gt;0,Klisz_Verbräuche[[#This Row],[2030]]*(1-$F37)^5, ""), ""),IF($B$14&gt;Klisz_Verbräuche[[#Headers],[2035]],Refsz_Verbräuche[[#This Row],[2035]],"")))</f>
        <v/>
      </c>
      <c r="X37" s="49" t="str">
        <f>IF(Klisz_Verbräuche[[#Headers],[2040]]=$B$14,IF(COUNTIF($G37:Klisz_Verbräuche[[#This Row],[2035]],"&gt;0")&gt;0, AVERAGEIF($G37:Klisz_Verbräuche[[#This Row],[2035]],"&lt;&gt;"), ""),IF($B$14&lt;Klisz_Verbräuche[[#Headers],[2040]],IF(COUNTIF($G37:Klisz_Verbräuche[[#This Row],[2035]],"&gt;0")&gt;0,IF(COUNTIF($G37:Klisz_Verbräuche[[#This Row],[2035]],"&gt;0")&gt;0,Klisz_Verbräuche[[#This Row],[2035]]*(1-$F37)^5, ""), ""),IF($B$14&gt;Klisz_Verbräuche[[#Headers],[2040]],Refsz_Verbräuche[[#This Row],[2040]],"")))</f>
        <v/>
      </c>
      <c r="Y37" s="49" t="str">
        <f>IF(Klisz_Verbräuche[[#Headers],[2045]]=$B$14,IF(COUNTIF($G37:Klisz_Verbräuche[[#This Row],[2040]],"&gt;0")&gt;0, AVERAGEIF($G37:Klisz_Verbräuche[[#This Row],[2040]],"&lt;&gt;"), ""),IF($B$14&lt;Klisz_Verbräuche[[#Headers],[2045]],IF(COUNTIF($G37:Klisz_Verbräuche[[#This Row],[2040]],"&gt;0")&gt;0,IF(COUNTIF($G37:Klisz_Verbräuche[[#This Row],[2040]],"&gt;0")&gt;0,Klisz_Verbräuche[[#This Row],[2040]]*(1-$F37)^5, ""), ""),IF($B$14&gt;Klisz_Verbräuche[[#Headers],[2045]],Refsz_Verbräuche[[#This Row],[2045]],"")))</f>
        <v/>
      </c>
      <c r="Z37" s="49" t="str">
        <f>IF(Klisz_Verbräuche[[#Headers],[2050]]=$B$14,IF(COUNTIF($G37:Klisz_Verbräuche[[#This Row],[2045]],"&gt;0")&gt;0, AVERAGEIF($G37:Klisz_Verbräuche[[#This Row],[2045]],"&lt;&gt;"), ""),IF($B$14&lt;Klisz_Verbräuche[[#Headers],[2050]],IF(COUNTIF($G37:Klisz_Verbräuche[[#This Row],[2045]],"&gt;0")&gt;0,IF(COUNTIF($G37:Klisz_Verbräuche[[#This Row],[2045]],"&gt;0")&gt;0,Klisz_Verbräuche[[#This Row],[2045]]*(1-$F37)^5, ""), ""),IF($B$14&gt;Klisz_Verbräuche[[#Headers],[2050]],Refsz_Verbräuche[[#This Row],[2050]],"")))</f>
        <v/>
      </c>
      <c r="AA37" s="14"/>
    </row>
    <row r="38" spans="2:27">
      <c r="B38" s="14">
        <v>21</v>
      </c>
      <c r="C38" s="197" t="str">
        <f>Refsz_Verbräuche[[#This Row],[Handlungsfeld]]</f>
        <v>Wärme</v>
      </c>
      <c r="D38" s="46" t="str">
        <f>Refsz_Verbräuche[[#This Row],[Datenpunkt]]</f>
        <v>Heizöl</v>
      </c>
      <c r="E38" s="26" t="str">
        <f>Refsz_Verbräuche[[#This Row],[Einheit]]</f>
        <v>MWh</v>
      </c>
      <c r="F38" s="108"/>
      <c r="G38" s="14" t="str">
        <f>IF(ISBLANK(Refsz_Verbräuche[[#This Row],[2015]]),"",Refsz_Verbräuche[[#This Row],[2015]])</f>
        <v/>
      </c>
      <c r="H38" s="14" t="str">
        <f>IF(ISBLANK(Refsz_Verbräuche[[#This Row],[2016]]),"",Refsz_Verbräuche[[#This Row],[2016]])</f>
        <v/>
      </c>
      <c r="I38" s="14" t="str">
        <f>IF(ISBLANK(Refsz_Verbräuche[[#This Row],[2017]]),"",Refsz_Verbräuche[[#This Row],[2017]])</f>
        <v/>
      </c>
      <c r="J38" s="14" t="str">
        <f>IF(ISBLANK(Refsz_Verbräuche[[#This Row],[2018]]),"",Refsz_Verbräuche[[#This Row],[2018]])</f>
        <v/>
      </c>
      <c r="K38" s="14" t="str">
        <f>IF(ISBLANK(Refsz_Verbräuche[[#This Row],[2019]]),"",Refsz_Verbräuche[[#This Row],[2019]])</f>
        <v/>
      </c>
      <c r="L38" s="14" t="str">
        <f>IF(ISBLANK(Refsz_Verbräuche[[#This Row],[2020]]),"",Refsz_Verbräuche[[#This Row],[2020]])</f>
        <v/>
      </c>
      <c r="M38" s="14" t="str">
        <f>IF(ISBLANK(Refsz_Verbräuche[[#This Row],[2021]]),"",Refsz_Verbräuche[[#This Row],[2021]])</f>
        <v/>
      </c>
      <c r="N38" s="49" t="str">
        <f>IF(Klisz_Verbräuche[[#Headers],[2022]]=$B$14,IF(COUNTIF($G38:Klisz_Verbräuche[[#This Row],[2021]],"&gt;0")&gt;0, AVERAGEIF($G38:Klisz_Verbräuche[[#This Row],[2021]],"&lt;&gt;"), ""),IF($B$14&lt;Klisz_Verbräuche[[#Headers],[2022]],IF(COUNTIF($G38:Klisz_Verbräuche[[#This Row],[2021]],"&gt;0")&gt;0,IF(COUNTIF($G38:Klisz_Verbräuche[[#This Row],[2021]],"&gt;0")&gt;0,Klisz_Verbräuche[[#This Row],[2021]]*(1-$F38)^1, ""), ""),IF($B$14&gt;Klisz_Verbräuche[[#Headers],[2022]],Refsz_Verbräuche[[#This Row],[2022]],"")))</f>
        <v/>
      </c>
      <c r="O38" s="49" t="str">
        <f>IF(Klisz_Verbräuche[[#Headers],[2023]]=$B$14,IF(COUNTIF($G38:Klisz_Verbräuche[[#This Row],[2022]],"&gt;0")&gt;0, AVERAGEIF($G38:Klisz_Verbräuche[[#This Row],[2022]],"&lt;&gt;"), ""),IF($B$14&lt;Klisz_Verbräuche[[#Headers],[2023]],IF(COUNTIF($G38:Klisz_Verbräuche[[#This Row],[2022]],"&gt;0")&gt;0,IF(COUNTIF($G38:Klisz_Verbräuche[[#This Row],[2022]],"&gt;0")&gt;0,Klisz_Verbräuche[[#This Row],[2022]]*(1-$F38)^1, ""), ""),IF($B$14&gt;Klisz_Verbräuche[[#Headers],[2023]],Refsz_Verbräuche[[#This Row],[2023]],"")))</f>
        <v/>
      </c>
      <c r="P38" s="49" t="str">
        <f>IF(Klisz_Verbräuche[[#Headers],[2024]]=$B$14,IF(COUNTIF($G38:Klisz_Verbräuche[[#This Row],[2023]],"&gt;0")&gt;0, AVERAGEIF($G38:Klisz_Verbräuche[[#This Row],[2023]],"&lt;&gt;"), ""),IF($B$14&lt;Klisz_Verbräuche[[#Headers],[2024]],IF(COUNTIF($G38:Klisz_Verbräuche[[#This Row],[2023]],"&gt;0")&gt;0,IF(COUNTIF($G38:Klisz_Verbräuche[[#This Row],[2023]],"&gt;0")&gt;0,Klisz_Verbräuche[[#This Row],[2023]]*(1-$F38)^1, ""), ""),IF($B$14&gt;Klisz_Verbräuche[[#Headers],[2024]],Refsz_Verbräuche[[#This Row],[2024]],"")))</f>
        <v/>
      </c>
      <c r="Q38" s="49" t="str">
        <f>IF(Klisz_Verbräuche[[#Headers],[2025]]=$B$14,IF(COUNTIF($G38:Klisz_Verbräuche[[#This Row],[2024]],"&gt;0")&gt;0, AVERAGEIF($G38:Klisz_Verbräuche[[#This Row],[2024]],"&lt;&gt;"), ""),IF($B$14&lt;Klisz_Verbräuche[[#Headers],[2025]],IF(COUNTIF($G38:Klisz_Verbräuche[[#This Row],[2024]],"&gt;0")&gt;0,IF(COUNTIF($G38:Klisz_Verbräuche[[#This Row],[2024]],"&gt;0")&gt;0,Klisz_Verbräuche[[#This Row],[2024]]*(1-$F38)^1, ""), ""),IF($B$14&gt;Klisz_Verbräuche[[#Headers],[2025]],Refsz_Verbräuche[[#This Row],[2025]],"")))</f>
        <v/>
      </c>
      <c r="R38" s="49" t="str">
        <f>IF(Klisz_Verbräuche[[#Headers],[2026]]=$B$14,IF(COUNTIF($G38:Klisz_Verbräuche[[#This Row],[2025]],"&gt;0")&gt;0, AVERAGEIF($G38:Klisz_Verbräuche[[#This Row],[2025]],"&lt;&gt;"), ""),IF($B$14&lt;Klisz_Verbräuche[[#Headers],[2026]],IF(COUNTIF($G38:Klisz_Verbräuche[[#This Row],[2025]],"&gt;0")&gt;0,IF(COUNTIF($G38:Klisz_Verbräuche[[#This Row],[2025]],"&gt;0")&gt;0,Klisz_Verbräuche[[#This Row],[2025]]*(1-$F38)^1, ""), ""),IF($B$14&gt;Klisz_Verbräuche[[#Headers],[2026]],Refsz_Verbräuche[[#This Row],[2026]],"")))</f>
        <v/>
      </c>
      <c r="S38" s="49" t="str">
        <f>IF(Klisz_Verbräuche[[#Headers],[2027]]=$B$14,IF(COUNTIF($G38:Klisz_Verbräuche[[#This Row],[2026]],"&gt;0")&gt;0, AVERAGEIF($G38:Klisz_Verbräuche[[#This Row],[2026]],"&lt;&gt;"), ""),IF($B$14&lt;Klisz_Verbräuche[[#Headers],[2027]],IF(COUNTIF($G38:Klisz_Verbräuche[[#This Row],[2026]],"&gt;0")&gt;0,IF(COUNTIF($G38:Klisz_Verbräuche[[#This Row],[2026]],"&gt;0")&gt;0,Klisz_Verbräuche[[#This Row],[2026]]*(1-$F38)^1, ""), ""),IF($B$14&gt;Klisz_Verbräuche[[#Headers],[2027]],Refsz_Verbräuche[[#This Row],[2027]],"")))</f>
        <v/>
      </c>
      <c r="T38" s="49" t="str">
        <f>IF(Klisz_Verbräuche[[#Headers],[2028]]=$B$14,IF(COUNTIF($G38:Klisz_Verbräuche[[#This Row],[2027]],"&gt;0")&gt;0, AVERAGEIF($G38:Klisz_Verbräuche[[#This Row],[2027]],"&lt;&gt;"), ""),IF($B$14&lt;Klisz_Verbräuche[[#Headers],[2028]],IF(COUNTIF($G38:Klisz_Verbräuche[[#This Row],[2027]],"&gt;0")&gt;0,IF(COUNTIF($G38:Klisz_Verbräuche[[#This Row],[2027]],"&gt;0")&gt;0,Klisz_Verbräuche[[#This Row],[2027]]*(1-$F38)^1, ""), ""),IF($B$14&gt;Klisz_Verbräuche[[#Headers],[2028]],Refsz_Verbräuche[[#This Row],[2028]],"")))</f>
        <v/>
      </c>
      <c r="U38" s="49" t="str">
        <f>IF(Klisz_Verbräuche[[#Headers],[2029]]=$B$14,IF(COUNTIF($G38:Klisz_Verbräuche[[#This Row],[2028]],"&gt;0")&gt;0, AVERAGEIF($G38:Klisz_Verbräuche[[#This Row],[2028]],"&lt;&gt;"), ""),IF($B$14&lt;Klisz_Verbräuche[[#Headers],[2029]],IF(COUNTIF($G38:Klisz_Verbräuche[[#This Row],[2028]],"&gt;0")&gt;0,IF(COUNTIF($G38:Klisz_Verbräuche[[#This Row],[2028]],"&gt;0")&gt;0,Klisz_Verbräuche[[#This Row],[2028]]*(1-$F38)^1, ""), ""),IF($B$14&gt;Klisz_Verbräuche[[#Headers],[2029]],Refsz_Verbräuche[[#This Row],[2029]],"")))</f>
        <v/>
      </c>
      <c r="V38" s="49" t="str">
        <f>IF(Klisz_Verbräuche[[#Headers],[2030]]=$B$14,IF(COUNTIF($G38:Klisz_Verbräuche[[#This Row],[2029]],"&gt;0")&gt;0, AVERAGEIF($G38:Klisz_Verbräuche[[#This Row],[2029]],"&lt;&gt;"), ""),IF($B$14&lt;Klisz_Verbräuche[[#Headers],[2030]],IF(COUNTIF($G38:Klisz_Verbräuche[[#This Row],[2029]],"&gt;0")&gt;0,IF(COUNTIF($G38:Klisz_Verbräuche[[#This Row],[2029]],"&gt;0")&gt;0,Klisz_Verbräuche[[#This Row],[2029]]*(1-$F38)^1, ""), ""),IF($B$14&gt;Klisz_Verbräuche[[#Headers],[2030]],Refsz_Verbräuche[[#This Row],[2030]],"")))</f>
        <v/>
      </c>
      <c r="W38" s="49" t="str">
        <f>IF(Klisz_Verbräuche[[#Headers],[2035]]=$B$14,IF(COUNTIF($G38:Klisz_Verbräuche[[#This Row],[2030]],"&gt;0")&gt;0, AVERAGEIF($G38:Klisz_Verbräuche[[#This Row],[2030]],"&lt;&gt;"), ""),IF($B$14&lt;Klisz_Verbräuche[[#Headers],[2035]],IF(COUNTIF($G38:Klisz_Verbräuche[[#This Row],[2030]],"&gt;0")&gt;0,IF(COUNTIF($G38:Klisz_Verbräuche[[#This Row],[2030]],"&gt;0")&gt;0,Klisz_Verbräuche[[#This Row],[2030]]*(1-$F38)^5, ""), ""),IF($B$14&gt;Klisz_Verbräuche[[#Headers],[2035]],Refsz_Verbräuche[[#This Row],[2035]],"")))</f>
        <v/>
      </c>
      <c r="X38" s="49" t="str">
        <f>IF(Klisz_Verbräuche[[#Headers],[2040]]=$B$14,IF(COUNTIF($G38:Klisz_Verbräuche[[#This Row],[2035]],"&gt;0")&gt;0, AVERAGEIF($G38:Klisz_Verbräuche[[#This Row],[2035]],"&lt;&gt;"), ""),IF($B$14&lt;Klisz_Verbräuche[[#Headers],[2040]],IF(COUNTIF($G38:Klisz_Verbräuche[[#This Row],[2035]],"&gt;0")&gt;0,IF(COUNTIF($G38:Klisz_Verbräuche[[#This Row],[2035]],"&gt;0")&gt;0,Klisz_Verbräuche[[#This Row],[2035]]*(1-$F38)^5, ""), ""),IF($B$14&gt;Klisz_Verbräuche[[#Headers],[2040]],Refsz_Verbräuche[[#This Row],[2040]],"")))</f>
        <v/>
      </c>
      <c r="Y38" s="49" t="str">
        <f>IF(Klisz_Verbräuche[[#Headers],[2045]]=$B$14,IF(COUNTIF($G38:Klisz_Verbräuche[[#This Row],[2040]],"&gt;0")&gt;0, AVERAGEIF($G38:Klisz_Verbräuche[[#This Row],[2040]],"&lt;&gt;"), ""),IF($B$14&lt;Klisz_Verbräuche[[#Headers],[2045]],IF(COUNTIF($G38:Klisz_Verbräuche[[#This Row],[2040]],"&gt;0")&gt;0,IF(COUNTIF($G38:Klisz_Verbräuche[[#This Row],[2040]],"&gt;0")&gt;0,Klisz_Verbräuche[[#This Row],[2040]]*(1-$F38)^5, ""), ""),IF($B$14&gt;Klisz_Verbräuche[[#Headers],[2045]],Refsz_Verbräuche[[#This Row],[2045]],"")))</f>
        <v/>
      </c>
      <c r="Z38" s="49" t="str">
        <f>IF(Klisz_Verbräuche[[#Headers],[2050]]=$B$14,IF(COUNTIF($G38:Klisz_Verbräuche[[#This Row],[2045]],"&gt;0")&gt;0, AVERAGEIF($G38:Klisz_Verbräuche[[#This Row],[2045]],"&lt;&gt;"), ""),IF($B$14&lt;Klisz_Verbräuche[[#Headers],[2050]],IF(COUNTIF($G38:Klisz_Verbräuche[[#This Row],[2045]],"&gt;0")&gt;0,IF(COUNTIF($G38:Klisz_Verbräuche[[#This Row],[2045]],"&gt;0")&gt;0,Klisz_Verbräuche[[#This Row],[2045]]*(1-$F38)^5, ""), ""),IF($B$14&gt;Klisz_Verbräuche[[#Headers],[2050]],Refsz_Verbräuche[[#This Row],[2050]],"")))</f>
        <v/>
      </c>
      <c r="AA38" s="14"/>
    </row>
    <row r="39" spans="2:27">
      <c r="B39" s="14">
        <v>22</v>
      </c>
      <c r="C39" s="197" t="str">
        <f>Refsz_Verbräuche[[#This Row],[Handlungsfeld]]</f>
        <v>Wärme</v>
      </c>
      <c r="D39" s="46" t="str">
        <f>Refsz_Verbräuche[[#This Row],[Datenpunkt]]</f>
        <v>Solarthermie</v>
      </c>
      <c r="E39" s="26" t="str">
        <f>Refsz_Verbräuche[[#This Row],[Einheit]]</f>
        <v>MWh</v>
      </c>
      <c r="F39" s="108"/>
      <c r="G39" s="14" t="str">
        <f>IF(ISBLANK(Refsz_Verbräuche[[#This Row],[2015]]),"",Refsz_Verbräuche[[#This Row],[2015]])</f>
        <v/>
      </c>
      <c r="H39" s="14" t="str">
        <f>IF(ISBLANK(Refsz_Verbräuche[[#This Row],[2016]]),"",Refsz_Verbräuche[[#This Row],[2016]])</f>
        <v/>
      </c>
      <c r="I39" s="14" t="str">
        <f>IF(ISBLANK(Refsz_Verbräuche[[#This Row],[2017]]),"",Refsz_Verbräuche[[#This Row],[2017]])</f>
        <v/>
      </c>
      <c r="J39" s="14" t="str">
        <f>IF(ISBLANK(Refsz_Verbräuche[[#This Row],[2018]]),"",Refsz_Verbräuche[[#This Row],[2018]])</f>
        <v/>
      </c>
      <c r="K39" s="14" t="str">
        <f>IF(ISBLANK(Refsz_Verbräuche[[#This Row],[2019]]),"",Refsz_Verbräuche[[#This Row],[2019]])</f>
        <v/>
      </c>
      <c r="L39" s="14" t="str">
        <f>IF(ISBLANK(Refsz_Verbräuche[[#This Row],[2020]]),"",Refsz_Verbräuche[[#This Row],[2020]])</f>
        <v/>
      </c>
      <c r="M39" s="14" t="str">
        <f>IF(ISBLANK(Refsz_Verbräuche[[#This Row],[2021]]),"",Refsz_Verbräuche[[#This Row],[2021]])</f>
        <v/>
      </c>
      <c r="N39" s="49" t="str">
        <f>IF(Klisz_Verbräuche[[#Headers],[2022]]=$B$14,IF(COUNTIF($G39:Klisz_Verbräuche[[#This Row],[2021]],"&gt;0")&gt;0, AVERAGEIF($G39:Klisz_Verbräuche[[#This Row],[2021]],"&lt;&gt;"), ""),IF($B$14&lt;Klisz_Verbräuche[[#Headers],[2022]],IF(COUNTIF($G39:Klisz_Verbräuche[[#This Row],[2021]],"&gt;0")&gt;0,IF(COUNTIF($G39:Klisz_Verbräuche[[#This Row],[2021]],"&gt;0")&gt;0,Klisz_Verbräuche[[#This Row],[2021]]*(1-$F39)^1, ""), ""),IF($B$14&gt;Klisz_Verbräuche[[#Headers],[2022]],Refsz_Verbräuche[[#This Row],[2022]],"")))</f>
        <v/>
      </c>
      <c r="O39" s="49" t="str">
        <f>IF(Klisz_Verbräuche[[#Headers],[2023]]=$B$14,IF(COUNTIF($G39:Klisz_Verbräuche[[#This Row],[2022]],"&gt;0")&gt;0, AVERAGEIF($G39:Klisz_Verbräuche[[#This Row],[2022]],"&lt;&gt;"), ""),IF($B$14&lt;Klisz_Verbräuche[[#Headers],[2023]],IF(COUNTIF($G39:Klisz_Verbräuche[[#This Row],[2022]],"&gt;0")&gt;0,IF(COUNTIF($G39:Klisz_Verbräuche[[#This Row],[2022]],"&gt;0")&gt;0,Klisz_Verbräuche[[#This Row],[2022]]*(1-$F39)^1, ""), ""),IF($B$14&gt;Klisz_Verbräuche[[#Headers],[2023]],Refsz_Verbräuche[[#This Row],[2023]],"")))</f>
        <v/>
      </c>
      <c r="P39" s="49" t="str">
        <f>IF(Klisz_Verbräuche[[#Headers],[2024]]=$B$14,IF(COUNTIF($G39:Klisz_Verbräuche[[#This Row],[2023]],"&gt;0")&gt;0, AVERAGEIF($G39:Klisz_Verbräuche[[#This Row],[2023]],"&lt;&gt;"), ""),IF($B$14&lt;Klisz_Verbräuche[[#Headers],[2024]],IF(COUNTIF($G39:Klisz_Verbräuche[[#This Row],[2023]],"&gt;0")&gt;0,IF(COUNTIF($G39:Klisz_Verbräuche[[#This Row],[2023]],"&gt;0")&gt;0,Klisz_Verbräuche[[#This Row],[2023]]*(1-$F39)^1, ""), ""),IF($B$14&gt;Klisz_Verbräuche[[#Headers],[2024]],Refsz_Verbräuche[[#This Row],[2024]],"")))</f>
        <v/>
      </c>
      <c r="Q39" s="49" t="str">
        <f>IF(Klisz_Verbräuche[[#Headers],[2025]]=$B$14,IF(COUNTIF($G39:Klisz_Verbräuche[[#This Row],[2024]],"&gt;0")&gt;0, AVERAGEIF($G39:Klisz_Verbräuche[[#This Row],[2024]],"&lt;&gt;"), ""),IF($B$14&lt;Klisz_Verbräuche[[#Headers],[2025]],IF(COUNTIF($G39:Klisz_Verbräuche[[#This Row],[2024]],"&gt;0")&gt;0,IF(COUNTIF($G39:Klisz_Verbräuche[[#This Row],[2024]],"&gt;0")&gt;0,Klisz_Verbräuche[[#This Row],[2024]]*(1-$F39)^1, ""), ""),IF($B$14&gt;Klisz_Verbräuche[[#Headers],[2025]],Refsz_Verbräuche[[#This Row],[2025]],"")))</f>
        <v/>
      </c>
      <c r="R39" s="49" t="str">
        <f>IF(Klisz_Verbräuche[[#Headers],[2026]]=$B$14,IF(COUNTIF($G39:Klisz_Verbräuche[[#This Row],[2025]],"&gt;0")&gt;0, AVERAGEIF($G39:Klisz_Verbräuche[[#This Row],[2025]],"&lt;&gt;"), ""),IF($B$14&lt;Klisz_Verbräuche[[#Headers],[2026]],IF(COUNTIF($G39:Klisz_Verbräuche[[#This Row],[2025]],"&gt;0")&gt;0,IF(COUNTIF($G39:Klisz_Verbräuche[[#This Row],[2025]],"&gt;0")&gt;0,Klisz_Verbräuche[[#This Row],[2025]]*(1-$F39)^1, ""), ""),IF($B$14&gt;Klisz_Verbräuche[[#Headers],[2026]],Refsz_Verbräuche[[#This Row],[2026]],"")))</f>
        <v/>
      </c>
      <c r="S39" s="49" t="str">
        <f>IF(Klisz_Verbräuche[[#Headers],[2027]]=$B$14,IF(COUNTIF($G39:Klisz_Verbräuche[[#This Row],[2026]],"&gt;0")&gt;0, AVERAGEIF($G39:Klisz_Verbräuche[[#This Row],[2026]],"&lt;&gt;"), ""),IF($B$14&lt;Klisz_Verbräuche[[#Headers],[2027]],IF(COUNTIF($G39:Klisz_Verbräuche[[#This Row],[2026]],"&gt;0")&gt;0,IF(COUNTIF($G39:Klisz_Verbräuche[[#This Row],[2026]],"&gt;0")&gt;0,Klisz_Verbräuche[[#This Row],[2026]]*(1-$F39)^1, ""), ""),IF($B$14&gt;Klisz_Verbräuche[[#Headers],[2027]],Refsz_Verbräuche[[#This Row],[2027]],"")))</f>
        <v/>
      </c>
      <c r="T39" s="49" t="str">
        <f>IF(Klisz_Verbräuche[[#Headers],[2028]]=$B$14,IF(COUNTIF($G39:Klisz_Verbräuche[[#This Row],[2027]],"&gt;0")&gt;0, AVERAGEIF($G39:Klisz_Verbräuche[[#This Row],[2027]],"&lt;&gt;"), ""),IF($B$14&lt;Klisz_Verbräuche[[#Headers],[2028]],IF(COUNTIF($G39:Klisz_Verbräuche[[#This Row],[2027]],"&gt;0")&gt;0,IF(COUNTIF($G39:Klisz_Verbräuche[[#This Row],[2027]],"&gt;0")&gt;0,Klisz_Verbräuche[[#This Row],[2027]]*(1-$F39)^1, ""), ""),IF($B$14&gt;Klisz_Verbräuche[[#Headers],[2028]],Refsz_Verbräuche[[#This Row],[2028]],"")))</f>
        <v/>
      </c>
      <c r="U39" s="49" t="str">
        <f>IF(Klisz_Verbräuche[[#Headers],[2029]]=$B$14,IF(COUNTIF($G39:Klisz_Verbräuche[[#This Row],[2028]],"&gt;0")&gt;0, AVERAGEIF($G39:Klisz_Verbräuche[[#This Row],[2028]],"&lt;&gt;"), ""),IF($B$14&lt;Klisz_Verbräuche[[#Headers],[2029]],IF(COUNTIF($G39:Klisz_Verbräuche[[#This Row],[2028]],"&gt;0")&gt;0,IF(COUNTIF($G39:Klisz_Verbräuche[[#This Row],[2028]],"&gt;0")&gt;0,Klisz_Verbräuche[[#This Row],[2028]]*(1-$F39)^1, ""), ""),IF($B$14&gt;Klisz_Verbräuche[[#Headers],[2029]],Refsz_Verbräuche[[#This Row],[2029]],"")))</f>
        <v/>
      </c>
      <c r="V39" s="49" t="str">
        <f>IF(Klisz_Verbräuche[[#Headers],[2030]]=$B$14,IF(COUNTIF($G39:Klisz_Verbräuche[[#This Row],[2029]],"&gt;0")&gt;0, AVERAGEIF($G39:Klisz_Verbräuche[[#This Row],[2029]],"&lt;&gt;"), ""),IF($B$14&lt;Klisz_Verbräuche[[#Headers],[2030]],IF(COUNTIF($G39:Klisz_Verbräuche[[#This Row],[2029]],"&gt;0")&gt;0,IF(COUNTIF($G39:Klisz_Verbräuche[[#This Row],[2029]],"&gt;0")&gt;0,Klisz_Verbräuche[[#This Row],[2029]]*(1-$F39)^1, ""), ""),IF($B$14&gt;Klisz_Verbräuche[[#Headers],[2030]],Refsz_Verbräuche[[#This Row],[2030]],"")))</f>
        <v/>
      </c>
      <c r="W39" s="49" t="str">
        <f>IF(Klisz_Verbräuche[[#Headers],[2035]]=$B$14,IF(COUNTIF($G39:Klisz_Verbräuche[[#This Row],[2030]],"&gt;0")&gt;0, AVERAGEIF($G39:Klisz_Verbräuche[[#This Row],[2030]],"&lt;&gt;"), ""),IF($B$14&lt;Klisz_Verbräuche[[#Headers],[2035]],IF(COUNTIF($G39:Klisz_Verbräuche[[#This Row],[2030]],"&gt;0")&gt;0,IF(COUNTIF($G39:Klisz_Verbräuche[[#This Row],[2030]],"&gt;0")&gt;0,Klisz_Verbräuche[[#This Row],[2030]]*(1-$F39)^5, ""), ""),IF($B$14&gt;Klisz_Verbräuche[[#Headers],[2035]],Refsz_Verbräuche[[#This Row],[2035]],"")))</f>
        <v/>
      </c>
      <c r="X39" s="49" t="str">
        <f>IF(Klisz_Verbräuche[[#Headers],[2040]]=$B$14,IF(COUNTIF($G39:Klisz_Verbräuche[[#This Row],[2035]],"&gt;0")&gt;0, AVERAGEIF($G39:Klisz_Verbräuche[[#This Row],[2035]],"&lt;&gt;"), ""),IF($B$14&lt;Klisz_Verbräuche[[#Headers],[2040]],IF(COUNTIF($G39:Klisz_Verbräuche[[#This Row],[2035]],"&gt;0")&gt;0,IF(COUNTIF($G39:Klisz_Verbräuche[[#This Row],[2035]],"&gt;0")&gt;0,Klisz_Verbräuche[[#This Row],[2035]]*(1-$F39)^5, ""), ""),IF($B$14&gt;Klisz_Verbräuche[[#Headers],[2040]],Refsz_Verbräuche[[#This Row],[2040]],"")))</f>
        <v/>
      </c>
      <c r="Y39" s="49" t="str">
        <f>IF(Klisz_Verbräuche[[#Headers],[2045]]=$B$14,IF(COUNTIF($G39:Klisz_Verbräuche[[#This Row],[2040]],"&gt;0")&gt;0, AVERAGEIF($G39:Klisz_Verbräuche[[#This Row],[2040]],"&lt;&gt;"), ""),IF($B$14&lt;Klisz_Verbräuche[[#Headers],[2045]],IF(COUNTIF($G39:Klisz_Verbräuche[[#This Row],[2040]],"&gt;0")&gt;0,IF(COUNTIF($G39:Klisz_Verbräuche[[#This Row],[2040]],"&gt;0")&gt;0,Klisz_Verbräuche[[#This Row],[2040]]*(1-$F39)^5, ""), ""),IF($B$14&gt;Klisz_Verbräuche[[#Headers],[2045]],Refsz_Verbräuche[[#This Row],[2045]],"")))</f>
        <v/>
      </c>
      <c r="Z39" s="49" t="str">
        <f>IF(Klisz_Verbräuche[[#Headers],[2050]]=$B$14,IF(COUNTIF($G39:Klisz_Verbräuche[[#This Row],[2045]],"&gt;0")&gt;0, AVERAGEIF($G39:Klisz_Verbräuche[[#This Row],[2045]],"&lt;&gt;"), ""),IF($B$14&lt;Klisz_Verbräuche[[#Headers],[2050]],IF(COUNTIF($G39:Klisz_Verbräuche[[#This Row],[2045]],"&gt;0")&gt;0,IF(COUNTIF($G39:Klisz_Verbräuche[[#This Row],[2045]],"&gt;0")&gt;0,Klisz_Verbräuche[[#This Row],[2045]]*(1-$F39)^5, ""), ""),IF($B$14&gt;Klisz_Verbräuche[[#Headers],[2050]],Refsz_Verbräuche[[#This Row],[2050]],"")))</f>
        <v/>
      </c>
      <c r="AA39" s="14"/>
    </row>
    <row r="40" spans="2:27">
      <c r="B40" s="14">
        <v>23</v>
      </c>
      <c r="C40" s="197" t="str">
        <f>Refsz_Verbräuche[[#This Row],[Handlungsfeld]]</f>
        <v>Wärme</v>
      </c>
      <c r="D40" s="46" t="str">
        <f>Refsz_Verbräuche[[#This Row],[Datenpunkt]]</f>
        <v>Sole-Wasser-Wärmepumpe; Bundesstrommix</v>
      </c>
      <c r="E40" s="26" t="str">
        <f>Refsz_Verbräuche[[#This Row],[Einheit]]</f>
        <v>MWh</v>
      </c>
      <c r="F40" s="108"/>
      <c r="G40" s="14" t="str">
        <f>IF(ISBLANK(Refsz_Verbräuche[[#This Row],[2015]]),"",Refsz_Verbräuche[[#This Row],[2015]])</f>
        <v/>
      </c>
      <c r="H40" s="14" t="str">
        <f>IF(ISBLANK(Refsz_Verbräuche[[#This Row],[2016]]),"",Refsz_Verbräuche[[#This Row],[2016]])</f>
        <v/>
      </c>
      <c r="I40" s="14" t="str">
        <f>IF(ISBLANK(Refsz_Verbräuche[[#This Row],[2017]]),"",Refsz_Verbräuche[[#This Row],[2017]])</f>
        <v/>
      </c>
      <c r="J40" s="14" t="str">
        <f>IF(ISBLANK(Refsz_Verbräuche[[#This Row],[2018]]),"",Refsz_Verbräuche[[#This Row],[2018]])</f>
        <v/>
      </c>
      <c r="K40" s="14" t="str">
        <f>IF(ISBLANK(Refsz_Verbräuche[[#This Row],[2019]]),"",Refsz_Verbräuche[[#This Row],[2019]])</f>
        <v/>
      </c>
      <c r="L40" s="14" t="str">
        <f>IF(ISBLANK(Refsz_Verbräuche[[#This Row],[2020]]),"",Refsz_Verbräuche[[#This Row],[2020]])</f>
        <v/>
      </c>
      <c r="M40" s="14" t="str">
        <f>IF(ISBLANK(Refsz_Verbräuche[[#This Row],[2021]]),"",Refsz_Verbräuche[[#This Row],[2021]])</f>
        <v/>
      </c>
      <c r="N40" s="49" t="str">
        <f>IF(Klisz_Verbräuche[[#Headers],[2022]]=$B$14,IF(COUNTIF($G40:Klisz_Verbräuche[[#This Row],[2021]],"&gt;0")&gt;0, AVERAGEIF($G40:Klisz_Verbräuche[[#This Row],[2021]],"&lt;&gt;"), ""),IF($B$14&lt;Klisz_Verbräuche[[#Headers],[2022]],IF(COUNTIF($G40:Klisz_Verbräuche[[#This Row],[2021]],"&gt;0")&gt;0,IF(COUNTIF($G40:Klisz_Verbräuche[[#This Row],[2021]],"&gt;0")&gt;0,Klisz_Verbräuche[[#This Row],[2021]]*(1-$F40)^1, ""), ""),IF($B$14&gt;Klisz_Verbräuche[[#Headers],[2022]],Refsz_Verbräuche[[#This Row],[2022]],"")))</f>
        <v/>
      </c>
      <c r="O40" s="49" t="str">
        <f>IF(Klisz_Verbräuche[[#Headers],[2023]]=$B$14,IF(COUNTIF($G40:Klisz_Verbräuche[[#This Row],[2022]],"&gt;0")&gt;0, AVERAGEIF($G40:Klisz_Verbräuche[[#This Row],[2022]],"&lt;&gt;"), ""),IF($B$14&lt;Klisz_Verbräuche[[#Headers],[2023]],IF(COUNTIF($G40:Klisz_Verbräuche[[#This Row],[2022]],"&gt;0")&gt;0,IF(COUNTIF($G40:Klisz_Verbräuche[[#This Row],[2022]],"&gt;0")&gt;0,Klisz_Verbräuche[[#This Row],[2022]]*(1-$F40)^1, ""), ""),IF($B$14&gt;Klisz_Verbräuche[[#Headers],[2023]],Refsz_Verbräuche[[#This Row],[2023]],"")))</f>
        <v/>
      </c>
      <c r="P40" s="49" t="str">
        <f>IF(Klisz_Verbräuche[[#Headers],[2024]]=$B$14,IF(COUNTIF($G40:Klisz_Verbräuche[[#This Row],[2023]],"&gt;0")&gt;0, AVERAGEIF($G40:Klisz_Verbräuche[[#This Row],[2023]],"&lt;&gt;"), ""),IF($B$14&lt;Klisz_Verbräuche[[#Headers],[2024]],IF(COUNTIF($G40:Klisz_Verbräuche[[#This Row],[2023]],"&gt;0")&gt;0,IF(COUNTIF($G40:Klisz_Verbräuche[[#This Row],[2023]],"&gt;0")&gt;0,Klisz_Verbräuche[[#This Row],[2023]]*(1-$F40)^1, ""), ""),IF($B$14&gt;Klisz_Verbräuche[[#Headers],[2024]],Refsz_Verbräuche[[#This Row],[2024]],"")))</f>
        <v/>
      </c>
      <c r="Q40" s="49" t="str">
        <f>IF(Klisz_Verbräuche[[#Headers],[2025]]=$B$14,IF(COUNTIF($G40:Klisz_Verbräuche[[#This Row],[2024]],"&gt;0")&gt;0, AVERAGEIF($G40:Klisz_Verbräuche[[#This Row],[2024]],"&lt;&gt;"), ""),IF($B$14&lt;Klisz_Verbräuche[[#Headers],[2025]],IF(COUNTIF($G40:Klisz_Verbräuche[[#This Row],[2024]],"&gt;0")&gt;0,IF(COUNTIF($G40:Klisz_Verbräuche[[#This Row],[2024]],"&gt;0")&gt;0,Klisz_Verbräuche[[#This Row],[2024]]*(1-$F40)^1, ""), ""),IF($B$14&gt;Klisz_Verbräuche[[#Headers],[2025]],Refsz_Verbräuche[[#This Row],[2025]],"")))</f>
        <v/>
      </c>
      <c r="R40" s="49" t="str">
        <f>IF(Klisz_Verbräuche[[#Headers],[2026]]=$B$14,IF(COUNTIF($G40:Klisz_Verbräuche[[#This Row],[2025]],"&gt;0")&gt;0, AVERAGEIF($G40:Klisz_Verbräuche[[#This Row],[2025]],"&lt;&gt;"), ""),IF($B$14&lt;Klisz_Verbräuche[[#Headers],[2026]],IF(COUNTIF($G40:Klisz_Verbräuche[[#This Row],[2025]],"&gt;0")&gt;0,IF(COUNTIF($G40:Klisz_Verbräuche[[#This Row],[2025]],"&gt;0")&gt;0,Klisz_Verbräuche[[#This Row],[2025]]*(1-$F40)^1, ""), ""),IF($B$14&gt;Klisz_Verbräuche[[#Headers],[2026]],Refsz_Verbräuche[[#This Row],[2026]],"")))</f>
        <v/>
      </c>
      <c r="S40" s="49" t="str">
        <f>IF(Klisz_Verbräuche[[#Headers],[2027]]=$B$14,IF(COUNTIF($G40:Klisz_Verbräuche[[#This Row],[2026]],"&gt;0")&gt;0, AVERAGEIF($G40:Klisz_Verbräuche[[#This Row],[2026]],"&lt;&gt;"), ""),IF($B$14&lt;Klisz_Verbräuche[[#Headers],[2027]],IF(COUNTIF($G40:Klisz_Verbräuche[[#This Row],[2026]],"&gt;0")&gt;0,IF(COUNTIF($G40:Klisz_Verbräuche[[#This Row],[2026]],"&gt;0")&gt;0,Klisz_Verbräuche[[#This Row],[2026]]*(1-$F40)^1, ""), ""),IF($B$14&gt;Klisz_Verbräuche[[#Headers],[2027]],Refsz_Verbräuche[[#This Row],[2027]],"")))</f>
        <v/>
      </c>
      <c r="T40" s="49" t="str">
        <f>IF(Klisz_Verbräuche[[#Headers],[2028]]=$B$14,IF(COUNTIF($G40:Klisz_Verbräuche[[#This Row],[2027]],"&gt;0")&gt;0, AVERAGEIF($G40:Klisz_Verbräuche[[#This Row],[2027]],"&lt;&gt;"), ""),IF($B$14&lt;Klisz_Verbräuche[[#Headers],[2028]],IF(COUNTIF($G40:Klisz_Verbräuche[[#This Row],[2027]],"&gt;0")&gt;0,IF(COUNTIF($G40:Klisz_Verbräuche[[#This Row],[2027]],"&gt;0")&gt;0,Klisz_Verbräuche[[#This Row],[2027]]*(1-$F40)^1, ""), ""),IF($B$14&gt;Klisz_Verbräuche[[#Headers],[2028]],Refsz_Verbräuche[[#This Row],[2028]],"")))</f>
        <v/>
      </c>
      <c r="U40" s="49" t="str">
        <f>IF(Klisz_Verbräuche[[#Headers],[2029]]=$B$14,IF(COUNTIF($G40:Klisz_Verbräuche[[#This Row],[2028]],"&gt;0")&gt;0, AVERAGEIF($G40:Klisz_Verbräuche[[#This Row],[2028]],"&lt;&gt;"), ""),IF($B$14&lt;Klisz_Verbräuche[[#Headers],[2029]],IF(COUNTIF($G40:Klisz_Verbräuche[[#This Row],[2028]],"&gt;0")&gt;0,IF(COUNTIF($G40:Klisz_Verbräuche[[#This Row],[2028]],"&gt;0")&gt;0,Klisz_Verbräuche[[#This Row],[2028]]*(1-$F40)^1, ""), ""),IF($B$14&gt;Klisz_Verbräuche[[#Headers],[2029]],Refsz_Verbräuche[[#This Row],[2029]],"")))</f>
        <v/>
      </c>
      <c r="V40" s="49" t="str">
        <f>IF(Klisz_Verbräuche[[#Headers],[2030]]=$B$14,IF(COUNTIF($G40:Klisz_Verbräuche[[#This Row],[2029]],"&gt;0")&gt;0, AVERAGEIF($G40:Klisz_Verbräuche[[#This Row],[2029]],"&lt;&gt;"), ""),IF($B$14&lt;Klisz_Verbräuche[[#Headers],[2030]],IF(COUNTIF($G40:Klisz_Verbräuche[[#This Row],[2029]],"&gt;0")&gt;0,IF(COUNTIF($G40:Klisz_Verbräuche[[#This Row],[2029]],"&gt;0")&gt;0,Klisz_Verbräuche[[#This Row],[2029]]*(1-$F40)^1, ""), ""),IF($B$14&gt;Klisz_Verbräuche[[#Headers],[2030]],Refsz_Verbräuche[[#This Row],[2030]],"")))</f>
        <v/>
      </c>
      <c r="W40" s="49" t="str">
        <f>IF(Klisz_Verbräuche[[#Headers],[2035]]=$B$14,IF(COUNTIF($G40:Klisz_Verbräuche[[#This Row],[2030]],"&gt;0")&gt;0, AVERAGEIF($G40:Klisz_Verbräuche[[#This Row],[2030]],"&lt;&gt;"), ""),IF($B$14&lt;Klisz_Verbräuche[[#Headers],[2035]],IF(COUNTIF($G40:Klisz_Verbräuche[[#This Row],[2030]],"&gt;0")&gt;0,IF(COUNTIF($G40:Klisz_Verbräuche[[#This Row],[2030]],"&gt;0")&gt;0,Klisz_Verbräuche[[#This Row],[2030]]*(1-$F40)^5, ""), ""),IF($B$14&gt;Klisz_Verbräuche[[#Headers],[2035]],Refsz_Verbräuche[[#This Row],[2035]],"")))</f>
        <v/>
      </c>
      <c r="X40" s="49" t="str">
        <f>IF(Klisz_Verbräuche[[#Headers],[2040]]=$B$14,IF(COUNTIF($G40:Klisz_Verbräuche[[#This Row],[2035]],"&gt;0")&gt;0, AVERAGEIF($G40:Klisz_Verbräuche[[#This Row],[2035]],"&lt;&gt;"), ""),IF($B$14&lt;Klisz_Verbräuche[[#Headers],[2040]],IF(COUNTIF($G40:Klisz_Verbräuche[[#This Row],[2035]],"&gt;0")&gt;0,IF(COUNTIF($G40:Klisz_Verbräuche[[#This Row],[2035]],"&gt;0")&gt;0,Klisz_Verbräuche[[#This Row],[2035]]*(1-$F40)^5, ""), ""),IF($B$14&gt;Klisz_Verbräuche[[#Headers],[2040]],Refsz_Verbräuche[[#This Row],[2040]],"")))</f>
        <v/>
      </c>
      <c r="Y40" s="49" t="str">
        <f>IF(Klisz_Verbräuche[[#Headers],[2045]]=$B$14,IF(COUNTIF($G40:Klisz_Verbräuche[[#This Row],[2040]],"&gt;0")&gt;0, AVERAGEIF($G40:Klisz_Verbräuche[[#This Row],[2040]],"&lt;&gt;"), ""),IF($B$14&lt;Klisz_Verbräuche[[#Headers],[2045]],IF(COUNTIF($G40:Klisz_Verbräuche[[#This Row],[2040]],"&gt;0")&gt;0,IF(COUNTIF($G40:Klisz_Verbräuche[[#This Row],[2040]],"&gt;0")&gt;0,Klisz_Verbräuche[[#This Row],[2040]]*(1-$F40)^5, ""), ""),IF($B$14&gt;Klisz_Verbräuche[[#Headers],[2045]],Refsz_Verbräuche[[#This Row],[2045]],"")))</f>
        <v/>
      </c>
      <c r="Z40" s="49" t="str">
        <f>IF(Klisz_Verbräuche[[#Headers],[2050]]=$B$14,IF(COUNTIF($G40:Klisz_Verbräuche[[#This Row],[2045]],"&gt;0")&gt;0, AVERAGEIF($G40:Klisz_Verbräuche[[#This Row],[2045]],"&lt;&gt;"), ""),IF($B$14&lt;Klisz_Verbräuche[[#Headers],[2050]],IF(COUNTIF($G40:Klisz_Verbräuche[[#This Row],[2045]],"&gt;0")&gt;0,IF(COUNTIF($G40:Klisz_Verbräuche[[#This Row],[2045]],"&gt;0")&gt;0,Klisz_Verbräuche[[#This Row],[2045]]*(1-$F40)^5, ""), ""),IF($B$14&gt;Klisz_Verbräuche[[#Headers],[2050]],Refsz_Verbräuche[[#This Row],[2050]],"")))</f>
        <v/>
      </c>
      <c r="AA40" s="14"/>
    </row>
    <row r="41" spans="2:27">
      <c r="B41" s="14">
        <v>24</v>
      </c>
      <c r="C41" s="197" t="str">
        <f>Refsz_Verbräuche[[#This Row],[Handlungsfeld]]</f>
        <v>Wärme</v>
      </c>
      <c r="D41" s="46" t="str">
        <f>Refsz_Verbräuche[[#This Row],[Datenpunkt]]</f>
        <v>Sole-Wasser-Wärmepumpe; Ökostrom</v>
      </c>
      <c r="E41" s="26" t="str">
        <f>Refsz_Verbräuche[[#This Row],[Einheit]]</f>
        <v>MWh</v>
      </c>
      <c r="F41" s="108"/>
      <c r="G41" s="14" t="str">
        <f>IF(ISBLANK(Refsz_Verbräuche[[#This Row],[2015]]),"",Refsz_Verbräuche[[#This Row],[2015]])</f>
        <v/>
      </c>
      <c r="H41" s="14" t="str">
        <f>IF(ISBLANK(Refsz_Verbräuche[[#This Row],[2016]]),"",Refsz_Verbräuche[[#This Row],[2016]])</f>
        <v/>
      </c>
      <c r="I41" s="14" t="str">
        <f>IF(ISBLANK(Refsz_Verbräuche[[#This Row],[2017]]),"",Refsz_Verbräuche[[#This Row],[2017]])</f>
        <v/>
      </c>
      <c r="J41" s="14" t="str">
        <f>IF(ISBLANK(Refsz_Verbräuche[[#This Row],[2018]]),"",Refsz_Verbräuche[[#This Row],[2018]])</f>
        <v/>
      </c>
      <c r="K41" s="14" t="str">
        <f>IF(ISBLANK(Refsz_Verbräuche[[#This Row],[2019]]),"",Refsz_Verbräuche[[#This Row],[2019]])</f>
        <v/>
      </c>
      <c r="L41" s="14" t="str">
        <f>IF(ISBLANK(Refsz_Verbräuche[[#This Row],[2020]]),"",Refsz_Verbräuche[[#This Row],[2020]])</f>
        <v/>
      </c>
      <c r="M41" s="14" t="str">
        <f>IF(ISBLANK(Refsz_Verbräuche[[#This Row],[2021]]),"",Refsz_Verbräuche[[#This Row],[2021]])</f>
        <v/>
      </c>
      <c r="N41" s="49" t="str">
        <f>IF(Klisz_Verbräuche[[#Headers],[2022]]=$B$14,IF(COUNTIF($G41:Klisz_Verbräuche[[#This Row],[2021]],"&gt;0")&gt;0, AVERAGEIF($G41:Klisz_Verbräuche[[#This Row],[2021]],"&lt;&gt;"), ""),IF($B$14&lt;Klisz_Verbräuche[[#Headers],[2022]],IF(COUNTIF($G41:Klisz_Verbräuche[[#This Row],[2021]],"&gt;0")&gt;0,IF(COUNTIF($G41:Klisz_Verbräuche[[#This Row],[2021]],"&gt;0")&gt;0,Klisz_Verbräuche[[#This Row],[2021]]*(1-$F41)^1, ""), ""),IF($B$14&gt;Klisz_Verbräuche[[#Headers],[2022]],Refsz_Verbräuche[[#This Row],[2022]],"")))</f>
        <v/>
      </c>
      <c r="O41" s="49" t="str">
        <f>IF(Klisz_Verbräuche[[#Headers],[2023]]=$B$14,IF(COUNTIF($G41:Klisz_Verbräuche[[#This Row],[2022]],"&gt;0")&gt;0, AVERAGEIF($G41:Klisz_Verbräuche[[#This Row],[2022]],"&lt;&gt;"), ""),IF($B$14&lt;Klisz_Verbräuche[[#Headers],[2023]],IF(COUNTIF($G41:Klisz_Verbräuche[[#This Row],[2022]],"&gt;0")&gt;0,IF(COUNTIF($G41:Klisz_Verbräuche[[#This Row],[2022]],"&gt;0")&gt;0,Klisz_Verbräuche[[#This Row],[2022]]*(1-$F41)^1, ""), ""),IF($B$14&gt;Klisz_Verbräuche[[#Headers],[2023]],Refsz_Verbräuche[[#This Row],[2023]],"")))</f>
        <v/>
      </c>
      <c r="P41" s="49" t="str">
        <f>IF(Klisz_Verbräuche[[#Headers],[2024]]=$B$14,IF(COUNTIF($G41:Klisz_Verbräuche[[#This Row],[2023]],"&gt;0")&gt;0, AVERAGEIF($G41:Klisz_Verbräuche[[#This Row],[2023]],"&lt;&gt;"), ""),IF($B$14&lt;Klisz_Verbräuche[[#Headers],[2024]],IF(COUNTIF($G41:Klisz_Verbräuche[[#This Row],[2023]],"&gt;0")&gt;0,IF(COUNTIF($G41:Klisz_Verbräuche[[#This Row],[2023]],"&gt;0")&gt;0,Klisz_Verbräuche[[#This Row],[2023]]*(1-$F41)^1, ""), ""),IF($B$14&gt;Klisz_Verbräuche[[#Headers],[2024]],Refsz_Verbräuche[[#This Row],[2024]],"")))</f>
        <v/>
      </c>
      <c r="Q41" s="49" t="str">
        <f>IF(Klisz_Verbräuche[[#Headers],[2025]]=$B$14,IF(COUNTIF($G41:Klisz_Verbräuche[[#This Row],[2024]],"&gt;0")&gt;0, AVERAGEIF($G41:Klisz_Verbräuche[[#This Row],[2024]],"&lt;&gt;"), ""),IF($B$14&lt;Klisz_Verbräuche[[#Headers],[2025]],IF(COUNTIF($G41:Klisz_Verbräuche[[#This Row],[2024]],"&gt;0")&gt;0,IF(COUNTIF($G41:Klisz_Verbräuche[[#This Row],[2024]],"&gt;0")&gt;0,Klisz_Verbräuche[[#This Row],[2024]]*(1-$F41)^1, ""), ""),IF($B$14&gt;Klisz_Verbräuche[[#Headers],[2025]],Refsz_Verbräuche[[#This Row],[2025]],"")))</f>
        <v/>
      </c>
      <c r="R41" s="49" t="str">
        <f>IF(Klisz_Verbräuche[[#Headers],[2026]]=$B$14,IF(COUNTIF($G41:Klisz_Verbräuche[[#This Row],[2025]],"&gt;0")&gt;0, AVERAGEIF($G41:Klisz_Verbräuche[[#This Row],[2025]],"&lt;&gt;"), ""),IF($B$14&lt;Klisz_Verbräuche[[#Headers],[2026]],IF(COUNTIF($G41:Klisz_Verbräuche[[#This Row],[2025]],"&gt;0")&gt;0,IF(COUNTIF($G41:Klisz_Verbräuche[[#This Row],[2025]],"&gt;0")&gt;0,Klisz_Verbräuche[[#This Row],[2025]]*(1-$F41)^1, ""), ""),IF($B$14&gt;Klisz_Verbräuche[[#Headers],[2026]],Refsz_Verbräuche[[#This Row],[2026]],"")))</f>
        <v/>
      </c>
      <c r="S41" s="49" t="str">
        <f>IF(Klisz_Verbräuche[[#Headers],[2027]]=$B$14,IF(COUNTIF($G41:Klisz_Verbräuche[[#This Row],[2026]],"&gt;0")&gt;0, AVERAGEIF($G41:Klisz_Verbräuche[[#This Row],[2026]],"&lt;&gt;"), ""),IF($B$14&lt;Klisz_Verbräuche[[#Headers],[2027]],IF(COUNTIF($G41:Klisz_Verbräuche[[#This Row],[2026]],"&gt;0")&gt;0,IF(COUNTIF($G41:Klisz_Verbräuche[[#This Row],[2026]],"&gt;0")&gt;0,Klisz_Verbräuche[[#This Row],[2026]]*(1-$F41)^1, ""), ""),IF($B$14&gt;Klisz_Verbräuche[[#Headers],[2027]],Refsz_Verbräuche[[#This Row],[2027]],"")))</f>
        <v/>
      </c>
      <c r="T41" s="49" t="str">
        <f>IF(Klisz_Verbräuche[[#Headers],[2028]]=$B$14,IF(COUNTIF($G41:Klisz_Verbräuche[[#This Row],[2027]],"&gt;0")&gt;0, AVERAGEIF($G41:Klisz_Verbräuche[[#This Row],[2027]],"&lt;&gt;"), ""),IF($B$14&lt;Klisz_Verbräuche[[#Headers],[2028]],IF(COUNTIF($G41:Klisz_Verbräuche[[#This Row],[2027]],"&gt;0")&gt;0,IF(COUNTIF($G41:Klisz_Verbräuche[[#This Row],[2027]],"&gt;0")&gt;0,Klisz_Verbräuche[[#This Row],[2027]]*(1-$F41)^1, ""), ""),IF($B$14&gt;Klisz_Verbräuche[[#Headers],[2028]],Refsz_Verbräuche[[#This Row],[2028]],"")))</f>
        <v/>
      </c>
      <c r="U41" s="49" t="str">
        <f>IF(Klisz_Verbräuche[[#Headers],[2029]]=$B$14,IF(COUNTIF($G41:Klisz_Verbräuche[[#This Row],[2028]],"&gt;0")&gt;0, AVERAGEIF($G41:Klisz_Verbräuche[[#This Row],[2028]],"&lt;&gt;"), ""),IF($B$14&lt;Klisz_Verbräuche[[#Headers],[2029]],IF(COUNTIF($G41:Klisz_Verbräuche[[#This Row],[2028]],"&gt;0")&gt;0,IF(COUNTIF($G41:Klisz_Verbräuche[[#This Row],[2028]],"&gt;0")&gt;0,Klisz_Verbräuche[[#This Row],[2028]]*(1-$F41)^1, ""), ""),IF($B$14&gt;Klisz_Verbräuche[[#Headers],[2029]],Refsz_Verbräuche[[#This Row],[2029]],"")))</f>
        <v/>
      </c>
      <c r="V41" s="49" t="str">
        <f>IF(Klisz_Verbräuche[[#Headers],[2030]]=$B$14,IF(COUNTIF($G41:Klisz_Verbräuche[[#This Row],[2029]],"&gt;0")&gt;0, AVERAGEIF($G41:Klisz_Verbräuche[[#This Row],[2029]],"&lt;&gt;"), ""),IF($B$14&lt;Klisz_Verbräuche[[#Headers],[2030]],IF(COUNTIF($G41:Klisz_Verbräuche[[#This Row],[2029]],"&gt;0")&gt;0,IF(COUNTIF($G41:Klisz_Verbräuche[[#This Row],[2029]],"&gt;0")&gt;0,Klisz_Verbräuche[[#This Row],[2029]]*(1-$F41)^1, ""), ""),IF($B$14&gt;Klisz_Verbräuche[[#Headers],[2030]],Refsz_Verbräuche[[#This Row],[2030]],"")))</f>
        <v/>
      </c>
      <c r="W41" s="49" t="str">
        <f>IF(Klisz_Verbräuche[[#Headers],[2035]]=$B$14,IF(COUNTIF($G41:Klisz_Verbräuche[[#This Row],[2030]],"&gt;0")&gt;0, AVERAGEIF($G41:Klisz_Verbräuche[[#This Row],[2030]],"&lt;&gt;"), ""),IF($B$14&lt;Klisz_Verbräuche[[#Headers],[2035]],IF(COUNTIF($G41:Klisz_Verbräuche[[#This Row],[2030]],"&gt;0")&gt;0,IF(COUNTIF($G41:Klisz_Verbräuche[[#This Row],[2030]],"&gt;0")&gt;0,Klisz_Verbräuche[[#This Row],[2030]]*(1-$F41)^5, ""), ""),IF($B$14&gt;Klisz_Verbräuche[[#Headers],[2035]],Refsz_Verbräuche[[#This Row],[2035]],"")))</f>
        <v/>
      </c>
      <c r="X41" s="49" t="str">
        <f>IF(Klisz_Verbräuche[[#Headers],[2040]]=$B$14,IF(COUNTIF($G41:Klisz_Verbräuche[[#This Row],[2035]],"&gt;0")&gt;0, AVERAGEIF($G41:Klisz_Verbräuche[[#This Row],[2035]],"&lt;&gt;"), ""),IF($B$14&lt;Klisz_Verbräuche[[#Headers],[2040]],IF(COUNTIF($G41:Klisz_Verbräuche[[#This Row],[2035]],"&gt;0")&gt;0,IF(COUNTIF($G41:Klisz_Verbräuche[[#This Row],[2035]],"&gt;0")&gt;0,Klisz_Verbräuche[[#This Row],[2035]]*(1-$F41)^5, ""), ""),IF($B$14&gt;Klisz_Verbräuche[[#Headers],[2040]],Refsz_Verbräuche[[#This Row],[2040]],"")))</f>
        <v/>
      </c>
      <c r="Y41" s="49" t="str">
        <f>IF(Klisz_Verbräuche[[#Headers],[2045]]=$B$14,IF(COUNTIF($G41:Klisz_Verbräuche[[#This Row],[2040]],"&gt;0")&gt;0, AVERAGEIF($G41:Klisz_Verbräuche[[#This Row],[2040]],"&lt;&gt;"), ""),IF($B$14&lt;Klisz_Verbräuche[[#Headers],[2045]],IF(COUNTIF($G41:Klisz_Verbräuche[[#This Row],[2040]],"&gt;0")&gt;0,IF(COUNTIF($G41:Klisz_Verbräuche[[#This Row],[2040]],"&gt;0")&gt;0,Klisz_Verbräuche[[#This Row],[2040]]*(1-$F41)^5, ""), ""),IF($B$14&gt;Klisz_Verbräuche[[#Headers],[2045]],Refsz_Verbräuche[[#This Row],[2045]],"")))</f>
        <v/>
      </c>
      <c r="Z41" s="49" t="str">
        <f>IF(Klisz_Verbräuche[[#Headers],[2050]]=$B$14,IF(COUNTIF($G41:Klisz_Verbräuche[[#This Row],[2045]],"&gt;0")&gt;0, AVERAGEIF($G41:Klisz_Verbräuche[[#This Row],[2045]],"&lt;&gt;"), ""),IF($B$14&lt;Klisz_Verbräuche[[#Headers],[2050]],IF(COUNTIF($G41:Klisz_Verbräuche[[#This Row],[2045]],"&gt;0")&gt;0,IF(COUNTIF($G41:Klisz_Verbräuche[[#This Row],[2045]],"&gt;0")&gt;0,Klisz_Verbräuche[[#This Row],[2045]]*(1-$F41)^5, ""), ""),IF($B$14&gt;Klisz_Verbräuche[[#Headers],[2050]],Refsz_Verbräuche[[#This Row],[2050]],"")))</f>
        <v/>
      </c>
      <c r="AA41" s="14"/>
    </row>
    <row r="42" spans="2:27">
      <c r="B42" s="14">
        <v>25</v>
      </c>
      <c r="C42" s="197" t="str">
        <f>Refsz_Verbräuche[[#This Row],[Handlungsfeld]]</f>
        <v>Wärme</v>
      </c>
      <c r="D42" s="46" t="str">
        <f>Refsz_Verbräuche[[#This Row],[Datenpunkt]]</f>
        <v>Individuelle Wärmepumpe</v>
      </c>
      <c r="E42" s="26" t="str">
        <f>Refsz_Verbräuche[[#This Row],[Einheit]]</f>
        <v>MWh</v>
      </c>
      <c r="F42" s="108"/>
      <c r="G42" s="14" t="str">
        <f>IF(ISBLANK(Refsz_Verbräuche[[#This Row],[2015]]),"",Refsz_Verbräuche[[#This Row],[2015]])</f>
        <v/>
      </c>
      <c r="H42" s="14" t="str">
        <f>IF(ISBLANK(Refsz_Verbräuche[[#This Row],[2016]]),"",Refsz_Verbräuche[[#This Row],[2016]])</f>
        <v/>
      </c>
      <c r="I42" s="14" t="str">
        <f>IF(ISBLANK(Refsz_Verbräuche[[#This Row],[2017]]),"",Refsz_Verbräuche[[#This Row],[2017]])</f>
        <v/>
      </c>
      <c r="J42" s="14" t="str">
        <f>IF(ISBLANK(Refsz_Verbräuche[[#This Row],[2018]]),"",Refsz_Verbräuche[[#This Row],[2018]])</f>
        <v/>
      </c>
      <c r="K42" s="14" t="str">
        <f>IF(ISBLANK(Refsz_Verbräuche[[#This Row],[2019]]),"",Refsz_Verbräuche[[#This Row],[2019]])</f>
        <v/>
      </c>
      <c r="L42" s="14" t="str">
        <f>IF(ISBLANK(Refsz_Verbräuche[[#This Row],[2020]]),"",Refsz_Verbräuche[[#This Row],[2020]])</f>
        <v/>
      </c>
      <c r="M42" s="14" t="str">
        <f>IF(ISBLANK(Refsz_Verbräuche[[#This Row],[2021]]),"",Refsz_Verbräuche[[#This Row],[2021]])</f>
        <v/>
      </c>
      <c r="N42" s="49" t="str">
        <f>IF(Klisz_Verbräuche[[#Headers],[2022]]=$B$14,IF(COUNTIF($G42:Klisz_Verbräuche[[#This Row],[2021]],"&gt;0")&gt;0, AVERAGEIF($G42:Klisz_Verbräuche[[#This Row],[2021]],"&lt;&gt;"), ""),IF($B$14&lt;Klisz_Verbräuche[[#Headers],[2022]],IF(COUNTIF($G42:Klisz_Verbräuche[[#This Row],[2021]],"&gt;0")&gt;0,IF(COUNTIF($G42:Klisz_Verbräuche[[#This Row],[2021]],"&gt;0")&gt;0,Klisz_Verbräuche[[#This Row],[2021]]*(1-$F42)^1, ""), ""),IF($B$14&gt;Klisz_Verbräuche[[#Headers],[2022]],Refsz_Verbräuche[[#This Row],[2022]],"")))</f>
        <v/>
      </c>
      <c r="O42" s="49" t="str">
        <f>IF(Klisz_Verbräuche[[#Headers],[2023]]=$B$14,IF(COUNTIF($G42:Klisz_Verbräuche[[#This Row],[2022]],"&gt;0")&gt;0, AVERAGEIF($G42:Klisz_Verbräuche[[#This Row],[2022]],"&lt;&gt;"), ""),IF($B$14&lt;Klisz_Verbräuche[[#Headers],[2023]],IF(COUNTIF($G42:Klisz_Verbräuche[[#This Row],[2022]],"&gt;0")&gt;0,IF(COUNTIF($G42:Klisz_Verbräuche[[#This Row],[2022]],"&gt;0")&gt;0,Klisz_Verbräuche[[#This Row],[2022]]*(1-$F42)^1, ""), ""),IF($B$14&gt;Klisz_Verbräuche[[#Headers],[2023]],Refsz_Verbräuche[[#This Row],[2023]],"")))</f>
        <v/>
      </c>
      <c r="P42" s="49" t="str">
        <f>IF(Klisz_Verbräuche[[#Headers],[2024]]=$B$14,IF(COUNTIF($G42:Klisz_Verbräuche[[#This Row],[2023]],"&gt;0")&gt;0, AVERAGEIF($G42:Klisz_Verbräuche[[#This Row],[2023]],"&lt;&gt;"), ""),IF($B$14&lt;Klisz_Verbräuche[[#Headers],[2024]],IF(COUNTIF($G42:Klisz_Verbräuche[[#This Row],[2023]],"&gt;0")&gt;0,IF(COUNTIF($G42:Klisz_Verbräuche[[#This Row],[2023]],"&gt;0")&gt;0,Klisz_Verbräuche[[#This Row],[2023]]*(1-$F42)^1, ""), ""),IF($B$14&gt;Klisz_Verbräuche[[#Headers],[2024]],Refsz_Verbräuche[[#This Row],[2024]],"")))</f>
        <v/>
      </c>
      <c r="Q42" s="49" t="str">
        <f>IF(Klisz_Verbräuche[[#Headers],[2025]]=$B$14,IF(COUNTIF($G42:Klisz_Verbräuche[[#This Row],[2024]],"&gt;0")&gt;0, AVERAGEIF($G42:Klisz_Verbräuche[[#This Row],[2024]],"&lt;&gt;"), ""),IF($B$14&lt;Klisz_Verbräuche[[#Headers],[2025]],IF(COUNTIF($G42:Klisz_Verbräuche[[#This Row],[2024]],"&gt;0")&gt;0,IF(COUNTIF($G42:Klisz_Verbräuche[[#This Row],[2024]],"&gt;0")&gt;0,Klisz_Verbräuche[[#This Row],[2024]]*(1-$F42)^1, ""), ""),IF($B$14&gt;Klisz_Verbräuche[[#Headers],[2025]],Refsz_Verbräuche[[#This Row],[2025]],"")))</f>
        <v/>
      </c>
      <c r="R42" s="49" t="str">
        <f>IF(Klisz_Verbräuche[[#Headers],[2026]]=$B$14,IF(COUNTIF($G42:Klisz_Verbräuche[[#This Row],[2025]],"&gt;0")&gt;0, AVERAGEIF($G42:Klisz_Verbräuche[[#This Row],[2025]],"&lt;&gt;"), ""),IF($B$14&lt;Klisz_Verbräuche[[#Headers],[2026]],IF(COUNTIF($G42:Klisz_Verbräuche[[#This Row],[2025]],"&gt;0")&gt;0,IF(COUNTIF($G42:Klisz_Verbräuche[[#This Row],[2025]],"&gt;0")&gt;0,Klisz_Verbräuche[[#This Row],[2025]]*(1-$F42)^1, ""), ""),IF($B$14&gt;Klisz_Verbräuche[[#Headers],[2026]],Refsz_Verbräuche[[#This Row],[2026]],"")))</f>
        <v/>
      </c>
      <c r="S42" s="49" t="str">
        <f>IF(Klisz_Verbräuche[[#Headers],[2027]]=$B$14,IF(COUNTIF($G42:Klisz_Verbräuche[[#This Row],[2026]],"&gt;0")&gt;0, AVERAGEIF($G42:Klisz_Verbräuche[[#This Row],[2026]],"&lt;&gt;"), ""),IF($B$14&lt;Klisz_Verbräuche[[#Headers],[2027]],IF(COUNTIF($G42:Klisz_Verbräuche[[#This Row],[2026]],"&gt;0")&gt;0,IF(COUNTIF($G42:Klisz_Verbräuche[[#This Row],[2026]],"&gt;0")&gt;0,Klisz_Verbräuche[[#This Row],[2026]]*(1-$F42)^1, ""), ""),IF($B$14&gt;Klisz_Verbräuche[[#Headers],[2027]],Refsz_Verbräuche[[#This Row],[2027]],"")))</f>
        <v/>
      </c>
      <c r="T42" s="49" t="str">
        <f>IF(Klisz_Verbräuche[[#Headers],[2028]]=$B$14,IF(COUNTIF($G42:Klisz_Verbräuche[[#This Row],[2027]],"&gt;0")&gt;0, AVERAGEIF($G42:Klisz_Verbräuche[[#This Row],[2027]],"&lt;&gt;"), ""),IF($B$14&lt;Klisz_Verbräuche[[#Headers],[2028]],IF(COUNTIF($G42:Klisz_Verbräuche[[#This Row],[2027]],"&gt;0")&gt;0,IF(COUNTIF($G42:Klisz_Verbräuche[[#This Row],[2027]],"&gt;0")&gt;0,Klisz_Verbräuche[[#This Row],[2027]]*(1-$F42)^1, ""), ""),IF($B$14&gt;Klisz_Verbräuche[[#Headers],[2028]],Refsz_Verbräuche[[#This Row],[2028]],"")))</f>
        <v/>
      </c>
      <c r="U42" s="49" t="str">
        <f>IF(Klisz_Verbräuche[[#Headers],[2029]]=$B$14,IF(COUNTIF($G42:Klisz_Verbräuche[[#This Row],[2028]],"&gt;0")&gt;0, AVERAGEIF($G42:Klisz_Verbräuche[[#This Row],[2028]],"&lt;&gt;"), ""),IF($B$14&lt;Klisz_Verbräuche[[#Headers],[2029]],IF(COUNTIF($G42:Klisz_Verbräuche[[#This Row],[2028]],"&gt;0")&gt;0,IF(COUNTIF($G42:Klisz_Verbräuche[[#This Row],[2028]],"&gt;0")&gt;0,Klisz_Verbräuche[[#This Row],[2028]]*(1-$F42)^1, ""), ""),IF($B$14&gt;Klisz_Verbräuche[[#Headers],[2029]],Refsz_Verbräuche[[#This Row],[2029]],"")))</f>
        <v/>
      </c>
      <c r="V42" s="49" t="str">
        <f>IF(Klisz_Verbräuche[[#Headers],[2030]]=$B$14,IF(COUNTIF($G42:Klisz_Verbräuche[[#This Row],[2029]],"&gt;0")&gt;0, AVERAGEIF($G42:Klisz_Verbräuche[[#This Row],[2029]],"&lt;&gt;"), ""),IF($B$14&lt;Klisz_Verbräuche[[#Headers],[2030]],IF(COUNTIF($G42:Klisz_Verbräuche[[#This Row],[2029]],"&gt;0")&gt;0,IF(COUNTIF($G42:Klisz_Verbräuche[[#This Row],[2029]],"&gt;0")&gt;0,Klisz_Verbräuche[[#This Row],[2029]]*(1-$F42)^1, ""), ""),IF($B$14&gt;Klisz_Verbräuche[[#Headers],[2030]],Refsz_Verbräuche[[#This Row],[2030]],"")))</f>
        <v/>
      </c>
      <c r="W42" s="49" t="str">
        <f>IF(Klisz_Verbräuche[[#Headers],[2035]]=$B$14,IF(COUNTIF($G42:Klisz_Verbräuche[[#This Row],[2030]],"&gt;0")&gt;0, AVERAGEIF($G42:Klisz_Verbräuche[[#This Row],[2030]],"&lt;&gt;"), ""),IF($B$14&lt;Klisz_Verbräuche[[#Headers],[2035]],IF(COUNTIF($G42:Klisz_Verbräuche[[#This Row],[2030]],"&gt;0")&gt;0,IF(COUNTIF($G42:Klisz_Verbräuche[[#This Row],[2030]],"&gt;0")&gt;0,Klisz_Verbräuche[[#This Row],[2030]]*(1-$F42)^5, ""), ""),IF($B$14&gt;Klisz_Verbräuche[[#Headers],[2035]],Refsz_Verbräuche[[#This Row],[2035]],"")))</f>
        <v/>
      </c>
      <c r="X42" s="49" t="str">
        <f>IF(Klisz_Verbräuche[[#Headers],[2040]]=$B$14,IF(COUNTIF($G42:Klisz_Verbräuche[[#This Row],[2035]],"&gt;0")&gt;0, AVERAGEIF($G42:Klisz_Verbräuche[[#This Row],[2035]],"&lt;&gt;"), ""),IF($B$14&lt;Klisz_Verbräuche[[#Headers],[2040]],IF(COUNTIF($G42:Klisz_Verbräuche[[#This Row],[2035]],"&gt;0")&gt;0,IF(COUNTIF($G42:Klisz_Verbräuche[[#This Row],[2035]],"&gt;0")&gt;0,Klisz_Verbräuche[[#This Row],[2035]]*(1-$F42)^5, ""), ""),IF($B$14&gt;Klisz_Verbräuche[[#Headers],[2040]],Refsz_Verbräuche[[#This Row],[2040]],"")))</f>
        <v/>
      </c>
      <c r="Y42" s="49" t="str">
        <f>IF(Klisz_Verbräuche[[#Headers],[2045]]=$B$14,IF(COUNTIF($G42:Klisz_Verbräuche[[#This Row],[2040]],"&gt;0")&gt;0, AVERAGEIF($G42:Klisz_Verbräuche[[#This Row],[2040]],"&lt;&gt;"), ""),IF($B$14&lt;Klisz_Verbräuche[[#Headers],[2045]],IF(COUNTIF($G42:Klisz_Verbräuche[[#This Row],[2040]],"&gt;0")&gt;0,IF(COUNTIF($G42:Klisz_Verbräuche[[#This Row],[2040]],"&gt;0")&gt;0,Klisz_Verbräuche[[#This Row],[2040]]*(1-$F42)^5, ""), ""),IF($B$14&gt;Klisz_Verbräuche[[#Headers],[2045]],Refsz_Verbräuche[[#This Row],[2045]],"")))</f>
        <v/>
      </c>
      <c r="Z42" s="49" t="str">
        <f>IF(Klisz_Verbräuche[[#Headers],[2050]]=$B$14,IF(COUNTIF($G42:Klisz_Verbräuche[[#This Row],[2045]],"&gt;0")&gt;0, AVERAGEIF($G42:Klisz_Verbräuche[[#This Row],[2045]],"&lt;&gt;"), ""),IF($B$14&lt;Klisz_Verbräuche[[#Headers],[2050]],IF(COUNTIF($G42:Klisz_Verbräuche[[#This Row],[2045]],"&gt;0")&gt;0,IF(COUNTIF($G42:Klisz_Verbräuche[[#This Row],[2045]],"&gt;0")&gt;0,Klisz_Verbräuche[[#This Row],[2045]]*(1-$F42)^5, ""), ""),IF($B$14&gt;Klisz_Verbräuche[[#Headers],[2050]],Refsz_Verbräuche[[#This Row],[2050]],"")))</f>
        <v/>
      </c>
      <c r="AA42" s="14"/>
    </row>
    <row r="43" spans="2:27">
      <c r="B43" s="14">
        <v>26</v>
      </c>
      <c r="C43" s="197" t="str">
        <f>Refsz_Verbräuche[[#This Row],[Handlungsfeld]]</f>
        <v>Kälte</v>
      </c>
      <c r="D43" s="46" t="str">
        <f>Refsz_Verbräuche[[#This Row],[Datenpunkt]]</f>
        <v>Nachfüllmenge Kältemittel (R22)</v>
      </c>
      <c r="E43" s="26" t="str">
        <f>Refsz_Verbräuche[[#This Row],[Einheit]]</f>
        <v>kg</v>
      </c>
      <c r="F43" s="108"/>
      <c r="G43" s="14" t="str">
        <f>IF(ISBLANK(Refsz_Verbräuche[[#This Row],[2015]]),"",Refsz_Verbräuche[[#This Row],[2015]])</f>
        <v/>
      </c>
      <c r="H43" s="14" t="str">
        <f>IF(ISBLANK(Refsz_Verbräuche[[#This Row],[2016]]),"",Refsz_Verbräuche[[#This Row],[2016]])</f>
        <v/>
      </c>
      <c r="I43" s="14" t="str">
        <f>IF(ISBLANK(Refsz_Verbräuche[[#This Row],[2017]]),"",Refsz_Verbräuche[[#This Row],[2017]])</f>
        <v/>
      </c>
      <c r="J43" s="14" t="str">
        <f>IF(ISBLANK(Refsz_Verbräuche[[#This Row],[2018]]),"",Refsz_Verbräuche[[#This Row],[2018]])</f>
        <v/>
      </c>
      <c r="K43" s="14" t="str">
        <f>IF(ISBLANK(Refsz_Verbräuche[[#This Row],[2019]]),"",Refsz_Verbräuche[[#This Row],[2019]])</f>
        <v/>
      </c>
      <c r="L43" s="14" t="str">
        <f>IF(ISBLANK(Refsz_Verbräuche[[#This Row],[2020]]),"",Refsz_Verbräuche[[#This Row],[2020]])</f>
        <v/>
      </c>
      <c r="M43" s="14" t="str">
        <f>IF(ISBLANK(Refsz_Verbräuche[[#This Row],[2021]]),"",Refsz_Verbräuche[[#This Row],[2021]])</f>
        <v/>
      </c>
      <c r="N43" s="49" t="str">
        <f>IF(Klisz_Verbräuche[[#Headers],[2022]]=$B$14,IF(COUNTIF($G43:Klisz_Verbräuche[[#This Row],[2021]],"&gt;0")&gt;0, AVERAGEIF($G43:Klisz_Verbräuche[[#This Row],[2021]],"&lt;&gt;"), ""),IF($B$14&lt;Klisz_Verbräuche[[#Headers],[2022]],IF(COUNTIF($G43:Klisz_Verbräuche[[#This Row],[2021]],"&gt;0")&gt;0,IF(COUNTIF($G43:Klisz_Verbräuche[[#This Row],[2021]],"&gt;0")&gt;0,Klisz_Verbräuche[[#This Row],[2021]]*(1-$F43)^1, ""), ""),IF($B$14&gt;Klisz_Verbräuche[[#Headers],[2022]],Refsz_Verbräuche[[#This Row],[2022]],"")))</f>
        <v/>
      </c>
      <c r="O43" s="49" t="str">
        <f>IF(Klisz_Verbräuche[[#Headers],[2023]]=$B$14,IF(COUNTIF($G43:Klisz_Verbräuche[[#This Row],[2022]],"&gt;0")&gt;0, AVERAGEIF($G43:Klisz_Verbräuche[[#This Row],[2022]],"&lt;&gt;"), ""),IF($B$14&lt;Klisz_Verbräuche[[#Headers],[2023]],IF(COUNTIF($G43:Klisz_Verbräuche[[#This Row],[2022]],"&gt;0")&gt;0,IF(COUNTIF($G43:Klisz_Verbräuche[[#This Row],[2022]],"&gt;0")&gt;0,Klisz_Verbräuche[[#This Row],[2022]]*(1-$F43)^1, ""), ""),IF($B$14&gt;Klisz_Verbräuche[[#Headers],[2023]],Refsz_Verbräuche[[#This Row],[2023]],"")))</f>
        <v/>
      </c>
      <c r="P43" s="49" t="str">
        <f>IF(Klisz_Verbräuche[[#Headers],[2024]]=$B$14,IF(COUNTIF($G43:Klisz_Verbräuche[[#This Row],[2023]],"&gt;0")&gt;0, AVERAGEIF($G43:Klisz_Verbräuche[[#This Row],[2023]],"&lt;&gt;"), ""),IF($B$14&lt;Klisz_Verbräuche[[#Headers],[2024]],IF(COUNTIF($G43:Klisz_Verbräuche[[#This Row],[2023]],"&gt;0")&gt;0,IF(COUNTIF($G43:Klisz_Verbräuche[[#This Row],[2023]],"&gt;0")&gt;0,Klisz_Verbräuche[[#This Row],[2023]]*(1-$F43)^1, ""), ""),IF($B$14&gt;Klisz_Verbräuche[[#Headers],[2024]],Refsz_Verbräuche[[#This Row],[2024]],"")))</f>
        <v/>
      </c>
      <c r="Q43" s="49" t="str">
        <f>IF(Klisz_Verbräuche[[#Headers],[2025]]=$B$14,IF(COUNTIF($G43:Klisz_Verbräuche[[#This Row],[2024]],"&gt;0")&gt;0, AVERAGEIF($G43:Klisz_Verbräuche[[#This Row],[2024]],"&lt;&gt;"), ""),IF($B$14&lt;Klisz_Verbräuche[[#Headers],[2025]],IF(COUNTIF($G43:Klisz_Verbräuche[[#This Row],[2024]],"&gt;0")&gt;0,IF(COUNTIF($G43:Klisz_Verbräuche[[#This Row],[2024]],"&gt;0")&gt;0,Klisz_Verbräuche[[#This Row],[2024]]*(1-$F43)^1, ""), ""),IF($B$14&gt;Klisz_Verbräuche[[#Headers],[2025]],Refsz_Verbräuche[[#This Row],[2025]],"")))</f>
        <v/>
      </c>
      <c r="R43" s="49" t="str">
        <f>IF(Klisz_Verbräuche[[#Headers],[2026]]=$B$14,IF(COUNTIF($G43:Klisz_Verbräuche[[#This Row],[2025]],"&gt;0")&gt;0, AVERAGEIF($G43:Klisz_Verbräuche[[#This Row],[2025]],"&lt;&gt;"), ""),IF($B$14&lt;Klisz_Verbräuche[[#Headers],[2026]],IF(COUNTIF($G43:Klisz_Verbräuche[[#This Row],[2025]],"&gt;0")&gt;0,IF(COUNTIF($G43:Klisz_Verbräuche[[#This Row],[2025]],"&gt;0")&gt;0,Klisz_Verbräuche[[#This Row],[2025]]*(1-$F43)^1, ""), ""),IF($B$14&gt;Klisz_Verbräuche[[#Headers],[2026]],Refsz_Verbräuche[[#This Row],[2026]],"")))</f>
        <v/>
      </c>
      <c r="S43" s="49" t="str">
        <f>IF(Klisz_Verbräuche[[#Headers],[2027]]=$B$14,IF(COUNTIF($G43:Klisz_Verbräuche[[#This Row],[2026]],"&gt;0")&gt;0, AVERAGEIF($G43:Klisz_Verbräuche[[#This Row],[2026]],"&lt;&gt;"), ""),IF($B$14&lt;Klisz_Verbräuche[[#Headers],[2027]],IF(COUNTIF($G43:Klisz_Verbräuche[[#This Row],[2026]],"&gt;0")&gt;0,IF(COUNTIF($G43:Klisz_Verbräuche[[#This Row],[2026]],"&gt;0")&gt;0,Klisz_Verbräuche[[#This Row],[2026]]*(1-$F43)^1, ""), ""),IF($B$14&gt;Klisz_Verbräuche[[#Headers],[2027]],Refsz_Verbräuche[[#This Row],[2027]],"")))</f>
        <v/>
      </c>
      <c r="T43" s="49" t="str">
        <f>IF(Klisz_Verbräuche[[#Headers],[2028]]=$B$14,IF(COUNTIF($G43:Klisz_Verbräuche[[#This Row],[2027]],"&gt;0")&gt;0, AVERAGEIF($G43:Klisz_Verbräuche[[#This Row],[2027]],"&lt;&gt;"), ""),IF($B$14&lt;Klisz_Verbräuche[[#Headers],[2028]],IF(COUNTIF($G43:Klisz_Verbräuche[[#This Row],[2027]],"&gt;0")&gt;0,IF(COUNTIF($G43:Klisz_Verbräuche[[#This Row],[2027]],"&gt;0")&gt;0,Klisz_Verbräuche[[#This Row],[2027]]*(1-$F43)^1, ""), ""),IF($B$14&gt;Klisz_Verbräuche[[#Headers],[2028]],Refsz_Verbräuche[[#This Row],[2028]],"")))</f>
        <v/>
      </c>
      <c r="U43" s="49" t="str">
        <f>IF(Klisz_Verbräuche[[#Headers],[2029]]=$B$14,IF(COUNTIF($G43:Klisz_Verbräuche[[#This Row],[2028]],"&gt;0")&gt;0, AVERAGEIF($G43:Klisz_Verbräuche[[#This Row],[2028]],"&lt;&gt;"), ""),IF($B$14&lt;Klisz_Verbräuche[[#Headers],[2029]],IF(COUNTIF($G43:Klisz_Verbräuche[[#This Row],[2028]],"&gt;0")&gt;0,IF(COUNTIF($G43:Klisz_Verbräuche[[#This Row],[2028]],"&gt;0")&gt;0,Klisz_Verbräuche[[#This Row],[2028]]*(1-$F43)^1, ""), ""),IF($B$14&gt;Klisz_Verbräuche[[#Headers],[2029]],Refsz_Verbräuche[[#This Row],[2029]],"")))</f>
        <v/>
      </c>
      <c r="V43" s="49" t="str">
        <f>IF(Klisz_Verbräuche[[#Headers],[2030]]=$B$14,IF(COUNTIF($G43:Klisz_Verbräuche[[#This Row],[2029]],"&gt;0")&gt;0, AVERAGEIF($G43:Klisz_Verbräuche[[#This Row],[2029]],"&lt;&gt;"), ""),IF($B$14&lt;Klisz_Verbräuche[[#Headers],[2030]],IF(COUNTIF($G43:Klisz_Verbräuche[[#This Row],[2029]],"&gt;0")&gt;0,IF(COUNTIF($G43:Klisz_Verbräuche[[#This Row],[2029]],"&gt;0")&gt;0,Klisz_Verbräuche[[#This Row],[2029]]*(1-$F43)^1, ""), ""),IF($B$14&gt;Klisz_Verbräuche[[#Headers],[2030]],Refsz_Verbräuche[[#This Row],[2030]],"")))</f>
        <v/>
      </c>
      <c r="W43" s="49" t="str">
        <f>IF(Klisz_Verbräuche[[#Headers],[2035]]=$B$14,IF(COUNTIF($G43:Klisz_Verbräuche[[#This Row],[2030]],"&gt;0")&gt;0, AVERAGEIF($G43:Klisz_Verbräuche[[#This Row],[2030]],"&lt;&gt;"), ""),IF($B$14&lt;Klisz_Verbräuche[[#Headers],[2035]],IF(COUNTIF($G43:Klisz_Verbräuche[[#This Row],[2030]],"&gt;0")&gt;0,IF(COUNTIF($G43:Klisz_Verbräuche[[#This Row],[2030]],"&gt;0")&gt;0,Klisz_Verbräuche[[#This Row],[2030]]*(1-$F43)^5, ""), ""),IF($B$14&gt;Klisz_Verbräuche[[#Headers],[2035]],Refsz_Verbräuche[[#This Row],[2035]],"")))</f>
        <v/>
      </c>
      <c r="X43" s="49" t="str">
        <f>IF(Klisz_Verbräuche[[#Headers],[2040]]=$B$14,IF(COUNTIF($G43:Klisz_Verbräuche[[#This Row],[2035]],"&gt;0")&gt;0, AVERAGEIF($G43:Klisz_Verbräuche[[#This Row],[2035]],"&lt;&gt;"), ""),IF($B$14&lt;Klisz_Verbräuche[[#Headers],[2040]],IF(COUNTIF($G43:Klisz_Verbräuche[[#This Row],[2035]],"&gt;0")&gt;0,IF(COUNTIF($G43:Klisz_Verbräuche[[#This Row],[2035]],"&gt;0")&gt;0,Klisz_Verbräuche[[#This Row],[2035]]*(1-$F43)^5, ""), ""),IF($B$14&gt;Klisz_Verbräuche[[#Headers],[2040]],Refsz_Verbräuche[[#This Row],[2040]],"")))</f>
        <v/>
      </c>
      <c r="Y43" s="49" t="str">
        <f>IF(Klisz_Verbräuche[[#Headers],[2045]]=$B$14,IF(COUNTIF($G43:Klisz_Verbräuche[[#This Row],[2040]],"&gt;0")&gt;0, AVERAGEIF($G43:Klisz_Verbräuche[[#This Row],[2040]],"&lt;&gt;"), ""),IF($B$14&lt;Klisz_Verbräuche[[#Headers],[2045]],IF(COUNTIF($G43:Klisz_Verbräuche[[#This Row],[2040]],"&gt;0")&gt;0,IF(COUNTIF($G43:Klisz_Verbräuche[[#This Row],[2040]],"&gt;0")&gt;0,Klisz_Verbräuche[[#This Row],[2040]]*(1-$F43)^5, ""), ""),IF($B$14&gt;Klisz_Verbräuche[[#Headers],[2045]],Refsz_Verbräuche[[#This Row],[2045]],"")))</f>
        <v/>
      </c>
      <c r="Z43" s="49" t="str">
        <f>IF(Klisz_Verbräuche[[#Headers],[2050]]=$B$14,IF(COUNTIF($G43:Klisz_Verbräuche[[#This Row],[2045]],"&gt;0")&gt;0, AVERAGEIF($G43:Klisz_Verbräuche[[#This Row],[2045]],"&lt;&gt;"), ""),IF($B$14&lt;Klisz_Verbräuche[[#Headers],[2050]],IF(COUNTIF($G43:Klisz_Verbräuche[[#This Row],[2045]],"&gt;0")&gt;0,IF(COUNTIF($G43:Klisz_Verbräuche[[#This Row],[2045]],"&gt;0")&gt;0,Klisz_Verbräuche[[#This Row],[2045]]*(1-$F43)^5, ""), ""),IF($B$14&gt;Klisz_Verbräuche[[#Headers],[2050]],Refsz_Verbräuche[[#This Row],[2050]],"")))</f>
        <v/>
      </c>
      <c r="AA43" s="14"/>
    </row>
    <row r="44" spans="2:27">
      <c r="B44" s="14">
        <v>27</v>
      </c>
      <c r="C44" s="197" t="str">
        <f>Refsz_Verbräuche[[#This Row],[Handlungsfeld]]</f>
        <v>Kälte</v>
      </c>
      <c r="D44" s="46" t="str">
        <f>Refsz_Verbräuche[[#This Row],[Datenpunkt]]</f>
        <v>Nachfüllmenge Kältemittel (R134A)</v>
      </c>
      <c r="E44" s="26" t="str">
        <f>Refsz_Verbräuche[[#This Row],[Einheit]]</f>
        <v>kg</v>
      </c>
      <c r="F44" s="108"/>
      <c r="G44" s="14" t="str">
        <f>IF(ISBLANK(Refsz_Verbräuche[[#This Row],[2015]]),"",Refsz_Verbräuche[[#This Row],[2015]])</f>
        <v/>
      </c>
      <c r="H44" s="14" t="str">
        <f>IF(ISBLANK(Refsz_Verbräuche[[#This Row],[2016]]),"",Refsz_Verbräuche[[#This Row],[2016]])</f>
        <v/>
      </c>
      <c r="I44" s="14" t="str">
        <f>IF(ISBLANK(Refsz_Verbräuche[[#This Row],[2017]]),"",Refsz_Verbräuche[[#This Row],[2017]])</f>
        <v/>
      </c>
      <c r="J44" s="14" t="str">
        <f>IF(ISBLANK(Refsz_Verbräuche[[#This Row],[2018]]),"",Refsz_Verbräuche[[#This Row],[2018]])</f>
        <v/>
      </c>
      <c r="K44" s="14" t="str">
        <f>IF(ISBLANK(Refsz_Verbräuche[[#This Row],[2019]]),"",Refsz_Verbräuche[[#This Row],[2019]])</f>
        <v/>
      </c>
      <c r="L44" s="14" t="str">
        <f>IF(ISBLANK(Refsz_Verbräuche[[#This Row],[2020]]),"",Refsz_Verbräuche[[#This Row],[2020]])</f>
        <v/>
      </c>
      <c r="M44" s="14" t="str">
        <f>IF(ISBLANK(Refsz_Verbräuche[[#This Row],[2021]]),"",Refsz_Verbräuche[[#This Row],[2021]])</f>
        <v/>
      </c>
      <c r="N44" s="49" t="str">
        <f>IF(Klisz_Verbräuche[[#Headers],[2022]]=$B$14,IF(COUNTIF($G44:Klisz_Verbräuche[[#This Row],[2021]],"&gt;0")&gt;0, AVERAGEIF($G44:Klisz_Verbräuche[[#This Row],[2021]],"&lt;&gt;"), ""),IF($B$14&lt;Klisz_Verbräuche[[#Headers],[2022]],IF(COUNTIF($G44:Klisz_Verbräuche[[#This Row],[2021]],"&gt;0")&gt;0,IF(COUNTIF($G44:Klisz_Verbräuche[[#This Row],[2021]],"&gt;0")&gt;0,Klisz_Verbräuche[[#This Row],[2021]]*(1-$F44)^1, ""), ""),IF($B$14&gt;Klisz_Verbräuche[[#Headers],[2022]],Refsz_Verbräuche[[#This Row],[2022]],"")))</f>
        <v/>
      </c>
      <c r="O44" s="49" t="str">
        <f>IF(Klisz_Verbräuche[[#Headers],[2023]]=$B$14,IF(COUNTIF($G44:Klisz_Verbräuche[[#This Row],[2022]],"&gt;0")&gt;0, AVERAGEIF($G44:Klisz_Verbräuche[[#This Row],[2022]],"&lt;&gt;"), ""),IF($B$14&lt;Klisz_Verbräuche[[#Headers],[2023]],IF(COUNTIF($G44:Klisz_Verbräuche[[#This Row],[2022]],"&gt;0")&gt;0,IF(COUNTIF($G44:Klisz_Verbräuche[[#This Row],[2022]],"&gt;0")&gt;0,Klisz_Verbräuche[[#This Row],[2022]]*(1-$F44)^1, ""), ""),IF($B$14&gt;Klisz_Verbräuche[[#Headers],[2023]],Refsz_Verbräuche[[#This Row],[2023]],"")))</f>
        <v/>
      </c>
      <c r="P44" s="49" t="str">
        <f>IF(Klisz_Verbräuche[[#Headers],[2024]]=$B$14,IF(COUNTIF($G44:Klisz_Verbräuche[[#This Row],[2023]],"&gt;0")&gt;0, AVERAGEIF($G44:Klisz_Verbräuche[[#This Row],[2023]],"&lt;&gt;"), ""),IF($B$14&lt;Klisz_Verbräuche[[#Headers],[2024]],IF(COUNTIF($G44:Klisz_Verbräuche[[#This Row],[2023]],"&gt;0")&gt;0,IF(COUNTIF($G44:Klisz_Verbräuche[[#This Row],[2023]],"&gt;0")&gt;0,Klisz_Verbräuche[[#This Row],[2023]]*(1-$F44)^1, ""), ""),IF($B$14&gt;Klisz_Verbräuche[[#Headers],[2024]],Refsz_Verbräuche[[#This Row],[2024]],"")))</f>
        <v/>
      </c>
      <c r="Q44" s="49" t="str">
        <f>IF(Klisz_Verbräuche[[#Headers],[2025]]=$B$14,IF(COUNTIF($G44:Klisz_Verbräuche[[#This Row],[2024]],"&gt;0")&gt;0, AVERAGEIF($G44:Klisz_Verbräuche[[#This Row],[2024]],"&lt;&gt;"), ""),IF($B$14&lt;Klisz_Verbräuche[[#Headers],[2025]],IF(COUNTIF($G44:Klisz_Verbräuche[[#This Row],[2024]],"&gt;0")&gt;0,IF(COUNTIF($G44:Klisz_Verbräuche[[#This Row],[2024]],"&gt;0")&gt;0,Klisz_Verbräuche[[#This Row],[2024]]*(1-$F44)^1, ""), ""),IF($B$14&gt;Klisz_Verbräuche[[#Headers],[2025]],Refsz_Verbräuche[[#This Row],[2025]],"")))</f>
        <v/>
      </c>
      <c r="R44" s="49" t="str">
        <f>IF(Klisz_Verbräuche[[#Headers],[2026]]=$B$14,IF(COUNTIF($G44:Klisz_Verbräuche[[#This Row],[2025]],"&gt;0")&gt;0, AVERAGEIF($G44:Klisz_Verbräuche[[#This Row],[2025]],"&lt;&gt;"), ""),IF($B$14&lt;Klisz_Verbräuche[[#Headers],[2026]],IF(COUNTIF($G44:Klisz_Verbräuche[[#This Row],[2025]],"&gt;0")&gt;0,IF(COUNTIF($G44:Klisz_Verbräuche[[#This Row],[2025]],"&gt;0")&gt;0,Klisz_Verbräuche[[#This Row],[2025]]*(1-$F44)^1, ""), ""),IF($B$14&gt;Klisz_Verbräuche[[#Headers],[2026]],Refsz_Verbräuche[[#This Row],[2026]],"")))</f>
        <v/>
      </c>
      <c r="S44" s="49" t="str">
        <f>IF(Klisz_Verbräuche[[#Headers],[2027]]=$B$14,IF(COUNTIF($G44:Klisz_Verbräuche[[#This Row],[2026]],"&gt;0")&gt;0, AVERAGEIF($G44:Klisz_Verbräuche[[#This Row],[2026]],"&lt;&gt;"), ""),IF($B$14&lt;Klisz_Verbräuche[[#Headers],[2027]],IF(COUNTIF($G44:Klisz_Verbräuche[[#This Row],[2026]],"&gt;0")&gt;0,IF(COUNTIF($G44:Klisz_Verbräuche[[#This Row],[2026]],"&gt;0")&gt;0,Klisz_Verbräuche[[#This Row],[2026]]*(1-$F44)^1, ""), ""),IF($B$14&gt;Klisz_Verbräuche[[#Headers],[2027]],Refsz_Verbräuche[[#This Row],[2027]],"")))</f>
        <v/>
      </c>
      <c r="T44" s="49" t="str">
        <f>IF(Klisz_Verbräuche[[#Headers],[2028]]=$B$14,IF(COUNTIF($G44:Klisz_Verbräuche[[#This Row],[2027]],"&gt;0")&gt;0, AVERAGEIF($G44:Klisz_Verbräuche[[#This Row],[2027]],"&lt;&gt;"), ""),IF($B$14&lt;Klisz_Verbräuche[[#Headers],[2028]],IF(COUNTIF($G44:Klisz_Verbräuche[[#This Row],[2027]],"&gt;0")&gt;0,IF(COUNTIF($G44:Klisz_Verbräuche[[#This Row],[2027]],"&gt;0")&gt;0,Klisz_Verbräuche[[#This Row],[2027]]*(1-$F44)^1, ""), ""),IF($B$14&gt;Klisz_Verbräuche[[#Headers],[2028]],Refsz_Verbräuche[[#This Row],[2028]],"")))</f>
        <v/>
      </c>
      <c r="U44" s="49" t="str">
        <f>IF(Klisz_Verbräuche[[#Headers],[2029]]=$B$14,IF(COUNTIF($G44:Klisz_Verbräuche[[#This Row],[2028]],"&gt;0")&gt;0, AVERAGEIF($G44:Klisz_Verbräuche[[#This Row],[2028]],"&lt;&gt;"), ""),IF($B$14&lt;Klisz_Verbräuche[[#Headers],[2029]],IF(COUNTIF($G44:Klisz_Verbräuche[[#This Row],[2028]],"&gt;0")&gt;0,IF(COUNTIF($G44:Klisz_Verbräuche[[#This Row],[2028]],"&gt;0")&gt;0,Klisz_Verbräuche[[#This Row],[2028]]*(1-$F44)^1, ""), ""),IF($B$14&gt;Klisz_Verbräuche[[#Headers],[2029]],Refsz_Verbräuche[[#This Row],[2029]],"")))</f>
        <v/>
      </c>
      <c r="V44" s="49" t="str">
        <f>IF(Klisz_Verbräuche[[#Headers],[2030]]=$B$14,IF(COUNTIF($G44:Klisz_Verbräuche[[#This Row],[2029]],"&gt;0")&gt;0, AVERAGEIF($G44:Klisz_Verbräuche[[#This Row],[2029]],"&lt;&gt;"), ""),IF($B$14&lt;Klisz_Verbräuche[[#Headers],[2030]],IF(COUNTIF($G44:Klisz_Verbräuche[[#This Row],[2029]],"&gt;0")&gt;0,IF(COUNTIF($G44:Klisz_Verbräuche[[#This Row],[2029]],"&gt;0")&gt;0,Klisz_Verbräuche[[#This Row],[2029]]*(1-$F44)^1, ""), ""),IF($B$14&gt;Klisz_Verbräuche[[#Headers],[2030]],Refsz_Verbräuche[[#This Row],[2030]],"")))</f>
        <v/>
      </c>
      <c r="W44" s="49" t="str">
        <f>IF(Klisz_Verbräuche[[#Headers],[2035]]=$B$14,IF(COUNTIF($G44:Klisz_Verbräuche[[#This Row],[2030]],"&gt;0")&gt;0, AVERAGEIF($G44:Klisz_Verbräuche[[#This Row],[2030]],"&lt;&gt;"), ""),IF($B$14&lt;Klisz_Verbräuche[[#Headers],[2035]],IF(COUNTIF($G44:Klisz_Verbräuche[[#This Row],[2030]],"&gt;0")&gt;0,IF(COUNTIF($G44:Klisz_Verbräuche[[#This Row],[2030]],"&gt;0")&gt;0,Klisz_Verbräuche[[#This Row],[2030]]*(1-$F44)^5, ""), ""),IF($B$14&gt;Klisz_Verbräuche[[#Headers],[2035]],Refsz_Verbräuche[[#This Row],[2035]],"")))</f>
        <v/>
      </c>
      <c r="X44" s="49" t="str">
        <f>IF(Klisz_Verbräuche[[#Headers],[2040]]=$B$14,IF(COUNTIF($G44:Klisz_Verbräuche[[#This Row],[2035]],"&gt;0")&gt;0, AVERAGEIF($G44:Klisz_Verbräuche[[#This Row],[2035]],"&lt;&gt;"), ""),IF($B$14&lt;Klisz_Verbräuche[[#Headers],[2040]],IF(COUNTIF($G44:Klisz_Verbräuche[[#This Row],[2035]],"&gt;0")&gt;0,IF(COUNTIF($G44:Klisz_Verbräuche[[#This Row],[2035]],"&gt;0")&gt;0,Klisz_Verbräuche[[#This Row],[2035]]*(1-$F44)^5, ""), ""),IF($B$14&gt;Klisz_Verbräuche[[#Headers],[2040]],Refsz_Verbräuche[[#This Row],[2040]],"")))</f>
        <v/>
      </c>
      <c r="Y44" s="49" t="str">
        <f>IF(Klisz_Verbräuche[[#Headers],[2045]]=$B$14,IF(COUNTIF($G44:Klisz_Verbräuche[[#This Row],[2040]],"&gt;0")&gt;0, AVERAGEIF($G44:Klisz_Verbräuche[[#This Row],[2040]],"&lt;&gt;"), ""),IF($B$14&lt;Klisz_Verbräuche[[#Headers],[2045]],IF(COUNTIF($G44:Klisz_Verbräuche[[#This Row],[2040]],"&gt;0")&gt;0,IF(COUNTIF($G44:Klisz_Verbräuche[[#This Row],[2040]],"&gt;0")&gt;0,Klisz_Verbräuche[[#This Row],[2040]]*(1-$F44)^5, ""), ""),IF($B$14&gt;Klisz_Verbräuche[[#Headers],[2045]],Refsz_Verbräuche[[#This Row],[2045]],"")))</f>
        <v/>
      </c>
      <c r="Z44" s="49" t="str">
        <f>IF(Klisz_Verbräuche[[#Headers],[2050]]=$B$14,IF(COUNTIF($G44:Klisz_Verbräuche[[#This Row],[2045]],"&gt;0")&gt;0, AVERAGEIF($G44:Klisz_Verbräuche[[#This Row],[2045]],"&lt;&gt;"), ""),IF($B$14&lt;Klisz_Verbräuche[[#Headers],[2050]],IF(COUNTIF($G44:Klisz_Verbräuche[[#This Row],[2045]],"&gt;0")&gt;0,IF(COUNTIF($G44:Klisz_Verbräuche[[#This Row],[2045]],"&gt;0")&gt;0,Klisz_Verbräuche[[#This Row],[2045]]*(1-$F44)^5, ""), ""),IF($B$14&gt;Klisz_Verbräuche[[#Headers],[2050]],Refsz_Verbräuche[[#This Row],[2050]],"")))</f>
        <v/>
      </c>
      <c r="AA44" s="14"/>
    </row>
    <row r="45" spans="2:27">
      <c r="B45" s="14">
        <v>28</v>
      </c>
      <c r="C45" s="197" t="str">
        <f>Refsz_Verbräuche[[#This Row],[Handlungsfeld]]</f>
        <v>Kälte</v>
      </c>
      <c r="D45" s="46" t="str">
        <f>Refsz_Verbräuche[[#This Row],[Datenpunkt]]</f>
        <v>Nachfüllmenge Kältemittel (R404A)</v>
      </c>
      <c r="E45" s="26" t="str">
        <f>Refsz_Verbräuche[[#This Row],[Einheit]]</f>
        <v>kg</v>
      </c>
      <c r="F45" s="108"/>
      <c r="G45" s="14" t="str">
        <f>IF(ISBLANK(Refsz_Verbräuche[[#This Row],[2015]]),"",Refsz_Verbräuche[[#This Row],[2015]])</f>
        <v/>
      </c>
      <c r="H45" s="14" t="str">
        <f>IF(ISBLANK(Refsz_Verbräuche[[#This Row],[2016]]),"",Refsz_Verbräuche[[#This Row],[2016]])</f>
        <v/>
      </c>
      <c r="I45" s="14" t="str">
        <f>IF(ISBLANK(Refsz_Verbräuche[[#This Row],[2017]]),"",Refsz_Verbräuche[[#This Row],[2017]])</f>
        <v/>
      </c>
      <c r="J45" s="14" t="str">
        <f>IF(ISBLANK(Refsz_Verbräuche[[#This Row],[2018]]),"",Refsz_Verbräuche[[#This Row],[2018]])</f>
        <v/>
      </c>
      <c r="K45" s="14" t="str">
        <f>IF(ISBLANK(Refsz_Verbräuche[[#This Row],[2019]]),"",Refsz_Verbräuche[[#This Row],[2019]])</f>
        <v/>
      </c>
      <c r="L45" s="14" t="str">
        <f>IF(ISBLANK(Refsz_Verbräuche[[#This Row],[2020]]),"",Refsz_Verbräuche[[#This Row],[2020]])</f>
        <v/>
      </c>
      <c r="M45" s="14" t="str">
        <f>IF(ISBLANK(Refsz_Verbräuche[[#This Row],[2021]]),"",Refsz_Verbräuche[[#This Row],[2021]])</f>
        <v/>
      </c>
      <c r="N45" s="49" t="str">
        <f>IF(Klisz_Verbräuche[[#Headers],[2022]]=$B$14,IF(COUNTIF($G45:Klisz_Verbräuche[[#This Row],[2021]],"&gt;0")&gt;0, AVERAGEIF($G45:Klisz_Verbräuche[[#This Row],[2021]],"&lt;&gt;"), ""),IF($B$14&lt;Klisz_Verbräuche[[#Headers],[2022]],IF(COUNTIF($G45:Klisz_Verbräuche[[#This Row],[2021]],"&gt;0")&gt;0,IF(COUNTIF($G45:Klisz_Verbräuche[[#This Row],[2021]],"&gt;0")&gt;0,Klisz_Verbräuche[[#This Row],[2021]]*(1-$F45)^1, ""), ""),IF($B$14&gt;Klisz_Verbräuche[[#Headers],[2022]],Refsz_Verbräuche[[#This Row],[2022]],"")))</f>
        <v/>
      </c>
      <c r="O45" s="49" t="str">
        <f>IF(Klisz_Verbräuche[[#Headers],[2023]]=$B$14,IF(COUNTIF($G45:Klisz_Verbräuche[[#This Row],[2022]],"&gt;0")&gt;0, AVERAGEIF($G45:Klisz_Verbräuche[[#This Row],[2022]],"&lt;&gt;"), ""),IF($B$14&lt;Klisz_Verbräuche[[#Headers],[2023]],IF(COUNTIF($G45:Klisz_Verbräuche[[#This Row],[2022]],"&gt;0")&gt;0,IF(COUNTIF($G45:Klisz_Verbräuche[[#This Row],[2022]],"&gt;0")&gt;0,Klisz_Verbräuche[[#This Row],[2022]]*(1-$F45)^1, ""), ""),IF($B$14&gt;Klisz_Verbräuche[[#Headers],[2023]],Refsz_Verbräuche[[#This Row],[2023]],"")))</f>
        <v/>
      </c>
      <c r="P45" s="49" t="str">
        <f>IF(Klisz_Verbräuche[[#Headers],[2024]]=$B$14,IF(COUNTIF($G45:Klisz_Verbräuche[[#This Row],[2023]],"&gt;0")&gt;0, AVERAGEIF($G45:Klisz_Verbräuche[[#This Row],[2023]],"&lt;&gt;"), ""),IF($B$14&lt;Klisz_Verbräuche[[#Headers],[2024]],IF(COUNTIF($G45:Klisz_Verbräuche[[#This Row],[2023]],"&gt;0")&gt;0,IF(COUNTIF($G45:Klisz_Verbräuche[[#This Row],[2023]],"&gt;0")&gt;0,Klisz_Verbräuche[[#This Row],[2023]]*(1-$F45)^1, ""), ""),IF($B$14&gt;Klisz_Verbräuche[[#Headers],[2024]],Refsz_Verbräuche[[#This Row],[2024]],"")))</f>
        <v/>
      </c>
      <c r="Q45" s="49" t="str">
        <f>IF(Klisz_Verbräuche[[#Headers],[2025]]=$B$14,IF(COUNTIF($G45:Klisz_Verbräuche[[#This Row],[2024]],"&gt;0")&gt;0, AVERAGEIF($G45:Klisz_Verbräuche[[#This Row],[2024]],"&lt;&gt;"), ""),IF($B$14&lt;Klisz_Verbräuche[[#Headers],[2025]],IF(COUNTIF($G45:Klisz_Verbräuche[[#This Row],[2024]],"&gt;0")&gt;0,IF(COUNTIF($G45:Klisz_Verbräuche[[#This Row],[2024]],"&gt;0")&gt;0,Klisz_Verbräuche[[#This Row],[2024]]*(1-$F45)^1, ""), ""),IF($B$14&gt;Klisz_Verbräuche[[#Headers],[2025]],Refsz_Verbräuche[[#This Row],[2025]],"")))</f>
        <v/>
      </c>
      <c r="R45" s="49" t="str">
        <f>IF(Klisz_Verbräuche[[#Headers],[2026]]=$B$14,IF(COUNTIF($G45:Klisz_Verbräuche[[#This Row],[2025]],"&gt;0")&gt;0, AVERAGEIF($G45:Klisz_Verbräuche[[#This Row],[2025]],"&lt;&gt;"), ""),IF($B$14&lt;Klisz_Verbräuche[[#Headers],[2026]],IF(COUNTIF($G45:Klisz_Verbräuche[[#This Row],[2025]],"&gt;0")&gt;0,IF(COUNTIF($G45:Klisz_Verbräuche[[#This Row],[2025]],"&gt;0")&gt;0,Klisz_Verbräuche[[#This Row],[2025]]*(1-$F45)^1, ""), ""),IF($B$14&gt;Klisz_Verbräuche[[#Headers],[2026]],Refsz_Verbräuche[[#This Row],[2026]],"")))</f>
        <v/>
      </c>
      <c r="S45" s="49" t="str">
        <f>IF(Klisz_Verbräuche[[#Headers],[2027]]=$B$14,IF(COUNTIF($G45:Klisz_Verbräuche[[#This Row],[2026]],"&gt;0")&gt;0, AVERAGEIF($G45:Klisz_Verbräuche[[#This Row],[2026]],"&lt;&gt;"), ""),IF($B$14&lt;Klisz_Verbräuche[[#Headers],[2027]],IF(COUNTIF($G45:Klisz_Verbräuche[[#This Row],[2026]],"&gt;0")&gt;0,IF(COUNTIF($G45:Klisz_Verbräuche[[#This Row],[2026]],"&gt;0")&gt;0,Klisz_Verbräuche[[#This Row],[2026]]*(1-$F45)^1, ""), ""),IF($B$14&gt;Klisz_Verbräuche[[#Headers],[2027]],Refsz_Verbräuche[[#This Row],[2027]],"")))</f>
        <v/>
      </c>
      <c r="T45" s="49" t="str">
        <f>IF(Klisz_Verbräuche[[#Headers],[2028]]=$B$14,IF(COUNTIF($G45:Klisz_Verbräuche[[#This Row],[2027]],"&gt;0")&gt;0, AVERAGEIF($G45:Klisz_Verbräuche[[#This Row],[2027]],"&lt;&gt;"), ""),IF($B$14&lt;Klisz_Verbräuche[[#Headers],[2028]],IF(COUNTIF($G45:Klisz_Verbräuche[[#This Row],[2027]],"&gt;0")&gt;0,IF(COUNTIF($G45:Klisz_Verbräuche[[#This Row],[2027]],"&gt;0")&gt;0,Klisz_Verbräuche[[#This Row],[2027]]*(1-$F45)^1, ""), ""),IF($B$14&gt;Klisz_Verbräuche[[#Headers],[2028]],Refsz_Verbräuche[[#This Row],[2028]],"")))</f>
        <v/>
      </c>
      <c r="U45" s="49" t="str">
        <f>IF(Klisz_Verbräuche[[#Headers],[2029]]=$B$14,IF(COUNTIF($G45:Klisz_Verbräuche[[#This Row],[2028]],"&gt;0")&gt;0, AVERAGEIF($G45:Klisz_Verbräuche[[#This Row],[2028]],"&lt;&gt;"), ""),IF($B$14&lt;Klisz_Verbräuche[[#Headers],[2029]],IF(COUNTIF($G45:Klisz_Verbräuche[[#This Row],[2028]],"&gt;0")&gt;0,IF(COUNTIF($G45:Klisz_Verbräuche[[#This Row],[2028]],"&gt;0")&gt;0,Klisz_Verbräuche[[#This Row],[2028]]*(1-$F45)^1, ""), ""),IF($B$14&gt;Klisz_Verbräuche[[#Headers],[2029]],Refsz_Verbräuche[[#This Row],[2029]],"")))</f>
        <v/>
      </c>
      <c r="V45" s="49" t="str">
        <f>IF(Klisz_Verbräuche[[#Headers],[2030]]=$B$14,IF(COUNTIF($G45:Klisz_Verbräuche[[#This Row],[2029]],"&gt;0")&gt;0, AVERAGEIF($G45:Klisz_Verbräuche[[#This Row],[2029]],"&lt;&gt;"), ""),IF($B$14&lt;Klisz_Verbräuche[[#Headers],[2030]],IF(COUNTIF($G45:Klisz_Verbräuche[[#This Row],[2029]],"&gt;0")&gt;0,IF(COUNTIF($G45:Klisz_Verbräuche[[#This Row],[2029]],"&gt;0")&gt;0,Klisz_Verbräuche[[#This Row],[2029]]*(1-$F45)^1, ""), ""),IF($B$14&gt;Klisz_Verbräuche[[#Headers],[2030]],Refsz_Verbräuche[[#This Row],[2030]],"")))</f>
        <v/>
      </c>
      <c r="W45" s="49" t="str">
        <f>IF(Klisz_Verbräuche[[#Headers],[2035]]=$B$14,IF(COUNTIF($G45:Klisz_Verbräuche[[#This Row],[2030]],"&gt;0")&gt;0, AVERAGEIF($G45:Klisz_Verbräuche[[#This Row],[2030]],"&lt;&gt;"), ""),IF($B$14&lt;Klisz_Verbräuche[[#Headers],[2035]],IF(COUNTIF($G45:Klisz_Verbräuche[[#This Row],[2030]],"&gt;0")&gt;0,IF(COUNTIF($G45:Klisz_Verbräuche[[#This Row],[2030]],"&gt;0")&gt;0,Klisz_Verbräuche[[#This Row],[2030]]*(1-$F45)^5, ""), ""),IF($B$14&gt;Klisz_Verbräuche[[#Headers],[2035]],Refsz_Verbräuche[[#This Row],[2035]],"")))</f>
        <v/>
      </c>
      <c r="X45" s="49" t="str">
        <f>IF(Klisz_Verbräuche[[#Headers],[2040]]=$B$14,IF(COUNTIF($G45:Klisz_Verbräuche[[#This Row],[2035]],"&gt;0")&gt;0, AVERAGEIF($G45:Klisz_Verbräuche[[#This Row],[2035]],"&lt;&gt;"), ""),IF($B$14&lt;Klisz_Verbräuche[[#Headers],[2040]],IF(COUNTIF($G45:Klisz_Verbräuche[[#This Row],[2035]],"&gt;0")&gt;0,IF(COUNTIF($G45:Klisz_Verbräuche[[#This Row],[2035]],"&gt;0")&gt;0,Klisz_Verbräuche[[#This Row],[2035]]*(1-$F45)^5, ""), ""),IF($B$14&gt;Klisz_Verbräuche[[#Headers],[2040]],Refsz_Verbräuche[[#This Row],[2040]],"")))</f>
        <v/>
      </c>
      <c r="Y45" s="49" t="str">
        <f>IF(Klisz_Verbräuche[[#Headers],[2045]]=$B$14,IF(COUNTIF($G45:Klisz_Verbräuche[[#This Row],[2040]],"&gt;0")&gt;0, AVERAGEIF($G45:Klisz_Verbräuche[[#This Row],[2040]],"&lt;&gt;"), ""),IF($B$14&lt;Klisz_Verbräuche[[#Headers],[2045]],IF(COUNTIF($G45:Klisz_Verbräuche[[#This Row],[2040]],"&gt;0")&gt;0,IF(COUNTIF($G45:Klisz_Verbräuche[[#This Row],[2040]],"&gt;0")&gt;0,Klisz_Verbräuche[[#This Row],[2040]]*(1-$F45)^5, ""), ""),IF($B$14&gt;Klisz_Verbräuche[[#Headers],[2045]],Refsz_Verbräuche[[#This Row],[2045]],"")))</f>
        <v/>
      </c>
      <c r="Z45" s="49" t="str">
        <f>IF(Klisz_Verbräuche[[#Headers],[2050]]=$B$14,IF(COUNTIF($G45:Klisz_Verbräuche[[#This Row],[2045]],"&gt;0")&gt;0, AVERAGEIF($G45:Klisz_Verbräuche[[#This Row],[2045]],"&lt;&gt;"), ""),IF($B$14&lt;Klisz_Verbräuche[[#Headers],[2050]],IF(COUNTIF($G45:Klisz_Verbräuche[[#This Row],[2045]],"&gt;0")&gt;0,IF(COUNTIF($G45:Klisz_Verbräuche[[#This Row],[2045]],"&gt;0")&gt;0,Klisz_Verbräuche[[#This Row],[2045]]*(1-$F45)^5, ""), ""),IF($B$14&gt;Klisz_Verbräuche[[#Headers],[2050]],Refsz_Verbräuche[[#This Row],[2050]],"")))</f>
        <v/>
      </c>
      <c r="AA45" s="14"/>
    </row>
    <row r="46" spans="2:27">
      <c r="B46" s="14">
        <v>29</v>
      </c>
      <c r="C46" s="197" t="str">
        <f>Refsz_Verbräuche[[#This Row],[Handlungsfeld]]</f>
        <v>Kälte</v>
      </c>
      <c r="D46" s="46" t="str">
        <f>Refsz_Verbräuche[[#This Row],[Datenpunkt]]</f>
        <v>Nachfüllmenge Kältemittel (R410A)</v>
      </c>
      <c r="E46" s="26" t="str">
        <f>Refsz_Verbräuche[[#This Row],[Einheit]]</f>
        <v>kg</v>
      </c>
      <c r="F46" s="108"/>
      <c r="G46" s="14" t="str">
        <f>IF(ISBLANK(Refsz_Verbräuche[[#This Row],[2015]]),"",Refsz_Verbräuche[[#This Row],[2015]])</f>
        <v/>
      </c>
      <c r="H46" s="14" t="str">
        <f>IF(ISBLANK(Refsz_Verbräuche[[#This Row],[2016]]),"",Refsz_Verbräuche[[#This Row],[2016]])</f>
        <v/>
      </c>
      <c r="I46" s="14" t="str">
        <f>IF(ISBLANK(Refsz_Verbräuche[[#This Row],[2017]]),"",Refsz_Verbräuche[[#This Row],[2017]])</f>
        <v/>
      </c>
      <c r="J46" s="14" t="str">
        <f>IF(ISBLANK(Refsz_Verbräuche[[#This Row],[2018]]),"",Refsz_Verbräuche[[#This Row],[2018]])</f>
        <v/>
      </c>
      <c r="K46" s="14" t="str">
        <f>IF(ISBLANK(Refsz_Verbräuche[[#This Row],[2019]]),"",Refsz_Verbräuche[[#This Row],[2019]])</f>
        <v/>
      </c>
      <c r="L46" s="14" t="str">
        <f>IF(ISBLANK(Refsz_Verbräuche[[#This Row],[2020]]),"",Refsz_Verbräuche[[#This Row],[2020]])</f>
        <v/>
      </c>
      <c r="M46" s="14" t="str">
        <f>IF(ISBLANK(Refsz_Verbräuche[[#This Row],[2021]]),"",Refsz_Verbräuche[[#This Row],[2021]])</f>
        <v/>
      </c>
      <c r="N46" s="49" t="str">
        <f>IF(Klisz_Verbräuche[[#Headers],[2022]]=$B$14,IF(COUNTIF($G46:Klisz_Verbräuche[[#This Row],[2021]],"&gt;0")&gt;0, AVERAGEIF($G46:Klisz_Verbräuche[[#This Row],[2021]],"&lt;&gt;"), ""),IF($B$14&lt;Klisz_Verbräuche[[#Headers],[2022]],IF(COUNTIF($G46:Klisz_Verbräuche[[#This Row],[2021]],"&gt;0")&gt;0,IF(COUNTIF($G46:Klisz_Verbräuche[[#This Row],[2021]],"&gt;0")&gt;0,Klisz_Verbräuche[[#This Row],[2021]]*(1-$F46)^1, ""), ""),IF($B$14&gt;Klisz_Verbräuche[[#Headers],[2022]],Refsz_Verbräuche[[#This Row],[2022]],"")))</f>
        <v/>
      </c>
      <c r="O46" s="49" t="str">
        <f>IF(Klisz_Verbräuche[[#Headers],[2023]]=$B$14,IF(COUNTIF($G46:Klisz_Verbräuche[[#This Row],[2022]],"&gt;0")&gt;0, AVERAGEIF($G46:Klisz_Verbräuche[[#This Row],[2022]],"&lt;&gt;"), ""),IF($B$14&lt;Klisz_Verbräuche[[#Headers],[2023]],IF(COUNTIF($G46:Klisz_Verbräuche[[#This Row],[2022]],"&gt;0")&gt;0,IF(COUNTIF($G46:Klisz_Verbräuche[[#This Row],[2022]],"&gt;0")&gt;0,Klisz_Verbräuche[[#This Row],[2022]]*(1-$F46)^1, ""), ""),IF($B$14&gt;Klisz_Verbräuche[[#Headers],[2023]],Refsz_Verbräuche[[#This Row],[2023]],"")))</f>
        <v/>
      </c>
      <c r="P46" s="49" t="str">
        <f>IF(Klisz_Verbräuche[[#Headers],[2024]]=$B$14,IF(COUNTIF($G46:Klisz_Verbräuche[[#This Row],[2023]],"&gt;0")&gt;0, AVERAGEIF($G46:Klisz_Verbräuche[[#This Row],[2023]],"&lt;&gt;"), ""),IF($B$14&lt;Klisz_Verbräuche[[#Headers],[2024]],IF(COUNTIF($G46:Klisz_Verbräuche[[#This Row],[2023]],"&gt;0")&gt;0,IF(COUNTIF($G46:Klisz_Verbräuche[[#This Row],[2023]],"&gt;0")&gt;0,Klisz_Verbräuche[[#This Row],[2023]]*(1-$F46)^1, ""), ""),IF($B$14&gt;Klisz_Verbräuche[[#Headers],[2024]],Refsz_Verbräuche[[#This Row],[2024]],"")))</f>
        <v/>
      </c>
      <c r="Q46" s="49" t="str">
        <f>IF(Klisz_Verbräuche[[#Headers],[2025]]=$B$14,IF(COUNTIF($G46:Klisz_Verbräuche[[#This Row],[2024]],"&gt;0")&gt;0, AVERAGEIF($G46:Klisz_Verbräuche[[#This Row],[2024]],"&lt;&gt;"), ""),IF($B$14&lt;Klisz_Verbräuche[[#Headers],[2025]],IF(COUNTIF($G46:Klisz_Verbräuche[[#This Row],[2024]],"&gt;0")&gt;0,IF(COUNTIF($G46:Klisz_Verbräuche[[#This Row],[2024]],"&gt;0")&gt;0,Klisz_Verbräuche[[#This Row],[2024]]*(1-$F46)^1, ""), ""),IF($B$14&gt;Klisz_Verbräuche[[#Headers],[2025]],Refsz_Verbräuche[[#This Row],[2025]],"")))</f>
        <v/>
      </c>
      <c r="R46" s="49" t="str">
        <f>IF(Klisz_Verbräuche[[#Headers],[2026]]=$B$14,IF(COUNTIF($G46:Klisz_Verbräuche[[#This Row],[2025]],"&gt;0")&gt;0, AVERAGEIF($G46:Klisz_Verbräuche[[#This Row],[2025]],"&lt;&gt;"), ""),IF($B$14&lt;Klisz_Verbräuche[[#Headers],[2026]],IF(COUNTIF($G46:Klisz_Verbräuche[[#This Row],[2025]],"&gt;0")&gt;0,IF(COUNTIF($G46:Klisz_Verbräuche[[#This Row],[2025]],"&gt;0")&gt;0,Klisz_Verbräuche[[#This Row],[2025]]*(1-$F46)^1, ""), ""),IF($B$14&gt;Klisz_Verbräuche[[#Headers],[2026]],Refsz_Verbräuche[[#This Row],[2026]],"")))</f>
        <v/>
      </c>
      <c r="S46" s="49" t="str">
        <f>IF(Klisz_Verbräuche[[#Headers],[2027]]=$B$14,IF(COUNTIF($G46:Klisz_Verbräuche[[#This Row],[2026]],"&gt;0")&gt;0, AVERAGEIF($G46:Klisz_Verbräuche[[#This Row],[2026]],"&lt;&gt;"), ""),IF($B$14&lt;Klisz_Verbräuche[[#Headers],[2027]],IF(COUNTIF($G46:Klisz_Verbräuche[[#This Row],[2026]],"&gt;0")&gt;0,IF(COUNTIF($G46:Klisz_Verbräuche[[#This Row],[2026]],"&gt;0")&gt;0,Klisz_Verbräuche[[#This Row],[2026]]*(1-$F46)^1, ""), ""),IF($B$14&gt;Klisz_Verbräuche[[#Headers],[2027]],Refsz_Verbräuche[[#This Row],[2027]],"")))</f>
        <v/>
      </c>
      <c r="T46" s="49" t="str">
        <f>IF(Klisz_Verbräuche[[#Headers],[2028]]=$B$14,IF(COUNTIF($G46:Klisz_Verbräuche[[#This Row],[2027]],"&gt;0")&gt;0, AVERAGEIF($G46:Klisz_Verbräuche[[#This Row],[2027]],"&lt;&gt;"), ""),IF($B$14&lt;Klisz_Verbräuche[[#Headers],[2028]],IF(COUNTIF($G46:Klisz_Verbräuche[[#This Row],[2027]],"&gt;0")&gt;0,IF(COUNTIF($G46:Klisz_Verbräuche[[#This Row],[2027]],"&gt;0")&gt;0,Klisz_Verbräuche[[#This Row],[2027]]*(1-$F46)^1, ""), ""),IF($B$14&gt;Klisz_Verbräuche[[#Headers],[2028]],Refsz_Verbräuche[[#This Row],[2028]],"")))</f>
        <v/>
      </c>
      <c r="U46" s="49" t="str">
        <f>IF(Klisz_Verbräuche[[#Headers],[2029]]=$B$14,IF(COUNTIF($G46:Klisz_Verbräuche[[#This Row],[2028]],"&gt;0")&gt;0, AVERAGEIF($G46:Klisz_Verbräuche[[#This Row],[2028]],"&lt;&gt;"), ""),IF($B$14&lt;Klisz_Verbräuche[[#Headers],[2029]],IF(COUNTIF($G46:Klisz_Verbräuche[[#This Row],[2028]],"&gt;0")&gt;0,IF(COUNTIF($G46:Klisz_Verbräuche[[#This Row],[2028]],"&gt;0")&gt;0,Klisz_Verbräuche[[#This Row],[2028]]*(1-$F46)^1, ""), ""),IF($B$14&gt;Klisz_Verbräuche[[#Headers],[2029]],Refsz_Verbräuche[[#This Row],[2029]],"")))</f>
        <v/>
      </c>
      <c r="V46" s="49" t="str">
        <f>IF(Klisz_Verbräuche[[#Headers],[2030]]=$B$14,IF(COUNTIF($G46:Klisz_Verbräuche[[#This Row],[2029]],"&gt;0")&gt;0, AVERAGEIF($G46:Klisz_Verbräuche[[#This Row],[2029]],"&lt;&gt;"), ""),IF($B$14&lt;Klisz_Verbräuche[[#Headers],[2030]],IF(COUNTIF($G46:Klisz_Verbräuche[[#This Row],[2029]],"&gt;0")&gt;0,IF(COUNTIF($G46:Klisz_Verbräuche[[#This Row],[2029]],"&gt;0")&gt;0,Klisz_Verbräuche[[#This Row],[2029]]*(1-$F46)^1, ""), ""),IF($B$14&gt;Klisz_Verbräuche[[#Headers],[2030]],Refsz_Verbräuche[[#This Row],[2030]],"")))</f>
        <v/>
      </c>
      <c r="W46" s="49" t="str">
        <f>IF(Klisz_Verbräuche[[#Headers],[2035]]=$B$14,IF(COUNTIF($G46:Klisz_Verbräuche[[#This Row],[2030]],"&gt;0")&gt;0, AVERAGEIF($G46:Klisz_Verbräuche[[#This Row],[2030]],"&lt;&gt;"), ""),IF($B$14&lt;Klisz_Verbräuche[[#Headers],[2035]],IF(COUNTIF($G46:Klisz_Verbräuche[[#This Row],[2030]],"&gt;0")&gt;0,IF(COUNTIF($G46:Klisz_Verbräuche[[#This Row],[2030]],"&gt;0")&gt;0,Klisz_Verbräuche[[#This Row],[2030]]*(1-$F46)^5, ""), ""),IF($B$14&gt;Klisz_Verbräuche[[#Headers],[2035]],Refsz_Verbräuche[[#This Row],[2035]],"")))</f>
        <v/>
      </c>
      <c r="X46" s="49" t="str">
        <f>IF(Klisz_Verbräuche[[#Headers],[2040]]=$B$14,IF(COUNTIF($G46:Klisz_Verbräuche[[#This Row],[2035]],"&gt;0")&gt;0, AVERAGEIF($G46:Klisz_Verbräuche[[#This Row],[2035]],"&lt;&gt;"), ""),IF($B$14&lt;Klisz_Verbräuche[[#Headers],[2040]],IF(COUNTIF($G46:Klisz_Verbräuche[[#This Row],[2035]],"&gt;0")&gt;0,IF(COUNTIF($G46:Klisz_Verbräuche[[#This Row],[2035]],"&gt;0")&gt;0,Klisz_Verbräuche[[#This Row],[2035]]*(1-$F46)^5, ""), ""),IF($B$14&gt;Klisz_Verbräuche[[#Headers],[2040]],Refsz_Verbräuche[[#This Row],[2040]],"")))</f>
        <v/>
      </c>
      <c r="Y46" s="49" t="str">
        <f>IF(Klisz_Verbräuche[[#Headers],[2045]]=$B$14,IF(COUNTIF($G46:Klisz_Verbräuche[[#This Row],[2040]],"&gt;0")&gt;0, AVERAGEIF($G46:Klisz_Verbräuche[[#This Row],[2040]],"&lt;&gt;"), ""),IF($B$14&lt;Klisz_Verbräuche[[#Headers],[2045]],IF(COUNTIF($G46:Klisz_Verbräuche[[#This Row],[2040]],"&gt;0")&gt;0,IF(COUNTIF($G46:Klisz_Verbräuche[[#This Row],[2040]],"&gt;0")&gt;0,Klisz_Verbräuche[[#This Row],[2040]]*(1-$F46)^5, ""), ""),IF($B$14&gt;Klisz_Verbräuche[[#Headers],[2045]],Refsz_Verbräuche[[#This Row],[2045]],"")))</f>
        <v/>
      </c>
      <c r="Z46" s="49" t="str">
        <f>IF(Klisz_Verbräuche[[#Headers],[2050]]=$B$14,IF(COUNTIF($G46:Klisz_Verbräuche[[#This Row],[2045]],"&gt;0")&gt;0, AVERAGEIF($G46:Klisz_Verbräuche[[#This Row],[2045]],"&lt;&gt;"), ""),IF($B$14&lt;Klisz_Verbräuche[[#Headers],[2050]],IF(COUNTIF($G46:Klisz_Verbräuche[[#This Row],[2045]],"&gt;0")&gt;0,IF(COUNTIF($G46:Klisz_Verbräuche[[#This Row],[2045]],"&gt;0")&gt;0,Klisz_Verbräuche[[#This Row],[2045]]*(1-$F46)^5, ""), ""),IF($B$14&gt;Klisz_Verbräuche[[#Headers],[2050]],Refsz_Verbräuche[[#This Row],[2050]],"")))</f>
        <v/>
      </c>
      <c r="AA46" s="14"/>
    </row>
    <row r="47" spans="2:27">
      <c r="B47" s="14">
        <v>30</v>
      </c>
      <c r="C47" s="197">
        <f>Refsz_Verbräuche[[#This Row],[Handlungsfeld]]</f>
        <v>0</v>
      </c>
      <c r="D47" s="19">
        <f>Refsz_Verbräuche[[#This Row],[Datenpunkt]]</f>
        <v>0</v>
      </c>
      <c r="E47" s="26">
        <f>Refsz_Verbräuche[[#This Row],[Einheit]]</f>
        <v>0</v>
      </c>
      <c r="F47" s="108"/>
      <c r="G47" s="14" t="str">
        <f>IF(ISBLANK(Refsz_Verbräuche[[#This Row],[2015]]),"",Refsz_Verbräuche[[#This Row],[2015]])</f>
        <v/>
      </c>
      <c r="H47" s="14" t="str">
        <f>IF(ISBLANK(Refsz_Verbräuche[[#This Row],[2016]]),"",Refsz_Verbräuche[[#This Row],[2016]])</f>
        <v/>
      </c>
      <c r="I47" s="14" t="str">
        <f>IF(ISBLANK(Refsz_Verbräuche[[#This Row],[2017]]),"",Refsz_Verbräuche[[#This Row],[2017]])</f>
        <v/>
      </c>
      <c r="J47" s="14" t="str">
        <f>IF(ISBLANK(Refsz_Verbräuche[[#This Row],[2018]]),"",Refsz_Verbräuche[[#This Row],[2018]])</f>
        <v/>
      </c>
      <c r="K47" s="14" t="str">
        <f>IF(ISBLANK(Refsz_Verbräuche[[#This Row],[2019]]),"",Refsz_Verbräuche[[#This Row],[2019]])</f>
        <v/>
      </c>
      <c r="L47" s="14" t="str">
        <f>IF(ISBLANK(Refsz_Verbräuche[[#This Row],[2020]]),"",Refsz_Verbräuche[[#This Row],[2020]])</f>
        <v/>
      </c>
      <c r="M47" s="14" t="str">
        <f>IF(ISBLANK(Refsz_Verbräuche[[#This Row],[2021]]),"",Refsz_Verbräuche[[#This Row],[2021]])</f>
        <v/>
      </c>
      <c r="N47" s="49" t="str">
        <f>IF(Klisz_Verbräuche[[#Headers],[2022]]=$B$14,IF(COUNTIF($G47:Klisz_Verbräuche[[#This Row],[2021]],"&gt;0")&gt;0, AVERAGEIF($G47:Klisz_Verbräuche[[#This Row],[2021]],"&lt;&gt;"), ""),IF($B$14&lt;Klisz_Verbräuche[[#Headers],[2022]],IF(COUNTIF($G47:Klisz_Verbräuche[[#This Row],[2021]],"&gt;0")&gt;0,IF(COUNTIF($G47:Klisz_Verbräuche[[#This Row],[2021]],"&gt;0")&gt;0,Klisz_Verbräuche[[#This Row],[2021]]*(1-$F47)^1, ""), ""),IF($B$14&gt;Klisz_Verbräuche[[#Headers],[2022]],Refsz_Verbräuche[[#This Row],[2022]],"")))</f>
        <v/>
      </c>
      <c r="O47" s="49" t="str">
        <f>IF(Klisz_Verbräuche[[#Headers],[2023]]=$B$14,IF(COUNTIF($G47:Klisz_Verbräuche[[#This Row],[2022]],"&gt;0")&gt;0, AVERAGEIF($G47:Klisz_Verbräuche[[#This Row],[2022]],"&lt;&gt;"), ""),IF($B$14&lt;Klisz_Verbräuche[[#Headers],[2023]],IF(COUNTIF($G47:Klisz_Verbräuche[[#This Row],[2022]],"&gt;0")&gt;0,IF(COUNTIF($G47:Klisz_Verbräuche[[#This Row],[2022]],"&gt;0")&gt;0,Klisz_Verbräuche[[#This Row],[2022]]*(1-$F47)^1, ""), ""),IF($B$14&gt;Klisz_Verbräuche[[#Headers],[2023]],Refsz_Verbräuche[[#This Row],[2023]],"")))</f>
        <v/>
      </c>
      <c r="P47" s="49" t="str">
        <f>IF(Klisz_Verbräuche[[#Headers],[2024]]=$B$14,IF(COUNTIF($G47:Klisz_Verbräuche[[#This Row],[2023]],"&gt;0")&gt;0, AVERAGEIF($G47:Klisz_Verbräuche[[#This Row],[2023]],"&lt;&gt;"), ""),IF($B$14&lt;Klisz_Verbräuche[[#Headers],[2024]],IF(COUNTIF($G47:Klisz_Verbräuche[[#This Row],[2023]],"&gt;0")&gt;0,IF(COUNTIF($G47:Klisz_Verbräuche[[#This Row],[2023]],"&gt;0")&gt;0,Klisz_Verbräuche[[#This Row],[2023]]*(1-$F47)^1, ""), ""),IF($B$14&gt;Klisz_Verbräuche[[#Headers],[2024]],Refsz_Verbräuche[[#This Row],[2024]],"")))</f>
        <v/>
      </c>
      <c r="Q47" s="49" t="str">
        <f>IF(Klisz_Verbräuche[[#Headers],[2025]]=$B$14,IF(COUNTIF($G47:Klisz_Verbräuche[[#This Row],[2024]],"&gt;0")&gt;0, AVERAGEIF($G47:Klisz_Verbräuche[[#This Row],[2024]],"&lt;&gt;"), ""),IF($B$14&lt;Klisz_Verbräuche[[#Headers],[2025]],IF(COUNTIF($G47:Klisz_Verbräuche[[#This Row],[2024]],"&gt;0")&gt;0,IF(COUNTIF($G47:Klisz_Verbräuche[[#This Row],[2024]],"&gt;0")&gt;0,Klisz_Verbräuche[[#This Row],[2024]]*(1-$F47)^1, ""), ""),IF($B$14&gt;Klisz_Verbräuche[[#Headers],[2025]],Refsz_Verbräuche[[#This Row],[2025]],"")))</f>
        <v/>
      </c>
      <c r="R47" s="49" t="str">
        <f>IF(Klisz_Verbräuche[[#Headers],[2026]]=$B$14,IF(COUNTIF($G47:Klisz_Verbräuche[[#This Row],[2025]],"&gt;0")&gt;0, AVERAGEIF($G47:Klisz_Verbräuche[[#This Row],[2025]],"&lt;&gt;"), ""),IF($B$14&lt;Klisz_Verbräuche[[#Headers],[2026]],IF(COUNTIF($G47:Klisz_Verbräuche[[#This Row],[2025]],"&gt;0")&gt;0,IF(COUNTIF($G47:Klisz_Verbräuche[[#This Row],[2025]],"&gt;0")&gt;0,Klisz_Verbräuche[[#This Row],[2025]]*(1-$F47)^1, ""), ""),IF($B$14&gt;Klisz_Verbräuche[[#Headers],[2026]],Refsz_Verbräuche[[#This Row],[2026]],"")))</f>
        <v/>
      </c>
      <c r="S47" s="49" t="str">
        <f>IF(Klisz_Verbräuche[[#Headers],[2027]]=$B$14,IF(COUNTIF($G47:Klisz_Verbräuche[[#This Row],[2026]],"&gt;0")&gt;0, AVERAGEIF($G47:Klisz_Verbräuche[[#This Row],[2026]],"&lt;&gt;"), ""),IF($B$14&lt;Klisz_Verbräuche[[#Headers],[2027]],IF(COUNTIF($G47:Klisz_Verbräuche[[#This Row],[2026]],"&gt;0")&gt;0,IF(COUNTIF($G47:Klisz_Verbräuche[[#This Row],[2026]],"&gt;0")&gt;0,Klisz_Verbräuche[[#This Row],[2026]]*(1-$F47)^1, ""), ""),IF($B$14&gt;Klisz_Verbräuche[[#Headers],[2027]],Refsz_Verbräuche[[#This Row],[2027]],"")))</f>
        <v/>
      </c>
      <c r="T47" s="49" t="str">
        <f>IF(Klisz_Verbräuche[[#Headers],[2028]]=$B$14,IF(COUNTIF($G47:Klisz_Verbräuche[[#This Row],[2027]],"&gt;0")&gt;0, AVERAGEIF($G47:Klisz_Verbräuche[[#This Row],[2027]],"&lt;&gt;"), ""),IF($B$14&lt;Klisz_Verbräuche[[#Headers],[2028]],IF(COUNTIF($G47:Klisz_Verbräuche[[#This Row],[2027]],"&gt;0")&gt;0,IF(COUNTIF($G47:Klisz_Verbräuche[[#This Row],[2027]],"&gt;0")&gt;0,Klisz_Verbräuche[[#This Row],[2027]]*(1-$F47)^1, ""), ""),IF($B$14&gt;Klisz_Verbräuche[[#Headers],[2028]],Refsz_Verbräuche[[#This Row],[2028]],"")))</f>
        <v/>
      </c>
      <c r="U47" s="49" t="str">
        <f>IF(Klisz_Verbräuche[[#Headers],[2029]]=$B$14,IF(COUNTIF($G47:Klisz_Verbräuche[[#This Row],[2028]],"&gt;0")&gt;0, AVERAGEIF($G47:Klisz_Verbräuche[[#This Row],[2028]],"&lt;&gt;"), ""),IF($B$14&lt;Klisz_Verbräuche[[#Headers],[2029]],IF(COUNTIF($G47:Klisz_Verbräuche[[#This Row],[2028]],"&gt;0")&gt;0,IF(COUNTIF($G47:Klisz_Verbräuche[[#This Row],[2028]],"&gt;0")&gt;0,Klisz_Verbräuche[[#This Row],[2028]]*(1-$F47)^1, ""), ""),IF($B$14&gt;Klisz_Verbräuche[[#Headers],[2029]],Refsz_Verbräuche[[#This Row],[2029]],"")))</f>
        <v/>
      </c>
      <c r="V47" s="49" t="str">
        <f>IF(Klisz_Verbräuche[[#Headers],[2030]]=$B$14,IF(COUNTIF($G47:Klisz_Verbräuche[[#This Row],[2029]],"&gt;0")&gt;0, AVERAGEIF($G47:Klisz_Verbräuche[[#This Row],[2029]],"&lt;&gt;"), ""),IF($B$14&lt;Klisz_Verbräuche[[#Headers],[2030]],IF(COUNTIF($G47:Klisz_Verbräuche[[#This Row],[2029]],"&gt;0")&gt;0,IF(COUNTIF($G47:Klisz_Verbräuche[[#This Row],[2029]],"&gt;0")&gt;0,Klisz_Verbräuche[[#This Row],[2029]]*(1-$F47)^1, ""), ""),IF($B$14&gt;Klisz_Verbräuche[[#Headers],[2030]],Refsz_Verbräuche[[#This Row],[2030]],"")))</f>
        <v/>
      </c>
      <c r="W47" s="49" t="str">
        <f>IF(Klisz_Verbräuche[[#Headers],[2035]]=$B$14,IF(COUNTIF($G47:Klisz_Verbräuche[[#This Row],[2030]],"&gt;0")&gt;0, AVERAGEIF($G47:Klisz_Verbräuche[[#This Row],[2030]],"&lt;&gt;"), ""),IF($B$14&lt;Klisz_Verbräuche[[#Headers],[2035]],IF(COUNTIF($G47:Klisz_Verbräuche[[#This Row],[2030]],"&gt;0")&gt;0,IF(COUNTIF($G47:Klisz_Verbräuche[[#This Row],[2030]],"&gt;0")&gt;0,Klisz_Verbräuche[[#This Row],[2030]]*(1-$F47)^5, ""), ""),IF($B$14&gt;Klisz_Verbräuche[[#Headers],[2035]],Refsz_Verbräuche[[#This Row],[2035]],"")))</f>
        <v/>
      </c>
      <c r="X47" s="49" t="str">
        <f>IF(Klisz_Verbräuche[[#Headers],[2040]]=$B$14,IF(COUNTIF($G47:Klisz_Verbräuche[[#This Row],[2035]],"&gt;0")&gt;0, AVERAGEIF($G47:Klisz_Verbräuche[[#This Row],[2035]],"&lt;&gt;"), ""),IF($B$14&lt;Klisz_Verbräuche[[#Headers],[2040]],IF(COUNTIF($G47:Klisz_Verbräuche[[#This Row],[2035]],"&gt;0")&gt;0,IF(COUNTIF($G47:Klisz_Verbräuche[[#This Row],[2035]],"&gt;0")&gt;0,Klisz_Verbräuche[[#This Row],[2035]]*(1-$F47)^5, ""), ""),IF($B$14&gt;Klisz_Verbräuche[[#Headers],[2040]],Refsz_Verbräuche[[#This Row],[2040]],"")))</f>
        <v/>
      </c>
      <c r="Y47" s="49" t="str">
        <f>IF(Klisz_Verbräuche[[#Headers],[2045]]=$B$14,IF(COUNTIF($G47:Klisz_Verbräuche[[#This Row],[2040]],"&gt;0")&gt;0, AVERAGEIF($G47:Klisz_Verbräuche[[#This Row],[2040]],"&lt;&gt;"), ""),IF($B$14&lt;Klisz_Verbräuche[[#Headers],[2045]],IF(COUNTIF($G47:Klisz_Verbräuche[[#This Row],[2040]],"&gt;0")&gt;0,IF(COUNTIF($G47:Klisz_Verbräuche[[#This Row],[2040]],"&gt;0")&gt;0,Klisz_Verbräuche[[#This Row],[2040]]*(1-$F47)^5, ""), ""),IF($B$14&gt;Klisz_Verbräuche[[#Headers],[2045]],Refsz_Verbräuche[[#This Row],[2045]],"")))</f>
        <v/>
      </c>
      <c r="Z47" s="49" t="str">
        <f>IF(Klisz_Verbräuche[[#Headers],[2050]]=$B$14,IF(COUNTIF($G47:Klisz_Verbräuche[[#This Row],[2045]],"&gt;0")&gt;0, AVERAGEIF($G47:Klisz_Verbräuche[[#This Row],[2045]],"&lt;&gt;"), ""),IF($B$14&lt;Klisz_Verbräuche[[#Headers],[2050]],IF(COUNTIF($G47:Klisz_Verbräuche[[#This Row],[2045]],"&gt;0")&gt;0,IF(COUNTIF($G47:Klisz_Verbräuche[[#This Row],[2045]],"&gt;0")&gt;0,Klisz_Verbräuche[[#This Row],[2045]]*(1-$F47)^5, ""), ""),IF($B$14&gt;Klisz_Verbräuche[[#Headers],[2050]],Refsz_Verbräuche[[#This Row],[2050]],"")))</f>
        <v/>
      </c>
      <c r="AA47" s="14"/>
    </row>
    <row r="48" spans="2:27">
      <c r="B48" s="14">
        <v>31</v>
      </c>
      <c r="C48" s="197" t="str">
        <f>Refsz_Verbräuche[[#This Row],[Handlungsfeld]]</f>
        <v>Mobilität 1</v>
      </c>
      <c r="D48" s="46" t="str">
        <f>Refsz_Verbräuche[[#This Row],[Datenpunkt]]</f>
        <v>Fuhrpark (Diesel)</v>
      </c>
      <c r="E48" s="26" t="str">
        <f>Refsz_Verbräuche[[#This Row],[Einheit]]</f>
        <v>Fkm</v>
      </c>
      <c r="F48" s="108"/>
      <c r="G48" s="14" t="str">
        <f>IF(ISBLANK(Refsz_Verbräuche[[#This Row],[2015]]),"",Refsz_Verbräuche[[#This Row],[2015]])</f>
        <v/>
      </c>
      <c r="H48" s="14" t="str">
        <f>IF(ISBLANK(Refsz_Verbräuche[[#This Row],[2016]]),"",Refsz_Verbräuche[[#This Row],[2016]])</f>
        <v/>
      </c>
      <c r="I48" s="14" t="str">
        <f>IF(ISBLANK(Refsz_Verbräuche[[#This Row],[2017]]),"",Refsz_Verbräuche[[#This Row],[2017]])</f>
        <v/>
      </c>
      <c r="J48" s="14" t="str">
        <f>IF(ISBLANK(Refsz_Verbräuche[[#This Row],[2018]]),"",Refsz_Verbräuche[[#This Row],[2018]])</f>
        <v/>
      </c>
      <c r="K48" s="14" t="str">
        <f>IF(ISBLANK(Refsz_Verbräuche[[#This Row],[2019]]),"",Refsz_Verbräuche[[#This Row],[2019]])</f>
        <v/>
      </c>
      <c r="L48" s="14" t="str">
        <f>IF(ISBLANK(Refsz_Verbräuche[[#This Row],[2020]]),"",Refsz_Verbräuche[[#This Row],[2020]])</f>
        <v/>
      </c>
      <c r="M48" s="14" t="str">
        <f>IF(ISBLANK(Refsz_Verbräuche[[#This Row],[2021]]),"",Refsz_Verbräuche[[#This Row],[2021]])</f>
        <v/>
      </c>
      <c r="N48" s="49" t="str">
        <f>IF(Klisz_Verbräuche[[#Headers],[2022]]=$B$14,IF(COUNTIF($G48:Klisz_Verbräuche[[#This Row],[2021]],"&gt;0")&gt;0, AVERAGEIF($G48:Klisz_Verbräuche[[#This Row],[2021]],"&lt;&gt;"), ""),IF($B$14&lt;Klisz_Verbräuche[[#Headers],[2022]],IF(COUNTIF($G48:Klisz_Verbräuche[[#This Row],[2021]],"&gt;0")&gt;0,IF(COUNTIF($G48:Klisz_Verbräuche[[#This Row],[2021]],"&gt;0")&gt;0,Klisz_Verbräuche[[#This Row],[2021]]*(1-$F48)^1, ""), ""),IF($B$14&gt;Klisz_Verbräuche[[#Headers],[2022]],Refsz_Verbräuche[[#This Row],[2022]],"")))</f>
        <v/>
      </c>
      <c r="O48" s="49" t="str">
        <f>IF(Klisz_Verbräuche[[#Headers],[2023]]=$B$14,IF(COUNTIF($G48:Klisz_Verbräuche[[#This Row],[2022]],"&gt;0")&gt;0, AVERAGEIF($G48:Klisz_Verbräuche[[#This Row],[2022]],"&lt;&gt;"), ""),IF($B$14&lt;Klisz_Verbräuche[[#Headers],[2023]],IF(COUNTIF($G48:Klisz_Verbräuche[[#This Row],[2022]],"&gt;0")&gt;0,IF(COUNTIF($G48:Klisz_Verbräuche[[#This Row],[2022]],"&gt;0")&gt;0,Klisz_Verbräuche[[#This Row],[2022]]*(1-$F48)^1, ""), ""),IF($B$14&gt;Klisz_Verbräuche[[#Headers],[2023]],Refsz_Verbräuche[[#This Row],[2023]],"")))</f>
        <v/>
      </c>
      <c r="P48" s="49" t="str">
        <f>IF(Klisz_Verbräuche[[#Headers],[2024]]=$B$14,IF(COUNTIF($G48:Klisz_Verbräuche[[#This Row],[2023]],"&gt;0")&gt;0, AVERAGEIF($G48:Klisz_Verbräuche[[#This Row],[2023]],"&lt;&gt;"), ""),IF($B$14&lt;Klisz_Verbräuche[[#Headers],[2024]],IF(COUNTIF($G48:Klisz_Verbräuche[[#This Row],[2023]],"&gt;0")&gt;0,IF(COUNTIF($G48:Klisz_Verbräuche[[#This Row],[2023]],"&gt;0")&gt;0,Klisz_Verbräuche[[#This Row],[2023]]*(1-$F48)^1, ""), ""),IF($B$14&gt;Klisz_Verbräuche[[#Headers],[2024]],Refsz_Verbräuche[[#This Row],[2024]],"")))</f>
        <v/>
      </c>
      <c r="Q48" s="49" t="str">
        <f>IF(Klisz_Verbräuche[[#Headers],[2025]]=$B$14,IF(COUNTIF($G48:Klisz_Verbräuche[[#This Row],[2024]],"&gt;0")&gt;0, AVERAGEIF($G48:Klisz_Verbräuche[[#This Row],[2024]],"&lt;&gt;"), ""),IF($B$14&lt;Klisz_Verbräuche[[#Headers],[2025]],IF(COUNTIF($G48:Klisz_Verbräuche[[#This Row],[2024]],"&gt;0")&gt;0,IF(COUNTIF($G48:Klisz_Verbräuche[[#This Row],[2024]],"&gt;0")&gt;0,Klisz_Verbräuche[[#This Row],[2024]]*(1-$F48)^1, ""), ""),IF($B$14&gt;Klisz_Verbräuche[[#Headers],[2025]],Refsz_Verbräuche[[#This Row],[2025]],"")))</f>
        <v/>
      </c>
      <c r="R48" s="49" t="str">
        <f>IF(Klisz_Verbräuche[[#Headers],[2026]]=$B$14,IF(COUNTIF($G48:Klisz_Verbräuche[[#This Row],[2025]],"&gt;0")&gt;0, AVERAGEIF($G48:Klisz_Verbräuche[[#This Row],[2025]],"&lt;&gt;"), ""),IF($B$14&lt;Klisz_Verbräuche[[#Headers],[2026]],IF(COUNTIF($G48:Klisz_Verbräuche[[#This Row],[2025]],"&gt;0")&gt;0,IF(COUNTIF($G48:Klisz_Verbräuche[[#This Row],[2025]],"&gt;0")&gt;0,Klisz_Verbräuche[[#This Row],[2025]]*(1-$F48)^1, ""), ""),IF($B$14&gt;Klisz_Verbräuche[[#Headers],[2026]],Refsz_Verbräuche[[#This Row],[2026]],"")))</f>
        <v/>
      </c>
      <c r="S48" s="49" t="str">
        <f>IF(Klisz_Verbräuche[[#Headers],[2027]]=$B$14,IF(COUNTIF($G48:Klisz_Verbräuche[[#This Row],[2026]],"&gt;0")&gt;0, AVERAGEIF($G48:Klisz_Verbräuche[[#This Row],[2026]],"&lt;&gt;"), ""),IF($B$14&lt;Klisz_Verbräuche[[#Headers],[2027]],IF(COUNTIF($G48:Klisz_Verbräuche[[#This Row],[2026]],"&gt;0")&gt;0,IF(COUNTIF($G48:Klisz_Verbräuche[[#This Row],[2026]],"&gt;0")&gt;0,Klisz_Verbräuche[[#This Row],[2026]]*(1-$F48)^1, ""), ""),IF($B$14&gt;Klisz_Verbräuche[[#Headers],[2027]],Refsz_Verbräuche[[#This Row],[2027]],"")))</f>
        <v/>
      </c>
      <c r="T48" s="49" t="str">
        <f>IF(Klisz_Verbräuche[[#Headers],[2028]]=$B$14,IF(COUNTIF($G48:Klisz_Verbräuche[[#This Row],[2027]],"&gt;0")&gt;0, AVERAGEIF($G48:Klisz_Verbräuche[[#This Row],[2027]],"&lt;&gt;"), ""),IF($B$14&lt;Klisz_Verbräuche[[#Headers],[2028]],IF(COUNTIF($G48:Klisz_Verbräuche[[#This Row],[2027]],"&gt;0")&gt;0,IF(COUNTIF($G48:Klisz_Verbräuche[[#This Row],[2027]],"&gt;0")&gt;0,Klisz_Verbräuche[[#This Row],[2027]]*(1-$F48)^1, ""), ""),IF($B$14&gt;Klisz_Verbräuche[[#Headers],[2028]],Refsz_Verbräuche[[#This Row],[2028]],"")))</f>
        <v/>
      </c>
      <c r="U48" s="49" t="str">
        <f>IF(Klisz_Verbräuche[[#Headers],[2029]]=$B$14,IF(COUNTIF($G48:Klisz_Verbräuche[[#This Row],[2028]],"&gt;0")&gt;0, AVERAGEIF($G48:Klisz_Verbräuche[[#This Row],[2028]],"&lt;&gt;"), ""),IF($B$14&lt;Klisz_Verbräuche[[#Headers],[2029]],IF(COUNTIF($G48:Klisz_Verbräuche[[#This Row],[2028]],"&gt;0")&gt;0,IF(COUNTIF($G48:Klisz_Verbräuche[[#This Row],[2028]],"&gt;0")&gt;0,Klisz_Verbräuche[[#This Row],[2028]]*(1-$F48)^1, ""), ""),IF($B$14&gt;Klisz_Verbräuche[[#Headers],[2029]],Refsz_Verbräuche[[#This Row],[2029]],"")))</f>
        <v/>
      </c>
      <c r="V48" s="49" t="str">
        <f>IF(Klisz_Verbräuche[[#Headers],[2030]]=$B$14,IF(COUNTIF($G48:Klisz_Verbräuche[[#This Row],[2029]],"&gt;0")&gt;0, AVERAGEIF($G48:Klisz_Verbräuche[[#This Row],[2029]],"&lt;&gt;"), ""),IF($B$14&lt;Klisz_Verbräuche[[#Headers],[2030]],IF(COUNTIF($G48:Klisz_Verbräuche[[#This Row],[2029]],"&gt;0")&gt;0,IF(COUNTIF($G48:Klisz_Verbräuche[[#This Row],[2029]],"&gt;0")&gt;0,Klisz_Verbräuche[[#This Row],[2029]]*(1-$F48)^1, ""), ""),IF($B$14&gt;Klisz_Verbräuche[[#Headers],[2030]],Refsz_Verbräuche[[#This Row],[2030]],"")))</f>
        <v/>
      </c>
      <c r="W48" s="49" t="str">
        <f>IF(Klisz_Verbräuche[[#Headers],[2035]]=$B$14,IF(COUNTIF($G48:Klisz_Verbräuche[[#This Row],[2030]],"&gt;0")&gt;0, AVERAGEIF($G48:Klisz_Verbräuche[[#This Row],[2030]],"&lt;&gt;"), ""),IF($B$14&lt;Klisz_Verbräuche[[#Headers],[2035]],IF(COUNTIF($G48:Klisz_Verbräuche[[#This Row],[2030]],"&gt;0")&gt;0,IF(COUNTIF($G48:Klisz_Verbräuche[[#This Row],[2030]],"&gt;0")&gt;0,Klisz_Verbräuche[[#This Row],[2030]]*(1-$F48)^5, ""), ""),IF($B$14&gt;Klisz_Verbräuche[[#Headers],[2035]],Refsz_Verbräuche[[#This Row],[2035]],"")))</f>
        <v/>
      </c>
      <c r="X48" s="49" t="str">
        <f>IF(Klisz_Verbräuche[[#Headers],[2040]]=$B$14,IF(COUNTIF($G48:Klisz_Verbräuche[[#This Row],[2035]],"&gt;0")&gt;0, AVERAGEIF($G48:Klisz_Verbräuche[[#This Row],[2035]],"&lt;&gt;"), ""),IF($B$14&lt;Klisz_Verbräuche[[#Headers],[2040]],IF(COUNTIF($G48:Klisz_Verbräuche[[#This Row],[2035]],"&gt;0")&gt;0,IF(COUNTIF($G48:Klisz_Verbräuche[[#This Row],[2035]],"&gt;0")&gt;0,Klisz_Verbräuche[[#This Row],[2035]]*(1-$F48)^5, ""), ""),IF($B$14&gt;Klisz_Verbräuche[[#Headers],[2040]],Refsz_Verbräuche[[#This Row],[2040]],"")))</f>
        <v/>
      </c>
      <c r="Y48" s="49" t="str">
        <f>IF(Klisz_Verbräuche[[#Headers],[2045]]=$B$14,IF(COUNTIF($G48:Klisz_Verbräuche[[#This Row],[2040]],"&gt;0")&gt;0, AVERAGEIF($G48:Klisz_Verbräuche[[#This Row],[2040]],"&lt;&gt;"), ""),IF($B$14&lt;Klisz_Verbräuche[[#Headers],[2045]],IF(COUNTIF($G48:Klisz_Verbräuche[[#This Row],[2040]],"&gt;0")&gt;0,IF(COUNTIF($G48:Klisz_Verbräuche[[#This Row],[2040]],"&gt;0")&gt;0,Klisz_Verbräuche[[#This Row],[2040]]*(1-$F48)^5, ""), ""),IF($B$14&gt;Klisz_Verbräuche[[#Headers],[2045]],Refsz_Verbräuche[[#This Row],[2045]],"")))</f>
        <v/>
      </c>
      <c r="Z48" s="49" t="str">
        <f>IF(Klisz_Verbräuche[[#Headers],[2050]]=$B$14,IF(COUNTIF($G48:Klisz_Verbräuche[[#This Row],[2045]],"&gt;0")&gt;0, AVERAGEIF($G48:Klisz_Verbräuche[[#This Row],[2045]],"&lt;&gt;"), ""),IF($B$14&lt;Klisz_Verbräuche[[#Headers],[2050]],IF(COUNTIF($G48:Klisz_Verbräuche[[#This Row],[2045]],"&gt;0")&gt;0,IF(COUNTIF($G48:Klisz_Verbräuche[[#This Row],[2045]],"&gt;0")&gt;0,Klisz_Verbräuche[[#This Row],[2045]]*(1-$F48)^5, ""), ""),IF($B$14&gt;Klisz_Verbräuche[[#Headers],[2050]],Refsz_Verbräuche[[#This Row],[2050]],"")))</f>
        <v/>
      </c>
      <c r="AA48" s="14"/>
    </row>
    <row r="49" spans="2:27">
      <c r="B49" s="14">
        <v>32</v>
      </c>
      <c r="C49" s="197" t="str">
        <f>Refsz_Verbräuche[[#This Row],[Handlungsfeld]]</f>
        <v>Mobilität 1</v>
      </c>
      <c r="D49" s="46" t="str">
        <f>Refsz_Verbräuche[[#This Row],[Datenpunkt]]</f>
        <v>Fuhrpark (Benzin)</v>
      </c>
      <c r="E49" s="26" t="str">
        <f>Refsz_Verbräuche[[#This Row],[Einheit]]</f>
        <v>Fkm</v>
      </c>
      <c r="F49" s="108"/>
      <c r="G49" s="14" t="str">
        <f>IF(ISBLANK(Refsz_Verbräuche[[#This Row],[2015]]),"",Refsz_Verbräuche[[#This Row],[2015]])</f>
        <v/>
      </c>
      <c r="H49" s="14" t="str">
        <f>IF(ISBLANK(Refsz_Verbräuche[[#This Row],[2016]]),"",Refsz_Verbräuche[[#This Row],[2016]])</f>
        <v/>
      </c>
      <c r="I49" s="14" t="str">
        <f>IF(ISBLANK(Refsz_Verbräuche[[#This Row],[2017]]),"",Refsz_Verbräuche[[#This Row],[2017]])</f>
        <v/>
      </c>
      <c r="J49" s="14" t="str">
        <f>IF(ISBLANK(Refsz_Verbräuche[[#This Row],[2018]]),"",Refsz_Verbräuche[[#This Row],[2018]])</f>
        <v/>
      </c>
      <c r="K49" s="14" t="str">
        <f>IF(ISBLANK(Refsz_Verbräuche[[#This Row],[2019]]),"",Refsz_Verbräuche[[#This Row],[2019]])</f>
        <v/>
      </c>
      <c r="L49" s="14" t="str">
        <f>IF(ISBLANK(Refsz_Verbräuche[[#This Row],[2020]]),"",Refsz_Verbräuche[[#This Row],[2020]])</f>
        <v/>
      </c>
      <c r="M49" s="14" t="str">
        <f>IF(ISBLANK(Refsz_Verbräuche[[#This Row],[2021]]),"",Refsz_Verbräuche[[#This Row],[2021]])</f>
        <v/>
      </c>
      <c r="N49" s="49" t="str">
        <f>IF(Klisz_Verbräuche[[#Headers],[2022]]=$B$14,IF(COUNTIF($G49:Klisz_Verbräuche[[#This Row],[2021]],"&gt;0")&gt;0, AVERAGEIF($G49:Klisz_Verbräuche[[#This Row],[2021]],"&lt;&gt;"), ""),IF($B$14&lt;Klisz_Verbräuche[[#Headers],[2022]],IF(COUNTIF($G49:Klisz_Verbräuche[[#This Row],[2021]],"&gt;0")&gt;0,IF(COUNTIF($G49:Klisz_Verbräuche[[#This Row],[2021]],"&gt;0")&gt;0,Klisz_Verbräuche[[#This Row],[2021]]*(1-$F49)^1, ""), ""),IF($B$14&gt;Klisz_Verbräuche[[#Headers],[2022]],Refsz_Verbräuche[[#This Row],[2022]],"")))</f>
        <v/>
      </c>
      <c r="O49" s="49" t="str">
        <f>IF(Klisz_Verbräuche[[#Headers],[2023]]=$B$14,IF(COUNTIF($G49:Klisz_Verbräuche[[#This Row],[2022]],"&gt;0")&gt;0, AVERAGEIF($G49:Klisz_Verbräuche[[#This Row],[2022]],"&lt;&gt;"), ""),IF($B$14&lt;Klisz_Verbräuche[[#Headers],[2023]],IF(COUNTIF($G49:Klisz_Verbräuche[[#This Row],[2022]],"&gt;0")&gt;0,IF(COUNTIF($G49:Klisz_Verbräuche[[#This Row],[2022]],"&gt;0")&gt;0,Klisz_Verbräuche[[#This Row],[2022]]*(1-$F49)^1, ""), ""),IF($B$14&gt;Klisz_Verbräuche[[#Headers],[2023]],Refsz_Verbräuche[[#This Row],[2023]],"")))</f>
        <v/>
      </c>
      <c r="P49" s="49" t="str">
        <f>IF(Klisz_Verbräuche[[#Headers],[2024]]=$B$14,IF(COUNTIF($G49:Klisz_Verbräuche[[#This Row],[2023]],"&gt;0")&gt;0, AVERAGEIF($G49:Klisz_Verbräuche[[#This Row],[2023]],"&lt;&gt;"), ""),IF($B$14&lt;Klisz_Verbräuche[[#Headers],[2024]],IF(COUNTIF($G49:Klisz_Verbräuche[[#This Row],[2023]],"&gt;0")&gt;0,IF(COUNTIF($G49:Klisz_Verbräuche[[#This Row],[2023]],"&gt;0")&gt;0,Klisz_Verbräuche[[#This Row],[2023]]*(1-$F49)^1, ""), ""),IF($B$14&gt;Klisz_Verbräuche[[#Headers],[2024]],Refsz_Verbräuche[[#This Row],[2024]],"")))</f>
        <v/>
      </c>
      <c r="Q49" s="49" t="str">
        <f>IF(Klisz_Verbräuche[[#Headers],[2025]]=$B$14,IF(COUNTIF($G49:Klisz_Verbräuche[[#This Row],[2024]],"&gt;0")&gt;0, AVERAGEIF($G49:Klisz_Verbräuche[[#This Row],[2024]],"&lt;&gt;"), ""),IF($B$14&lt;Klisz_Verbräuche[[#Headers],[2025]],IF(COUNTIF($G49:Klisz_Verbräuche[[#This Row],[2024]],"&gt;0")&gt;0,IF(COUNTIF($G49:Klisz_Verbräuche[[#This Row],[2024]],"&gt;0")&gt;0,Klisz_Verbräuche[[#This Row],[2024]]*(1-$F49)^1, ""), ""),IF($B$14&gt;Klisz_Verbräuche[[#Headers],[2025]],Refsz_Verbräuche[[#This Row],[2025]],"")))</f>
        <v/>
      </c>
      <c r="R49" s="49" t="str">
        <f>IF(Klisz_Verbräuche[[#Headers],[2026]]=$B$14,IF(COUNTIF($G49:Klisz_Verbräuche[[#This Row],[2025]],"&gt;0")&gt;0, AVERAGEIF($G49:Klisz_Verbräuche[[#This Row],[2025]],"&lt;&gt;"), ""),IF($B$14&lt;Klisz_Verbräuche[[#Headers],[2026]],IF(COUNTIF($G49:Klisz_Verbräuche[[#This Row],[2025]],"&gt;0")&gt;0,IF(COUNTIF($G49:Klisz_Verbräuche[[#This Row],[2025]],"&gt;0")&gt;0,Klisz_Verbräuche[[#This Row],[2025]]*(1-$F49)^1, ""), ""),IF($B$14&gt;Klisz_Verbräuche[[#Headers],[2026]],Refsz_Verbräuche[[#This Row],[2026]],"")))</f>
        <v/>
      </c>
      <c r="S49" s="49" t="str">
        <f>IF(Klisz_Verbräuche[[#Headers],[2027]]=$B$14,IF(COUNTIF($G49:Klisz_Verbräuche[[#This Row],[2026]],"&gt;0")&gt;0, AVERAGEIF($G49:Klisz_Verbräuche[[#This Row],[2026]],"&lt;&gt;"), ""),IF($B$14&lt;Klisz_Verbräuche[[#Headers],[2027]],IF(COUNTIF($G49:Klisz_Verbräuche[[#This Row],[2026]],"&gt;0")&gt;0,IF(COUNTIF($G49:Klisz_Verbräuche[[#This Row],[2026]],"&gt;0")&gt;0,Klisz_Verbräuche[[#This Row],[2026]]*(1-$F49)^1, ""), ""),IF($B$14&gt;Klisz_Verbräuche[[#Headers],[2027]],Refsz_Verbräuche[[#This Row],[2027]],"")))</f>
        <v/>
      </c>
      <c r="T49" s="49" t="str">
        <f>IF(Klisz_Verbräuche[[#Headers],[2028]]=$B$14,IF(COUNTIF($G49:Klisz_Verbräuche[[#This Row],[2027]],"&gt;0")&gt;0, AVERAGEIF($G49:Klisz_Verbräuche[[#This Row],[2027]],"&lt;&gt;"), ""),IF($B$14&lt;Klisz_Verbräuche[[#Headers],[2028]],IF(COUNTIF($G49:Klisz_Verbräuche[[#This Row],[2027]],"&gt;0")&gt;0,IF(COUNTIF($G49:Klisz_Verbräuche[[#This Row],[2027]],"&gt;0")&gt;0,Klisz_Verbräuche[[#This Row],[2027]]*(1-$F49)^1, ""), ""),IF($B$14&gt;Klisz_Verbräuche[[#Headers],[2028]],Refsz_Verbräuche[[#This Row],[2028]],"")))</f>
        <v/>
      </c>
      <c r="U49" s="49" t="str">
        <f>IF(Klisz_Verbräuche[[#Headers],[2029]]=$B$14,IF(COUNTIF($G49:Klisz_Verbräuche[[#This Row],[2028]],"&gt;0")&gt;0, AVERAGEIF($G49:Klisz_Verbräuche[[#This Row],[2028]],"&lt;&gt;"), ""),IF($B$14&lt;Klisz_Verbräuche[[#Headers],[2029]],IF(COUNTIF($G49:Klisz_Verbräuche[[#This Row],[2028]],"&gt;0")&gt;0,IF(COUNTIF($G49:Klisz_Verbräuche[[#This Row],[2028]],"&gt;0")&gt;0,Klisz_Verbräuche[[#This Row],[2028]]*(1-$F49)^1, ""), ""),IF($B$14&gt;Klisz_Verbräuche[[#Headers],[2029]],Refsz_Verbräuche[[#This Row],[2029]],"")))</f>
        <v/>
      </c>
      <c r="V49" s="49" t="str">
        <f>IF(Klisz_Verbräuche[[#Headers],[2030]]=$B$14,IF(COUNTIF($G49:Klisz_Verbräuche[[#This Row],[2029]],"&gt;0")&gt;0, AVERAGEIF($G49:Klisz_Verbräuche[[#This Row],[2029]],"&lt;&gt;"), ""),IF($B$14&lt;Klisz_Verbräuche[[#Headers],[2030]],IF(COUNTIF($G49:Klisz_Verbräuche[[#This Row],[2029]],"&gt;0")&gt;0,IF(COUNTIF($G49:Klisz_Verbräuche[[#This Row],[2029]],"&gt;0")&gt;0,Klisz_Verbräuche[[#This Row],[2029]]*(1-$F49)^1, ""), ""),IF($B$14&gt;Klisz_Verbräuche[[#Headers],[2030]],Refsz_Verbräuche[[#This Row],[2030]],"")))</f>
        <v/>
      </c>
      <c r="W49" s="49" t="str">
        <f>IF(Klisz_Verbräuche[[#Headers],[2035]]=$B$14,IF(COUNTIF($G49:Klisz_Verbräuche[[#This Row],[2030]],"&gt;0")&gt;0, AVERAGEIF($G49:Klisz_Verbräuche[[#This Row],[2030]],"&lt;&gt;"), ""),IF($B$14&lt;Klisz_Verbräuche[[#Headers],[2035]],IF(COUNTIF($G49:Klisz_Verbräuche[[#This Row],[2030]],"&gt;0")&gt;0,IF(COUNTIF($G49:Klisz_Verbräuche[[#This Row],[2030]],"&gt;0")&gt;0,Klisz_Verbräuche[[#This Row],[2030]]*(1-$F49)^5, ""), ""),IF($B$14&gt;Klisz_Verbräuche[[#Headers],[2035]],Refsz_Verbräuche[[#This Row],[2035]],"")))</f>
        <v/>
      </c>
      <c r="X49" s="49" t="str">
        <f>IF(Klisz_Verbräuche[[#Headers],[2040]]=$B$14,IF(COUNTIF($G49:Klisz_Verbräuche[[#This Row],[2035]],"&gt;0")&gt;0, AVERAGEIF($G49:Klisz_Verbräuche[[#This Row],[2035]],"&lt;&gt;"), ""),IF($B$14&lt;Klisz_Verbräuche[[#Headers],[2040]],IF(COUNTIF($G49:Klisz_Verbräuche[[#This Row],[2035]],"&gt;0")&gt;0,IF(COUNTIF($G49:Klisz_Verbräuche[[#This Row],[2035]],"&gt;0")&gt;0,Klisz_Verbräuche[[#This Row],[2035]]*(1-$F49)^5, ""), ""),IF($B$14&gt;Klisz_Verbräuche[[#Headers],[2040]],Refsz_Verbräuche[[#This Row],[2040]],"")))</f>
        <v/>
      </c>
      <c r="Y49" s="49" t="str">
        <f>IF(Klisz_Verbräuche[[#Headers],[2045]]=$B$14,IF(COUNTIF($G49:Klisz_Verbräuche[[#This Row],[2040]],"&gt;0")&gt;0, AVERAGEIF($G49:Klisz_Verbräuche[[#This Row],[2040]],"&lt;&gt;"), ""),IF($B$14&lt;Klisz_Verbräuche[[#Headers],[2045]],IF(COUNTIF($G49:Klisz_Verbräuche[[#This Row],[2040]],"&gt;0")&gt;0,IF(COUNTIF($G49:Klisz_Verbräuche[[#This Row],[2040]],"&gt;0")&gt;0,Klisz_Verbräuche[[#This Row],[2040]]*(1-$F49)^5, ""), ""),IF($B$14&gt;Klisz_Verbräuche[[#Headers],[2045]],Refsz_Verbräuche[[#This Row],[2045]],"")))</f>
        <v/>
      </c>
      <c r="Z49" s="49" t="str">
        <f>IF(Klisz_Verbräuche[[#Headers],[2050]]=$B$14,IF(COUNTIF($G49:Klisz_Verbräuche[[#This Row],[2045]],"&gt;0")&gt;0, AVERAGEIF($G49:Klisz_Verbräuche[[#This Row],[2045]],"&lt;&gt;"), ""),IF($B$14&lt;Klisz_Verbräuche[[#Headers],[2050]],IF(COUNTIF($G49:Klisz_Verbräuche[[#This Row],[2045]],"&gt;0")&gt;0,IF(COUNTIF($G49:Klisz_Verbräuche[[#This Row],[2045]],"&gt;0")&gt;0,Klisz_Verbräuche[[#This Row],[2045]]*(1-$F49)^5, ""), ""),IF($B$14&gt;Klisz_Verbräuche[[#Headers],[2050]],Refsz_Verbräuche[[#This Row],[2050]],"")))</f>
        <v/>
      </c>
      <c r="AA49" s="14"/>
    </row>
    <row r="50" spans="2:27">
      <c r="B50" s="14">
        <v>33</v>
      </c>
      <c r="C50" s="197" t="str">
        <f>Refsz_Verbräuche[[#This Row],[Handlungsfeld]]</f>
        <v>Mobilität 1</v>
      </c>
      <c r="D50" s="46" t="str">
        <f>Refsz_Verbräuche[[#This Row],[Datenpunkt]]</f>
        <v>Fuhrpark (E-Auto/ BEV)</v>
      </c>
      <c r="E50" s="26" t="str">
        <f>Refsz_Verbräuche[[#This Row],[Einheit]]</f>
        <v>Fkm</v>
      </c>
      <c r="F50" s="108"/>
      <c r="G50" s="14" t="str">
        <f>IF(ISBLANK(Refsz_Verbräuche[[#This Row],[2015]]),"",Refsz_Verbräuche[[#This Row],[2015]])</f>
        <v/>
      </c>
      <c r="H50" s="14" t="str">
        <f>IF(ISBLANK(Refsz_Verbräuche[[#This Row],[2016]]),"",Refsz_Verbräuche[[#This Row],[2016]])</f>
        <v/>
      </c>
      <c r="I50" s="14" t="str">
        <f>IF(ISBLANK(Refsz_Verbräuche[[#This Row],[2017]]),"",Refsz_Verbräuche[[#This Row],[2017]])</f>
        <v/>
      </c>
      <c r="J50" s="14" t="str">
        <f>IF(ISBLANK(Refsz_Verbräuche[[#This Row],[2018]]),"",Refsz_Verbräuche[[#This Row],[2018]])</f>
        <v/>
      </c>
      <c r="K50" s="14" t="str">
        <f>IF(ISBLANK(Refsz_Verbräuche[[#This Row],[2019]]),"",Refsz_Verbräuche[[#This Row],[2019]])</f>
        <v/>
      </c>
      <c r="L50" s="14" t="str">
        <f>IF(ISBLANK(Refsz_Verbräuche[[#This Row],[2020]]),"",Refsz_Verbräuche[[#This Row],[2020]])</f>
        <v/>
      </c>
      <c r="M50" s="14" t="str">
        <f>IF(ISBLANK(Refsz_Verbräuche[[#This Row],[2021]]),"",Refsz_Verbräuche[[#This Row],[2021]])</f>
        <v/>
      </c>
      <c r="N50" s="49" t="str">
        <f>IF(Klisz_Verbräuche[[#Headers],[2022]]=$B$14,IF(COUNTIF($G50:Klisz_Verbräuche[[#This Row],[2021]],"&gt;0")&gt;0, AVERAGEIF($G50:Klisz_Verbräuche[[#This Row],[2021]],"&lt;&gt;"), ""),IF($B$14&lt;Klisz_Verbräuche[[#Headers],[2022]],IF(COUNTIF($G50:Klisz_Verbräuche[[#This Row],[2021]],"&gt;0")&gt;0,IF(COUNTIF($G50:Klisz_Verbräuche[[#This Row],[2021]],"&gt;0")&gt;0,Klisz_Verbräuche[[#This Row],[2021]]*(1-$F50)^1, ""), ""),IF($B$14&gt;Klisz_Verbräuche[[#Headers],[2022]],Refsz_Verbräuche[[#This Row],[2022]],"")))</f>
        <v/>
      </c>
      <c r="O50" s="49" t="str">
        <f>IF(Klisz_Verbräuche[[#Headers],[2023]]=$B$14,IF(COUNTIF($G50:Klisz_Verbräuche[[#This Row],[2022]],"&gt;0")&gt;0, AVERAGEIF($G50:Klisz_Verbräuche[[#This Row],[2022]],"&lt;&gt;"), ""),IF($B$14&lt;Klisz_Verbräuche[[#Headers],[2023]],IF(COUNTIF($G50:Klisz_Verbräuche[[#This Row],[2022]],"&gt;0")&gt;0,IF(COUNTIF($G50:Klisz_Verbräuche[[#This Row],[2022]],"&gt;0")&gt;0,Klisz_Verbräuche[[#This Row],[2022]]*(1-$F50)^1, ""), ""),IF($B$14&gt;Klisz_Verbräuche[[#Headers],[2023]],Refsz_Verbräuche[[#This Row],[2023]],"")))</f>
        <v/>
      </c>
      <c r="P50" s="49" t="str">
        <f>IF(Klisz_Verbräuche[[#Headers],[2024]]=$B$14,IF(COUNTIF($G50:Klisz_Verbräuche[[#This Row],[2023]],"&gt;0")&gt;0, AVERAGEIF($G50:Klisz_Verbräuche[[#This Row],[2023]],"&lt;&gt;"), ""),IF($B$14&lt;Klisz_Verbräuche[[#Headers],[2024]],IF(COUNTIF($G50:Klisz_Verbräuche[[#This Row],[2023]],"&gt;0")&gt;0,IF(COUNTIF($G50:Klisz_Verbräuche[[#This Row],[2023]],"&gt;0")&gt;0,Klisz_Verbräuche[[#This Row],[2023]]*(1-$F50)^1, ""), ""),IF($B$14&gt;Klisz_Verbräuche[[#Headers],[2024]],Refsz_Verbräuche[[#This Row],[2024]],"")))</f>
        <v/>
      </c>
      <c r="Q50" s="49" t="str">
        <f>IF(Klisz_Verbräuche[[#Headers],[2025]]=$B$14,IF(COUNTIF($G50:Klisz_Verbräuche[[#This Row],[2024]],"&gt;0")&gt;0, AVERAGEIF($G50:Klisz_Verbräuche[[#This Row],[2024]],"&lt;&gt;"), ""),IF($B$14&lt;Klisz_Verbräuche[[#Headers],[2025]],IF(COUNTIF($G50:Klisz_Verbräuche[[#This Row],[2024]],"&gt;0")&gt;0,IF(COUNTIF($G50:Klisz_Verbräuche[[#This Row],[2024]],"&gt;0")&gt;0,Klisz_Verbräuche[[#This Row],[2024]]*(1-$F50)^1, ""), ""),IF($B$14&gt;Klisz_Verbräuche[[#Headers],[2025]],Refsz_Verbräuche[[#This Row],[2025]],"")))</f>
        <v/>
      </c>
      <c r="R50" s="49" t="str">
        <f>IF(Klisz_Verbräuche[[#Headers],[2026]]=$B$14,IF(COUNTIF($G50:Klisz_Verbräuche[[#This Row],[2025]],"&gt;0")&gt;0, AVERAGEIF($G50:Klisz_Verbräuche[[#This Row],[2025]],"&lt;&gt;"), ""),IF($B$14&lt;Klisz_Verbräuche[[#Headers],[2026]],IF(COUNTIF($G50:Klisz_Verbräuche[[#This Row],[2025]],"&gt;0")&gt;0,IF(COUNTIF($G50:Klisz_Verbräuche[[#This Row],[2025]],"&gt;0")&gt;0,Klisz_Verbräuche[[#This Row],[2025]]*(1-$F50)^1, ""), ""),IF($B$14&gt;Klisz_Verbräuche[[#Headers],[2026]],Refsz_Verbräuche[[#This Row],[2026]],"")))</f>
        <v/>
      </c>
      <c r="S50" s="49" t="str">
        <f>IF(Klisz_Verbräuche[[#Headers],[2027]]=$B$14,IF(COUNTIF($G50:Klisz_Verbräuche[[#This Row],[2026]],"&gt;0")&gt;0, AVERAGEIF($G50:Klisz_Verbräuche[[#This Row],[2026]],"&lt;&gt;"), ""),IF($B$14&lt;Klisz_Verbräuche[[#Headers],[2027]],IF(COUNTIF($G50:Klisz_Verbräuche[[#This Row],[2026]],"&gt;0")&gt;0,IF(COUNTIF($G50:Klisz_Verbräuche[[#This Row],[2026]],"&gt;0")&gt;0,Klisz_Verbräuche[[#This Row],[2026]]*(1-$F50)^1, ""), ""),IF($B$14&gt;Klisz_Verbräuche[[#Headers],[2027]],Refsz_Verbräuche[[#This Row],[2027]],"")))</f>
        <v/>
      </c>
      <c r="T50" s="49" t="str">
        <f>IF(Klisz_Verbräuche[[#Headers],[2028]]=$B$14,IF(COUNTIF($G50:Klisz_Verbräuche[[#This Row],[2027]],"&gt;0")&gt;0, AVERAGEIF($G50:Klisz_Verbräuche[[#This Row],[2027]],"&lt;&gt;"), ""),IF($B$14&lt;Klisz_Verbräuche[[#Headers],[2028]],IF(COUNTIF($G50:Klisz_Verbräuche[[#This Row],[2027]],"&gt;0")&gt;0,IF(COUNTIF($G50:Klisz_Verbräuche[[#This Row],[2027]],"&gt;0")&gt;0,Klisz_Verbräuche[[#This Row],[2027]]*(1-$F50)^1, ""), ""),IF($B$14&gt;Klisz_Verbräuche[[#Headers],[2028]],Refsz_Verbräuche[[#This Row],[2028]],"")))</f>
        <v/>
      </c>
      <c r="U50" s="49" t="str">
        <f>IF(Klisz_Verbräuche[[#Headers],[2029]]=$B$14,IF(COUNTIF($G50:Klisz_Verbräuche[[#This Row],[2028]],"&gt;0")&gt;0, AVERAGEIF($G50:Klisz_Verbräuche[[#This Row],[2028]],"&lt;&gt;"), ""),IF($B$14&lt;Klisz_Verbräuche[[#Headers],[2029]],IF(COUNTIF($G50:Klisz_Verbräuche[[#This Row],[2028]],"&gt;0")&gt;0,IF(COUNTIF($G50:Klisz_Verbräuche[[#This Row],[2028]],"&gt;0")&gt;0,Klisz_Verbräuche[[#This Row],[2028]]*(1-$F50)^1, ""), ""),IF($B$14&gt;Klisz_Verbräuche[[#Headers],[2029]],Refsz_Verbräuche[[#This Row],[2029]],"")))</f>
        <v/>
      </c>
      <c r="V50" s="49" t="str">
        <f>IF(Klisz_Verbräuche[[#Headers],[2030]]=$B$14,IF(COUNTIF($G50:Klisz_Verbräuche[[#This Row],[2029]],"&gt;0")&gt;0, AVERAGEIF($G50:Klisz_Verbräuche[[#This Row],[2029]],"&lt;&gt;"), ""),IF($B$14&lt;Klisz_Verbräuche[[#Headers],[2030]],IF(COUNTIF($G50:Klisz_Verbräuche[[#This Row],[2029]],"&gt;0")&gt;0,IF(COUNTIF($G50:Klisz_Verbräuche[[#This Row],[2029]],"&gt;0")&gt;0,Klisz_Verbräuche[[#This Row],[2029]]*(1-$F50)^1, ""), ""),IF($B$14&gt;Klisz_Verbräuche[[#Headers],[2030]],Refsz_Verbräuche[[#This Row],[2030]],"")))</f>
        <v/>
      </c>
      <c r="W50" s="49" t="str">
        <f>IF(Klisz_Verbräuche[[#Headers],[2035]]=$B$14,IF(COUNTIF($G50:Klisz_Verbräuche[[#This Row],[2030]],"&gt;0")&gt;0, AVERAGEIF($G50:Klisz_Verbräuche[[#This Row],[2030]],"&lt;&gt;"), ""),IF($B$14&lt;Klisz_Verbräuche[[#Headers],[2035]],IF(COUNTIF($G50:Klisz_Verbräuche[[#This Row],[2030]],"&gt;0")&gt;0,IF(COUNTIF($G50:Klisz_Verbräuche[[#This Row],[2030]],"&gt;0")&gt;0,Klisz_Verbräuche[[#This Row],[2030]]*(1-$F50)^5, ""), ""),IF($B$14&gt;Klisz_Verbräuche[[#Headers],[2035]],Refsz_Verbräuche[[#This Row],[2035]],"")))</f>
        <v/>
      </c>
      <c r="X50" s="49" t="str">
        <f>IF(Klisz_Verbräuche[[#Headers],[2040]]=$B$14,IF(COUNTIF($G50:Klisz_Verbräuche[[#This Row],[2035]],"&gt;0")&gt;0, AVERAGEIF($G50:Klisz_Verbräuche[[#This Row],[2035]],"&lt;&gt;"), ""),IF($B$14&lt;Klisz_Verbräuche[[#Headers],[2040]],IF(COUNTIF($G50:Klisz_Verbräuche[[#This Row],[2035]],"&gt;0")&gt;0,IF(COUNTIF($G50:Klisz_Verbräuche[[#This Row],[2035]],"&gt;0")&gt;0,Klisz_Verbräuche[[#This Row],[2035]]*(1-$F50)^5, ""), ""),IF($B$14&gt;Klisz_Verbräuche[[#Headers],[2040]],Refsz_Verbräuche[[#This Row],[2040]],"")))</f>
        <v/>
      </c>
      <c r="Y50" s="49" t="str">
        <f>IF(Klisz_Verbräuche[[#Headers],[2045]]=$B$14,IF(COUNTIF($G50:Klisz_Verbräuche[[#This Row],[2040]],"&gt;0")&gt;0, AVERAGEIF($G50:Klisz_Verbräuche[[#This Row],[2040]],"&lt;&gt;"), ""),IF($B$14&lt;Klisz_Verbräuche[[#Headers],[2045]],IF(COUNTIF($G50:Klisz_Verbräuche[[#This Row],[2040]],"&gt;0")&gt;0,IF(COUNTIF($G50:Klisz_Verbräuche[[#This Row],[2040]],"&gt;0")&gt;0,Klisz_Verbräuche[[#This Row],[2040]]*(1-$F50)^5, ""), ""),IF($B$14&gt;Klisz_Verbräuche[[#Headers],[2045]],Refsz_Verbräuche[[#This Row],[2045]],"")))</f>
        <v/>
      </c>
      <c r="Z50" s="49" t="str">
        <f>IF(Klisz_Verbräuche[[#Headers],[2050]]=$B$14,IF(COUNTIF($G50:Klisz_Verbräuche[[#This Row],[2045]],"&gt;0")&gt;0, AVERAGEIF($G50:Klisz_Verbräuche[[#This Row],[2045]],"&lt;&gt;"), ""),IF($B$14&lt;Klisz_Verbräuche[[#Headers],[2050]],IF(COUNTIF($G50:Klisz_Verbräuche[[#This Row],[2045]],"&gt;0")&gt;0,IF(COUNTIF($G50:Klisz_Verbräuche[[#This Row],[2045]],"&gt;0")&gt;0,Klisz_Verbräuche[[#This Row],[2045]]*(1-$F50)^5, ""), ""),IF($B$14&gt;Klisz_Verbräuche[[#Headers],[2050]],Refsz_Verbräuche[[#This Row],[2050]],"")))</f>
        <v/>
      </c>
      <c r="AA50" s="14"/>
    </row>
    <row r="51" spans="2:27">
      <c r="B51" s="14">
        <v>34</v>
      </c>
      <c r="C51" s="197" t="str">
        <f>Refsz_Verbräuche[[#This Row],[Handlungsfeld]]</f>
        <v>Mobilität 1</v>
      </c>
      <c r="D51" s="46" t="str">
        <f>Refsz_Verbräuche[[#This Row],[Datenpunkt]]</f>
        <v>Fuhrpark (Wasserstoff/ FCEV)</v>
      </c>
      <c r="E51" s="26" t="str">
        <f>Refsz_Verbräuche[[#This Row],[Einheit]]</f>
        <v>Fkm</v>
      </c>
      <c r="F51" s="108"/>
      <c r="G51" s="14" t="str">
        <f>IF(ISBLANK(Refsz_Verbräuche[[#This Row],[2015]]),"",Refsz_Verbräuche[[#This Row],[2015]])</f>
        <v/>
      </c>
      <c r="H51" s="14" t="str">
        <f>IF(ISBLANK(Refsz_Verbräuche[[#This Row],[2016]]),"",Refsz_Verbräuche[[#This Row],[2016]])</f>
        <v/>
      </c>
      <c r="I51" s="14" t="str">
        <f>IF(ISBLANK(Refsz_Verbräuche[[#This Row],[2017]]),"",Refsz_Verbräuche[[#This Row],[2017]])</f>
        <v/>
      </c>
      <c r="J51" s="14" t="str">
        <f>IF(ISBLANK(Refsz_Verbräuche[[#This Row],[2018]]),"",Refsz_Verbräuche[[#This Row],[2018]])</f>
        <v/>
      </c>
      <c r="K51" s="14" t="str">
        <f>IF(ISBLANK(Refsz_Verbräuche[[#This Row],[2019]]),"",Refsz_Verbräuche[[#This Row],[2019]])</f>
        <v/>
      </c>
      <c r="L51" s="14" t="str">
        <f>IF(ISBLANK(Refsz_Verbräuche[[#This Row],[2020]]),"",Refsz_Verbräuche[[#This Row],[2020]])</f>
        <v/>
      </c>
      <c r="M51" s="14" t="str">
        <f>IF(ISBLANK(Refsz_Verbräuche[[#This Row],[2021]]),"",Refsz_Verbräuche[[#This Row],[2021]])</f>
        <v/>
      </c>
      <c r="N51" s="49" t="str">
        <f>IF(Klisz_Verbräuche[[#Headers],[2022]]=$B$14,IF(COUNTIF($G51:Klisz_Verbräuche[[#This Row],[2021]],"&gt;0")&gt;0, AVERAGEIF($G51:Klisz_Verbräuche[[#This Row],[2021]],"&lt;&gt;"), ""),IF($B$14&lt;Klisz_Verbräuche[[#Headers],[2022]],IF(COUNTIF($G51:Klisz_Verbräuche[[#This Row],[2021]],"&gt;0")&gt;0,IF(COUNTIF($G51:Klisz_Verbräuche[[#This Row],[2021]],"&gt;0")&gt;0,Klisz_Verbräuche[[#This Row],[2021]]*(1-$F51)^1, ""), ""),IF($B$14&gt;Klisz_Verbräuche[[#Headers],[2022]],Refsz_Verbräuche[[#This Row],[2022]],"")))</f>
        <v/>
      </c>
      <c r="O51" s="49" t="str">
        <f>IF(Klisz_Verbräuche[[#Headers],[2023]]=$B$14,IF(COUNTIF($G51:Klisz_Verbräuche[[#This Row],[2022]],"&gt;0")&gt;0, AVERAGEIF($G51:Klisz_Verbräuche[[#This Row],[2022]],"&lt;&gt;"), ""),IF($B$14&lt;Klisz_Verbräuche[[#Headers],[2023]],IF(COUNTIF($G51:Klisz_Verbräuche[[#This Row],[2022]],"&gt;0")&gt;0,IF(COUNTIF($G51:Klisz_Verbräuche[[#This Row],[2022]],"&gt;0")&gt;0,Klisz_Verbräuche[[#This Row],[2022]]*(1-$F51)^1, ""), ""),IF($B$14&gt;Klisz_Verbräuche[[#Headers],[2023]],Refsz_Verbräuche[[#This Row],[2023]],"")))</f>
        <v/>
      </c>
      <c r="P51" s="49" t="str">
        <f>IF(Klisz_Verbräuche[[#Headers],[2024]]=$B$14,IF(COUNTIF($G51:Klisz_Verbräuche[[#This Row],[2023]],"&gt;0")&gt;0, AVERAGEIF($G51:Klisz_Verbräuche[[#This Row],[2023]],"&lt;&gt;"), ""),IF($B$14&lt;Klisz_Verbräuche[[#Headers],[2024]],IF(COUNTIF($G51:Klisz_Verbräuche[[#This Row],[2023]],"&gt;0")&gt;0,IF(COUNTIF($G51:Klisz_Verbräuche[[#This Row],[2023]],"&gt;0")&gt;0,Klisz_Verbräuche[[#This Row],[2023]]*(1-$F51)^1, ""), ""),IF($B$14&gt;Klisz_Verbräuche[[#Headers],[2024]],Refsz_Verbräuche[[#This Row],[2024]],"")))</f>
        <v/>
      </c>
      <c r="Q51" s="49" t="str">
        <f>IF(Klisz_Verbräuche[[#Headers],[2025]]=$B$14,IF(COUNTIF($G51:Klisz_Verbräuche[[#This Row],[2024]],"&gt;0")&gt;0, AVERAGEIF($G51:Klisz_Verbräuche[[#This Row],[2024]],"&lt;&gt;"), ""),IF($B$14&lt;Klisz_Verbräuche[[#Headers],[2025]],IF(COUNTIF($G51:Klisz_Verbräuche[[#This Row],[2024]],"&gt;0")&gt;0,IF(COUNTIF($G51:Klisz_Verbräuche[[#This Row],[2024]],"&gt;0")&gt;0,Klisz_Verbräuche[[#This Row],[2024]]*(1-$F51)^1, ""), ""),IF($B$14&gt;Klisz_Verbräuche[[#Headers],[2025]],Refsz_Verbräuche[[#This Row],[2025]],"")))</f>
        <v/>
      </c>
      <c r="R51" s="49" t="str">
        <f>IF(Klisz_Verbräuche[[#Headers],[2026]]=$B$14,IF(COUNTIF($G51:Klisz_Verbräuche[[#This Row],[2025]],"&gt;0")&gt;0, AVERAGEIF($G51:Klisz_Verbräuche[[#This Row],[2025]],"&lt;&gt;"), ""),IF($B$14&lt;Klisz_Verbräuche[[#Headers],[2026]],IF(COUNTIF($G51:Klisz_Verbräuche[[#This Row],[2025]],"&gt;0")&gt;0,IF(COUNTIF($G51:Klisz_Verbräuche[[#This Row],[2025]],"&gt;0")&gt;0,Klisz_Verbräuche[[#This Row],[2025]]*(1-$F51)^1, ""), ""),IF($B$14&gt;Klisz_Verbräuche[[#Headers],[2026]],Refsz_Verbräuche[[#This Row],[2026]],"")))</f>
        <v/>
      </c>
      <c r="S51" s="49" t="str">
        <f>IF(Klisz_Verbräuche[[#Headers],[2027]]=$B$14,IF(COUNTIF($G51:Klisz_Verbräuche[[#This Row],[2026]],"&gt;0")&gt;0, AVERAGEIF($G51:Klisz_Verbräuche[[#This Row],[2026]],"&lt;&gt;"), ""),IF($B$14&lt;Klisz_Verbräuche[[#Headers],[2027]],IF(COUNTIF($G51:Klisz_Verbräuche[[#This Row],[2026]],"&gt;0")&gt;0,IF(COUNTIF($G51:Klisz_Verbräuche[[#This Row],[2026]],"&gt;0")&gt;0,Klisz_Verbräuche[[#This Row],[2026]]*(1-$F51)^1, ""), ""),IF($B$14&gt;Klisz_Verbräuche[[#Headers],[2027]],Refsz_Verbräuche[[#This Row],[2027]],"")))</f>
        <v/>
      </c>
      <c r="T51" s="49" t="str">
        <f>IF(Klisz_Verbräuche[[#Headers],[2028]]=$B$14,IF(COUNTIF($G51:Klisz_Verbräuche[[#This Row],[2027]],"&gt;0")&gt;0, AVERAGEIF($G51:Klisz_Verbräuche[[#This Row],[2027]],"&lt;&gt;"), ""),IF($B$14&lt;Klisz_Verbräuche[[#Headers],[2028]],IF(COUNTIF($G51:Klisz_Verbräuche[[#This Row],[2027]],"&gt;0")&gt;0,IF(COUNTIF($G51:Klisz_Verbräuche[[#This Row],[2027]],"&gt;0")&gt;0,Klisz_Verbräuche[[#This Row],[2027]]*(1-$F51)^1, ""), ""),IF($B$14&gt;Klisz_Verbräuche[[#Headers],[2028]],Refsz_Verbräuche[[#This Row],[2028]],"")))</f>
        <v/>
      </c>
      <c r="U51" s="49" t="str">
        <f>IF(Klisz_Verbräuche[[#Headers],[2029]]=$B$14,IF(COUNTIF($G51:Klisz_Verbräuche[[#This Row],[2028]],"&gt;0")&gt;0, AVERAGEIF($G51:Klisz_Verbräuche[[#This Row],[2028]],"&lt;&gt;"), ""),IF($B$14&lt;Klisz_Verbräuche[[#Headers],[2029]],IF(COUNTIF($G51:Klisz_Verbräuche[[#This Row],[2028]],"&gt;0")&gt;0,IF(COUNTIF($G51:Klisz_Verbräuche[[#This Row],[2028]],"&gt;0")&gt;0,Klisz_Verbräuche[[#This Row],[2028]]*(1-$F51)^1, ""), ""),IF($B$14&gt;Klisz_Verbräuche[[#Headers],[2029]],Refsz_Verbräuche[[#This Row],[2029]],"")))</f>
        <v/>
      </c>
      <c r="V51" s="49" t="str">
        <f>IF(Klisz_Verbräuche[[#Headers],[2030]]=$B$14,IF(COUNTIF($G51:Klisz_Verbräuche[[#This Row],[2029]],"&gt;0")&gt;0, AVERAGEIF($G51:Klisz_Verbräuche[[#This Row],[2029]],"&lt;&gt;"), ""),IF($B$14&lt;Klisz_Verbräuche[[#Headers],[2030]],IF(COUNTIF($G51:Klisz_Verbräuche[[#This Row],[2029]],"&gt;0")&gt;0,IF(COUNTIF($G51:Klisz_Verbräuche[[#This Row],[2029]],"&gt;0")&gt;0,Klisz_Verbräuche[[#This Row],[2029]]*(1-$F51)^1, ""), ""),IF($B$14&gt;Klisz_Verbräuche[[#Headers],[2030]],Refsz_Verbräuche[[#This Row],[2030]],"")))</f>
        <v/>
      </c>
      <c r="W51" s="49" t="str">
        <f>IF(Klisz_Verbräuche[[#Headers],[2035]]=$B$14,IF(COUNTIF($G51:Klisz_Verbräuche[[#This Row],[2030]],"&gt;0")&gt;0, AVERAGEIF($G51:Klisz_Verbräuche[[#This Row],[2030]],"&lt;&gt;"), ""),IF($B$14&lt;Klisz_Verbräuche[[#Headers],[2035]],IF(COUNTIF($G51:Klisz_Verbräuche[[#This Row],[2030]],"&gt;0")&gt;0,IF(COUNTIF($G51:Klisz_Verbräuche[[#This Row],[2030]],"&gt;0")&gt;0,Klisz_Verbräuche[[#This Row],[2030]]*(1-$F51)^5, ""), ""),IF($B$14&gt;Klisz_Verbräuche[[#Headers],[2035]],Refsz_Verbräuche[[#This Row],[2035]],"")))</f>
        <v/>
      </c>
      <c r="X51" s="49" t="str">
        <f>IF(Klisz_Verbräuche[[#Headers],[2040]]=$B$14,IF(COUNTIF($G51:Klisz_Verbräuche[[#This Row],[2035]],"&gt;0")&gt;0, AVERAGEIF($G51:Klisz_Verbräuche[[#This Row],[2035]],"&lt;&gt;"), ""),IF($B$14&lt;Klisz_Verbräuche[[#Headers],[2040]],IF(COUNTIF($G51:Klisz_Verbräuche[[#This Row],[2035]],"&gt;0")&gt;0,IF(COUNTIF($G51:Klisz_Verbräuche[[#This Row],[2035]],"&gt;0")&gt;0,Klisz_Verbräuche[[#This Row],[2035]]*(1-$F51)^5, ""), ""),IF($B$14&gt;Klisz_Verbräuche[[#Headers],[2040]],Refsz_Verbräuche[[#This Row],[2040]],"")))</f>
        <v/>
      </c>
      <c r="Y51" s="49" t="str">
        <f>IF(Klisz_Verbräuche[[#Headers],[2045]]=$B$14,IF(COUNTIF($G51:Klisz_Verbräuche[[#This Row],[2040]],"&gt;0")&gt;0, AVERAGEIF($G51:Klisz_Verbräuche[[#This Row],[2040]],"&lt;&gt;"), ""),IF($B$14&lt;Klisz_Verbräuche[[#Headers],[2045]],IF(COUNTIF($G51:Klisz_Verbräuche[[#This Row],[2040]],"&gt;0")&gt;0,IF(COUNTIF($G51:Klisz_Verbräuche[[#This Row],[2040]],"&gt;0")&gt;0,Klisz_Verbräuche[[#This Row],[2040]]*(1-$F51)^5, ""), ""),IF($B$14&gt;Klisz_Verbräuche[[#Headers],[2045]],Refsz_Verbräuche[[#This Row],[2045]],"")))</f>
        <v/>
      </c>
      <c r="Z51" s="49" t="str">
        <f>IF(Klisz_Verbräuche[[#Headers],[2050]]=$B$14,IF(COUNTIF($G51:Klisz_Verbräuche[[#This Row],[2045]],"&gt;0")&gt;0, AVERAGEIF($G51:Klisz_Verbräuche[[#This Row],[2045]],"&lt;&gt;"), ""),IF($B$14&lt;Klisz_Verbräuche[[#Headers],[2050]],IF(COUNTIF($G51:Klisz_Verbräuche[[#This Row],[2045]],"&gt;0")&gt;0,IF(COUNTIF($G51:Klisz_Verbräuche[[#This Row],[2045]],"&gt;0")&gt;0,Klisz_Verbräuche[[#This Row],[2045]]*(1-$F51)^5, ""), ""),IF($B$14&gt;Klisz_Verbräuche[[#Headers],[2050]],Refsz_Verbräuche[[#This Row],[2050]],"")))</f>
        <v/>
      </c>
      <c r="AA51" s="14"/>
    </row>
    <row r="52" spans="2:27">
      <c r="B52" s="14">
        <v>35</v>
      </c>
      <c r="C52" s="197" t="str">
        <f>Refsz_Verbräuche[[#This Row],[Handlungsfeld]]</f>
        <v>Mobilität 1</v>
      </c>
      <c r="D52" s="46" t="str">
        <f>Refsz_Verbräuche[[#This Row],[Datenpunkt]]</f>
        <v>Fuhrpark (CNG)</v>
      </c>
      <c r="E52" s="26" t="str">
        <f>Refsz_Verbräuche[[#This Row],[Einheit]]</f>
        <v>Fkm</v>
      </c>
      <c r="F52" s="108"/>
      <c r="G52" s="14" t="str">
        <f>IF(ISBLANK(Refsz_Verbräuche[[#This Row],[2015]]),"",Refsz_Verbräuche[[#This Row],[2015]])</f>
        <v/>
      </c>
      <c r="H52" s="14" t="str">
        <f>IF(ISBLANK(Refsz_Verbräuche[[#This Row],[2016]]),"",Refsz_Verbräuche[[#This Row],[2016]])</f>
        <v/>
      </c>
      <c r="I52" s="14" t="str">
        <f>IF(ISBLANK(Refsz_Verbräuche[[#This Row],[2017]]),"",Refsz_Verbräuche[[#This Row],[2017]])</f>
        <v/>
      </c>
      <c r="J52" s="14" t="str">
        <f>IF(ISBLANK(Refsz_Verbräuche[[#This Row],[2018]]),"",Refsz_Verbräuche[[#This Row],[2018]])</f>
        <v/>
      </c>
      <c r="K52" s="14" t="str">
        <f>IF(ISBLANK(Refsz_Verbräuche[[#This Row],[2019]]),"",Refsz_Verbräuche[[#This Row],[2019]])</f>
        <v/>
      </c>
      <c r="L52" s="14" t="str">
        <f>IF(ISBLANK(Refsz_Verbräuche[[#This Row],[2020]]),"",Refsz_Verbräuche[[#This Row],[2020]])</f>
        <v/>
      </c>
      <c r="M52" s="14" t="str">
        <f>IF(ISBLANK(Refsz_Verbräuche[[#This Row],[2021]]),"",Refsz_Verbräuche[[#This Row],[2021]])</f>
        <v/>
      </c>
      <c r="N52" s="49" t="str">
        <f>IF(Klisz_Verbräuche[[#Headers],[2022]]=$B$14,IF(COUNTIF($G52:Klisz_Verbräuche[[#This Row],[2021]],"&gt;0")&gt;0, AVERAGEIF($G52:Klisz_Verbräuche[[#This Row],[2021]],"&lt;&gt;"), ""),IF($B$14&lt;Klisz_Verbräuche[[#Headers],[2022]],IF(COUNTIF($G52:Klisz_Verbräuche[[#This Row],[2021]],"&gt;0")&gt;0,IF(COUNTIF($G52:Klisz_Verbräuche[[#This Row],[2021]],"&gt;0")&gt;0,Klisz_Verbräuche[[#This Row],[2021]]*(1-$F52)^1, ""), ""),IF($B$14&gt;Klisz_Verbräuche[[#Headers],[2022]],Refsz_Verbräuche[[#This Row],[2022]],"")))</f>
        <v/>
      </c>
      <c r="O52" s="49" t="str">
        <f>IF(Klisz_Verbräuche[[#Headers],[2023]]=$B$14,IF(COUNTIF($G52:Klisz_Verbräuche[[#This Row],[2022]],"&gt;0")&gt;0, AVERAGEIF($G52:Klisz_Verbräuche[[#This Row],[2022]],"&lt;&gt;"), ""),IF($B$14&lt;Klisz_Verbräuche[[#Headers],[2023]],IF(COUNTIF($G52:Klisz_Verbräuche[[#This Row],[2022]],"&gt;0")&gt;0,IF(COUNTIF($G52:Klisz_Verbräuche[[#This Row],[2022]],"&gt;0")&gt;0,Klisz_Verbräuche[[#This Row],[2022]]*(1-$F52)^1, ""), ""),IF($B$14&gt;Klisz_Verbräuche[[#Headers],[2023]],Refsz_Verbräuche[[#This Row],[2023]],"")))</f>
        <v/>
      </c>
      <c r="P52" s="49" t="str">
        <f>IF(Klisz_Verbräuche[[#Headers],[2024]]=$B$14,IF(COUNTIF($G52:Klisz_Verbräuche[[#This Row],[2023]],"&gt;0")&gt;0, AVERAGEIF($G52:Klisz_Verbräuche[[#This Row],[2023]],"&lt;&gt;"), ""),IF($B$14&lt;Klisz_Verbräuche[[#Headers],[2024]],IF(COUNTIF($G52:Klisz_Verbräuche[[#This Row],[2023]],"&gt;0")&gt;0,IF(COUNTIF($G52:Klisz_Verbräuche[[#This Row],[2023]],"&gt;0")&gt;0,Klisz_Verbräuche[[#This Row],[2023]]*(1-$F52)^1, ""), ""),IF($B$14&gt;Klisz_Verbräuche[[#Headers],[2024]],Refsz_Verbräuche[[#This Row],[2024]],"")))</f>
        <v/>
      </c>
      <c r="Q52" s="49" t="str">
        <f>IF(Klisz_Verbräuche[[#Headers],[2025]]=$B$14,IF(COUNTIF($G52:Klisz_Verbräuche[[#This Row],[2024]],"&gt;0")&gt;0, AVERAGEIF($G52:Klisz_Verbräuche[[#This Row],[2024]],"&lt;&gt;"), ""),IF($B$14&lt;Klisz_Verbräuche[[#Headers],[2025]],IF(COUNTIF($G52:Klisz_Verbräuche[[#This Row],[2024]],"&gt;0")&gt;0,IF(COUNTIF($G52:Klisz_Verbräuche[[#This Row],[2024]],"&gt;0")&gt;0,Klisz_Verbräuche[[#This Row],[2024]]*(1-$F52)^1, ""), ""),IF($B$14&gt;Klisz_Verbräuche[[#Headers],[2025]],Refsz_Verbräuche[[#This Row],[2025]],"")))</f>
        <v/>
      </c>
      <c r="R52" s="49" t="str">
        <f>IF(Klisz_Verbräuche[[#Headers],[2026]]=$B$14,IF(COUNTIF($G52:Klisz_Verbräuche[[#This Row],[2025]],"&gt;0")&gt;0, AVERAGEIF($G52:Klisz_Verbräuche[[#This Row],[2025]],"&lt;&gt;"), ""),IF($B$14&lt;Klisz_Verbräuche[[#Headers],[2026]],IF(COUNTIF($G52:Klisz_Verbräuche[[#This Row],[2025]],"&gt;0")&gt;0,IF(COUNTIF($G52:Klisz_Verbräuche[[#This Row],[2025]],"&gt;0")&gt;0,Klisz_Verbräuche[[#This Row],[2025]]*(1-$F52)^1, ""), ""),IF($B$14&gt;Klisz_Verbräuche[[#Headers],[2026]],Refsz_Verbräuche[[#This Row],[2026]],"")))</f>
        <v/>
      </c>
      <c r="S52" s="49" t="str">
        <f>IF(Klisz_Verbräuche[[#Headers],[2027]]=$B$14,IF(COUNTIF($G52:Klisz_Verbräuche[[#This Row],[2026]],"&gt;0")&gt;0, AVERAGEIF($G52:Klisz_Verbräuche[[#This Row],[2026]],"&lt;&gt;"), ""),IF($B$14&lt;Klisz_Verbräuche[[#Headers],[2027]],IF(COUNTIF($G52:Klisz_Verbräuche[[#This Row],[2026]],"&gt;0")&gt;0,IF(COUNTIF($G52:Klisz_Verbräuche[[#This Row],[2026]],"&gt;0")&gt;0,Klisz_Verbräuche[[#This Row],[2026]]*(1-$F52)^1, ""), ""),IF($B$14&gt;Klisz_Verbräuche[[#Headers],[2027]],Refsz_Verbräuche[[#This Row],[2027]],"")))</f>
        <v/>
      </c>
      <c r="T52" s="49" t="str">
        <f>IF(Klisz_Verbräuche[[#Headers],[2028]]=$B$14,IF(COUNTIF($G52:Klisz_Verbräuche[[#This Row],[2027]],"&gt;0")&gt;0, AVERAGEIF($G52:Klisz_Verbräuche[[#This Row],[2027]],"&lt;&gt;"), ""),IF($B$14&lt;Klisz_Verbräuche[[#Headers],[2028]],IF(COUNTIF($G52:Klisz_Verbräuche[[#This Row],[2027]],"&gt;0")&gt;0,IF(COUNTIF($G52:Klisz_Verbräuche[[#This Row],[2027]],"&gt;0")&gt;0,Klisz_Verbräuche[[#This Row],[2027]]*(1-$F52)^1, ""), ""),IF($B$14&gt;Klisz_Verbräuche[[#Headers],[2028]],Refsz_Verbräuche[[#This Row],[2028]],"")))</f>
        <v/>
      </c>
      <c r="U52" s="49" t="str">
        <f>IF(Klisz_Verbräuche[[#Headers],[2029]]=$B$14,IF(COUNTIF($G52:Klisz_Verbräuche[[#This Row],[2028]],"&gt;0")&gt;0, AVERAGEIF($G52:Klisz_Verbräuche[[#This Row],[2028]],"&lt;&gt;"), ""),IF($B$14&lt;Klisz_Verbräuche[[#Headers],[2029]],IF(COUNTIF($G52:Klisz_Verbräuche[[#This Row],[2028]],"&gt;0")&gt;0,IF(COUNTIF($G52:Klisz_Verbräuche[[#This Row],[2028]],"&gt;0")&gt;0,Klisz_Verbräuche[[#This Row],[2028]]*(1-$F52)^1, ""), ""),IF($B$14&gt;Klisz_Verbräuche[[#Headers],[2029]],Refsz_Verbräuche[[#This Row],[2029]],"")))</f>
        <v/>
      </c>
      <c r="V52" s="49" t="str">
        <f>IF(Klisz_Verbräuche[[#Headers],[2030]]=$B$14,IF(COUNTIF($G52:Klisz_Verbräuche[[#This Row],[2029]],"&gt;0")&gt;0, AVERAGEIF($G52:Klisz_Verbräuche[[#This Row],[2029]],"&lt;&gt;"), ""),IF($B$14&lt;Klisz_Verbräuche[[#Headers],[2030]],IF(COUNTIF($G52:Klisz_Verbräuche[[#This Row],[2029]],"&gt;0")&gt;0,IF(COUNTIF($G52:Klisz_Verbräuche[[#This Row],[2029]],"&gt;0")&gt;0,Klisz_Verbräuche[[#This Row],[2029]]*(1-$F52)^1, ""), ""),IF($B$14&gt;Klisz_Verbräuche[[#Headers],[2030]],Refsz_Verbräuche[[#This Row],[2030]],"")))</f>
        <v/>
      </c>
      <c r="W52" s="49" t="str">
        <f>IF(Klisz_Verbräuche[[#Headers],[2035]]=$B$14,IF(COUNTIF($G52:Klisz_Verbräuche[[#This Row],[2030]],"&gt;0")&gt;0, AVERAGEIF($G52:Klisz_Verbräuche[[#This Row],[2030]],"&lt;&gt;"), ""),IF($B$14&lt;Klisz_Verbräuche[[#Headers],[2035]],IF(COUNTIF($G52:Klisz_Verbräuche[[#This Row],[2030]],"&gt;0")&gt;0,IF(COUNTIF($G52:Klisz_Verbräuche[[#This Row],[2030]],"&gt;0")&gt;0,Klisz_Verbräuche[[#This Row],[2030]]*(1-$F52)^5, ""), ""),IF($B$14&gt;Klisz_Verbräuche[[#Headers],[2035]],Refsz_Verbräuche[[#This Row],[2035]],"")))</f>
        <v/>
      </c>
      <c r="X52" s="49" t="str">
        <f>IF(Klisz_Verbräuche[[#Headers],[2040]]=$B$14,IF(COUNTIF($G52:Klisz_Verbräuche[[#This Row],[2035]],"&gt;0")&gt;0, AVERAGEIF($G52:Klisz_Verbräuche[[#This Row],[2035]],"&lt;&gt;"), ""),IF($B$14&lt;Klisz_Verbräuche[[#Headers],[2040]],IF(COUNTIF($G52:Klisz_Verbräuche[[#This Row],[2035]],"&gt;0")&gt;0,IF(COUNTIF($G52:Klisz_Verbräuche[[#This Row],[2035]],"&gt;0")&gt;0,Klisz_Verbräuche[[#This Row],[2035]]*(1-$F52)^5, ""), ""),IF($B$14&gt;Klisz_Verbräuche[[#Headers],[2040]],Refsz_Verbräuche[[#This Row],[2040]],"")))</f>
        <v/>
      </c>
      <c r="Y52" s="49" t="str">
        <f>IF(Klisz_Verbräuche[[#Headers],[2045]]=$B$14,IF(COUNTIF($G52:Klisz_Verbräuche[[#This Row],[2040]],"&gt;0")&gt;0, AVERAGEIF($G52:Klisz_Verbräuche[[#This Row],[2040]],"&lt;&gt;"), ""),IF($B$14&lt;Klisz_Verbräuche[[#Headers],[2045]],IF(COUNTIF($G52:Klisz_Verbräuche[[#This Row],[2040]],"&gt;0")&gt;0,IF(COUNTIF($G52:Klisz_Verbräuche[[#This Row],[2040]],"&gt;0")&gt;0,Klisz_Verbräuche[[#This Row],[2040]]*(1-$F52)^5, ""), ""),IF($B$14&gt;Klisz_Verbräuche[[#Headers],[2045]],Refsz_Verbräuche[[#This Row],[2045]],"")))</f>
        <v/>
      </c>
      <c r="Z52" s="49" t="str">
        <f>IF(Klisz_Verbräuche[[#Headers],[2050]]=$B$14,IF(COUNTIF($G52:Klisz_Verbräuche[[#This Row],[2045]],"&gt;0")&gt;0, AVERAGEIF($G52:Klisz_Verbräuche[[#This Row],[2045]],"&lt;&gt;"), ""),IF($B$14&lt;Klisz_Verbräuche[[#Headers],[2050]],IF(COUNTIF($G52:Klisz_Verbräuche[[#This Row],[2045]],"&gt;0")&gt;0,IF(COUNTIF($G52:Klisz_Verbräuche[[#This Row],[2045]],"&gt;0")&gt;0,Klisz_Verbräuche[[#This Row],[2045]]*(1-$F52)^5, ""), ""),IF($B$14&gt;Klisz_Verbräuche[[#Headers],[2050]],Refsz_Verbräuche[[#This Row],[2050]],"")))</f>
        <v/>
      </c>
      <c r="AA52" s="14"/>
    </row>
    <row r="53" spans="2:27">
      <c r="B53" s="14">
        <v>36</v>
      </c>
      <c r="C53" s="197" t="str">
        <f>Refsz_Verbräuche[[#This Row],[Handlungsfeld]]</f>
        <v>Mobilität 1</v>
      </c>
      <c r="D53" s="46" t="str">
        <f>Refsz_Verbräuche[[#This Row],[Datenpunkt]]</f>
        <v>Fuhrpark (Plug-In-Hybrid, PHEV)</v>
      </c>
      <c r="E53" s="26" t="str">
        <f>Refsz_Verbräuche[[#This Row],[Einheit]]</f>
        <v>Fkm</v>
      </c>
      <c r="F53" s="108"/>
      <c r="G53" s="14" t="str">
        <f>IF(ISBLANK(Refsz_Verbräuche[[#This Row],[2015]]),"",Refsz_Verbräuche[[#This Row],[2015]])</f>
        <v/>
      </c>
      <c r="H53" s="14" t="str">
        <f>IF(ISBLANK(Refsz_Verbräuche[[#This Row],[2016]]),"",Refsz_Verbräuche[[#This Row],[2016]])</f>
        <v/>
      </c>
      <c r="I53" s="14" t="str">
        <f>IF(ISBLANK(Refsz_Verbräuche[[#This Row],[2017]]),"",Refsz_Verbräuche[[#This Row],[2017]])</f>
        <v/>
      </c>
      <c r="J53" s="14" t="str">
        <f>IF(ISBLANK(Refsz_Verbräuche[[#This Row],[2018]]),"",Refsz_Verbräuche[[#This Row],[2018]])</f>
        <v/>
      </c>
      <c r="K53" s="14" t="str">
        <f>IF(ISBLANK(Refsz_Verbräuche[[#This Row],[2019]]),"",Refsz_Verbräuche[[#This Row],[2019]])</f>
        <v/>
      </c>
      <c r="L53" s="14" t="str">
        <f>IF(ISBLANK(Refsz_Verbräuche[[#This Row],[2020]]),"",Refsz_Verbräuche[[#This Row],[2020]])</f>
        <v/>
      </c>
      <c r="M53" s="14" t="str">
        <f>IF(ISBLANK(Refsz_Verbräuche[[#This Row],[2021]]),"",Refsz_Verbräuche[[#This Row],[2021]])</f>
        <v/>
      </c>
      <c r="N53" s="49" t="str">
        <f>IF(Klisz_Verbräuche[[#Headers],[2022]]=$B$14,IF(COUNTIF($G53:Klisz_Verbräuche[[#This Row],[2021]],"&gt;0")&gt;0, AVERAGEIF($G53:Klisz_Verbräuche[[#This Row],[2021]],"&lt;&gt;"), ""),IF($B$14&lt;Klisz_Verbräuche[[#Headers],[2022]],IF(COUNTIF($G53:Klisz_Verbräuche[[#This Row],[2021]],"&gt;0")&gt;0,IF(COUNTIF($G53:Klisz_Verbräuche[[#This Row],[2021]],"&gt;0")&gt;0,Klisz_Verbräuche[[#This Row],[2021]]*(1-$F53)^1, ""), ""),IF($B$14&gt;Klisz_Verbräuche[[#Headers],[2022]],Refsz_Verbräuche[[#This Row],[2022]],"")))</f>
        <v/>
      </c>
      <c r="O53" s="49" t="str">
        <f>IF(Klisz_Verbräuche[[#Headers],[2023]]=$B$14,IF(COUNTIF($G53:Klisz_Verbräuche[[#This Row],[2022]],"&gt;0")&gt;0, AVERAGEIF($G53:Klisz_Verbräuche[[#This Row],[2022]],"&lt;&gt;"), ""),IF($B$14&lt;Klisz_Verbräuche[[#Headers],[2023]],IF(COUNTIF($G53:Klisz_Verbräuche[[#This Row],[2022]],"&gt;0")&gt;0,IF(COUNTIF($G53:Klisz_Verbräuche[[#This Row],[2022]],"&gt;0")&gt;0,Klisz_Verbräuche[[#This Row],[2022]]*(1-$F53)^1, ""), ""),IF($B$14&gt;Klisz_Verbräuche[[#Headers],[2023]],Refsz_Verbräuche[[#This Row],[2023]],"")))</f>
        <v/>
      </c>
      <c r="P53" s="49" t="str">
        <f>IF(Klisz_Verbräuche[[#Headers],[2024]]=$B$14,IF(COUNTIF($G53:Klisz_Verbräuche[[#This Row],[2023]],"&gt;0")&gt;0, AVERAGEIF($G53:Klisz_Verbräuche[[#This Row],[2023]],"&lt;&gt;"), ""),IF($B$14&lt;Klisz_Verbräuche[[#Headers],[2024]],IF(COUNTIF($G53:Klisz_Verbräuche[[#This Row],[2023]],"&gt;0")&gt;0,IF(COUNTIF($G53:Klisz_Verbräuche[[#This Row],[2023]],"&gt;0")&gt;0,Klisz_Verbräuche[[#This Row],[2023]]*(1-$F53)^1, ""), ""),IF($B$14&gt;Klisz_Verbräuche[[#Headers],[2024]],Refsz_Verbräuche[[#This Row],[2024]],"")))</f>
        <v/>
      </c>
      <c r="Q53" s="49" t="str">
        <f>IF(Klisz_Verbräuche[[#Headers],[2025]]=$B$14,IF(COUNTIF($G53:Klisz_Verbräuche[[#This Row],[2024]],"&gt;0")&gt;0, AVERAGEIF($G53:Klisz_Verbräuche[[#This Row],[2024]],"&lt;&gt;"), ""),IF($B$14&lt;Klisz_Verbräuche[[#Headers],[2025]],IF(COUNTIF($G53:Klisz_Verbräuche[[#This Row],[2024]],"&gt;0")&gt;0,IF(COUNTIF($G53:Klisz_Verbräuche[[#This Row],[2024]],"&gt;0")&gt;0,Klisz_Verbräuche[[#This Row],[2024]]*(1-$F53)^1, ""), ""),IF($B$14&gt;Klisz_Verbräuche[[#Headers],[2025]],Refsz_Verbräuche[[#This Row],[2025]],"")))</f>
        <v/>
      </c>
      <c r="R53" s="49" t="str">
        <f>IF(Klisz_Verbräuche[[#Headers],[2026]]=$B$14,IF(COUNTIF($G53:Klisz_Verbräuche[[#This Row],[2025]],"&gt;0")&gt;0, AVERAGEIF($G53:Klisz_Verbräuche[[#This Row],[2025]],"&lt;&gt;"), ""),IF($B$14&lt;Klisz_Verbräuche[[#Headers],[2026]],IF(COUNTIF($G53:Klisz_Verbräuche[[#This Row],[2025]],"&gt;0")&gt;0,IF(COUNTIF($G53:Klisz_Verbräuche[[#This Row],[2025]],"&gt;0")&gt;0,Klisz_Verbräuche[[#This Row],[2025]]*(1-$F53)^1, ""), ""),IF($B$14&gt;Klisz_Verbräuche[[#Headers],[2026]],Refsz_Verbräuche[[#This Row],[2026]],"")))</f>
        <v/>
      </c>
      <c r="S53" s="49" t="str">
        <f>IF(Klisz_Verbräuche[[#Headers],[2027]]=$B$14,IF(COUNTIF($G53:Klisz_Verbräuche[[#This Row],[2026]],"&gt;0")&gt;0, AVERAGEIF($G53:Klisz_Verbräuche[[#This Row],[2026]],"&lt;&gt;"), ""),IF($B$14&lt;Klisz_Verbräuche[[#Headers],[2027]],IF(COUNTIF($G53:Klisz_Verbräuche[[#This Row],[2026]],"&gt;0")&gt;0,IF(COUNTIF($G53:Klisz_Verbräuche[[#This Row],[2026]],"&gt;0")&gt;0,Klisz_Verbräuche[[#This Row],[2026]]*(1-$F53)^1, ""), ""),IF($B$14&gt;Klisz_Verbräuche[[#Headers],[2027]],Refsz_Verbräuche[[#This Row],[2027]],"")))</f>
        <v/>
      </c>
      <c r="T53" s="49" t="str">
        <f>IF(Klisz_Verbräuche[[#Headers],[2028]]=$B$14,IF(COUNTIF($G53:Klisz_Verbräuche[[#This Row],[2027]],"&gt;0")&gt;0, AVERAGEIF($G53:Klisz_Verbräuche[[#This Row],[2027]],"&lt;&gt;"), ""),IF($B$14&lt;Klisz_Verbräuche[[#Headers],[2028]],IF(COUNTIF($G53:Klisz_Verbräuche[[#This Row],[2027]],"&gt;0")&gt;0,IF(COUNTIF($G53:Klisz_Verbräuche[[#This Row],[2027]],"&gt;0")&gt;0,Klisz_Verbräuche[[#This Row],[2027]]*(1-$F53)^1, ""), ""),IF($B$14&gt;Klisz_Verbräuche[[#Headers],[2028]],Refsz_Verbräuche[[#This Row],[2028]],"")))</f>
        <v/>
      </c>
      <c r="U53" s="49" t="str">
        <f>IF(Klisz_Verbräuche[[#Headers],[2029]]=$B$14,IF(COUNTIF($G53:Klisz_Verbräuche[[#This Row],[2028]],"&gt;0")&gt;0, AVERAGEIF($G53:Klisz_Verbräuche[[#This Row],[2028]],"&lt;&gt;"), ""),IF($B$14&lt;Klisz_Verbräuche[[#Headers],[2029]],IF(COUNTIF($G53:Klisz_Verbräuche[[#This Row],[2028]],"&gt;0")&gt;0,IF(COUNTIF($G53:Klisz_Verbräuche[[#This Row],[2028]],"&gt;0")&gt;0,Klisz_Verbräuche[[#This Row],[2028]]*(1-$F53)^1, ""), ""),IF($B$14&gt;Klisz_Verbräuche[[#Headers],[2029]],Refsz_Verbräuche[[#This Row],[2029]],"")))</f>
        <v/>
      </c>
      <c r="V53" s="49" t="str">
        <f>IF(Klisz_Verbräuche[[#Headers],[2030]]=$B$14,IF(COUNTIF($G53:Klisz_Verbräuche[[#This Row],[2029]],"&gt;0")&gt;0, AVERAGEIF($G53:Klisz_Verbräuche[[#This Row],[2029]],"&lt;&gt;"), ""),IF($B$14&lt;Klisz_Verbräuche[[#Headers],[2030]],IF(COUNTIF($G53:Klisz_Verbräuche[[#This Row],[2029]],"&gt;0")&gt;0,IF(COUNTIF($G53:Klisz_Verbräuche[[#This Row],[2029]],"&gt;0")&gt;0,Klisz_Verbräuche[[#This Row],[2029]]*(1-$F53)^1, ""), ""),IF($B$14&gt;Klisz_Verbräuche[[#Headers],[2030]],Refsz_Verbräuche[[#This Row],[2030]],"")))</f>
        <v/>
      </c>
      <c r="W53" s="49" t="str">
        <f>IF(Klisz_Verbräuche[[#Headers],[2035]]=$B$14,IF(COUNTIF($G53:Klisz_Verbräuche[[#This Row],[2030]],"&gt;0")&gt;0, AVERAGEIF($G53:Klisz_Verbräuche[[#This Row],[2030]],"&lt;&gt;"), ""),IF($B$14&lt;Klisz_Verbräuche[[#Headers],[2035]],IF(COUNTIF($G53:Klisz_Verbräuche[[#This Row],[2030]],"&gt;0")&gt;0,IF(COUNTIF($G53:Klisz_Verbräuche[[#This Row],[2030]],"&gt;0")&gt;0,Klisz_Verbräuche[[#This Row],[2030]]*(1-$F53)^5, ""), ""),IF($B$14&gt;Klisz_Verbräuche[[#Headers],[2035]],Refsz_Verbräuche[[#This Row],[2035]],"")))</f>
        <v/>
      </c>
      <c r="X53" s="49" t="str">
        <f>IF(Klisz_Verbräuche[[#Headers],[2040]]=$B$14,IF(COUNTIF($G53:Klisz_Verbräuche[[#This Row],[2035]],"&gt;0")&gt;0, AVERAGEIF($G53:Klisz_Verbräuche[[#This Row],[2035]],"&lt;&gt;"), ""),IF($B$14&lt;Klisz_Verbräuche[[#Headers],[2040]],IF(COUNTIF($G53:Klisz_Verbräuche[[#This Row],[2035]],"&gt;0")&gt;0,IF(COUNTIF($G53:Klisz_Verbräuche[[#This Row],[2035]],"&gt;0")&gt;0,Klisz_Verbräuche[[#This Row],[2035]]*(1-$F53)^5, ""), ""),IF($B$14&gt;Klisz_Verbräuche[[#Headers],[2040]],Refsz_Verbräuche[[#This Row],[2040]],"")))</f>
        <v/>
      </c>
      <c r="Y53" s="49" t="str">
        <f>IF(Klisz_Verbräuche[[#Headers],[2045]]=$B$14,IF(COUNTIF($G53:Klisz_Verbräuche[[#This Row],[2040]],"&gt;0")&gt;0, AVERAGEIF($G53:Klisz_Verbräuche[[#This Row],[2040]],"&lt;&gt;"), ""),IF($B$14&lt;Klisz_Verbräuche[[#Headers],[2045]],IF(COUNTIF($G53:Klisz_Verbräuche[[#This Row],[2040]],"&gt;0")&gt;0,IF(COUNTIF($G53:Klisz_Verbräuche[[#This Row],[2040]],"&gt;0")&gt;0,Klisz_Verbräuche[[#This Row],[2040]]*(1-$F53)^5, ""), ""),IF($B$14&gt;Klisz_Verbräuche[[#Headers],[2045]],Refsz_Verbräuche[[#This Row],[2045]],"")))</f>
        <v/>
      </c>
      <c r="Z53" s="49" t="str">
        <f>IF(Klisz_Verbräuche[[#Headers],[2050]]=$B$14,IF(COUNTIF($G53:Klisz_Verbräuche[[#This Row],[2045]],"&gt;0")&gt;0, AVERAGEIF($G53:Klisz_Verbräuche[[#This Row],[2045]],"&lt;&gt;"), ""),IF($B$14&lt;Klisz_Verbräuche[[#Headers],[2050]],IF(COUNTIF($G53:Klisz_Verbräuche[[#This Row],[2045]],"&gt;0")&gt;0,IF(COUNTIF($G53:Klisz_Verbräuche[[#This Row],[2045]],"&gt;0")&gt;0,Klisz_Verbräuche[[#This Row],[2045]]*(1-$F53)^5, ""), ""),IF($B$14&gt;Klisz_Verbräuche[[#Headers],[2050]],Refsz_Verbräuche[[#This Row],[2050]],"")))</f>
        <v/>
      </c>
      <c r="AA53" s="14"/>
    </row>
    <row r="54" spans="2:27">
      <c r="B54" s="14">
        <v>37</v>
      </c>
      <c r="C54" s="197">
        <f>Refsz_Verbräuche[[#This Row],[Handlungsfeld]]</f>
        <v>0</v>
      </c>
      <c r="D54" s="19">
        <f>Refsz_Verbräuche[[#This Row],[Datenpunkt]]</f>
        <v>0</v>
      </c>
      <c r="E54" s="26">
        <f>Refsz_Verbräuche[[#This Row],[Einheit]]</f>
        <v>0</v>
      </c>
      <c r="F54" s="108"/>
      <c r="G54" s="14" t="str">
        <f>IF(ISBLANK(Refsz_Verbräuche[[#This Row],[2015]]),"",Refsz_Verbräuche[[#This Row],[2015]])</f>
        <v/>
      </c>
      <c r="H54" s="14" t="str">
        <f>IF(ISBLANK(Refsz_Verbräuche[[#This Row],[2016]]),"",Refsz_Verbräuche[[#This Row],[2016]])</f>
        <v/>
      </c>
      <c r="I54" s="14" t="str">
        <f>IF(ISBLANK(Refsz_Verbräuche[[#This Row],[2017]]),"",Refsz_Verbräuche[[#This Row],[2017]])</f>
        <v/>
      </c>
      <c r="J54" s="14" t="str">
        <f>IF(ISBLANK(Refsz_Verbräuche[[#This Row],[2018]]),"",Refsz_Verbräuche[[#This Row],[2018]])</f>
        <v/>
      </c>
      <c r="K54" s="14" t="str">
        <f>IF(ISBLANK(Refsz_Verbräuche[[#This Row],[2019]]),"",Refsz_Verbräuche[[#This Row],[2019]])</f>
        <v/>
      </c>
      <c r="L54" s="14" t="str">
        <f>IF(ISBLANK(Refsz_Verbräuche[[#This Row],[2020]]),"",Refsz_Verbräuche[[#This Row],[2020]])</f>
        <v/>
      </c>
      <c r="M54" s="14" t="str">
        <f>IF(ISBLANK(Refsz_Verbräuche[[#This Row],[2021]]),"",Refsz_Verbräuche[[#This Row],[2021]])</f>
        <v/>
      </c>
      <c r="N54" s="49" t="str">
        <f>IF(Klisz_Verbräuche[[#Headers],[2022]]=$B$14,IF(COUNTIF($G54:Klisz_Verbräuche[[#This Row],[2021]],"&gt;0")&gt;0, AVERAGEIF($G54:Klisz_Verbräuche[[#This Row],[2021]],"&lt;&gt;"), ""),IF($B$14&lt;Klisz_Verbräuche[[#Headers],[2022]],IF(COUNTIF($G54:Klisz_Verbräuche[[#This Row],[2021]],"&gt;0")&gt;0,IF(COUNTIF($G54:Klisz_Verbräuche[[#This Row],[2021]],"&gt;0")&gt;0,Klisz_Verbräuche[[#This Row],[2021]]*(1-$F54)^1, ""), ""),IF($B$14&gt;Klisz_Verbräuche[[#Headers],[2022]],Refsz_Verbräuche[[#This Row],[2022]],"")))</f>
        <v/>
      </c>
      <c r="O54" s="49" t="str">
        <f>IF(Klisz_Verbräuche[[#Headers],[2023]]=$B$14,IF(COUNTIF($G54:Klisz_Verbräuche[[#This Row],[2022]],"&gt;0")&gt;0, AVERAGEIF($G54:Klisz_Verbräuche[[#This Row],[2022]],"&lt;&gt;"), ""),IF($B$14&lt;Klisz_Verbräuche[[#Headers],[2023]],IF(COUNTIF($G54:Klisz_Verbräuche[[#This Row],[2022]],"&gt;0")&gt;0,IF(COUNTIF($G54:Klisz_Verbräuche[[#This Row],[2022]],"&gt;0")&gt;0,Klisz_Verbräuche[[#This Row],[2022]]*(1-$F54)^1, ""), ""),IF($B$14&gt;Klisz_Verbräuche[[#Headers],[2023]],Refsz_Verbräuche[[#This Row],[2023]],"")))</f>
        <v/>
      </c>
      <c r="P54" s="49" t="str">
        <f>IF(Klisz_Verbräuche[[#Headers],[2024]]=$B$14,IF(COUNTIF($G54:Klisz_Verbräuche[[#This Row],[2023]],"&gt;0")&gt;0, AVERAGEIF($G54:Klisz_Verbräuche[[#This Row],[2023]],"&lt;&gt;"), ""),IF($B$14&lt;Klisz_Verbräuche[[#Headers],[2024]],IF(COUNTIF($G54:Klisz_Verbräuche[[#This Row],[2023]],"&gt;0")&gt;0,IF(COUNTIF($G54:Klisz_Verbräuche[[#This Row],[2023]],"&gt;0")&gt;0,Klisz_Verbräuche[[#This Row],[2023]]*(1-$F54)^1, ""), ""),IF($B$14&gt;Klisz_Verbräuche[[#Headers],[2024]],Refsz_Verbräuche[[#This Row],[2024]],"")))</f>
        <v/>
      </c>
      <c r="Q54" s="49" t="str">
        <f>IF(Klisz_Verbräuche[[#Headers],[2025]]=$B$14,IF(COUNTIF($G54:Klisz_Verbräuche[[#This Row],[2024]],"&gt;0")&gt;0, AVERAGEIF($G54:Klisz_Verbräuche[[#This Row],[2024]],"&lt;&gt;"), ""),IF($B$14&lt;Klisz_Verbräuche[[#Headers],[2025]],IF(COUNTIF($G54:Klisz_Verbräuche[[#This Row],[2024]],"&gt;0")&gt;0,IF(COUNTIF($G54:Klisz_Verbräuche[[#This Row],[2024]],"&gt;0")&gt;0,Klisz_Verbräuche[[#This Row],[2024]]*(1-$F54)^1, ""), ""),IF($B$14&gt;Klisz_Verbräuche[[#Headers],[2025]],Refsz_Verbräuche[[#This Row],[2025]],"")))</f>
        <v/>
      </c>
      <c r="R54" s="49" t="str">
        <f>IF(Klisz_Verbräuche[[#Headers],[2026]]=$B$14,IF(COUNTIF($G54:Klisz_Verbräuche[[#This Row],[2025]],"&gt;0")&gt;0, AVERAGEIF($G54:Klisz_Verbräuche[[#This Row],[2025]],"&lt;&gt;"), ""),IF($B$14&lt;Klisz_Verbräuche[[#Headers],[2026]],IF(COUNTIF($G54:Klisz_Verbräuche[[#This Row],[2025]],"&gt;0")&gt;0,IF(COUNTIF($G54:Klisz_Verbräuche[[#This Row],[2025]],"&gt;0")&gt;0,Klisz_Verbräuche[[#This Row],[2025]]*(1-$F54)^1, ""), ""),IF($B$14&gt;Klisz_Verbräuche[[#Headers],[2026]],Refsz_Verbräuche[[#This Row],[2026]],"")))</f>
        <v/>
      </c>
      <c r="S54" s="49" t="str">
        <f>IF(Klisz_Verbräuche[[#Headers],[2027]]=$B$14,IF(COUNTIF($G54:Klisz_Verbräuche[[#This Row],[2026]],"&gt;0")&gt;0, AVERAGEIF($G54:Klisz_Verbräuche[[#This Row],[2026]],"&lt;&gt;"), ""),IF($B$14&lt;Klisz_Verbräuche[[#Headers],[2027]],IF(COUNTIF($G54:Klisz_Verbräuche[[#This Row],[2026]],"&gt;0")&gt;0,IF(COUNTIF($G54:Klisz_Verbräuche[[#This Row],[2026]],"&gt;0")&gt;0,Klisz_Verbräuche[[#This Row],[2026]]*(1-$F54)^1, ""), ""),IF($B$14&gt;Klisz_Verbräuche[[#Headers],[2027]],Refsz_Verbräuche[[#This Row],[2027]],"")))</f>
        <v/>
      </c>
      <c r="T54" s="49" t="str">
        <f>IF(Klisz_Verbräuche[[#Headers],[2028]]=$B$14,IF(COUNTIF($G54:Klisz_Verbräuche[[#This Row],[2027]],"&gt;0")&gt;0, AVERAGEIF($G54:Klisz_Verbräuche[[#This Row],[2027]],"&lt;&gt;"), ""),IF($B$14&lt;Klisz_Verbräuche[[#Headers],[2028]],IF(COUNTIF($G54:Klisz_Verbräuche[[#This Row],[2027]],"&gt;0")&gt;0,IF(COUNTIF($G54:Klisz_Verbräuche[[#This Row],[2027]],"&gt;0")&gt;0,Klisz_Verbräuche[[#This Row],[2027]]*(1-$F54)^1, ""), ""),IF($B$14&gt;Klisz_Verbräuche[[#Headers],[2028]],Refsz_Verbräuche[[#This Row],[2028]],"")))</f>
        <v/>
      </c>
      <c r="U54" s="49" t="str">
        <f>IF(Klisz_Verbräuche[[#Headers],[2029]]=$B$14,IF(COUNTIF($G54:Klisz_Verbräuche[[#This Row],[2028]],"&gt;0")&gt;0, AVERAGEIF($G54:Klisz_Verbräuche[[#This Row],[2028]],"&lt;&gt;"), ""),IF($B$14&lt;Klisz_Verbräuche[[#Headers],[2029]],IF(COUNTIF($G54:Klisz_Verbräuche[[#This Row],[2028]],"&gt;0")&gt;0,IF(COUNTIF($G54:Klisz_Verbräuche[[#This Row],[2028]],"&gt;0")&gt;0,Klisz_Verbräuche[[#This Row],[2028]]*(1-$F54)^1, ""), ""),IF($B$14&gt;Klisz_Verbräuche[[#Headers],[2029]],Refsz_Verbräuche[[#This Row],[2029]],"")))</f>
        <v/>
      </c>
      <c r="V54" s="49" t="str">
        <f>IF(Klisz_Verbräuche[[#Headers],[2030]]=$B$14,IF(COUNTIF($G54:Klisz_Verbräuche[[#This Row],[2029]],"&gt;0")&gt;0, AVERAGEIF($G54:Klisz_Verbräuche[[#This Row],[2029]],"&lt;&gt;"), ""),IF($B$14&lt;Klisz_Verbräuche[[#Headers],[2030]],IF(COUNTIF($G54:Klisz_Verbräuche[[#This Row],[2029]],"&gt;0")&gt;0,IF(COUNTIF($G54:Klisz_Verbräuche[[#This Row],[2029]],"&gt;0")&gt;0,Klisz_Verbräuche[[#This Row],[2029]]*(1-$F54)^1, ""), ""),IF($B$14&gt;Klisz_Verbräuche[[#Headers],[2030]],Refsz_Verbräuche[[#This Row],[2030]],"")))</f>
        <v/>
      </c>
      <c r="W54" s="49" t="str">
        <f>IF(Klisz_Verbräuche[[#Headers],[2035]]=$B$14,IF(COUNTIF($G54:Klisz_Verbräuche[[#This Row],[2030]],"&gt;0")&gt;0, AVERAGEIF($G54:Klisz_Verbräuche[[#This Row],[2030]],"&lt;&gt;"), ""),IF($B$14&lt;Klisz_Verbräuche[[#Headers],[2035]],IF(COUNTIF($G54:Klisz_Verbräuche[[#This Row],[2030]],"&gt;0")&gt;0,IF(COUNTIF($G54:Klisz_Verbräuche[[#This Row],[2030]],"&gt;0")&gt;0,Klisz_Verbräuche[[#This Row],[2030]]*(1-$F54)^5, ""), ""),IF($B$14&gt;Klisz_Verbräuche[[#Headers],[2035]],Refsz_Verbräuche[[#This Row],[2035]],"")))</f>
        <v/>
      </c>
      <c r="X54" s="49" t="str">
        <f>IF(Klisz_Verbräuche[[#Headers],[2040]]=$B$14,IF(COUNTIF($G54:Klisz_Verbräuche[[#This Row],[2035]],"&gt;0")&gt;0, AVERAGEIF($G54:Klisz_Verbräuche[[#This Row],[2035]],"&lt;&gt;"), ""),IF($B$14&lt;Klisz_Verbräuche[[#Headers],[2040]],IF(COUNTIF($G54:Klisz_Verbräuche[[#This Row],[2035]],"&gt;0")&gt;0,IF(COUNTIF($G54:Klisz_Verbräuche[[#This Row],[2035]],"&gt;0")&gt;0,Klisz_Verbräuche[[#This Row],[2035]]*(1-$F54)^5, ""), ""),IF($B$14&gt;Klisz_Verbräuche[[#Headers],[2040]],Refsz_Verbräuche[[#This Row],[2040]],"")))</f>
        <v/>
      </c>
      <c r="Y54" s="49" t="str">
        <f>IF(Klisz_Verbräuche[[#Headers],[2045]]=$B$14,IF(COUNTIF($G54:Klisz_Verbräuche[[#This Row],[2040]],"&gt;0")&gt;0, AVERAGEIF($G54:Klisz_Verbräuche[[#This Row],[2040]],"&lt;&gt;"), ""),IF($B$14&lt;Klisz_Verbräuche[[#Headers],[2045]],IF(COUNTIF($G54:Klisz_Verbräuche[[#This Row],[2040]],"&gt;0")&gt;0,IF(COUNTIF($G54:Klisz_Verbräuche[[#This Row],[2040]],"&gt;0")&gt;0,Klisz_Verbräuche[[#This Row],[2040]]*(1-$F54)^5, ""), ""),IF($B$14&gt;Klisz_Verbräuche[[#Headers],[2045]],Refsz_Verbräuche[[#This Row],[2045]],"")))</f>
        <v/>
      </c>
      <c r="Z54" s="49" t="str">
        <f>IF(Klisz_Verbräuche[[#Headers],[2050]]=$B$14,IF(COUNTIF($G54:Klisz_Verbräuche[[#This Row],[2045]],"&gt;0")&gt;0, AVERAGEIF($G54:Klisz_Verbräuche[[#This Row],[2045]],"&lt;&gt;"), ""),IF($B$14&lt;Klisz_Verbräuche[[#Headers],[2050]],IF(COUNTIF($G54:Klisz_Verbräuche[[#This Row],[2045]],"&gt;0")&gt;0,IF(COUNTIF($G54:Klisz_Verbräuche[[#This Row],[2045]],"&gt;0")&gt;0,Klisz_Verbräuche[[#This Row],[2045]]*(1-$F54)^5, ""), ""),IF($B$14&gt;Klisz_Verbräuche[[#Headers],[2050]],Refsz_Verbräuche[[#This Row],[2050]],"")))</f>
        <v/>
      </c>
      <c r="AA54" s="14"/>
    </row>
    <row r="55" spans="2:27">
      <c r="B55" s="14">
        <v>38</v>
      </c>
      <c r="C55" s="197" t="str">
        <f>Refsz_Verbräuche[[#This Row],[Handlungsfeld]]</f>
        <v>Mobilität 1</v>
      </c>
      <c r="D55" s="19" t="str">
        <f>Refsz_Verbräuche[[#This Row],[Datenpunkt]]</f>
        <v>DR - Flugreisen</v>
      </c>
      <c r="E55" s="26" t="str">
        <f>Refsz_Verbräuche[[#This Row],[Einheit]]</f>
        <v>Pkm</v>
      </c>
      <c r="F55" s="108"/>
      <c r="G55" s="14" t="str">
        <f>IF(ISBLANK(Refsz_Verbräuche[[#This Row],[2015]]),"",Refsz_Verbräuche[[#This Row],[2015]])</f>
        <v/>
      </c>
      <c r="H55" s="14" t="str">
        <f>IF(ISBLANK(Refsz_Verbräuche[[#This Row],[2016]]),"",Refsz_Verbräuche[[#This Row],[2016]])</f>
        <v/>
      </c>
      <c r="I55" s="14" t="str">
        <f>IF(ISBLANK(Refsz_Verbräuche[[#This Row],[2017]]),"",Refsz_Verbräuche[[#This Row],[2017]])</f>
        <v/>
      </c>
      <c r="J55" s="14" t="str">
        <f>IF(ISBLANK(Refsz_Verbräuche[[#This Row],[2018]]),"",Refsz_Verbräuche[[#This Row],[2018]])</f>
        <v/>
      </c>
      <c r="K55" s="14" t="str">
        <f>IF(ISBLANK(Refsz_Verbräuche[[#This Row],[2019]]),"",Refsz_Verbräuche[[#This Row],[2019]])</f>
        <v/>
      </c>
      <c r="L55" s="14" t="str">
        <f>IF(ISBLANK(Refsz_Verbräuche[[#This Row],[2020]]),"",Refsz_Verbräuche[[#This Row],[2020]])</f>
        <v/>
      </c>
      <c r="M55" s="14" t="str">
        <f>IF(ISBLANK(Refsz_Verbräuche[[#This Row],[2021]]),"",Refsz_Verbräuche[[#This Row],[2021]])</f>
        <v/>
      </c>
      <c r="N55" s="49" t="str">
        <f>IF(Klisz_Verbräuche[[#Headers],[2022]]=$B$14,IF(COUNTIF($G55:Klisz_Verbräuche[[#This Row],[2021]],"&gt;0")&gt;0, AVERAGEIF($G55:Klisz_Verbräuche[[#This Row],[2021]],"&lt;&gt;"), ""),IF($B$14&lt;Klisz_Verbräuche[[#Headers],[2022]],IF(COUNTIF($G55:Klisz_Verbräuche[[#This Row],[2021]],"&gt;0")&gt;0,IF(COUNTIF($G55:Klisz_Verbräuche[[#This Row],[2021]],"&gt;0")&gt;0,Klisz_Verbräuche[[#This Row],[2021]]*(1-$F55)^1, ""), ""),IF($B$14&gt;Klisz_Verbräuche[[#Headers],[2022]],Refsz_Verbräuche[[#This Row],[2022]],"")))</f>
        <v/>
      </c>
      <c r="O55" s="49" t="str">
        <f>IF(Klisz_Verbräuche[[#Headers],[2023]]=$B$14,IF(COUNTIF($G55:Klisz_Verbräuche[[#This Row],[2022]],"&gt;0")&gt;0, AVERAGEIF($G55:Klisz_Verbräuche[[#This Row],[2022]],"&lt;&gt;"), ""),IF($B$14&lt;Klisz_Verbräuche[[#Headers],[2023]],IF(COUNTIF($G55:Klisz_Verbräuche[[#This Row],[2022]],"&gt;0")&gt;0,IF(COUNTIF($G55:Klisz_Verbräuche[[#This Row],[2022]],"&gt;0")&gt;0,Klisz_Verbräuche[[#This Row],[2022]]*(1-$F55)^1, ""), ""),IF($B$14&gt;Klisz_Verbräuche[[#Headers],[2023]],Refsz_Verbräuche[[#This Row],[2023]],"")))</f>
        <v/>
      </c>
      <c r="P55" s="49" t="str">
        <f>IF(Klisz_Verbräuche[[#Headers],[2024]]=$B$14,IF(COUNTIF($G55:Klisz_Verbräuche[[#This Row],[2023]],"&gt;0")&gt;0, AVERAGEIF($G55:Klisz_Verbräuche[[#This Row],[2023]],"&lt;&gt;"), ""),IF($B$14&lt;Klisz_Verbräuche[[#Headers],[2024]],IF(COUNTIF($G55:Klisz_Verbräuche[[#This Row],[2023]],"&gt;0")&gt;0,IF(COUNTIF($G55:Klisz_Verbräuche[[#This Row],[2023]],"&gt;0")&gt;0,Klisz_Verbräuche[[#This Row],[2023]]*(1-$F55)^1, ""), ""),IF($B$14&gt;Klisz_Verbräuche[[#Headers],[2024]],Refsz_Verbräuche[[#This Row],[2024]],"")))</f>
        <v/>
      </c>
      <c r="Q55" s="49" t="str">
        <f>IF(Klisz_Verbräuche[[#Headers],[2025]]=$B$14,IF(COUNTIF($G55:Klisz_Verbräuche[[#This Row],[2024]],"&gt;0")&gt;0, AVERAGEIF($G55:Klisz_Verbräuche[[#This Row],[2024]],"&lt;&gt;"), ""),IF($B$14&lt;Klisz_Verbräuche[[#Headers],[2025]],IF(COUNTIF($G55:Klisz_Verbräuche[[#This Row],[2024]],"&gt;0")&gt;0,IF(COUNTIF($G55:Klisz_Verbräuche[[#This Row],[2024]],"&gt;0")&gt;0,Klisz_Verbräuche[[#This Row],[2024]]*(1-$F55)^1, ""), ""),IF($B$14&gt;Klisz_Verbräuche[[#Headers],[2025]],Refsz_Verbräuche[[#This Row],[2025]],"")))</f>
        <v/>
      </c>
      <c r="R55" s="49" t="str">
        <f>IF(Klisz_Verbräuche[[#Headers],[2026]]=$B$14,IF(COUNTIF($G55:Klisz_Verbräuche[[#This Row],[2025]],"&gt;0")&gt;0, AVERAGEIF($G55:Klisz_Verbräuche[[#This Row],[2025]],"&lt;&gt;"), ""),IF($B$14&lt;Klisz_Verbräuche[[#Headers],[2026]],IF(COUNTIF($G55:Klisz_Verbräuche[[#This Row],[2025]],"&gt;0")&gt;0,IF(COUNTIF($G55:Klisz_Verbräuche[[#This Row],[2025]],"&gt;0")&gt;0,Klisz_Verbräuche[[#This Row],[2025]]*(1-$F55)^1, ""), ""),IF($B$14&gt;Klisz_Verbräuche[[#Headers],[2026]],Refsz_Verbräuche[[#This Row],[2026]],"")))</f>
        <v/>
      </c>
      <c r="S55" s="49" t="str">
        <f>IF(Klisz_Verbräuche[[#Headers],[2027]]=$B$14,IF(COUNTIF($G55:Klisz_Verbräuche[[#This Row],[2026]],"&gt;0")&gt;0, AVERAGEIF($G55:Klisz_Verbräuche[[#This Row],[2026]],"&lt;&gt;"), ""),IF($B$14&lt;Klisz_Verbräuche[[#Headers],[2027]],IF(COUNTIF($G55:Klisz_Verbräuche[[#This Row],[2026]],"&gt;0")&gt;0,IF(COUNTIF($G55:Klisz_Verbräuche[[#This Row],[2026]],"&gt;0")&gt;0,Klisz_Verbräuche[[#This Row],[2026]]*(1-$F55)^1, ""), ""),IF($B$14&gt;Klisz_Verbräuche[[#Headers],[2027]],Refsz_Verbräuche[[#This Row],[2027]],"")))</f>
        <v/>
      </c>
      <c r="T55" s="49" t="str">
        <f>IF(Klisz_Verbräuche[[#Headers],[2028]]=$B$14,IF(COUNTIF($G55:Klisz_Verbräuche[[#This Row],[2027]],"&gt;0")&gt;0, AVERAGEIF($G55:Klisz_Verbräuche[[#This Row],[2027]],"&lt;&gt;"), ""),IF($B$14&lt;Klisz_Verbräuche[[#Headers],[2028]],IF(COUNTIF($G55:Klisz_Verbräuche[[#This Row],[2027]],"&gt;0")&gt;0,IF(COUNTIF($G55:Klisz_Verbräuche[[#This Row],[2027]],"&gt;0")&gt;0,Klisz_Verbräuche[[#This Row],[2027]]*(1-$F55)^1, ""), ""),IF($B$14&gt;Klisz_Verbräuche[[#Headers],[2028]],Refsz_Verbräuche[[#This Row],[2028]],"")))</f>
        <v/>
      </c>
      <c r="U55" s="49" t="str">
        <f>IF(Klisz_Verbräuche[[#Headers],[2029]]=$B$14,IF(COUNTIF($G55:Klisz_Verbräuche[[#This Row],[2028]],"&gt;0")&gt;0, AVERAGEIF($G55:Klisz_Verbräuche[[#This Row],[2028]],"&lt;&gt;"), ""),IF($B$14&lt;Klisz_Verbräuche[[#Headers],[2029]],IF(COUNTIF($G55:Klisz_Verbräuche[[#This Row],[2028]],"&gt;0")&gt;0,IF(COUNTIF($G55:Klisz_Verbräuche[[#This Row],[2028]],"&gt;0")&gt;0,Klisz_Verbräuche[[#This Row],[2028]]*(1-$F55)^1, ""), ""),IF($B$14&gt;Klisz_Verbräuche[[#Headers],[2029]],Refsz_Verbräuche[[#This Row],[2029]],"")))</f>
        <v/>
      </c>
      <c r="V55" s="49" t="str">
        <f>IF(Klisz_Verbräuche[[#Headers],[2030]]=$B$14,IF(COUNTIF($G55:Klisz_Verbräuche[[#This Row],[2029]],"&gt;0")&gt;0, AVERAGEIF($G55:Klisz_Verbräuche[[#This Row],[2029]],"&lt;&gt;"), ""),IF($B$14&lt;Klisz_Verbräuche[[#Headers],[2030]],IF(COUNTIF($G55:Klisz_Verbräuche[[#This Row],[2029]],"&gt;0")&gt;0,IF(COUNTIF($G55:Klisz_Verbräuche[[#This Row],[2029]],"&gt;0")&gt;0,Klisz_Verbräuche[[#This Row],[2029]]*(1-$F55)^1, ""), ""),IF($B$14&gt;Klisz_Verbräuche[[#Headers],[2030]],Refsz_Verbräuche[[#This Row],[2030]],"")))</f>
        <v/>
      </c>
      <c r="W55" s="49" t="str">
        <f>IF(Klisz_Verbräuche[[#Headers],[2035]]=$B$14,IF(COUNTIF($G55:Klisz_Verbräuche[[#This Row],[2030]],"&gt;0")&gt;0, AVERAGEIF($G55:Klisz_Verbräuche[[#This Row],[2030]],"&lt;&gt;"), ""),IF($B$14&lt;Klisz_Verbräuche[[#Headers],[2035]],IF(COUNTIF($G55:Klisz_Verbräuche[[#This Row],[2030]],"&gt;0")&gt;0,IF(COUNTIF($G55:Klisz_Verbräuche[[#This Row],[2030]],"&gt;0")&gt;0,Klisz_Verbräuche[[#This Row],[2030]]*(1-$F55)^5, ""), ""),IF($B$14&gt;Klisz_Verbräuche[[#Headers],[2035]],Refsz_Verbräuche[[#This Row],[2035]],"")))</f>
        <v/>
      </c>
      <c r="X55" s="49" t="str">
        <f>IF(Klisz_Verbräuche[[#Headers],[2040]]=$B$14,IF(COUNTIF($G55:Klisz_Verbräuche[[#This Row],[2035]],"&gt;0")&gt;0, AVERAGEIF($G55:Klisz_Verbräuche[[#This Row],[2035]],"&lt;&gt;"), ""),IF($B$14&lt;Klisz_Verbräuche[[#Headers],[2040]],IF(COUNTIF($G55:Klisz_Verbräuche[[#This Row],[2035]],"&gt;0")&gt;0,IF(COUNTIF($G55:Klisz_Verbräuche[[#This Row],[2035]],"&gt;0")&gt;0,Klisz_Verbräuche[[#This Row],[2035]]*(1-$F55)^5, ""), ""),IF($B$14&gt;Klisz_Verbräuche[[#Headers],[2040]],Refsz_Verbräuche[[#This Row],[2040]],"")))</f>
        <v/>
      </c>
      <c r="Y55" s="49" t="str">
        <f>IF(Klisz_Verbräuche[[#Headers],[2045]]=$B$14,IF(COUNTIF($G55:Klisz_Verbräuche[[#This Row],[2040]],"&gt;0")&gt;0, AVERAGEIF($G55:Klisz_Verbräuche[[#This Row],[2040]],"&lt;&gt;"), ""),IF($B$14&lt;Klisz_Verbräuche[[#Headers],[2045]],IF(COUNTIF($G55:Klisz_Verbräuche[[#This Row],[2040]],"&gt;0")&gt;0,IF(COUNTIF($G55:Klisz_Verbräuche[[#This Row],[2040]],"&gt;0")&gt;0,Klisz_Verbräuche[[#This Row],[2040]]*(1-$F55)^5, ""), ""),IF($B$14&gt;Klisz_Verbräuche[[#Headers],[2045]],Refsz_Verbräuche[[#This Row],[2045]],"")))</f>
        <v/>
      </c>
      <c r="Z55" s="49" t="str">
        <f>IF(Klisz_Verbräuche[[#Headers],[2050]]=$B$14,IF(COUNTIF($G55:Klisz_Verbräuche[[#This Row],[2045]],"&gt;0")&gt;0, AVERAGEIF($G55:Klisz_Verbräuche[[#This Row],[2045]],"&lt;&gt;"), ""),IF($B$14&lt;Klisz_Verbräuche[[#Headers],[2050]],IF(COUNTIF($G55:Klisz_Verbräuche[[#This Row],[2045]],"&gt;0")&gt;0,IF(COUNTIF($G55:Klisz_Verbräuche[[#This Row],[2045]],"&gt;0")&gt;0,Klisz_Verbräuche[[#This Row],[2045]]*(1-$F55)^5, ""), ""),IF($B$14&gt;Klisz_Verbräuche[[#Headers],[2050]],Refsz_Verbräuche[[#This Row],[2050]],"")))</f>
        <v/>
      </c>
      <c r="AA55" s="14"/>
    </row>
    <row r="56" spans="2:27">
      <c r="B56" s="14">
        <v>39</v>
      </c>
      <c r="C56" s="197" t="str">
        <f>Refsz_Verbräuche[[#This Row],[Handlungsfeld]]</f>
        <v>Mobilität 1</v>
      </c>
      <c r="D56" s="19" t="str">
        <f>Refsz_Verbräuche[[#This Row],[Datenpunkt]]</f>
        <v>DR - Eisenbahn (Fernverkehr)</v>
      </c>
      <c r="E56" s="26" t="str">
        <f>Refsz_Verbräuche[[#This Row],[Einheit]]</f>
        <v>Pkm</v>
      </c>
      <c r="F56" s="108"/>
      <c r="G56" s="14" t="str">
        <f>IF(ISBLANK(Refsz_Verbräuche[[#This Row],[2015]]),"",Refsz_Verbräuche[[#This Row],[2015]])</f>
        <v/>
      </c>
      <c r="H56" s="14" t="str">
        <f>IF(ISBLANK(Refsz_Verbräuche[[#This Row],[2016]]),"",Refsz_Verbräuche[[#This Row],[2016]])</f>
        <v/>
      </c>
      <c r="I56" s="14" t="str">
        <f>IF(ISBLANK(Refsz_Verbräuche[[#This Row],[2017]]),"",Refsz_Verbräuche[[#This Row],[2017]])</f>
        <v/>
      </c>
      <c r="J56" s="14" t="str">
        <f>IF(ISBLANK(Refsz_Verbräuche[[#This Row],[2018]]),"",Refsz_Verbräuche[[#This Row],[2018]])</f>
        <v/>
      </c>
      <c r="K56" s="14" t="str">
        <f>IF(ISBLANK(Refsz_Verbräuche[[#This Row],[2019]]),"",Refsz_Verbräuche[[#This Row],[2019]])</f>
        <v/>
      </c>
      <c r="L56" s="14" t="str">
        <f>IF(ISBLANK(Refsz_Verbräuche[[#This Row],[2020]]),"",Refsz_Verbräuche[[#This Row],[2020]])</f>
        <v/>
      </c>
      <c r="M56" s="14" t="str">
        <f>IF(ISBLANK(Refsz_Verbräuche[[#This Row],[2021]]),"",Refsz_Verbräuche[[#This Row],[2021]])</f>
        <v/>
      </c>
      <c r="N56" s="49" t="str">
        <f>IF(Klisz_Verbräuche[[#Headers],[2022]]=$B$14,IF(COUNTIF($G56:Klisz_Verbräuche[[#This Row],[2021]],"&gt;0")&gt;0, AVERAGEIF($G56:Klisz_Verbräuche[[#This Row],[2021]],"&lt;&gt;"), ""),IF($B$14&lt;Klisz_Verbräuche[[#Headers],[2022]],IF(COUNTIF($G56:Klisz_Verbräuche[[#This Row],[2021]],"&gt;0")&gt;0,IF(COUNTIF($G56:Klisz_Verbräuche[[#This Row],[2021]],"&gt;0")&gt;0,Klisz_Verbräuche[[#This Row],[2021]]*(1-$F56)^1, ""), ""),IF($B$14&gt;Klisz_Verbräuche[[#Headers],[2022]],Refsz_Verbräuche[[#This Row],[2022]],"")))</f>
        <v/>
      </c>
      <c r="O56" s="49" t="str">
        <f>IF(Klisz_Verbräuche[[#Headers],[2023]]=$B$14,IF(COUNTIF($G56:Klisz_Verbräuche[[#This Row],[2022]],"&gt;0")&gt;0, AVERAGEIF($G56:Klisz_Verbräuche[[#This Row],[2022]],"&lt;&gt;"), ""),IF($B$14&lt;Klisz_Verbräuche[[#Headers],[2023]],IF(COUNTIF($G56:Klisz_Verbräuche[[#This Row],[2022]],"&gt;0")&gt;0,IF(COUNTIF($G56:Klisz_Verbräuche[[#This Row],[2022]],"&gt;0")&gt;0,Klisz_Verbräuche[[#This Row],[2022]]*(1-$F56)^1, ""), ""),IF($B$14&gt;Klisz_Verbräuche[[#Headers],[2023]],Refsz_Verbräuche[[#This Row],[2023]],"")))</f>
        <v/>
      </c>
      <c r="P56" s="49" t="str">
        <f>IF(Klisz_Verbräuche[[#Headers],[2024]]=$B$14,IF(COUNTIF($G56:Klisz_Verbräuche[[#This Row],[2023]],"&gt;0")&gt;0, AVERAGEIF($G56:Klisz_Verbräuche[[#This Row],[2023]],"&lt;&gt;"), ""),IF($B$14&lt;Klisz_Verbräuche[[#Headers],[2024]],IF(COUNTIF($G56:Klisz_Verbräuche[[#This Row],[2023]],"&gt;0")&gt;0,IF(COUNTIF($G56:Klisz_Verbräuche[[#This Row],[2023]],"&gt;0")&gt;0,Klisz_Verbräuche[[#This Row],[2023]]*(1-$F56)^1, ""), ""),IF($B$14&gt;Klisz_Verbräuche[[#Headers],[2024]],Refsz_Verbräuche[[#This Row],[2024]],"")))</f>
        <v/>
      </c>
      <c r="Q56" s="49" t="str">
        <f>IF(Klisz_Verbräuche[[#Headers],[2025]]=$B$14,IF(COUNTIF($G56:Klisz_Verbräuche[[#This Row],[2024]],"&gt;0")&gt;0, AVERAGEIF($G56:Klisz_Verbräuche[[#This Row],[2024]],"&lt;&gt;"), ""),IF($B$14&lt;Klisz_Verbräuche[[#Headers],[2025]],IF(COUNTIF($G56:Klisz_Verbräuche[[#This Row],[2024]],"&gt;0")&gt;0,IF(COUNTIF($G56:Klisz_Verbräuche[[#This Row],[2024]],"&gt;0")&gt;0,Klisz_Verbräuche[[#This Row],[2024]]*(1-$F56)^1, ""), ""),IF($B$14&gt;Klisz_Verbräuche[[#Headers],[2025]],Refsz_Verbräuche[[#This Row],[2025]],"")))</f>
        <v/>
      </c>
      <c r="R56" s="49" t="str">
        <f>IF(Klisz_Verbräuche[[#Headers],[2026]]=$B$14,IF(COUNTIF($G56:Klisz_Verbräuche[[#This Row],[2025]],"&gt;0")&gt;0, AVERAGEIF($G56:Klisz_Verbräuche[[#This Row],[2025]],"&lt;&gt;"), ""),IF($B$14&lt;Klisz_Verbräuche[[#Headers],[2026]],IF(COUNTIF($G56:Klisz_Verbräuche[[#This Row],[2025]],"&gt;0")&gt;0,IF(COUNTIF($G56:Klisz_Verbräuche[[#This Row],[2025]],"&gt;0")&gt;0,Klisz_Verbräuche[[#This Row],[2025]]*(1-$F56)^1, ""), ""),IF($B$14&gt;Klisz_Verbräuche[[#Headers],[2026]],Refsz_Verbräuche[[#This Row],[2026]],"")))</f>
        <v/>
      </c>
      <c r="S56" s="49" t="str">
        <f>IF(Klisz_Verbräuche[[#Headers],[2027]]=$B$14,IF(COUNTIF($G56:Klisz_Verbräuche[[#This Row],[2026]],"&gt;0")&gt;0, AVERAGEIF($G56:Klisz_Verbräuche[[#This Row],[2026]],"&lt;&gt;"), ""),IF($B$14&lt;Klisz_Verbräuche[[#Headers],[2027]],IF(COUNTIF($G56:Klisz_Verbräuche[[#This Row],[2026]],"&gt;0")&gt;0,IF(COUNTIF($G56:Klisz_Verbräuche[[#This Row],[2026]],"&gt;0")&gt;0,Klisz_Verbräuche[[#This Row],[2026]]*(1-$F56)^1, ""), ""),IF($B$14&gt;Klisz_Verbräuche[[#Headers],[2027]],Refsz_Verbräuche[[#This Row],[2027]],"")))</f>
        <v/>
      </c>
      <c r="T56" s="49" t="str">
        <f>IF(Klisz_Verbräuche[[#Headers],[2028]]=$B$14,IF(COUNTIF($G56:Klisz_Verbräuche[[#This Row],[2027]],"&gt;0")&gt;0, AVERAGEIF($G56:Klisz_Verbräuche[[#This Row],[2027]],"&lt;&gt;"), ""),IF($B$14&lt;Klisz_Verbräuche[[#Headers],[2028]],IF(COUNTIF($G56:Klisz_Verbräuche[[#This Row],[2027]],"&gt;0")&gt;0,IF(COUNTIF($G56:Klisz_Verbräuche[[#This Row],[2027]],"&gt;0")&gt;0,Klisz_Verbräuche[[#This Row],[2027]]*(1-$F56)^1, ""), ""),IF($B$14&gt;Klisz_Verbräuche[[#Headers],[2028]],Refsz_Verbräuche[[#This Row],[2028]],"")))</f>
        <v/>
      </c>
      <c r="U56" s="49" t="str">
        <f>IF(Klisz_Verbräuche[[#Headers],[2029]]=$B$14,IF(COUNTIF($G56:Klisz_Verbräuche[[#This Row],[2028]],"&gt;0")&gt;0, AVERAGEIF($G56:Klisz_Verbräuche[[#This Row],[2028]],"&lt;&gt;"), ""),IF($B$14&lt;Klisz_Verbräuche[[#Headers],[2029]],IF(COUNTIF($G56:Klisz_Verbräuche[[#This Row],[2028]],"&gt;0")&gt;0,IF(COUNTIF($G56:Klisz_Verbräuche[[#This Row],[2028]],"&gt;0")&gt;0,Klisz_Verbräuche[[#This Row],[2028]]*(1-$F56)^1, ""), ""),IF($B$14&gt;Klisz_Verbräuche[[#Headers],[2029]],Refsz_Verbräuche[[#This Row],[2029]],"")))</f>
        <v/>
      </c>
      <c r="V56" s="49" t="str">
        <f>IF(Klisz_Verbräuche[[#Headers],[2030]]=$B$14,IF(COUNTIF($G56:Klisz_Verbräuche[[#This Row],[2029]],"&gt;0")&gt;0, AVERAGEIF($G56:Klisz_Verbräuche[[#This Row],[2029]],"&lt;&gt;"), ""),IF($B$14&lt;Klisz_Verbräuche[[#Headers],[2030]],IF(COUNTIF($G56:Klisz_Verbräuche[[#This Row],[2029]],"&gt;0")&gt;0,IF(COUNTIF($G56:Klisz_Verbräuche[[#This Row],[2029]],"&gt;0")&gt;0,Klisz_Verbräuche[[#This Row],[2029]]*(1-$F56)^1, ""), ""),IF($B$14&gt;Klisz_Verbräuche[[#Headers],[2030]],Refsz_Verbräuche[[#This Row],[2030]],"")))</f>
        <v/>
      </c>
      <c r="W56" s="49" t="str">
        <f>IF(Klisz_Verbräuche[[#Headers],[2035]]=$B$14,IF(COUNTIF($G56:Klisz_Verbräuche[[#This Row],[2030]],"&gt;0")&gt;0, AVERAGEIF($G56:Klisz_Verbräuche[[#This Row],[2030]],"&lt;&gt;"), ""),IF($B$14&lt;Klisz_Verbräuche[[#Headers],[2035]],IF(COUNTIF($G56:Klisz_Verbräuche[[#This Row],[2030]],"&gt;0")&gt;0,IF(COUNTIF($G56:Klisz_Verbräuche[[#This Row],[2030]],"&gt;0")&gt;0,Klisz_Verbräuche[[#This Row],[2030]]*(1-$F56)^5, ""), ""),IF($B$14&gt;Klisz_Verbräuche[[#Headers],[2035]],Refsz_Verbräuche[[#This Row],[2035]],"")))</f>
        <v/>
      </c>
      <c r="X56" s="49" t="str">
        <f>IF(Klisz_Verbräuche[[#Headers],[2040]]=$B$14,IF(COUNTIF($G56:Klisz_Verbräuche[[#This Row],[2035]],"&gt;0")&gt;0, AVERAGEIF($G56:Klisz_Verbräuche[[#This Row],[2035]],"&lt;&gt;"), ""),IF($B$14&lt;Klisz_Verbräuche[[#Headers],[2040]],IF(COUNTIF($G56:Klisz_Verbräuche[[#This Row],[2035]],"&gt;0")&gt;0,IF(COUNTIF($G56:Klisz_Verbräuche[[#This Row],[2035]],"&gt;0")&gt;0,Klisz_Verbräuche[[#This Row],[2035]]*(1-$F56)^5, ""), ""),IF($B$14&gt;Klisz_Verbräuche[[#Headers],[2040]],Refsz_Verbräuche[[#This Row],[2040]],"")))</f>
        <v/>
      </c>
      <c r="Y56" s="49" t="str">
        <f>IF(Klisz_Verbräuche[[#Headers],[2045]]=$B$14,IF(COUNTIF($G56:Klisz_Verbräuche[[#This Row],[2040]],"&gt;0")&gt;0, AVERAGEIF($G56:Klisz_Verbräuche[[#This Row],[2040]],"&lt;&gt;"), ""),IF($B$14&lt;Klisz_Verbräuche[[#Headers],[2045]],IF(COUNTIF($G56:Klisz_Verbräuche[[#This Row],[2040]],"&gt;0")&gt;0,IF(COUNTIF($G56:Klisz_Verbräuche[[#This Row],[2040]],"&gt;0")&gt;0,Klisz_Verbräuche[[#This Row],[2040]]*(1-$F56)^5, ""), ""),IF($B$14&gt;Klisz_Verbräuche[[#Headers],[2045]],Refsz_Verbräuche[[#This Row],[2045]],"")))</f>
        <v/>
      </c>
      <c r="Z56" s="49" t="str">
        <f>IF(Klisz_Verbräuche[[#Headers],[2050]]=$B$14,IF(COUNTIF($G56:Klisz_Verbräuche[[#This Row],[2045]],"&gt;0")&gt;0, AVERAGEIF($G56:Klisz_Verbräuche[[#This Row],[2045]],"&lt;&gt;"), ""),IF($B$14&lt;Klisz_Verbräuche[[#Headers],[2050]],IF(COUNTIF($G56:Klisz_Verbräuche[[#This Row],[2045]],"&gt;0")&gt;0,IF(COUNTIF($G56:Klisz_Verbräuche[[#This Row],[2045]],"&gt;0")&gt;0,Klisz_Verbräuche[[#This Row],[2045]]*(1-$F56)^5, ""), ""),IF($B$14&gt;Klisz_Verbräuche[[#Headers],[2050]],Refsz_Verbräuche[[#This Row],[2050]],"")))</f>
        <v/>
      </c>
      <c r="AA56" s="14"/>
    </row>
    <row r="57" spans="2:27">
      <c r="B57" s="14">
        <v>40</v>
      </c>
      <c r="C57" s="197" t="str">
        <f>Refsz_Verbräuche[[#This Row],[Handlungsfeld]]</f>
        <v>Mobilität 1</v>
      </c>
      <c r="D57" s="19" t="str">
        <f>Refsz_Verbräuche[[#This Row],[Datenpunkt]]</f>
        <v>DR - Eisenbahn (Nahverkehr)</v>
      </c>
      <c r="E57" s="26" t="str">
        <f>Refsz_Verbräuche[[#This Row],[Einheit]]</f>
        <v>Pkm</v>
      </c>
      <c r="F57" s="108"/>
      <c r="G57" s="14" t="str">
        <f>IF(ISBLANK(Refsz_Verbräuche[[#This Row],[2015]]),"",Refsz_Verbräuche[[#This Row],[2015]])</f>
        <v/>
      </c>
      <c r="H57" s="14" t="str">
        <f>IF(ISBLANK(Refsz_Verbräuche[[#This Row],[2016]]),"",Refsz_Verbräuche[[#This Row],[2016]])</f>
        <v/>
      </c>
      <c r="I57" s="14" t="str">
        <f>IF(ISBLANK(Refsz_Verbräuche[[#This Row],[2017]]),"",Refsz_Verbräuche[[#This Row],[2017]])</f>
        <v/>
      </c>
      <c r="J57" s="14" t="str">
        <f>IF(ISBLANK(Refsz_Verbräuche[[#This Row],[2018]]),"",Refsz_Verbräuche[[#This Row],[2018]])</f>
        <v/>
      </c>
      <c r="K57" s="14" t="str">
        <f>IF(ISBLANK(Refsz_Verbräuche[[#This Row],[2019]]),"",Refsz_Verbräuche[[#This Row],[2019]])</f>
        <v/>
      </c>
      <c r="L57" s="14" t="str">
        <f>IF(ISBLANK(Refsz_Verbräuche[[#This Row],[2020]]),"",Refsz_Verbräuche[[#This Row],[2020]])</f>
        <v/>
      </c>
      <c r="M57" s="14" t="str">
        <f>IF(ISBLANK(Refsz_Verbräuche[[#This Row],[2021]]),"",Refsz_Verbräuche[[#This Row],[2021]])</f>
        <v/>
      </c>
      <c r="N57" s="49" t="str">
        <f>IF(Klisz_Verbräuche[[#Headers],[2022]]=$B$14,IF(COUNTIF($G57:Klisz_Verbräuche[[#This Row],[2021]],"&gt;0")&gt;0, AVERAGEIF($G57:Klisz_Verbräuche[[#This Row],[2021]],"&lt;&gt;"), ""),IF($B$14&lt;Klisz_Verbräuche[[#Headers],[2022]],IF(COUNTIF($G57:Klisz_Verbräuche[[#This Row],[2021]],"&gt;0")&gt;0,IF(COUNTIF($G57:Klisz_Verbräuche[[#This Row],[2021]],"&gt;0")&gt;0,Klisz_Verbräuche[[#This Row],[2021]]*(1-$F57)^1, ""), ""),IF($B$14&gt;Klisz_Verbräuche[[#Headers],[2022]],Refsz_Verbräuche[[#This Row],[2022]],"")))</f>
        <v/>
      </c>
      <c r="O57" s="49" t="str">
        <f>IF(Klisz_Verbräuche[[#Headers],[2023]]=$B$14,IF(COUNTIF($G57:Klisz_Verbräuche[[#This Row],[2022]],"&gt;0")&gt;0, AVERAGEIF($G57:Klisz_Verbräuche[[#This Row],[2022]],"&lt;&gt;"), ""),IF($B$14&lt;Klisz_Verbräuche[[#Headers],[2023]],IF(COUNTIF($G57:Klisz_Verbräuche[[#This Row],[2022]],"&gt;0")&gt;0,IF(COUNTIF($G57:Klisz_Verbräuche[[#This Row],[2022]],"&gt;0")&gt;0,Klisz_Verbräuche[[#This Row],[2022]]*(1-$F57)^1, ""), ""),IF($B$14&gt;Klisz_Verbräuche[[#Headers],[2023]],Refsz_Verbräuche[[#This Row],[2023]],"")))</f>
        <v/>
      </c>
      <c r="P57" s="49" t="str">
        <f>IF(Klisz_Verbräuche[[#Headers],[2024]]=$B$14,IF(COUNTIF($G57:Klisz_Verbräuche[[#This Row],[2023]],"&gt;0")&gt;0, AVERAGEIF($G57:Klisz_Verbräuche[[#This Row],[2023]],"&lt;&gt;"), ""),IF($B$14&lt;Klisz_Verbräuche[[#Headers],[2024]],IF(COUNTIF($G57:Klisz_Verbräuche[[#This Row],[2023]],"&gt;0")&gt;0,IF(COUNTIF($G57:Klisz_Verbräuche[[#This Row],[2023]],"&gt;0")&gt;0,Klisz_Verbräuche[[#This Row],[2023]]*(1-$F57)^1, ""), ""),IF($B$14&gt;Klisz_Verbräuche[[#Headers],[2024]],Refsz_Verbräuche[[#This Row],[2024]],"")))</f>
        <v/>
      </c>
      <c r="Q57" s="49" t="str">
        <f>IF(Klisz_Verbräuche[[#Headers],[2025]]=$B$14,IF(COUNTIF($G57:Klisz_Verbräuche[[#This Row],[2024]],"&gt;0")&gt;0, AVERAGEIF($G57:Klisz_Verbräuche[[#This Row],[2024]],"&lt;&gt;"), ""),IF($B$14&lt;Klisz_Verbräuche[[#Headers],[2025]],IF(COUNTIF($G57:Klisz_Verbräuche[[#This Row],[2024]],"&gt;0")&gt;0,IF(COUNTIF($G57:Klisz_Verbräuche[[#This Row],[2024]],"&gt;0")&gt;0,Klisz_Verbräuche[[#This Row],[2024]]*(1-$F57)^1, ""), ""),IF($B$14&gt;Klisz_Verbräuche[[#Headers],[2025]],Refsz_Verbräuche[[#This Row],[2025]],"")))</f>
        <v/>
      </c>
      <c r="R57" s="49" t="str">
        <f>IF(Klisz_Verbräuche[[#Headers],[2026]]=$B$14,IF(COUNTIF($G57:Klisz_Verbräuche[[#This Row],[2025]],"&gt;0")&gt;0, AVERAGEIF($G57:Klisz_Verbräuche[[#This Row],[2025]],"&lt;&gt;"), ""),IF($B$14&lt;Klisz_Verbräuche[[#Headers],[2026]],IF(COUNTIF($G57:Klisz_Verbräuche[[#This Row],[2025]],"&gt;0")&gt;0,IF(COUNTIF($G57:Klisz_Verbräuche[[#This Row],[2025]],"&gt;0")&gt;0,Klisz_Verbräuche[[#This Row],[2025]]*(1-$F57)^1, ""), ""),IF($B$14&gt;Klisz_Verbräuche[[#Headers],[2026]],Refsz_Verbräuche[[#This Row],[2026]],"")))</f>
        <v/>
      </c>
      <c r="S57" s="49" t="str">
        <f>IF(Klisz_Verbräuche[[#Headers],[2027]]=$B$14,IF(COUNTIF($G57:Klisz_Verbräuche[[#This Row],[2026]],"&gt;0")&gt;0, AVERAGEIF($G57:Klisz_Verbräuche[[#This Row],[2026]],"&lt;&gt;"), ""),IF($B$14&lt;Klisz_Verbräuche[[#Headers],[2027]],IF(COUNTIF($G57:Klisz_Verbräuche[[#This Row],[2026]],"&gt;0")&gt;0,IF(COUNTIF($G57:Klisz_Verbräuche[[#This Row],[2026]],"&gt;0")&gt;0,Klisz_Verbräuche[[#This Row],[2026]]*(1-$F57)^1, ""), ""),IF($B$14&gt;Klisz_Verbräuche[[#Headers],[2027]],Refsz_Verbräuche[[#This Row],[2027]],"")))</f>
        <v/>
      </c>
      <c r="T57" s="49" t="str">
        <f>IF(Klisz_Verbräuche[[#Headers],[2028]]=$B$14,IF(COUNTIF($G57:Klisz_Verbräuche[[#This Row],[2027]],"&gt;0")&gt;0, AVERAGEIF($G57:Klisz_Verbräuche[[#This Row],[2027]],"&lt;&gt;"), ""),IF($B$14&lt;Klisz_Verbräuche[[#Headers],[2028]],IF(COUNTIF($G57:Klisz_Verbräuche[[#This Row],[2027]],"&gt;0")&gt;0,IF(COUNTIF($G57:Klisz_Verbräuche[[#This Row],[2027]],"&gt;0")&gt;0,Klisz_Verbräuche[[#This Row],[2027]]*(1-$F57)^1, ""), ""),IF($B$14&gt;Klisz_Verbräuche[[#Headers],[2028]],Refsz_Verbräuche[[#This Row],[2028]],"")))</f>
        <v/>
      </c>
      <c r="U57" s="49" t="str">
        <f>IF(Klisz_Verbräuche[[#Headers],[2029]]=$B$14,IF(COUNTIF($G57:Klisz_Verbräuche[[#This Row],[2028]],"&gt;0")&gt;0, AVERAGEIF($G57:Klisz_Verbräuche[[#This Row],[2028]],"&lt;&gt;"), ""),IF($B$14&lt;Klisz_Verbräuche[[#Headers],[2029]],IF(COUNTIF($G57:Klisz_Verbräuche[[#This Row],[2028]],"&gt;0")&gt;0,IF(COUNTIF($G57:Klisz_Verbräuche[[#This Row],[2028]],"&gt;0")&gt;0,Klisz_Verbräuche[[#This Row],[2028]]*(1-$F57)^1, ""), ""),IF($B$14&gt;Klisz_Verbräuche[[#Headers],[2029]],Refsz_Verbräuche[[#This Row],[2029]],"")))</f>
        <v/>
      </c>
      <c r="V57" s="49" t="str">
        <f>IF(Klisz_Verbräuche[[#Headers],[2030]]=$B$14,IF(COUNTIF($G57:Klisz_Verbräuche[[#This Row],[2029]],"&gt;0")&gt;0, AVERAGEIF($G57:Klisz_Verbräuche[[#This Row],[2029]],"&lt;&gt;"), ""),IF($B$14&lt;Klisz_Verbräuche[[#Headers],[2030]],IF(COUNTIF($G57:Klisz_Verbräuche[[#This Row],[2029]],"&gt;0")&gt;0,IF(COUNTIF($G57:Klisz_Verbräuche[[#This Row],[2029]],"&gt;0")&gt;0,Klisz_Verbräuche[[#This Row],[2029]]*(1-$F57)^1, ""), ""),IF($B$14&gt;Klisz_Verbräuche[[#Headers],[2030]],Refsz_Verbräuche[[#This Row],[2030]],"")))</f>
        <v/>
      </c>
      <c r="W57" s="49" t="str">
        <f>IF(Klisz_Verbräuche[[#Headers],[2035]]=$B$14,IF(COUNTIF($G57:Klisz_Verbräuche[[#This Row],[2030]],"&gt;0")&gt;0, AVERAGEIF($G57:Klisz_Verbräuche[[#This Row],[2030]],"&lt;&gt;"), ""),IF($B$14&lt;Klisz_Verbräuche[[#Headers],[2035]],IF(COUNTIF($G57:Klisz_Verbräuche[[#This Row],[2030]],"&gt;0")&gt;0,IF(COUNTIF($G57:Klisz_Verbräuche[[#This Row],[2030]],"&gt;0")&gt;0,Klisz_Verbräuche[[#This Row],[2030]]*(1-$F57)^5, ""), ""),IF($B$14&gt;Klisz_Verbräuche[[#Headers],[2035]],Refsz_Verbräuche[[#This Row],[2035]],"")))</f>
        <v/>
      </c>
      <c r="X57" s="49" t="str">
        <f>IF(Klisz_Verbräuche[[#Headers],[2040]]=$B$14,IF(COUNTIF($G57:Klisz_Verbräuche[[#This Row],[2035]],"&gt;0")&gt;0, AVERAGEIF($G57:Klisz_Verbräuche[[#This Row],[2035]],"&lt;&gt;"), ""),IF($B$14&lt;Klisz_Verbräuche[[#Headers],[2040]],IF(COUNTIF($G57:Klisz_Verbräuche[[#This Row],[2035]],"&gt;0")&gt;0,IF(COUNTIF($G57:Klisz_Verbräuche[[#This Row],[2035]],"&gt;0")&gt;0,Klisz_Verbräuche[[#This Row],[2035]]*(1-$F57)^5, ""), ""),IF($B$14&gt;Klisz_Verbräuche[[#Headers],[2040]],Refsz_Verbräuche[[#This Row],[2040]],"")))</f>
        <v/>
      </c>
      <c r="Y57" s="49" t="str">
        <f>IF(Klisz_Verbräuche[[#Headers],[2045]]=$B$14,IF(COUNTIF($G57:Klisz_Verbräuche[[#This Row],[2040]],"&gt;0")&gt;0, AVERAGEIF($G57:Klisz_Verbräuche[[#This Row],[2040]],"&lt;&gt;"), ""),IF($B$14&lt;Klisz_Verbräuche[[#Headers],[2045]],IF(COUNTIF($G57:Klisz_Verbräuche[[#This Row],[2040]],"&gt;0")&gt;0,IF(COUNTIF($G57:Klisz_Verbräuche[[#This Row],[2040]],"&gt;0")&gt;0,Klisz_Verbräuche[[#This Row],[2040]]*(1-$F57)^5, ""), ""),IF($B$14&gt;Klisz_Verbräuche[[#Headers],[2045]],Refsz_Verbräuche[[#This Row],[2045]],"")))</f>
        <v/>
      </c>
      <c r="Z57" s="49" t="str">
        <f>IF(Klisz_Verbräuche[[#Headers],[2050]]=$B$14,IF(COUNTIF($G57:Klisz_Verbräuche[[#This Row],[2045]],"&gt;0")&gt;0, AVERAGEIF($G57:Klisz_Verbräuche[[#This Row],[2045]],"&lt;&gt;"), ""),IF($B$14&lt;Klisz_Verbräuche[[#Headers],[2050]],IF(COUNTIF($G57:Klisz_Verbräuche[[#This Row],[2045]],"&gt;0")&gt;0,IF(COUNTIF($G57:Klisz_Verbräuche[[#This Row],[2045]],"&gt;0")&gt;0,Klisz_Verbräuche[[#This Row],[2045]]*(1-$F57)^5, ""), ""),IF($B$14&gt;Klisz_Verbräuche[[#Headers],[2050]],Refsz_Verbräuche[[#This Row],[2050]],"")))</f>
        <v/>
      </c>
      <c r="AA57" s="14"/>
    </row>
    <row r="58" spans="2:27">
      <c r="B58" s="14">
        <v>41</v>
      </c>
      <c r="C58" s="197" t="str">
        <f>Refsz_Verbräuche[[#This Row],[Handlungsfeld]]</f>
        <v>Mobilität 1</v>
      </c>
      <c r="D58" s="19" t="str">
        <f>Refsz_Verbräuche[[#This Row],[Datenpunkt]]</f>
        <v>DR - Reisebus, Linienbus (Fernverkehr)</v>
      </c>
      <c r="E58" s="26" t="str">
        <f>Refsz_Verbräuche[[#This Row],[Einheit]]</f>
        <v>Pkm</v>
      </c>
      <c r="F58" s="108"/>
      <c r="G58" s="14" t="str">
        <f>IF(ISBLANK(Refsz_Verbräuche[[#This Row],[2015]]),"",Refsz_Verbräuche[[#This Row],[2015]])</f>
        <v/>
      </c>
      <c r="H58" s="14" t="str">
        <f>IF(ISBLANK(Refsz_Verbräuche[[#This Row],[2016]]),"",Refsz_Verbräuche[[#This Row],[2016]])</f>
        <v/>
      </c>
      <c r="I58" s="14" t="str">
        <f>IF(ISBLANK(Refsz_Verbräuche[[#This Row],[2017]]),"",Refsz_Verbräuche[[#This Row],[2017]])</f>
        <v/>
      </c>
      <c r="J58" s="14" t="str">
        <f>IF(ISBLANK(Refsz_Verbräuche[[#This Row],[2018]]),"",Refsz_Verbräuche[[#This Row],[2018]])</f>
        <v/>
      </c>
      <c r="K58" s="14" t="str">
        <f>IF(ISBLANK(Refsz_Verbräuche[[#This Row],[2019]]),"",Refsz_Verbräuche[[#This Row],[2019]])</f>
        <v/>
      </c>
      <c r="L58" s="14" t="str">
        <f>IF(ISBLANK(Refsz_Verbräuche[[#This Row],[2020]]),"",Refsz_Verbräuche[[#This Row],[2020]])</f>
        <v/>
      </c>
      <c r="M58" s="14" t="str">
        <f>IF(ISBLANK(Refsz_Verbräuche[[#This Row],[2021]]),"",Refsz_Verbräuche[[#This Row],[2021]])</f>
        <v/>
      </c>
      <c r="N58" s="49" t="str">
        <f>IF(Klisz_Verbräuche[[#Headers],[2022]]=$B$14,IF(COUNTIF($G58:Klisz_Verbräuche[[#This Row],[2021]],"&gt;0")&gt;0, AVERAGEIF($G58:Klisz_Verbräuche[[#This Row],[2021]],"&lt;&gt;"), ""),IF($B$14&lt;Klisz_Verbräuche[[#Headers],[2022]],IF(COUNTIF($G58:Klisz_Verbräuche[[#This Row],[2021]],"&gt;0")&gt;0,IF(COUNTIF($G58:Klisz_Verbräuche[[#This Row],[2021]],"&gt;0")&gt;0,Klisz_Verbräuche[[#This Row],[2021]]*(1-$F58)^1, ""), ""),IF($B$14&gt;Klisz_Verbräuche[[#Headers],[2022]],Refsz_Verbräuche[[#This Row],[2022]],"")))</f>
        <v/>
      </c>
      <c r="O58" s="49" t="str">
        <f>IF(Klisz_Verbräuche[[#Headers],[2023]]=$B$14,IF(COUNTIF($G58:Klisz_Verbräuche[[#This Row],[2022]],"&gt;0")&gt;0, AVERAGEIF($G58:Klisz_Verbräuche[[#This Row],[2022]],"&lt;&gt;"), ""),IF($B$14&lt;Klisz_Verbräuche[[#Headers],[2023]],IF(COUNTIF($G58:Klisz_Verbräuche[[#This Row],[2022]],"&gt;0")&gt;0,IF(COUNTIF($G58:Klisz_Verbräuche[[#This Row],[2022]],"&gt;0")&gt;0,Klisz_Verbräuche[[#This Row],[2022]]*(1-$F58)^1, ""), ""),IF($B$14&gt;Klisz_Verbräuche[[#Headers],[2023]],Refsz_Verbräuche[[#This Row],[2023]],"")))</f>
        <v/>
      </c>
      <c r="P58" s="49" t="str">
        <f>IF(Klisz_Verbräuche[[#Headers],[2024]]=$B$14,IF(COUNTIF($G58:Klisz_Verbräuche[[#This Row],[2023]],"&gt;0")&gt;0, AVERAGEIF($G58:Klisz_Verbräuche[[#This Row],[2023]],"&lt;&gt;"), ""),IF($B$14&lt;Klisz_Verbräuche[[#Headers],[2024]],IF(COUNTIF($G58:Klisz_Verbräuche[[#This Row],[2023]],"&gt;0")&gt;0,IF(COUNTIF($G58:Klisz_Verbräuche[[#This Row],[2023]],"&gt;0")&gt;0,Klisz_Verbräuche[[#This Row],[2023]]*(1-$F58)^1, ""), ""),IF($B$14&gt;Klisz_Verbräuche[[#Headers],[2024]],Refsz_Verbräuche[[#This Row],[2024]],"")))</f>
        <v/>
      </c>
      <c r="Q58" s="49" t="str">
        <f>IF(Klisz_Verbräuche[[#Headers],[2025]]=$B$14,IF(COUNTIF($G58:Klisz_Verbräuche[[#This Row],[2024]],"&gt;0")&gt;0, AVERAGEIF($G58:Klisz_Verbräuche[[#This Row],[2024]],"&lt;&gt;"), ""),IF($B$14&lt;Klisz_Verbräuche[[#Headers],[2025]],IF(COUNTIF($G58:Klisz_Verbräuche[[#This Row],[2024]],"&gt;0")&gt;0,IF(COUNTIF($G58:Klisz_Verbräuche[[#This Row],[2024]],"&gt;0")&gt;0,Klisz_Verbräuche[[#This Row],[2024]]*(1-$F58)^1, ""), ""),IF($B$14&gt;Klisz_Verbräuche[[#Headers],[2025]],Refsz_Verbräuche[[#This Row],[2025]],"")))</f>
        <v/>
      </c>
      <c r="R58" s="49" t="str">
        <f>IF(Klisz_Verbräuche[[#Headers],[2026]]=$B$14,IF(COUNTIF($G58:Klisz_Verbräuche[[#This Row],[2025]],"&gt;0")&gt;0, AVERAGEIF($G58:Klisz_Verbräuche[[#This Row],[2025]],"&lt;&gt;"), ""),IF($B$14&lt;Klisz_Verbräuche[[#Headers],[2026]],IF(COUNTIF($G58:Klisz_Verbräuche[[#This Row],[2025]],"&gt;0")&gt;0,IF(COUNTIF($G58:Klisz_Verbräuche[[#This Row],[2025]],"&gt;0")&gt;0,Klisz_Verbräuche[[#This Row],[2025]]*(1-$F58)^1, ""), ""),IF($B$14&gt;Klisz_Verbräuche[[#Headers],[2026]],Refsz_Verbräuche[[#This Row],[2026]],"")))</f>
        <v/>
      </c>
      <c r="S58" s="49" t="str">
        <f>IF(Klisz_Verbräuche[[#Headers],[2027]]=$B$14,IF(COUNTIF($G58:Klisz_Verbräuche[[#This Row],[2026]],"&gt;0")&gt;0, AVERAGEIF($G58:Klisz_Verbräuche[[#This Row],[2026]],"&lt;&gt;"), ""),IF($B$14&lt;Klisz_Verbräuche[[#Headers],[2027]],IF(COUNTIF($G58:Klisz_Verbräuche[[#This Row],[2026]],"&gt;0")&gt;0,IF(COUNTIF($G58:Klisz_Verbräuche[[#This Row],[2026]],"&gt;0")&gt;0,Klisz_Verbräuche[[#This Row],[2026]]*(1-$F58)^1, ""), ""),IF($B$14&gt;Klisz_Verbräuche[[#Headers],[2027]],Refsz_Verbräuche[[#This Row],[2027]],"")))</f>
        <v/>
      </c>
      <c r="T58" s="49" t="str">
        <f>IF(Klisz_Verbräuche[[#Headers],[2028]]=$B$14,IF(COUNTIF($G58:Klisz_Verbräuche[[#This Row],[2027]],"&gt;0")&gt;0, AVERAGEIF($G58:Klisz_Verbräuche[[#This Row],[2027]],"&lt;&gt;"), ""),IF($B$14&lt;Klisz_Verbräuche[[#Headers],[2028]],IF(COUNTIF($G58:Klisz_Verbräuche[[#This Row],[2027]],"&gt;0")&gt;0,IF(COUNTIF($G58:Klisz_Verbräuche[[#This Row],[2027]],"&gt;0")&gt;0,Klisz_Verbräuche[[#This Row],[2027]]*(1-$F58)^1, ""), ""),IF($B$14&gt;Klisz_Verbräuche[[#Headers],[2028]],Refsz_Verbräuche[[#This Row],[2028]],"")))</f>
        <v/>
      </c>
      <c r="U58" s="49" t="str">
        <f>IF(Klisz_Verbräuche[[#Headers],[2029]]=$B$14,IF(COUNTIF($G58:Klisz_Verbräuche[[#This Row],[2028]],"&gt;0")&gt;0, AVERAGEIF($G58:Klisz_Verbräuche[[#This Row],[2028]],"&lt;&gt;"), ""),IF($B$14&lt;Klisz_Verbräuche[[#Headers],[2029]],IF(COUNTIF($G58:Klisz_Verbräuche[[#This Row],[2028]],"&gt;0")&gt;0,IF(COUNTIF($G58:Klisz_Verbräuche[[#This Row],[2028]],"&gt;0")&gt;0,Klisz_Verbräuche[[#This Row],[2028]]*(1-$F58)^1, ""), ""),IF($B$14&gt;Klisz_Verbräuche[[#Headers],[2029]],Refsz_Verbräuche[[#This Row],[2029]],"")))</f>
        <v/>
      </c>
      <c r="V58" s="49" t="str">
        <f>IF(Klisz_Verbräuche[[#Headers],[2030]]=$B$14,IF(COUNTIF($G58:Klisz_Verbräuche[[#This Row],[2029]],"&gt;0")&gt;0, AVERAGEIF($G58:Klisz_Verbräuche[[#This Row],[2029]],"&lt;&gt;"), ""),IF($B$14&lt;Klisz_Verbräuche[[#Headers],[2030]],IF(COUNTIF($G58:Klisz_Verbräuche[[#This Row],[2029]],"&gt;0")&gt;0,IF(COUNTIF($G58:Klisz_Verbräuche[[#This Row],[2029]],"&gt;0")&gt;0,Klisz_Verbräuche[[#This Row],[2029]]*(1-$F58)^1, ""), ""),IF($B$14&gt;Klisz_Verbräuche[[#Headers],[2030]],Refsz_Verbräuche[[#This Row],[2030]],"")))</f>
        <v/>
      </c>
      <c r="W58" s="49" t="str">
        <f>IF(Klisz_Verbräuche[[#Headers],[2035]]=$B$14,IF(COUNTIF($G58:Klisz_Verbräuche[[#This Row],[2030]],"&gt;0")&gt;0, AVERAGEIF($G58:Klisz_Verbräuche[[#This Row],[2030]],"&lt;&gt;"), ""),IF($B$14&lt;Klisz_Verbräuche[[#Headers],[2035]],IF(COUNTIF($G58:Klisz_Verbräuche[[#This Row],[2030]],"&gt;0")&gt;0,IF(COUNTIF($G58:Klisz_Verbräuche[[#This Row],[2030]],"&gt;0")&gt;0,Klisz_Verbräuche[[#This Row],[2030]]*(1-$F58)^5, ""), ""),IF($B$14&gt;Klisz_Verbräuche[[#Headers],[2035]],Refsz_Verbräuche[[#This Row],[2035]],"")))</f>
        <v/>
      </c>
      <c r="X58" s="49" t="str">
        <f>IF(Klisz_Verbräuche[[#Headers],[2040]]=$B$14,IF(COUNTIF($G58:Klisz_Verbräuche[[#This Row],[2035]],"&gt;0")&gt;0, AVERAGEIF($G58:Klisz_Verbräuche[[#This Row],[2035]],"&lt;&gt;"), ""),IF($B$14&lt;Klisz_Verbräuche[[#Headers],[2040]],IF(COUNTIF($G58:Klisz_Verbräuche[[#This Row],[2035]],"&gt;0")&gt;0,IF(COUNTIF($G58:Klisz_Verbräuche[[#This Row],[2035]],"&gt;0")&gt;0,Klisz_Verbräuche[[#This Row],[2035]]*(1-$F58)^5, ""), ""),IF($B$14&gt;Klisz_Verbräuche[[#Headers],[2040]],Refsz_Verbräuche[[#This Row],[2040]],"")))</f>
        <v/>
      </c>
      <c r="Y58" s="49" t="str">
        <f>IF(Klisz_Verbräuche[[#Headers],[2045]]=$B$14,IF(COUNTIF($G58:Klisz_Verbräuche[[#This Row],[2040]],"&gt;0")&gt;0, AVERAGEIF($G58:Klisz_Verbräuche[[#This Row],[2040]],"&lt;&gt;"), ""),IF($B$14&lt;Klisz_Verbräuche[[#Headers],[2045]],IF(COUNTIF($G58:Klisz_Verbräuche[[#This Row],[2040]],"&gt;0")&gt;0,IF(COUNTIF($G58:Klisz_Verbräuche[[#This Row],[2040]],"&gt;0")&gt;0,Klisz_Verbräuche[[#This Row],[2040]]*(1-$F58)^5, ""), ""),IF($B$14&gt;Klisz_Verbräuche[[#Headers],[2045]],Refsz_Verbräuche[[#This Row],[2045]],"")))</f>
        <v/>
      </c>
      <c r="Z58" s="49" t="str">
        <f>IF(Klisz_Verbräuche[[#Headers],[2050]]=$B$14,IF(COUNTIF($G58:Klisz_Verbräuche[[#This Row],[2045]],"&gt;0")&gt;0, AVERAGEIF($G58:Klisz_Verbräuche[[#This Row],[2045]],"&lt;&gt;"), ""),IF($B$14&lt;Klisz_Verbräuche[[#Headers],[2050]],IF(COUNTIF($G58:Klisz_Verbräuche[[#This Row],[2045]],"&gt;0")&gt;0,IF(COUNTIF($G58:Klisz_Verbräuche[[#This Row],[2045]],"&gt;0")&gt;0,Klisz_Verbräuche[[#This Row],[2045]]*(1-$F58)^5, ""), ""),IF($B$14&gt;Klisz_Verbräuche[[#Headers],[2050]],Refsz_Verbräuche[[#This Row],[2050]],"")))</f>
        <v/>
      </c>
      <c r="AA58" s="14"/>
    </row>
    <row r="59" spans="2:27">
      <c r="B59" s="14">
        <v>42</v>
      </c>
      <c r="C59" s="197" t="str">
        <f>Refsz_Verbräuche[[#This Row],[Handlungsfeld]]</f>
        <v>Mobilität 1</v>
      </c>
      <c r="D59" s="19" t="str">
        <f>Refsz_Verbräuche[[#This Row],[Datenpunkt]]</f>
        <v>DR - Linienbus (Nahverkehr)</v>
      </c>
      <c r="E59" s="26" t="str">
        <f>Refsz_Verbräuche[[#This Row],[Einheit]]</f>
        <v>Pkm</v>
      </c>
      <c r="F59" s="108"/>
      <c r="G59" s="14" t="str">
        <f>IF(ISBLANK(Refsz_Verbräuche[[#This Row],[2015]]),"",Refsz_Verbräuche[[#This Row],[2015]])</f>
        <v/>
      </c>
      <c r="H59" s="14" t="str">
        <f>IF(ISBLANK(Refsz_Verbräuche[[#This Row],[2016]]),"",Refsz_Verbräuche[[#This Row],[2016]])</f>
        <v/>
      </c>
      <c r="I59" s="14" t="str">
        <f>IF(ISBLANK(Refsz_Verbräuche[[#This Row],[2017]]),"",Refsz_Verbräuche[[#This Row],[2017]])</f>
        <v/>
      </c>
      <c r="J59" s="14" t="str">
        <f>IF(ISBLANK(Refsz_Verbräuche[[#This Row],[2018]]),"",Refsz_Verbräuche[[#This Row],[2018]])</f>
        <v/>
      </c>
      <c r="K59" s="14" t="str">
        <f>IF(ISBLANK(Refsz_Verbräuche[[#This Row],[2019]]),"",Refsz_Verbräuche[[#This Row],[2019]])</f>
        <v/>
      </c>
      <c r="L59" s="14" t="str">
        <f>IF(ISBLANK(Refsz_Verbräuche[[#This Row],[2020]]),"",Refsz_Verbräuche[[#This Row],[2020]])</f>
        <v/>
      </c>
      <c r="M59" s="14" t="str">
        <f>IF(ISBLANK(Refsz_Verbräuche[[#This Row],[2021]]),"",Refsz_Verbräuche[[#This Row],[2021]])</f>
        <v/>
      </c>
      <c r="N59" s="49" t="str">
        <f>IF(Klisz_Verbräuche[[#Headers],[2022]]=$B$14,IF(COUNTIF($G59:Klisz_Verbräuche[[#This Row],[2021]],"&gt;0")&gt;0, AVERAGEIF($G59:Klisz_Verbräuche[[#This Row],[2021]],"&lt;&gt;"), ""),IF($B$14&lt;Klisz_Verbräuche[[#Headers],[2022]],IF(COUNTIF($G59:Klisz_Verbräuche[[#This Row],[2021]],"&gt;0")&gt;0,IF(COUNTIF($G59:Klisz_Verbräuche[[#This Row],[2021]],"&gt;0")&gt;0,Klisz_Verbräuche[[#This Row],[2021]]*(1-$F59)^1, ""), ""),IF($B$14&gt;Klisz_Verbräuche[[#Headers],[2022]],Refsz_Verbräuche[[#This Row],[2022]],"")))</f>
        <v/>
      </c>
      <c r="O59" s="49" t="str">
        <f>IF(Klisz_Verbräuche[[#Headers],[2023]]=$B$14,IF(COUNTIF($G59:Klisz_Verbräuche[[#This Row],[2022]],"&gt;0")&gt;0, AVERAGEIF($G59:Klisz_Verbräuche[[#This Row],[2022]],"&lt;&gt;"), ""),IF($B$14&lt;Klisz_Verbräuche[[#Headers],[2023]],IF(COUNTIF($G59:Klisz_Verbräuche[[#This Row],[2022]],"&gt;0")&gt;0,IF(COUNTIF($G59:Klisz_Verbräuche[[#This Row],[2022]],"&gt;0")&gt;0,Klisz_Verbräuche[[#This Row],[2022]]*(1-$F59)^1, ""), ""),IF($B$14&gt;Klisz_Verbräuche[[#Headers],[2023]],Refsz_Verbräuche[[#This Row],[2023]],"")))</f>
        <v/>
      </c>
      <c r="P59" s="49" t="str">
        <f>IF(Klisz_Verbräuche[[#Headers],[2024]]=$B$14,IF(COUNTIF($G59:Klisz_Verbräuche[[#This Row],[2023]],"&gt;0")&gt;0, AVERAGEIF($G59:Klisz_Verbräuche[[#This Row],[2023]],"&lt;&gt;"), ""),IF($B$14&lt;Klisz_Verbräuche[[#Headers],[2024]],IF(COUNTIF($G59:Klisz_Verbräuche[[#This Row],[2023]],"&gt;0")&gt;0,IF(COUNTIF($G59:Klisz_Verbräuche[[#This Row],[2023]],"&gt;0")&gt;0,Klisz_Verbräuche[[#This Row],[2023]]*(1-$F59)^1, ""), ""),IF($B$14&gt;Klisz_Verbräuche[[#Headers],[2024]],Refsz_Verbräuche[[#This Row],[2024]],"")))</f>
        <v/>
      </c>
      <c r="Q59" s="49" t="str">
        <f>IF(Klisz_Verbräuche[[#Headers],[2025]]=$B$14,IF(COUNTIF($G59:Klisz_Verbräuche[[#This Row],[2024]],"&gt;0")&gt;0, AVERAGEIF($G59:Klisz_Verbräuche[[#This Row],[2024]],"&lt;&gt;"), ""),IF($B$14&lt;Klisz_Verbräuche[[#Headers],[2025]],IF(COUNTIF($G59:Klisz_Verbräuche[[#This Row],[2024]],"&gt;0")&gt;0,IF(COUNTIF($G59:Klisz_Verbräuche[[#This Row],[2024]],"&gt;0")&gt;0,Klisz_Verbräuche[[#This Row],[2024]]*(1-$F59)^1, ""), ""),IF($B$14&gt;Klisz_Verbräuche[[#Headers],[2025]],Refsz_Verbräuche[[#This Row],[2025]],"")))</f>
        <v/>
      </c>
      <c r="R59" s="49" t="str">
        <f>IF(Klisz_Verbräuche[[#Headers],[2026]]=$B$14,IF(COUNTIF($G59:Klisz_Verbräuche[[#This Row],[2025]],"&gt;0")&gt;0, AVERAGEIF($G59:Klisz_Verbräuche[[#This Row],[2025]],"&lt;&gt;"), ""),IF($B$14&lt;Klisz_Verbräuche[[#Headers],[2026]],IF(COUNTIF($G59:Klisz_Verbräuche[[#This Row],[2025]],"&gt;0")&gt;0,IF(COUNTIF($G59:Klisz_Verbräuche[[#This Row],[2025]],"&gt;0")&gt;0,Klisz_Verbräuche[[#This Row],[2025]]*(1-$F59)^1, ""), ""),IF($B$14&gt;Klisz_Verbräuche[[#Headers],[2026]],Refsz_Verbräuche[[#This Row],[2026]],"")))</f>
        <v/>
      </c>
      <c r="S59" s="49" t="str">
        <f>IF(Klisz_Verbräuche[[#Headers],[2027]]=$B$14,IF(COUNTIF($G59:Klisz_Verbräuche[[#This Row],[2026]],"&gt;0")&gt;0, AVERAGEIF($G59:Klisz_Verbräuche[[#This Row],[2026]],"&lt;&gt;"), ""),IF($B$14&lt;Klisz_Verbräuche[[#Headers],[2027]],IF(COUNTIF($G59:Klisz_Verbräuche[[#This Row],[2026]],"&gt;0")&gt;0,IF(COUNTIF($G59:Klisz_Verbräuche[[#This Row],[2026]],"&gt;0")&gt;0,Klisz_Verbräuche[[#This Row],[2026]]*(1-$F59)^1, ""), ""),IF($B$14&gt;Klisz_Verbräuche[[#Headers],[2027]],Refsz_Verbräuche[[#This Row],[2027]],"")))</f>
        <v/>
      </c>
      <c r="T59" s="49" t="str">
        <f>IF(Klisz_Verbräuche[[#Headers],[2028]]=$B$14,IF(COUNTIF($G59:Klisz_Verbräuche[[#This Row],[2027]],"&gt;0")&gt;0, AVERAGEIF($G59:Klisz_Verbräuche[[#This Row],[2027]],"&lt;&gt;"), ""),IF($B$14&lt;Klisz_Verbräuche[[#Headers],[2028]],IF(COUNTIF($G59:Klisz_Verbräuche[[#This Row],[2027]],"&gt;0")&gt;0,IF(COUNTIF($G59:Klisz_Verbräuche[[#This Row],[2027]],"&gt;0")&gt;0,Klisz_Verbräuche[[#This Row],[2027]]*(1-$F59)^1, ""), ""),IF($B$14&gt;Klisz_Verbräuche[[#Headers],[2028]],Refsz_Verbräuche[[#This Row],[2028]],"")))</f>
        <v/>
      </c>
      <c r="U59" s="49" t="str">
        <f>IF(Klisz_Verbräuche[[#Headers],[2029]]=$B$14,IF(COUNTIF($G59:Klisz_Verbräuche[[#This Row],[2028]],"&gt;0")&gt;0, AVERAGEIF($G59:Klisz_Verbräuche[[#This Row],[2028]],"&lt;&gt;"), ""),IF($B$14&lt;Klisz_Verbräuche[[#Headers],[2029]],IF(COUNTIF($G59:Klisz_Verbräuche[[#This Row],[2028]],"&gt;0")&gt;0,IF(COUNTIF($G59:Klisz_Verbräuche[[#This Row],[2028]],"&gt;0")&gt;0,Klisz_Verbräuche[[#This Row],[2028]]*(1-$F59)^1, ""), ""),IF($B$14&gt;Klisz_Verbräuche[[#Headers],[2029]],Refsz_Verbräuche[[#This Row],[2029]],"")))</f>
        <v/>
      </c>
      <c r="V59" s="49" t="str">
        <f>IF(Klisz_Verbräuche[[#Headers],[2030]]=$B$14,IF(COUNTIF($G59:Klisz_Verbräuche[[#This Row],[2029]],"&gt;0")&gt;0, AVERAGEIF($G59:Klisz_Verbräuche[[#This Row],[2029]],"&lt;&gt;"), ""),IF($B$14&lt;Klisz_Verbräuche[[#Headers],[2030]],IF(COUNTIF($G59:Klisz_Verbräuche[[#This Row],[2029]],"&gt;0")&gt;0,IF(COUNTIF($G59:Klisz_Verbräuche[[#This Row],[2029]],"&gt;0")&gt;0,Klisz_Verbräuche[[#This Row],[2029]]*(1-$F59)^1, ""), ""),IF($B$14&gt;Klisz_Verbräuche[[#Headers],[2030]],Refsz_Verbräuche[[#This Row],[2030]],"")))</f>
        <v/>
      </c>
      <c r="W59" s="49" t="str">
        <f>IF(Klisz_Verbräuche[[#Headers],[2035]]=$B$14,IF(COUNTIF($G59:Klisz_Verbräuche[[#This Row],[2030]],"&gt;0")&gt;0, AVERAGEIF($G59:Klisz_Verbräuche[[#This Row],[2030]],"&lt;&gt;"), ""),IF($B$14&lt;Klisz_Verbräuche[[#Headers],[2035]],IF(COUNTIF($G59:Klisz_Verbräuche[[#This Row],[2030]],"&gt;0")&gt;0,IF(COUNTIF($G59:Klisz_Verbräuche[[#This Row],[2030]],"&gt;0")&gt;0,Klisz_Verbräuche[[#This Row],[2030]]*(1-$F59)^5, ""), ""),IF($B$14&gt;Klisz_Verbräuche[[#Headers],[2035]],Refsz_Verbräuche[[#This Row],[2035]],"")))</f>
        <v/>
      </c>
      <c r="X59" s="49" t="str">
        <f>IF(Klisz_Verbräuche[[#Headers],[2040]]=$B$14,IF(COUNTIF($G59:Klisz_Verbräuche[[#This Row],[2035]],"&gt;0")&gt;0, AVERAGEIF($G59:Klisz_Verbräuche[[#This Row],[2035]],"&lt;&gt;"), ""),IF($B$14&lt;Klisz_Verbräuche[[#Headers],[2040]],IF(COUNTIF($G59:Klisz_Verbräuche[[#This Row],[2035]],"&gt;0")&gt;0,IF(COUNTIF($G59:Klisz_Verbräuche[[#This Row],[2035]],"&gt;0")&gt;0,Klisz_Verbräuche[[#This Row],[2035]]*(1-$F59)^5, ""), ""),IF($B$14&gt;Klisz_Verbräuche[[#Headers],[2040]],Refsz_Verbräuche[[#This Row],[2040]],"")))</f>
        <v/>
      </c>
      <c r="Y59" s="49" t="str">
        <f>IF(Klisz_Verbräuche[[#Headers],[2045]]=$B$14,IF(COUNTIF($G59:Klisz_Verbräuche[[#This Row],[2040]],"&gt;0")&gt;0, AVERAGEIF($G59:Klisz_Verbräuche[[#This Row],[2040]],"&lt;&gt;"), ""),IF($B$14&lt;Klisz_Verbräuche[[#Headers],[2045]],IF(COUNTIF($G59:Klisz_Verbräuche[[#This Row],[2040]],"&gt;0")&gt;0,IF(COUNTIF($G59:Klisz_Verbräuche[[#This Row],[2040]],"&gt;0")&gt;0,Klisz_Verbräuche[[#This Row],[2040]]*(1-$F59)^5, ""), ""),IF($B$14&gt;Klisz_Verbräuche[[#Headers],[2045]],Refsz_Verbräuche[[#This Row],[2045]],"")))</f>
        <v/>
      </c>
      <c r="Z59" s="49" t="str">
        <f>IF(Klisz_Verbräuche[[#Headers],[2050]]=$B$14,IF(COUNTIF($G59:Klisz_Verbräuche[[#This Row],[2045]],"&gt;0")&gt;0, AVERAGEIF($G59:Klisz_Verbräuche[[#This Row],[2045]],"&lt;&gt;"), ""),IF($B$14&lt;Klisz_Verbräuche[[#Headers],[2050]],IF(COUNTIF($G59:Klisz_Verbräuche[[#This Row],[2045]],"&gt;0")&gt;0,IF(COUNTIF($G59:Klisz_Verbräuche[[#This Row],[2045]],"&gt;0")&gt;0,Klisz_Verbräuche[[#This Row],[2045]]*(1-$F59)^5, ""), ""),IF($B$14&gt;Klisz_Verbräuche[[#Headers],[2050]],Refsz_Verbräuche[[#This Row],[2050]],"")))</f>
        <v/>
      </c>
      <c r="AA59" s="14"/>
    </row>
    <row r="60" spans="2:27">
      <c r="B60" s="14">
        <v>43</v>
      </c>
      <c r="C60" s="197" t="str">
        <f>Refsz_Verbräuche[[#This Row],[Handlungsfeld]]</f>
        <v>Mobilität 1</v>
      </c>
      <c r="D60" s="19" t="str">
        <f>Refsz_Verbräuche[[#This Row],[Datenpunkt]]</f>
        <v>DR - Privater PKW (alle Antriebsarten)</v>
      </c>
      <c r="E60" s="26" t="str">
        <f>Refsz_Verbräuche[[#This Row],[Einheit]]</f>
        <v>Fkm</v>
      </c>
      <c r="F60" s="108"/>
      <c r="G60" s="14" t="str">
        <f>IF(ISBLANK(Refsz_Verbräuche[[#This Row],[2015]]),"",Refsz_Verbräuche[[#This Row],[2015]])</f>
        <v/>
      </c>
      <c r="H60" s="14" t="str">
        <f>IF(ISBLANK(Refsz_Verbräuche[[#This Row],[2016]]),"",Refsz_Verbräuche[[#This Row],[2016]])</f>
        <v/>
      </c>
      <c r="I60" s="14" t="str">
        <f>IF(ISBLANK(Refsz_Verbräuche[[#This Row],[2017]]),"",Refsz_Verbräuche[[#This Row],[2017]])</f>
        <v/>
      </c>
      <c r="J60" s="14" t="str">
        <f>IF(ISBLANK(Refsz_Verbräuche[[#This Row],[2018]]),"",Refsz_Verbräuche[[#This Row],[2018]])</f>
        <v/>
      </c>
      <c r="K60" s="14" t="str">
        <f>IF(ISBLANK(Refsz_Verbräuche[[#This Row],[2019]]),"",Refsz_Verbräuche[[#This Row],[2019]])</f>
        <v/>
      </c>
      <c r="L60" s="14" t="str">
        <f>IF(ISBLANK(Refsz_Verbräuche[[#This Row],[2020]]),"",Refsz_Verbräuche[[#This Row],[2020]])</f>
        <v/>
      </c>
      <c r="M60" s="14" t="str">
        <f>IF(ISBLANK(Refsz_Verbräuche[[#This Row],[2021]]),"",Refsz_Verbräuche[[#This Row],[2021]])</f>
        <v/>
      </c>
      <c r="N60" s="49" t="str">
        <f>IF(Klisz_Verbräuche[[#Headers],[2022]]=$B$14,IF(COUNTIF($G60:Klisz_Verbräuche[[#This Row],[2021]],"&gt;0")&gt;0, AVERAGEIF($G60:Klisz_Verbräuche[[#This Row],[2021]],"&lt;&gt;"), ""),IF($B$14&lt;Klisz_Verbräuche[[#Headers],[2022]],IF(COUNTIF($G60:Klisz_Verbräuche[[#This Row],[2021]],"&gt;0")&gt;0,IF(COUNTIF($G60:Klisz_Verbräuche[[#This Row],[2021]],"&gt;0")&gt;0,Klisz_Verbräuche[[#This Row],[2021]]*(1-$F60)^1, ""), ""),IF($B$14&gt;Klisz_Verbräuche[[#Headers],[2022]],Refsz_Verbräuche[[#This Row],[2022]],"")))</f>
        <v/>
      </c>
      <c r="O60" s="49" t="str">
        <f>IF(Klisz_Verbräuche[[#Headers],[2023]]=$B$14,IF(COUNTIF($G60:Klisz_Verbräuche[[#This Row],[2022]],"&gt;0")&gt;0, AVERAGEIF($G60:Klisz_Verbräuche[[#This Row],[2022]],"&lt;&gt;"), ""),IF($B$14&lt;Klisz_Verbräuche[[#Headers],[2023]],IF(COUNTIF($G60:Klisz_Verbräuche[[#This Row],[2022]],"&gt;0")&gt;0,IF(COUNTIF($G60:Klisz_Verbräuche[[#This Row],[2022]],"&gt;0")&gt;0,Klisz_Verbräuche[[#This Row],[2022]]*(1-$F60)^1, ""), ""),IF($B$14&gt;Klisz_Verbräuche[[#Headers],[2023]],Refsz_Verbräuche[[#This Row],[2023]],"")))</f>
        <v/>
      </c>
      <c r="P60" s="49" t="str">
        <f>IF(Klisz_Verbräuche[[#Headers],[2024]]=$B$14,IF(COUNTIF($G60:Klisz_Verbräuche[[#This Row],[2023]],"&gt;0")&gt;0, AVERAGEIF($G60:Klisz_Verbräuche[[#This Row],[2023]],"&lt;&gt;"), ""),IF($B$14&lt;Klisz_Verbräuche[[#Headers],[2024]],IF(COUNTIF($G60:Klisz_Verbräuche[[#This Row],[2023]],"&gt;0")&gt;0,IF(COUNTIF($G60:Klisz_Verbräuche[[#This Row],[2023]],"&gt;0")&gt;0,Klisz_Verbräuche[[#This Row],[2023]]*(1-$F60)^1, ""), ""),IF($B$14&gt;Klisz_Verbräuche[[#Headers],[2024]],Refsz_Verbräuche[[#This Row],[2024]],"")))</f>
        <v/>
      </c>
      <c r="Q60" s="49" t="str">
        <f>IF(Klisz_Verbräuche[[#Headers],[2025]]=$B$14,IF(COUNTIF($G60:Klisz_Verbräuche[[#This Row],[2024]],"&gt;0")&gt;0, AVERAGEIF($G60:Klisz_Verbräuche[[#This Row],[2024]],"&lt;&gt;"), ""),IF($B$14&lt;Klisz_Verbräuche[[#Headers],[2025]],IF(COUNTIF($G60:Klisz_Verbräuche[[#This Row],[2024]],"&gt;0")&gt;0,IF(COUNTIF($G60:Klisz_Verbräuche[[#This Row],[2024]],"&gt;0")&gt;0,Klisz_Verbräuche[[#This Row],[2024]]*(1-$F60)^1, ""), ""),IF($B$14&gt;Klisz_Verbräuche[[#Headers],[2025]],Refsz_Verbräuche[[#This Row],[2025]],"")))</f>
        <v/>
      </c>
      <c r="R60" s="49" t="str">
        <f>IF(Klisz_Verbräuche[[#Headers],[2026]]=$B$14,IF(COUNTIF($G60:Klisz_Verbräuche[[#This Row],[2025]],"&gt;0")&gt;0, AVERAGEIF($G60:Klisz_Verbräuche[[#This Row],[2025]],"&lt;&gt;"), ""),IF($B$14&lt;Klisz_Verbräuche[[#Headers],[2026]],IF(COUNTIF($G60:Klisz_Verbräuche[[#This Row],[2025]],"&gt;0")&gt;0,IF(COUNTIF($G60:Klisz_Verbräuche[[#This Row],[2025]],"&gt;0")&gt;0,Klisz_Verbräuche[[#This Row],[2025]]*(1-$F60)^1, ""), ""),IF($B$14&gt;Klisz_Verbräuche[[#Headers],[2026]],Refsz_Verbräuche[[#This Row],[2026]],"")))</f>
        <v/>
      </c>
      <c r="S60" s="49" t="str">
        <f>IF(Klisz_Verbräuche[[#Headers],[2027]]=$B$14,IF(COUNTIF($G60:Klisz_Verbräuche[[#This Row],[2026]],"&gt;0")&gt;0, AVERAGEIF($G60:Klisz_Verbräuche[[#This Row],[2026]],"&lt;&gt;"), ""),IF($B$14&lt;Klisz_Verbräuche[[#Headers],[2027]],IF(COUNTIF($G60:Klisz_Verbräuche[[#This Row],[2026]],"&gt;0")&gt;0,IF(COUNTIF($G60:Klisz_Verbräuche[[#This Row],[2026]],"&gt;0")&gt;0,Klisz_Verbräuche[[#This Row],[2026]]*(1-$F60)^1, ""), ""),IF($B$14&gt;Klisz_Verbräuche[[#Headers],[2027]],Refsz_Verbräuche[[#This Row],[2027]],"")))</f>
        <v/>
      </c>
      <c r="T60" s="49" t="str">
        <f>IF(Klisz_Verbräuche[[#Headers],[2028]]=$B$14,IF(COUNTIF($G60:Klisz_Verbräuche[[#This Row],[2027]],"&gt;0")&gt;0, AVERAGEIF($G60:Klisz_Verbräuche[[#This Row],[2027]],"&lt;&gt;"), ""),IF($B$14&lt;Klisz_Verbräuche[[#Headers],[2028]],IF(COUNTIF($G60:Klisz_Verbräuche[[#This Row],[2027]],"&gt;0")&gt;0,IF(COUNTIF($G60:Klisz_Verbräuche[[#This Row],[2027]],"&gt;0")&gt;0,Klisz_Verbräuche[[#This Row],[2027]]*(1-$F60)^1, ""), ""),IF($B$14&gt;Klisz_Verbräuche[[#Headers],[2028]],Refsz_Verbräuche[[#This Row],[2028]],"")))</f>
        <v/>
      </c>
      <c r="U60" s="49" t="str">
        <f>IF(Klisz_Verbräuche[[#Headers],[2029]]=$B$14,IF(COUNTIF($G60:Klisz_Verbräuche[[#This Row],[2028]],"&gt;0")&gt;0, AVERAGEIF($G60:Klisz_Verbräuche[[#This Row],[2028]],"&lt;&gt;"), ""),IF($B$14&lt;Klisz_Verbräuche[[#Headers],[2029]],IF(COUNTIF($G60:Klisz_Verbräuche[[#This Row],[2028]],"&gt;0")&gt;0,IF(COUNTIF($G60:Klisz_Verbräuche[[#This Row],[2028]],"&gt;0")&gt;0,Klisz_Verbräuche[[#This Row],[2028]]*(1-$F60)^1, ""), ""),IF($B$14&gt;Klisz_Verbräuche[[#Headers],[2029]],Refsz_Verbräuche[[#This Row],[2029]],"")))</f>
        <v/>
      </c>
      <c r="V60" s="49" t="str">
        <f>IF(Klisz_Verbräuche[[#Headers],[2030]]=$B$14,IF(COUNTIF($G60:Klisz_Verbräuche[[#This Row],[2029]],"&gt;0")&gt;0, AVERAGEIF($G60:Klisz_Verbräuche[[#This Row],[2029]],"&lt;&gt;"), ""),IF($B$14&lt;Klisz_Verbräuche[[#Headers],[2030]],IF(COUNTIF($G60:Klisz_Verbräuche[[#This Row],[2029]],"&gt;0")&gt;0,IF(COUNTIF($G60:Klisz_Verbräuche[[#This Row],[2029]],"&gt;0")&gt;0,Klisz_Verbräuche[[#This Row],[2029]]*(1-$F60)^1, ""), ""),IF($B$14&gt;Klisz_Verbräuche[[#Headers],[2030]],Refsz_Verbräuche[[#This Row],[2030]],"")))</f>
        <v/>
      </c>
      <c r="W60" s="49" t="str">
        <f>IF(Klisz_Verbräuche[[#Headers],[2035]]=$B$14,IF(COUNTIF($G60:Klisz_Verbräuche[[#This Row],[2030]],"&gt;0")&gt;0, AVERAGEIF($G60:Klisz_Verbräuche[[#This Row],[2030]],"&lt;&gt;"), ""),IF($B$14&lt;Klisz_Verbräuche[[#Headers],[2035]],IF(COUNTIF($G60:Klisz_Verbräuche[[#This Row],[2030]],"&gt;0")&gt;0,IF(COUNTIF($G60:Klisz_Verbräuche[[#This Row],[2030]],"&gt;0")&gt;0,Klisz_Verbräuche[[#This Row],[2030]]*(1-$F60)^5, ""), ""),IF($B$14&gt;Klisz_Verbräuche[[#Headers],[2035]],Refsz_Verbräuche[[#This Row],[2035]],"")))</f>
        <v/>
      </c>
      <c r="X60" s="49" t="str">
        <f>IF(Klisz_Verbräuche[[#Headers],[2040]]=$B$14,IF(COUNTIF($G60:Klisz_Verbräuche[[#This Row],[2035]],"&gt;0")&gt;0, AVERAGEIF($G60:Klisz_Verbräuche[[#This Row],[2035]],"&lt;&gt;"), ""),IF($B$14&lt;Klisz_Verbräuche[[#Headers],[2040]],IF(COUNTIF($G60:Klisz_Verbräuche[[#This Row],[2035]],"&gt;0")&gt;0,IF(COUNTIF($G60:Klisz_Verbräuche[[#This Row],[2035]],"&gt;0")&gt;0,Klisz_Verbräuche[[#This Row],[2035]]*(1-$F60)^5, ""), ""),IF($B$14&gt;Klisz_Verbräuche[[#Headers],[2040]],Refsz_Verbräuche[[#This Row],[2040]],"")))</f>
        <v/>
      </c>
      <c r="Y60" s="49" t="str">
        <f>IF(Klisz_Verbräuche[[#Headers],[2045]]=$B$14,IF(COUNTIF($G60:Klisz_Verbräuche[[#This Row],[2040]],"&gt;0")&gt;0, AVERAGEIF($G60:Klisz_Verbräuche[[#This Row],[2040]],"&lt;&gt;"), ""),IF($B$14&lt;Klisz_Verbräuche[[#Headers],[2045]],IF(COUNTIF($G60:Klisz_Verbräuche[[#This Row],[2040]],"&gt;0")&gt;0,IF(COUNTIF($G60:Klisz_Verbräuche[[#This Row],[2040]],"&gt;0")&gt;0,Klisz_Verbräuche[[#This Row],[2040]]*(1-$F60)^5, ""), ""),IF($B$14&gt;Klisz_Verbräuche[[#Headers],[2045]],Refsz_Verbräuche[[#This Row],[2045]],"")))</f>
        <v/>
      </c>
      <c r="Z60" s="49" t="str">
        <f>IF(Klisz_Verbräuche[[#Headers],[2050]]=$B$14,IF(COUNTIF($G60:Klisz_Verbräuche[[#This Row],[2045]],"&gt;0")&gt;0, AVERAGEIF($G60:Klisz_Verbräuche[[#This Row],[2045]],"&lt;&gt;"), ""),IF($B$14&lt;Klisz_Verbräuche[[#Headers],[2050]],IF(COUNTIF($G60:Klisz_Verbräuche[[#This Row],[2045]],"&gt;0")&gt;0,IF(COUNTIF($G60:Klisz_Verbräuche[[#This Row],[2045]],"&gt;0")&gt;0,Klisz_Verbräuche[[#This Row],[2045]]*(1-$F60)^5, ""), ""),IF($B$14&gt;Klisz_Verbräuche[[#Headers],[2050]],Refsz_Verbräuche[[#This Row],[2050]],"")))</f>
        <v/>
      </c>
      <c r="AA60" s="14"/>
    </row>
    <row r="61" spans="2:27">
      <c r="B61" s="14">
        <v>44</v>
      </c>
      <c r="C61" s="197" t="str">
        <f>Refsz_Verbräuche[[#This Row],[Handlungsfeld]]</f>
        <v>Mobilität 1</v>
      </c>
      <c r="D61" s="19" t="str">
        <f>Refsz_Verbräuche[[#This Row],[Datenpunkt]]</f>
        <v>DR - Privater PKW (Diesel)</v>
      </c>
      <c r="E61" s="26" t="str">
        <f>Refsz_Verbräuche[[#This Row],[Einheit]]</f>
        <v>Fkm</v>
      </c>
      <c r="F61" s="108"/>
      <c r="G61" s="14" t="str">
        <f>IF(ISBLANK(Refsz_Verbräuche[[#This Row],[2015]]),"",Refsz_Verbräuche[[#This Row],[2015]])</f>
        <v/>
      </c>
      <c r="H61" s="14" t="str">
        <f>IF(ISBLANK(Refsz_Verbräuche[[#This Row],[2016]]),"",Refsz_Verbräuche[[#This Row],[2016]])</f>
        <v/>
      </c>
      <c r="I61" s="14" t="str">
        <f>IF(ISBLANK(Refsz_Verbräuche[[#This Row],[2017]]),"",Refsz_Verbräuche[[#This Row],[2017]])</f>
        <v/>
      </c>
      <c r="J61" s="14" t="str">
        <f>IF(ISBLANK(Refsz_Verbräuche[[#This Row],[2018]]),"",Refsz_Verbräuche[[#This Row],[2018]])</f>
        <v/>
      </c>
      <c r="K61" s="14" t="str">
        <f>IF(ISBLANK(Refsz_Verbräuche[[#This Row],[2019]]),"",Refsz_Verbräuche[[#This Row],[2019]])</f>
        <v/>
      </c>
      <c r="L61" s="14" t="str">
        <f>IF(ISBLANK(Refsz_Verbräuche[[#This Row],[2020]]),"",Refsz_Verbräuche[[#This Row],[2020]])</f>
        <v/>
      </c>
      <c r="M61" s="14" t="str">
        <f>IF(ISBLANK(Refsz_Verbräuche[[#This Row],[2021]]),"",Refsz_Verbräuche[[#This Row],[2021]])</f>
        <v/>
      </c>
      <c r="N61" s="49" t="str">
        <f>IF(Klisz_Verbräuche[[#Headers],[2022]]=$B$14,IF(COUNTIF($G61:Klisz_Verbräuche[[#This Row],[2021]],"&gt;0")&gt;0, AVERAGEIF($G61:Klisz_Verbräuche[[#This Row],[2021]],"&lt;&gt;"), ""),IF($B$14&lt;Klisz_Verbräuche[[#Headers],[2022]],IF(COUNTIF($G61:Klisz_Verbräuche[[#This Row],[2021]],"&gt;0")&gt;0,IF(COUNTIF($G61:Klisz_Verbräuche[[#This Row],[2021]],"&gt;0")&gt;0,Klisz_Verbräuche[[#This Row],[2021]]*(1-$F61)^1, ""), ""),IF($B$14&gt;Klisz_Verbräuche[[#Headers],[2022]],Refsz_Verbräuche[[#This Row],[2022]],"")))</f>
        <v/>
      </c>
      <c r="O61" s="49" t="str">
        <f>IF(Klisz_Verbräuche[[#Headers],[2023]]=$B$14,IF(COUNTIF($G61:Klisz_Verbräuche[[#This Row],[2022]],"&gt;0")&gt;0, AVERAGEIF($G61:Klisz_Verbräuche[[#This Row],[2022]],"&lt;&gt;"), ""),IF($B$14&lt;Klisz_Verbräuche[[#Headers],[2023]],IF(COUNTIF($G61:Klisz_Verbräuche[[#This Row],[2022]],"&gt;0")&gt;0,IF(COUNTIF($G61:Klisz_Verbräuche[[#This Row],[2022]],"&gt;0")&gt;0,Klisz_Verbräuche[[#This Row],[2022]]*(1-$F61)^1, ""), ""),IF($B$14&gt;Klisz_Verbräuche[[#Headers],[2023]],Refsz_Verbräuche[[#This Row],[2023]],"")))</f>
        <v/>
      </c>
      <c r="P61" s="49" t="str">
        <f>IF(Klisz_Verbräuche[[#Headers],[2024]]=$B$14,IF(COUNTIF($G61:Klisz_Verbräuche[[#This Row],[2023]],"&gt;0")&gt;0, AVERAGEIF($G61:Klisz_Verbräuche[[#This Row],[2023]],"&lt;&gt;"), ""),IF($B$14&lt;Klisz_Verbräuche[[#Headers],[2024]],IF(COUNTIF($G61:Klisz_Verbräuche[[#This Row],[2023]],"&gt;0")&gt;0,IF(COUNTIF($G61:Klisz_Verbräuche[[#This Row],[2023]],"&gt;0")&gt;0,Klisz_Verbräuche[[#This Row],[2023]]*(1-$F61)^1, ""), ""),IF($B$14&gt;Klisz_Verbräuche[[#Headers],[2024]],Refsz_Verbräuche[[#This Row],[2024]],"")))</f>
        <v/>
      </c>
      <c r="Q61" s="49" t="str">
        <f>IF(Klisz_Verbräuche[[#Headers],[2025]]=$B$14,IF(COUNTIF($G61:Klisz_Verbräuche[[#This Row],[2024]],"&gt;0")&gt;0, AVERAGEIF($G61:Klisz_Verbräuche[[#This Row],[2024]],"&lt;&gt;"), ""),IF($B$14&lt;Klisz_Verbräuche[[#Headers],[2025]],IF(COUNTIF($G61:Klisz_Verbräuche[[#This Row],[2024]],"&gt;0")&gt;0,IF(COUNTIF($G61:Klisz_Verbräuche[[#This Row],[2024]],"&gt;0")&gt;0,Klisz_Verbräuche[[#This Row],[2024]]*(1-$F61)^1, ""), ""),IF($B$14&gt;Klisz_Verbräuche[[#Headers],[2025]],Refsz_Verbräuche[[#This Row],[2025]],"")))</f>
        <v/>
      </c>
      <c r="R61" s="49" t="str">
        <f>IF(Klisz_Verbräuche[[#Headers],[2026]]=$B$14,IF(COUNTIF($G61:Klisz_Verbräuche[[#This Row],[2025]],"&gt;0")&gt;0, AVERAGEIF($G61:Klisz_Verbräuche[[#This Row],[2025]],"&lt;&gt;"), ""),IF($B$14&lt;Klisz_Verbräuche[[#Headers],[2026]],IF(COUNTIF($G61:Klisz_Verbräuche[[#This Row],[2025]],"&gt;0")&gt;0,IF(COUNTIF($G61:Klisz_Verbräuche[[#This Row],[2025]],"&gt;0")&gt;0,Klisz_Verbräuche[[#This Row],[2025]]*(1-$F61)^1, ""), ""),IF($B$14&gt;Klisz_Verbräuche[[#Headers],[2026]],Refsz_Verbräuche[[#This Row],[2026]],"")))</f>
        <v/>
      </c>
      <c r="S61" s="49" t="str">
        <f>IF(Klisz_Verbräuche[[#Headers],[2027]]=$B$14,IF(COUNTIF($G61:Klisz_Verbräuche[[#This Row],[2026]],"&gt;0")&gt;0, AVERAGEIF($G61:Klisz_Verbräuche[[#This Row],[2026]],"&lt;&gt;"), ""),IF($B$14&lt;Klisz_Verbräuche[[#Headers],[2027]],IF(COUNTIF($G61:Klisz_Verbräuche[[#This Row],[2026]],"&gt;0")&gt;0,IF(COUNTIF($G61:Klisz_Verbräuche[[#This Row],[2026]],"&gt;0")&gt;0,Klisz_Verbräuche[[#This Row],[2026]]*(1-$F61)^1, ""), ""),IF($B$14&gt;Klisz_Verbräuche[[#Headers],[2027]],Refsz_Verbräuche[[#This Row],[2027]],"")))</f>
        <v/>
      </c>
      <c r="T61" s="49" t="str">
        <f>IF(Klisz_Verbräuche[[#Headers],[2028]]=$B$14,IF(COUNTIF($G61:Klisz_Verbräuche[[#This Row],[2027]],"&gt;0")&gt;0, AVERAGEIF($G61:Klisz_Verbräuche[[#This Row],[2027]],"&lt;&gt;"), ""),IF($B$14&lt;Klisz_Verbräuche[[#Headers],[2028]],IF(COUNTIF($G61:Klisz_Verbräuche[[#This Row],[2027]],"&gt;0")&gt;0,IF(COUNTIF($G61:Klisz_Verbräuche[[#This Row],[2027]],"&gt;0")&gt;0,Klisz_Verbräuche[[#This Row],[2027]]*(1-$F61)^1, ""), ""),IF($B$14&gt;Klisz_Verbräuche[[#Headers],[2028]],Refsz_Verbräuche[[#This Row],[2028]],"")))</f>
        <v/>
      </c>
      <c r="U61" s="49" t="str">
        <f>IF(Klisz_Verbräuche[[#Headers],[2029]]=$B$14,IF(COUNTIF($G61:Klisz_Verbräuche[[#This Row],[2028]],"&gt;0")&gt;0, AVERAGEIF($G61:Klisz_Verbräuche[[#This Row],[2028]],"&lt;&gt;"), ""),IF($B$14&lt;Klisz_Verbräuche[[#Headers],[2029]],IF(COUNTIF($G61:Klisz_Verbräuche[[#This Row],[2028]],"&gt;0")&gt;0,IF(COUNTIF($G61:Klisz_Verbräuche[[#This Row],[2028]],"&gt;0")&gt;0,Klisz_Verbräuche[[#This Row],[2028]]*(1-$F61)^1, ""), ""),IF($B$14&gt;Klisz_Verbräuche[[#Headers],[2029]],Refsz_Verbräuche[[#This Row],[2029]],"")))</f>
        <v/>
      </c>
      <c r="V61" s="49" t="str">
        <f>IF(Klisz_Verbräuche[[#Headers],[2030]]=$B$14,IF(COUNTIF($G61:Klisz_Verbräuche[[#This Row],[2029]],"&gt;0")&gt;0, AVERAGEIF($G61:Klisz_Verbräuche[[#This Row],[2029]],"&lt;&gt;"), ""),IF($B$14&lt;Klisz_Verbräuche[[#Headers],[2030]],IF(COUNTIF($G61:Klisz_Verbräuche[[#This Row],[2029]],"&gt;0")&gt;0,IF(COUNTIF($G61:Klisz_Verbräuche[[#This Row],[2029]],"&gt;0")&gt;0,Klisz_Verbräuche[[#This Row],[2029]]*(1-$F61)^1, ""), ""),IF($B$14&gt;Klisz_Verbräuche[[#Headers],[2030]],Refsz_Verbräuche[[#This Row],[2030]],"")))</f>
        <v/>
      </c>
      <c r="W61" s="49" t="str">
        <f>IF(Klisz_Verbräuche[[#Headers],[2035]]=$B$14,IF(COUNTIF($G61:Klisz_Verbräuche[[#This Row],[2030]],"&gt;0")&gt;0, AVERAGEIF($G61:Klisz_Verbräuche[[#This Row],[2030]],"&lt;&gt;"), ""),IF($B$14&lt;Klisz_Verbräuche[[#Headers],[2035]],IF(COUNTIF($G61:Klisz_Verbräuche[[#This Row],[2030]],"&gt;0")&gt;0,IF(COUNTIF($G61:Klisz_Verbräuche[[#This Row],[2030]],"&gt;0")&gt;0,Klisz_Verbräuche[[#This Row],[2030]]*(1-$F61)^5, ""), ""),IF($B$14&gt;Klisz_Verbräuche[[#Headers],[2035]],Refsz_Verbräuche[[#This Row],[2035]],"")))</f>
        <v/>
      </c>
      <c r="X61" s="49" t="str">
        <f>IF(Klisz_Verbräuche[[#Headers],[2040]]=$B$14,IF(COUNTIF($G61:Klisz_Verbräuche[[#This Row],[2035]],"&gt;0")&gt;0, AVERAGEIF($G61:Klisz_Verbräuche[[#This Row],[2035]],"&lt;&gt;"), ""),IF($B$14&lt;Klisz_Verbräuche[[#Headers],[2040]],IF(COUNTIF($G61:Klisz_Verbräuche[[#This Row],[2035]],"&gt;0")&gt;0,IF(COUNTIF($G61:Klisz_Verbräuche[[#This Row],[2035]],"&gt;0")&gt;0,Klisz_Verbräuche[[#This Row],[2035]]*(1-$F61)^5, ""), ""),IF($B$14&gt;Klisz_Verbräuche[[#Headers],[2040]],Refsz_Verbräuche[[#This Row],[2040]],"")))</f>
        <v/>
      </c>
      <c r="Y61" s="49" t="str">
        <f>IF(Klisz_Verbräuche[[#Headers],[2045]]=$B$14,IF(COUNTIF($G61:Klisz_Verbräuche[[#This Row],[2040]],"&gt;0")&gt;0, AVERAGEIF($G61:Klisz_Verbräuche[[#This Row],[2040]],"&lt;&gt;"), ""),IF($B$14&lt;Klisz_Verbräuche[[#Headers],[2045]],IF(COUNTIF($G61:Klisz_Verbräuche[[#This Row],[2040]],"&gt;0")&gt;0,IF(COUNTIF($G61:Klisz_Verbräuche[[#This Row],[2040]],"&gt;0")&gt;0,Klisz_Verbräuche[[#This Row],[2040]]*(1-$F61)^5, ""), ""),IF($B$14&gt;Klisz_Verbräuche[[#Headers],[2045]],Refsz_Verbräuche[[#This Row],[2045]],"")))</f>
        <v/>
      </c>
      <c r="Z61" s="49" t="str">
        <f>IF(Klisz_Verbräuche[[#Headers],[2050]]=$B$14,IF(COUNTIF($G61:Klisz_Verbräuche[[#This Row],[2045]],"&gt;0")&gt;0, AVERAGEIF($G61:Klisz_Verbräuche[[#This Row],[2045]],"&lt;&gt;"), ""),IF($B$14&lt;Klisz_Verbräuche[[#Headers],[2050]],IF(COUNTIF($G61:Klisz_Verbräuche[[#This Row],[2045]],"&gt;0")&gt;0,IF(COUNTIF($G61:Klisz_Verbräuche[[#This Row],[2045]],"&gt;0")&gt;0,Klisz_Verbräuche[[#This Row],[2045]]*(1-$F61)^5, ""), ""),IF($B$14&gt;Klisz_Verbräuche[[#Headers],[2050]],Refsz_Verbräuche[[#This Row],[2050]],"")))</f>
        <v/>
      </c>
      <c r="AA61" s="14"/>
    </row>
    <row r="62" spans="2:27">
      <c r="B62" s="14">
        <v>45</v>
      </c>
      <c r="C62" s="197" t="str">
        <f>Refsz_Verbräuche[[#This Row],[Handlungsfeld]]</f>
        <v>Mobilität 1</v>
      </c>
      <c r="D62" s="19" t="str">
        <f>Refsz_Verbräuche[[#This Row],[Datenpunkt]]</f>
        <v>DR - Privater PKW (Benzin)</v>
      </c>
      <c r="E62" s="26" t="str">
        <f>Refsz_Verbräuche[[#This Row],[Einheit]]</f>
        <v>Fkm</v>
      </c>
      <c r="F62" s="108"/>
      <c r="G62" s="14" t="str">
        <f>IF(ISBLANK(Refsz_Verbräuche[[#This Row],[2015]]),"",Refsz_Verbräuche[[#This Row],[2015]])</f>
        <v/>
      </c>
      <c r="H62" s="14" t="str">
        <f>IF(ISBLANK(Refsz_Verbräuche[[#This Row],[2016]]),"",Refsz_Verbräuche[[#This Row],[2016]])</f>
        <v/>
      </c>
      <c r="I62" s="14" t="str">
        <f>IF(ISBLANK(Refsz_Verbräuche[[#This Row],[2017]]),"",Refsz_Verbräuche[[#This Row],[2017]])</f>
        <v/>
      </c>
      <c r="J62" s="14" t="str">
        <f>IF(ISBLANK(Refsz_Verbräuche[[#This Row],[2018]]),"",Refsz_Verbräuche[[#This Row],[2018]])</f>
        <v/>
      </c>
      <c r="K62" s="14" t="str">
        <f>IF(ISBLANK(Refsz_Verbräuche[[#This Row],[2019]]),"",Refsz_Verbräuche[[#This Row],[2019]])</f>
        <v/>
      </c>
      <c r="L62" s="14" t="str">
        <f>IF(ISBLANK(Refsz_Verbräuche[[#This Row],[2020]]),"",Refsz_Verbräuche[[#This Row],[2020]])</f>
        <v/>
      </c>
      <c r="M62" s="14" t="str">
        <f>IF(ISBLANK(Refsz_Verbräuche[[#This Row],[2021]]),"",Refsz_Verbräuche[[#This Row],[2021]])</f>
        <v/>
      </c>
      <c r="N62" s="49" t="str">
        <f>IF(Klisz_Verbräuche[[#Headers],[2022]]=$B$14,IF(COUNTIF($G62:Klisz_Verbräuche[[#This Row],[2021]],"&gt;0")&gt;0, AVERAGEIF($G62:Klisz_Verbräuche[[#This Row],[2021]],"&lt;&gt;"), ""),IF($B$14&lt;Klisz_Verbräuche[[#Headers],[2022]],IF(COUNTIF($G62:Klisz_Verbräuche[[#This Row],[2021]],"&gt;0")&gt;0,IF(COUNTIF($G62:Klisz_Verbräuche[[#This Row],[2021]],"&gt;0")&gt;0,Klisz_Verbräuche[[#This Row],[2021]]*(1-$F62)^1, ""), ""),IF($B$14&gt;Klisz_Verbräuche[[#Headers],[2022]],Refsz_Verbräuche[[#This Row],[2022]],"")))</f>
        <v/>
      </c>
      <c r="O62" s="49" t="str">
        <f>IF(Klisz_Verbräuche[[#Headers],[2023]]=$B$14,IF(COUNTIF($G62:Klisz_Verbräuche[[#This Row],[2022]],"&gt;0")&gt;0, AVERAGEIF($G62:Klisz_Verbräuche[[#This Row],[2022]],"&lt;&gt;"), ""),IF($B$14&lt;Klisz_Verbräuche[[#Headers],[2023]],IF(COUNTIF($G62:Klisz_Verbräuche[[#This Row],[2022]],"&gt;0")&gt;0,IF(COUNTIF($G62:Klisz_Verbräuche[[#This Row],[2022]],"&gt;0")&gt;0,Klisz_Verbräuche[[#This Row],[2022]]*(1-$F62)^1, ""), ""),IF($B$14&gt;Klisz_Verbräuche[[#Headers],[2023]],Refsz_Verbräuche[[#This Row],[2023]],"")))</f>
        <v/>
      </c>
      <c r="P62" s="49" t="str">
        <f>IF(Klisz_Verbräuche[[#Headers],[2024]]=$B$14,IF(COUNTIF($G62:Klisz_Verbräuche[[#This Row],[2023]],"&gt;0")&gt;0, AVERAGEIF($G62:Klisz_Verbräuche[[#This Row],[2023]],"&lt;&gt;"), ""),IF($B$14&lt;Klisz_Verbräuche[[#Headers],[2024]],IF(COUNTIF($G62:Klisz_Verbräuche[[#This Row],[2023]],"&gt;0")&gt;0,IF(COUNTIF($G62:Klisz_Verbräuche[[#This Row],[2023]],"&gt;0")&gt;0,Klisz_Verbräuche[[#This Row],[2023]]*(1-$F62)^1, ""), ""),IF($B$14&gt;Klisz_Verbräuche[[#Headers],[2024]],Refsz_Verbräuche[[#This Row],[2024]],"")))</f>
        <v/>
      </c>
      <c r="Q62" s="49" t="str">
        <f>IF(Klisz_Verbräuche[[#Headers],[2025]]=$B$14,IF(COUNTIF($G62:Klisz_Verbräuche[[#This Row],[2024]],"&gt;0")&gt;0, AVERAGEIF($G62:Klisz_Verbräuche[[#This Row],[2024]],"&lt;&gt;"), ""),IF($B$14&lt;Klisz_Verbräuche[[#Headers],[2025]],IF(COUNTIF($G62:Klisz_Verbräuche[[#This Row],[2024]],"&gt;0")&gt;0,IF(COUNTIF($G62:Klisz_Verbräuche[[#This Row],[2024]],"&gt;0")&gt;0,Klisz_Verbräuche[[#This Row],[2024]]*(1-$F62)^1, ""), ""),IF($B$14&gt;Klisz_Verbräuche[[#Headers],[2025]],Refsz_Verbräuche[[#This Row],[2025]],"")))</f>
        <v/>
      </c>
      <c r="R62" s="49" t="str">
        <f>IF(Klisz_Verbräuche[[#Headers],[2026]]=$B$14,IF(COUNTIF($G62:Klisz_Verbräuche[[#This Row],[2025]],"&gt;0")&gt;0, AVERAGEIF($G62:Klisz_Verbräuche[[#This Row],[2025]],"&lt;&gt;"), ""),IF($B$14&lt;Klisz_Verbräuche[[#Headers],[2026]],IF(COUNTIF($G62:Klisz_Verbräuche[[#This Row],[2025]],"&gt;0")&gt;0,IF(COUNTIF($G62:Klisz_Verbräuche[[#This Row],[2025]],"&gt;0")&gt;0,Klisz_Verbräuche[[#This Row],[2025]]*(1-$F62)^1, ""), ""),IF($B$14&gt;Klisz_Verbräuche[[#Headers],[2026]],Refsz_Verbräuche[[#This Row],[2026]],"")))</f>
        <v/>
      </c>
      <c r="S62" s="49" t="str">
        <f>IF(Klisz_Verbräuche[[#Headers],[2027]]=$B$14,IF(COUNTIF($G62:Klisz_Verbräuche[[#This Row],[2026]],"&gt;0")&gt;0, AVERAGEIF($G62:Klisz_Verbräuche[[#This Row],[2026]],"&lt;&gt;"), ""),IF($B$14&lt;Klisz_Verbräuche[[#Headers],[2027]],IF(COUNTIF($G62:Klisz_Verbräuche[[#This Row],[2026]],"&gt;0")&gt;0,IF(COUNTIF($G62:Klisz_Verbräuche[[#This Row],[2026]],"&gt;0")&gt;0,Klisz_Verbräuche[[#This Row],[2026]]*(1-$F62)^1, ""), ""),IF($B$14&gt;Klisz_Verbräuche[[#Headers],[2027]],Refsz_Verbräuche[[#This Row],[2027]],"")))</f>
        <v/>
      </c>
      <c r="T62" s="49" t="str">
        <f>IF(Klisz_Verbräuche[[#Headers],[2028]]=$B$14,IF(COUNTIF($G62:Klisz_Verbräuche[[#This Row],[2027]],"&gt;0")&gt;0, AVERAGEIF($G62:Klisz_Verbräuche[[#This Row],[2027]],"&lt;&gt;"), ""),IF($B$14&lt;Klisz_Verbräuche[[#Headers],[2028]],IF(COUNTIF($G62:Klisz_Verbräuche[[#This Row],[2027]],"&gt;0")&gt;0,IF(COUNTIF($G62:Klisz_Verbräuche[[#This Row],[2027]],"&gt;0")&gt;0,Klisz_Verbräuche[[#This Row],[2027]]*(1-$F62)^1, ""), ""),IF($B$14&gt;Klisz_Verbräuche[[#Headers],[2028]],Refsz_Verbräuche[[#This Row],[2028]],"")))</f>
        <v/>
      </c>
      <c r="U62" s="49" t="str">
        <f>IF(Klisz_Verbräuche[[#Headers],[2029]]=$B$14,IF(COUNTIF($G62:Klisz_Verbräuche[[#This Row],[2028]],"&gt;0")&gt;0, AVERAGEIF($G62:Klisz_Verbräuche[[#This Row],[2028]],"&lt;&gt;"), ""),IF($B$14&lt;Klisz_Verbräuche[[#Headers],[2029]],IF(COUNTIF($G62:Klisz_Verbräuche[[#This Row],[2028]],"&gt;0")&gt;0,IF(COUNTIF($G62:Klisz_Verbräuche[[#This Row],[2028]],"&gt;0")&gt;0,Klisz_Verbräuche[[#This Row],[2028]]*(1-$F62)^1, ""), ""),IF($B$14&gt;Klisz_Verbräuche[[#Headers],[2029]],Refsz_Verbräuche[[#This Row],[2029]],"")))</f>
        <v/>
      </c>
      <c r="V62" s="49" t="str">
        <f>IF(Klisz_Verbräuche[[#Headers],[2030]]=$B$14,IF(COUNTIF($G62:Klisz_Verbräuche[[#This Row],[2029]],"&gt;0")&gt;0, AVERAGEIF($G62:Klisz_Verbräuche[[#This Row],[2029]],"&lt;&gt;"), ""),IF($B$14&lt;Klisz_Verbräuche[[#Headers],[2030]],IF(COUNTIF($G62:Klisz_Verbräuche[[#This Row],[2029]],"&gt;0")&gt;0,IF(COUNTIF($G62:Klisz_Verbräuche[[#This Row],[2029]],"&gt;0")&gt;0,Klisz_Verbräuche[[#This Row],[2029]]*(1-$F62)^1, ""), ""),IF($B$14&gt;Klisz_Verbräuche[[#Headers],[2030]],Refsz_Verbräuche[[#This Row],[2030]],"")))</f>
        <v/>
      </c>
      <c r="W62" s="49" t="str">
        <f>IF(Klisz_Verbräuche[[#Headers],[2035]]=$B$14,IF(COUNTIF($G62:Klisz_Verbräuche[[#This Row],[2030]],"&gt;0")&gt;0, AVERAGEIF($G62:Klisz_Verbräuche[[#This Row],[2030]],"&lt;&gt;"), ""),IF($B$14&lt;Klisz_Verbräuche[[#Headers],[2035]],IF(COUNTIF($G62:Klisz_Verbräuche[[#This Row],[2030]],"&gt;0")&gt;0,IF(COUNTIF($G62:Klisz_Verbräuche[[#This Row],[2030]],"&gt;0")&gt;0,Klisz_Verbräuche[[#This Row],[2030]]*(1-$F62)^5, ""), ""),IF($B$14&gt;Klisz_Verbräuche[[#Headers],[2035]],Refsz_Verbräuche[[#This Row],[2035]],"")))</f>
        <v/>
      </c>
      <c r="X62" s="49" t="str">
        <f>IF(Klisz_Verbräuche[[#Headers],[2040]]=$B$14,IF(COUNTIF($G62:Klisz_Verbräuche[[#This Row],[2035]],"&gt;0")&gt;0, AVERAGEIF($G62:Klisz_Verbräuche[[#This Row],[2035]],"&lt;&gt;"), ""),IF($B$14&lt;Klisz_Verbräuche[[#Headers],[2040]],IF(COUNTIF($G62:Klisz_Verbräuche[[#This Row],[2035]],"&gt;0")&gt;0,IF(COUNTIF($G62:Klisz_Verbräuche[[#This Row],[2035]],"&gt;0")&gt;0,Klisz_Verbräuche[[#This Row],[2035]]*(1-$F62)^5, ""), ""),IF($B$14&gt;Klisz_Verbräuche[[#Headers],[2040]],Refsz_Verbräuche[[#This Row],[2040]],"")))</f>
        <v/>
      </c>
      <c r="Y62" s="49" t="str">
        <f>IF(Klisz_Verbräuche[[#Headers],[2045]]=$B$14,IF(COUNTIF($G62:Klisz_Verbräuche[[#This Row],[2040]],"&gt;0")&gt;0, AVERAGEIF($G62:Klisz_Verbräuche[[#This Row],[2040]],"&lt;&gt;"), ""),IF($B$14&lt;Klisz_Verbräuche[[#Headers],[2045]],IF(COUNTIF($G62:Klisz_Verbräuche[[#This Row],[2040]],"&gt;0")&gt;0,IF(COUNTIF($G62:Klisz_Verbräuche[[#This Row],[2040]],"&gt;0")&gt;0,Klisz_Verbräuche[[#This Row],[2040]]*(1-$F62)^5, ""), ""),IF($B$14&gt;Klisz_Verbräuche[[#Headers],[2045]],Refsz_Verbräuche[[#This Row],[2045]],"")))</f>
        <v/>
      </c>
      <c r="Z62" s="49" t="str">
        <f>IF(Klisz_Verbräuche[[#Headers],[2050]]=$B$14,IF(COUNTIF($G62:Klisz_Verbräuche[[#This Row],[2045]],"&gt;0")&gt;0, AVERAGEIF($G62:Klisz_Verbräuche[[#This Row],[2045]],"&lt;&gt;"), ""),IF($B$14&lt;Klisz_Verbräuche[[#Headers],[2050]],IF(COUNTIF($G62:Klisz_Verbräuche[[#This Row],[2045]],"&gt;0")&gt;0,IF(COUNTIF($G62:Klisz_Verbräuche[[#This Row],[2045]],"&gt;0")&gt;0,Klisz_Verbräuche[[#This Row],[2045]]*(1-$F62)^5, ""), ""),IF($B$14&gt;Klisz_Verbräuche[[#Headers],[2050]],Refsz_Verbräuche[[#This Row],[2050]],"")))</f>
        <v/>
      </c>
      <c r="AA62" s="14"/>
    </row>
    <row r="63" spans="2:27">
      <c r="B63" s="14">
        <v>46</v>
      </c>
      <c r="C63" s="197" t="str">
        <f>Refsz_Verbräuche[[#This Row],[Handlungsfeld]]</f>
        <v>Mobilität 1</v>
      </c>
      <c r="D63" s="19" t="str">
        <f>Refsz_Verbräuche[[#This Row],[Datenpunkt]]</f>
        <v>DR - Mietwägen (Diesel)</v>
      </c>
      <c r="E63" s="26" t="str">
        <f>Refsz_Verbräuche[[#This Row],[Einheit]]</f>
        <v>Fkm</v>
      </c>
      <c r="F63" s="108"/>
      <c r="G63" s="14" t="str">
        <f>IF(ISBLANK(Refsz_Verbräuche[[#This Row],[2015]]),"",Refsz_Verbräuche[[#This Row],[2015]])</f>
        <v/>
      </c>
      <c r="H63" s="14" t="str">
        <f>IF(ISBLANK(Refsz_Verbräuche[[#This Row],[2016]]),"",Refsz_Verbräuche[[#This Row],[2016]])</f>
        <v/>
      </c>
      <c r="I63" s="14" t="str">
        <f>IF(ISBLANK(Refsz_Verbräuche[[#This Row],[2017]]),"",Refsz_Verbräuche[[#This Row],[2017]])</f>
        <v/>
      </c>
      <c r="J63" s="14" t="str">
        <f>IF(ISBLANK(Refsz_Verbräuche[[#This Row],[2018]]),"",Refsz_Verbräuche[[#This Row],[2018]])</f>
        <v/>
      </c>
      <c r="K63" s="14" t="str">
        <f>IF(ISBLANK(Refsz_Verbräuche[[#This Row],[2019]]),"",Refsz_Verbräuche[[#This Row],[2019]])</f>
        <v/>
      </c>
      <c r="L63" s="14" t="str">
        <f>IF(ISBLANK(Refsz_Verbräuche[[#This Row],[2020]]),"",Refsz_Verbräuche[[#This Row],[2020]])</f>
        <v/>
      </c>
      <c r="M63" s="14" t="str">
        <f>IF(ISBLANK(Refsz_Verbräuche[[#This Row],[2021]]),"",Refsz_Verbräuche[[#This Row],[2021]])</f>
        <v/>
      </c>
      <c r="N63" s="49" t="str">
        <f>IF(Klisz_Verbräuche[[#Headers],[2022]]=$B$14,IF(COUNTIF($G63:Klisz_Verbräuche[[#This Row],[2021]],"&gt;0")&gt;0, AVERAGEIF($G63:Klisz_Verbräuche[[#This Row],[2021]],"&lt;&gt;"), ""),IF($B$14&lt;Klisz_Verbräuche[[#Headers],[2022]],IF(COUNTIF($G63:Klisz_Verbräuche[[#This Row],[2021]],"&gt;0")&gt;0,IF(COUNTIF($G63:Klisz_Verbräuche[[#This Row],[2021]],"&gt;0")&gt;0,Klisz_Verbräuche[[#This Row],[2021]]*(1-$F63)^1, ""), ""),IF($B$14&gt;Klisz_Verbräuche[[#Headers],[2022]],Refsz_Verbräuche[[#This Row],[2022]],"")))</f>
        <v/>
      </c>
      <c r="O63" s="49" t="str">
        <f>IF(Klisz_Verbräuche[[#Headers],[2023]]=$B$14,IF(COUNTIF($G63:Klisz_Verbräuche[[#This Row],[2022]],"&gt;0")&gt;0, AVERAGEIF($G63:Klisz_Verbräuche[[#This Row],[2022]],"&lt;&gt;"), ""),IF($B$14&lt;Klisz_Verbräuche[[#Headers],[2023]],IF(COUNTIF($G63:Klisz_Verbräuche[[#This Row],[2022]],"&gt;0")&gt;0,IF(COUNTIF($G63:Klisz_Verbräuche[[#This Row],[2022]],"&gt;0")&gt;0,Klisz_Verbräuche[[#This Row],[2022]]*(1-$F63)^1, ""), ""),IF($B$14&gt;Klisz_Verbräuche[[#Headers],[2023]],Refsz_Verbräuche[[#This Row],[2023]],"")))</f>
        <v/>
      </c>
      <c r="P63" s="49" t="str">
        <f>IF(Klisz_Verbräuche[[#Headers],[2024]]=$B$14,IF(COUNTIF($G63:Klisz_Verbräuche[[#This Row],[2023]],"&gt;0")&gt;0, AVERAGEIF($G63:Klisz_Verbräuche[[#This Row],[2023]],"&lt;&gt;"), ""),IF($B$14&lt;Klisz_Verbräuche[[#Headers],[2024]],IF(COUNTIF($G63:Klisz_Verbräuche[[#This Row],[2023]],"&gt;0")&gt;0,IF(COUNTIF($G63:Klisz_Verbräuche[[#This Row],[2023]],"&gt;0")&gt;0,Klisz_Verbräuche[[#This Row],[2023]]*(1-$F63)^1, ""), ""),IF($B$14&gt;Klisz_Verbräuche[[#Headers],[2024]],Refsz_Verbräuche[[#This Row],[2024]],"")))</f>
        <v/>
      </c>
      <c r="Q63" s="49" t="str">
        <f>IF(Klisz_Verbräuche[[#Headers],[2025]]=$B$14,IF(COUNTIF($G63:Klisz_Verbräuche[[#This Row],[2024]],"&gt;0")&gt;0, AVERAGEIF($G63:Klisz_Verbräuche[[#This Row],[2024]],"&lt;&gt;"), ""),IF($B$14&lt;Klisz_Verbräuche[[#Headers],[2025]],IF(COUNTIF($G63:Klisz_Verbräuche[[#This Row],[2024]],"&gt;0")&gt;0,IF(COUNTIF($G63:Klisz_Verbräuche[[#This Row],[2024]],"&gt;0")&gt;0,Klisz_Verbräuche[[#This Row],[2024]]*(1-$F63)^1, ""), ""),IF($B$14&gt;Klisz_Verbräuche[[#Headers],[2025]],Refsz_Verbräuche[[#This Row],[2025]],"")))</f>
        <v/>
      </c>
      <c r="R63" s="49" t="str">
        <f>IF(Klisz_Verbräuche[[#Headers],[2026]]=$B$14,IF(COUNTIF($G63:Klisz_Verbräuche[[#This Row],[2025]],"&gt;0")&gt;0, AVERAGEIF($G63:Klisz_Verbräuche[[#This Row],[2025]],"&lt;&gt;"), ""),IF($B$14&lt;Klisz_Verbräuche[[#Headers],[2026]],IF(COUNTIF($G63:Klisz_Verbräuche[[#This Row],[2025]],"&gt;0")&gt;0,IF(COUNTIF($G63:Klisz_Verbräuche[[#This Row],[2025]],"&gt;0")&gt;0,Klisz_Verbräuche[[#This Row],[2025]]*(1-$F63)^1, ""), ""),IF($B$14&gt;Klisz_Verbräuche[[#Headers],[2026]],Refsz_Verbräuche[[#This Row],[2026]],"")))</f>
        <v/>
      </c>
      <c r="S63" s="49" t="str">
        <f>IF(Klisz_Verbräuche[[#Headers],[2027]]=$B$14,IF(COUNTIF($G63:Klisz_Verbräuche[[#This Row],[2026]],"&gt;0")&gt;0, AVERAGEIF($G63:Klisz_Verbräuche[[#This Row],[2026]],"&lt;&gt;"), ""),IF($B$14&lt;Klisz_Verbräuche[[#Headers],[2027]],IF(COUNTIF($G63:Klisz_Verbräuche[[#This Row],[2026]],"&gt;0")&gt;0,IF(COUNTIF($G63:Klisz_Verbräuche[[#This Row],[2026]],"&gt;0")&gt;0,Klisz_Verbräuche[[#This Row],[2026]]*(1-$F63)^1, ""), ""),IF($B$14&gt;Klisz_Verbräuche[[#Headers],[2027]],Refsz_Verbräuche[[#This Row],[2027]],"")))</f>
        <v/>
      </c>
      <c r="T63" s="49" t="str">
        <f>IF(Klisz_Verbräuche[[#Headers],[2028]]=$B$14,IF(COUNTIF($G63:Klisz_Verbräuche[[#This Row],[2027]],"&gt;0")&gt;0, AVERAGEIF($G63:Klisz_Verbräuche[[#This Row],[2027]],"&lt;&gt;"), ""),IF($B$14&lt;Klisz_Verbräuche[[#Headers],[2028]],IF(COUNTIF($G63:Klisz_Verbräuche[[#This Row],[2027]],"&gt;0")&gt;0,IF(COUNTIF($G63:Klisz_Verbräuche[[#This Row],[2027]],"&gt;0")&gt;0,Klisz_Verbräuche[[#This Row],[2027]]*(1-$F63)^1, ""), ""),IF($B$14&gt;Klisz_Verbräuche[[#Headers],[2028]],Refsz_Verbräuche[[#This Row],[2028]],"")))</f>
        <v/>
      </c>
      <c r="U63" s="49" t="str">
        <f>IF(Klisz_Verbräuche[[#Headers],[2029]]=$B$14,IF(COUNTIF($G63:Klisz_Verbräuche[[#This Row],[2028]],"&gt;0")&gt;0, AVERAGEIF($G63:Klisz_Verbräuche[[#This Row],[2028]],"&lt;&gt;"), ""),IF($B$14&lt;Klisz_Verbräuche[[#Headers],[2029]],IF(COUNTIF($G63:Klisz_Verbräuche[[#This Row],[2028]],"&gt;0")&gt;0,IF(COUNTIF($G63:Klisz_Verbräuche[[#This Row],[2028]],"&gt;0")&gt;0,Klisz_Verbräuche[[#This Row],[2028]]*(1-$F63)^1, ""), ""),IF($B$14&gt;Klisz_Verbräuche[[#Headers],[2029]],Refsz_Verbräuche[[#This Row],[2029]],"")))</f>
        <v/>
      </c>
      <c r="V63" s="49" t="str">
        <f>IF(Klisz_Verbräuche[[#Headers],[2030]]=$B$14,IF(COUNTIF($G63:Klisz_Verbräuche[[#This Row],[2029]],"&gt;0")&gt;0, AVERAGEIF($G63:Klisz_Verbräuche[[#This Row],[2029]],"&lt;&gt;"), ""),IF($B$14&lt;Klisz_Verbräuche[[#Headers],[2030]],IF(COUNTIF($G63:Klisz_Verbräuche[[#This Row],[2029]],"&gt;0")&gt;0,IF(COUNTIF($G63:Klisz_Verbräuche[[#This Row],[2029]],"&gt;0")&gt;0,Klisz_Verbräuche[[#This Row],[2029]]*(1-$F63)^1, ""), ""),IF($B$14&gt;Klisz_Verbräuche[[#Headers],[2030]],Refsz_Verbräuche[[#This Row],[2030]],"")))</f>
        <v/>
      </c>
      <c r="W63" s="49" t="str">
        <f>IF(Klisz_Verbräuche[[#Headers],[2035]]=$B$14,IF(COUNTIF($G63:Klisz_Verbräuche[[#This Row],[2030]],"&gt;0")&gt;0, AVERAGEIF($G63:Klisz_Verbräuche[[#This Row],[2030]],"&lt;&gt;"), ""),IF($B$14&lt;Klisz_Verbräuche[[#Headers],[2035]],IF(COUNTIF($G63:Klisz_Verbräuche[[#This Row],[2030]],"&gt;0")&gt;0,IF(COUNTIF($G63:Klisz_Verbräuche[[#This Row],[2030]],"&gt;0")&gt;0,Klisz_Verbräuche[[#This Row],[2030]]*(1-$F63)^5, ""), ""),IF($B$14&gt;Klisz_Verbräuche[[#Headers],[2035]],Refsz_Verbräuche[[#This Row],[2035]],"")))</f>
        <v/>
      </c>
      <c r="X63" s="49" t="str">
        <f>IF(Klisz_Verbräuche[[#Headers],[2040]]=$B$14,IF(COUNTIF($G63:Klisz_Verbräuche[[#This Row],[2035]],"&gt;0")&gt;0, AVERAGEIF($G63:Klisz_Verbräuche[[#This Row],[2035]],"&lt;&gt;"), ""),IF($B$14&lt;Klisz_Verbräuche[[#Headers],[2040]],IF(COUNTIF($G63:Klisz_Verbräuche[[#This Row],[2035]],"&gt;0")&gt;0,IF(COUNTIF($G63:Klisz_Verbräuche[[#This Row],[2035]],"&gt;0")&gt;0,Klisz_Verbräuche[[#This Row],[2035]]*(1-$F63)^5, ""), ""),IF($B$14&gt;Klisz_Verbräuche[[#Headers],[2040]],Refsz_Verbräuche[[#This Row],[2040]],"")))</f>
        <v/>
      </c>
      <c r="Y63" s="49" t="str">
        <f>IF(Klisz_Verbräuche[[#Headers],[2045]]=$B$14,IF(COUNTIF($G63:Klisz_Verbräuche[[#This Row],[2040]],"&gt;0")&gt;0, AVERAGEIF($G63:Klisz_Verbräuche[[#This Row],[2040]],"&lt;&gt;"), ""),IF($B$14&lt;Klisz_Verbräuche[[#Headers],[2045]],IF(COUNTIF($G63:Klisz_Verbräuche[[#This Row],[2040]],"&gt;0")&gt;0,IF(COUNTIF($G63:Klisz_Verbräuche[[#This Row],[2040]],"&gt;0")&gt;0,Klisz_Verbräuche[[#This Row],[2040]]*(1-$F63)^5, ""), ""),IF($B$14&gt;Klisz_Verbräuche[[#Headers],[2045]],Refsz_Verbräuche[[#This Row],[2045]],"")))</f>
        <v/>
      </c>
      <c r="Z63" s="49" t="str">
        <f>IF(Klisz_Verbräuche[[#Headers],[2050]]=$B$14,IF(COUNTIF($G63:Klisz_Verbräuche[[#This Row],[2045]],"&gt;0")&gt;0, AVERAGEIF($G63:Klisz_Verbräuche[[#This Row],[2045]],"&lt;&gt;"), ""),IF($B$14&lt;Klisz_Verbräuche[[#Headers],[2050]],IF(COUNTIF($G63:Klisz_Verbräuche[[#This Row],[2045]],"&gt;0")&gt;0,IF(COUNTIF($G63:Klisz_Verbräuche[[#This Row],[2045]],"&gt;0")&gt;0,Klisz_Verbräuche[[#This Row],[2045]]*(1-$F63)^5, ""), ""),IF($B$14&gt;Klisz_Verbräuche[[#Headers],[2050]],Refsz_Verbräuche[[#This Row],[2050]],"")))</f>
        <v/>
      </c>
      <c r="AA63" s="14"/>
    </row>
    <row r="64" spans="2:27">
      <c r="B64" s="14">
        <v>47</v>
      </c>
      <c r="C64" s="197" t="str">
        <f>Refsz_Verbräuche[[#This Row],[Handlungsfeld]]</f>
        <v>Mobilität 1</v>
      </c>
      <c r="D64" s="19" t="str">
        <f>Refsz_Verbräuche[[#This Row],[Datenpunkt]]</f>
        <v>DR - Mietwägen (Benzin)</v>
      </c>
      <c r="E64" s="26" t="str">
        <f>Refsz_Verbräuche[[#This Row],[Einheit]]</f>
        <v>Fkm</v>
      </c>
      <c r="F64" s="108"/>
      <c r="G64" s="14" t="str">
        <f>IF(ISBLANK(Refsz_Verbräuche[[#This Row],[2015]]),"",Refsz_Verbräuche[[#This Row],[2015]])</f>
        <v/>
      </c>
      <c r="H64" s="14" t="str">
        <f>IF(ISBLANK(Refsz_Verbräuche[[#This Row],[2016]]),"",Refsz_Verbräuche[[#This Row],[2016]])</f>
        <v/>
      </c>
      <c r="I64" s="14" t="str">
        <f>IF(ISBLANK(Refsz_Verbräuche[[#This Row],[2017]]),"",Refsz_Verbräuche[[#This Row],[2017]])</f>
        <v/>
      </c>
      <c r="J64" s="14" t="str">
        <f>IF(ISBLANK(Refsz_Verbräuche[[#This Row],[2018]]),"",Refsz_Verbräuche[[#This Row],[2018]])</f>
        <v/>
      </c>
      <c r="K64" s="14" t="str">
        <f>IF(ISBLANK(Refsz_Verbräuche[[#This Row],[2019]]),"",Refsz_Verbräuche[[#This Row],[2019]])</f>
        <v/>
      </c>
      <c r="L64" s="14" t="str">
        <f>IF(ISBLANK(Refsz_Verbräuche[[#This Row],[2020]]),"",Refsz_Verbräuche[[#This Row],[2020]])</f>
        <v/>
      </c>
      <c r="M64" s="14" t="str">
        <f>IF(ISBLANK(Refsz_Verbräuche[[#This Row],[2021]]),"",Refsz_Verbräuche[[#This Row],[2021]])</f>
        <v/>
      </c>
      <c r="N64" s="49" t="str">
        <f>IF(Klisz_Verbräuche[[#Headers],[2022]]=$B$14,IF(COUNTIF($G64:Klisz_Verbräuche[[#This Row],[2021]],"&gt;0")&gt;0, AVERAGEIF($G64:Klisz_Verbräuche[[#This Row],[2021]],"&lt;&gt;"), ""),IF($B$14&lt;Klisz_Verbräuche[[#Headers],[2022]],IF(COUNTIF($G64:Klisz_Verbräuche[[#This Row],[2021]],"&gt;0")&gt;0,IF(COUNTIF($G64:Klisz_Verbräuche[[#This Row],[2021]],"&gt;0")&gt;0,Klisz_Verbräuche[[#This Row],[2021]]*(1-$F64)^1, ""), ""),IF($B$14&gt;Klisz_Verbräuche[[#Headers],[2022]],Refsz_Verbräuche[[#This Row],[2022]],"")))</f>
        <v/>
      </c>
      <c r="O64" s="49" t="str">
        <f>IF(Klisz_Verbräuche[[#Headers],[2023]]=$B$14,IF(COUNTIF($G64:Klisz_Verbräuche[[#This Row],[2022]],"&gt;0")&gt;0, AVERAGEIF($G64:Klisz_Verbräuche[[#This Row],[2022]],"&lt;&gt;"), ""),IF($B$14&lt;Klisz_Verbräuche[[#Headers],[2023]],IF(COUNTIF($G64:Klisz_Verbräuche[[#This Row],[2022]],"&gt;0")&gt;0,IF(COUNTIF($G64:Klisz_Verbräuche[[#This Row],[2022]],"&gt;0")&gt;0,Klisz_Verbräuche[[#This Row],[2022]]*(1-$F64)^1, ""), ""),IF($B$14&gt;Klisz_Verbräuche[[#Headers],[2023]],Refsz_Verbräuche[[#This Row],[2023]],"")))</f>
        <v/>
      </c>
      <c r="P64" s="49" t="str">
        <f>IF(Klisz_Verbräuche[[#Headers],[2024]]=$B$14,IF(COUNTIF($G64:Klisz_Verbräuche[[#This Row],[2023]],"&gt;0")&gt;0, AVERAGEIF($G64:Klisz_Verbräuche[[#This Row],[2023]],"&lt;&gt;"), ""),IF($B$14&lt;Klisz_Verbräuche[[#Headers],[2024]],IF(COUNTIF($G64:Klisz_Verbräuche[[#This Row],[2023]],"&gt;0")&gt;0,IF(COUNTIF($G64:Klisz_Verbräuche[[#This Row],[2023]],"&gt;0")&gt;0,Klisz_Verbräuche[[#This Row],[2023]]*(1-$F64)^1, ""), ""),IF($B$14&gt;Klisz_Verbräuche[[#Headers],[2024]],Refsz_Verbräuche[[#This Row],[2024]],"")))</f>
        <v/>
      </c>
      <c r="Q64" s="49" t="str">
        <f>IF(Klisz_Verbräuche[[#Headers],[2025]]=$B$14,IF(COUNTIF($G64:Klisz_Verbräuche[[#This Row],[2024]],"&gt;0")&gt;0, AVERAGEIF($G64:Klisz_Verbräuche[[#This Row],[2024]],"&lt;&gt;"), ""),IF($B$14&lt;Klisz_Verbräuche[[#Headers],[2025]],IF(COUNTIF($G64:Klisz_Verbräuche[[#This Row],[2024]],"&gt;0")&gt;0,IF(COUNTIF($G64:Klisz_Verbräuche[[#This Row],[2024]],"&gt;0")&gt;0,Klisz_Verbräuche[[#This Row],[2024]]*(1-$F64)^1, ""), ""),IF($B$14&gt;Klisz_Verbräuche[[#Headers],[2025]],Refsz_Verbräuche[[#This Row],[2025]],"")))</f>
        <v/>
      </c>
      <c r="R64" s="49" t="str">
        <f>IF(Klisz_Verbräuche[[#Headers],[2026]]=$B$14,IF(COUNTIF($G64:Klisz_Verbräuche[[#This Row],[2025]],"&gt;0")&gt;0, AVERAGEIF($G64:Klisz_Verbräuche[[#This Row],[2025]],"&lt;&gt;"), ""),IF($B$14&lt;Klisz_Verbräuche[[#Headers],[2026]],IF(COUNTIF($G64:Klisz_Verbräuche[[#This Row],[2025]],"&gt;0")&gt;0,IF(COUNTIF($G64:Klisz_Verbräuche[[#This Row],[2025]],"&gt;0")&gt;0,Klisz_Verbräuche[[#This Row],[2025]]*(1-$F64)^1, ""), ""),IF($B$14&gt;Klisz_Verbräuche[[#Headers],[2026]],Refsz_Verbräuche[[#This Row],[2026]],"")))</f>
        <v/>
      </c>
      <c r="S64" s="49" t="str">
        <f>IF(Klisz_Verbräuche[[#Headers],[2027]]=$B$14,IF(COUNTIF($G64:Klisz_Verbräuche[[#This Row],[2026]],"&gt;0")&gt;0, AVERAGEIF($G64:Klisz_Verbräuche[[#This Row],[2026]],"&lt;&gt;"), ""),IF($B$14&lt;Klisz_Verbräuche[[#Headers],[2027]],IF(COUNTIF($G64:Klisz_Verbräuche[[#This Row],[2026]],"&gt;0")&gt;0,IF(COUNTIF($G64:Klisz_Verbräuche[[#This Row],[2026]],"&gt;0")&gt;0,Klisz_Verbräuche[[#This Row],[2026]]*(1-$F64)^1, ""), ""),IF($B$14&gt;Klisz_Verbräuche[[#Headers],[2027]],Refsz_Verbräuche[[#This Row],[2027]],"")))</f>
        <v/>
      </c>
      <c r="T64" s="49" t="str">
        <f>IF(Klisz_Verbräuche[[#Headers],[2028]]=$B$14,IF(COUNTIF($G64:Klisz_Verbräuche[[#This Row],[2027]],"&gt;0")&gt;0, AVERAGEIF($G64:Klisz_Verbräuche[[#This Row],[2027]],"&lt;&gt;"), ""),IF($B$14&lt;Klisz_Verbräuche[[#Headers],[2028]],IF(COUNTIF($G64:Klisz_Verbräuche[[#This Row],[2027]],"&gt;0")&gt;0,IF(COUNTIF($G64:Klisz_Verbräuche[[#This Row],[2027]],"&gt;0")&gt;0,Klisz_Verbräuche[[#This Row],[2027]]*(1-$F64)^1, ""), ""),IF($B$14&gt;Klisz_Verbräuche[[#Headers],[2028]],Refsz_Verbräuche[[#This Row],[2028]],"")))</f>
        <v/>
      </c>
      <c r="U64" s="49" t="str">
        <f>IF(Klisz_Verbräuche[[#Headers],[2029]]=$B$14,IF(COUNTIF($G64:Klisz_Verbräuche[[#This Row],[2028]],"&gt;0")&gt;0, AVERAGEIF($G64:Klisz_Verbräuche[[#This Row],[2028]],"&lt;&gt;"), ""),IF($B$14&lt;Klisz_Verbräuche[[#Headers],[2029]],IF(COUNTIF($G64:Klisz_Verbräuche[[#This Row],[2028]],"&gt;0")&gt;0,IF(COUNTIF($G64:Klisz_Verbräuche[[#This Row],[2028]],"&gt;0")&gt;0,Klisz_Verbräuche[[#This Row],[2028]]*(1-$F64)^1, ""), ""),IF($B$14&gt;Klisz_Verbräuche[[#Headers],[2029]],Refsz_Verbräuche[[#This Row],[2029]],"")))</f>
        <v/>
      </c>
      <c r="V64" s="49" t="str">
        <f>IF(Klisz_Verbräuche[[#Headers],[2030]]=$B$14,IF(COUNTIF($G64:Klisz_Verbräuche[[#This Row],[2029]],"&gt;0")&gt;0, AVERAGEIF($G64:Klisz_Verbräuche[[#This Row],[2029]],"&lt;&gt;"), ""),IF($B$14&lt;Klisz_Verbräuche[[#Headers],[2030]],IF(COUNTIF($G64:Klisz_Verbräuche[[#This Row],[2029]],"&gt;0")&gt;0,IF(COUNTIF($G64:Klisz_Verbräuche[[#This Row],[2029]],"&gt;0")&gt;0,Klisz_Verbräuche[[#This Row],[2029]]*(1-$F64)^1, ""), ""),IF($B$14&gt;Klisz_Verbräuche[[#Headers],[2030]],Refsz_Verbräuche[[#This Row],[2030]],"")))</f>
        <v/>
      </c>
      <c r="W64" s="49" t="str">
        <f>IF(Klisz_Verbräuche[[#Headers],[2035]]=$B$14,IF(COUNTIF($G64:Klisz_Verbräuche[[#This Row],[2030]],"&gt;0")&gt;0, AVERAGEIF($G64:Klisz_Verbräuche[[#This Row],[2030]],"&lt;&gt;"), ""),IF($B$14&lt;Klisz_Verbräuche[[#Headers],[2035]],IF(COUNTIF($G64:Klisz_Verbräuche[[#This Row],[2030]],"&gt;0")&gt;0,IF(COUNTIF($G64:Klisz_Verbräuche[[#This Row],[2030]],"&gt;0")&gt;0,Klisz_Verbräuche[[#This Row],[2030]]*(1-$F64)^5, ""), ""),IF($B$14&gt;Klisz_Verbräuche[[#Headers],[2035]],Refsz_Verbräuche[[#This Row],[2035]],"")))</f>
        <v/>
      </c>
      <c r="X64" s="49" t="str">
        <f>IF(Klisz_Verbräuche[[#Headers],[2040]]=$B$14,IF(COUNTIF($G64:Klisz_Verbräuche[[#This Row],[2035]],"&gt;0")&gt;0, AVERAGEIF($G64:Klisz_Verbräuche[[#This Row],[2035]],"&lt;&gt;"), ""),IF($B$14&lt;Klisz_Verbräuche[[#Headers],[2040]],IF(COUNTIF($G64:Klisz_Verbräuche[[#This Row],[2035]],"&gt;0")&gt;0,IF(COUNTIF($G64:Klisz_Verbräuche[[#This Row],[2035]],"&gt;0")&gt;0,Klisz_Verbräuche[[#This Row],[2035]]*(1-$F64)^5, ""), ""),IF($B$14&gt;Klisz_Verbräuche[[#Headers],[2040]],Refsz_Verbräuche[[#This Row],[2040]],"")))</f>
        <v/>
      </c>
      <c r="Y64" s="49" t="str">
        <f>IF(Klisz_Verbräuche[[#Headers],[2045]]=$B$14,IF(COUNTIF($G64:Klisz_Verbräuche[[#This Row],[2040]],"&gt;0")&gt;0, AVERAGEIF($G64:Klisz_Verbräuche[[#This Row],[2040]],"&lt;&gt;"), ""),IF($B$14&lt;Klisz_Verbräuche[[#Headers],[2045]],IF(COUNTIF($G64:Klisz_Verbräuche[[#This Row],[2040]],"&gt;0")&gt;0,IF(COUNTIF($G64:Klisz_Verbräuche[[#This Row],[2040]],"&gt;0")&gt;0,Klisz_Verbräuche[[#This Row],[2040]]*(1-$F64)^5, ""), ""),IF($B$14&gt;Klisz_Verbräuche[[#Headers],[2045]],Refsz_Verbräuche[[#This Row],[2045]],"")))</f>
        <v/>
      </c>
      <c r="Z64" s="49" t="str">
        <f>IF(Klisz_Verbräuche[[#Headers],[2050]]=$B$14,IF(COUNTIF($G64:Klisz_Verbräuche[[#This Row],[2045]],"&gt;0")&gt;0, AVERAGEIF($G64:Klisz_Verbräuche[[#This Row],[2045]],"&lt;&gt;"), ""),IF($B$14&lt;Klisz_Verbräuche[[#Headers],[2050]],IF(COUNTIF($G64:Klisz_Verbräuche[[#This Row],[2045]],"&gt;0")&gt;0,IF(COUNTIF($G64:Klisz_Verbräuche[[#This Row],[2045]],"&gt;0")&gt;0,Klisz_Verbräuche[[#This Row],[2045]]*(1-$F64)^5, ""), ""),IF($B$14&gt;Klisz_Verbräuche[[#Headers],[2050]],Refsz_Verbräuche[[#This Row],[2050]],"")))</f>
        <v/>
      </c>
      <c r="AA64" s="14"/>
    </row>
    <row r="65" spans="2:27">
      <c r="B65" s="14">
        <v>48</v>
      </c>
      <c r="C65" s="197" t="str">
        <f>Refsz_Verbräuche[[#This Row],[Handlungsfeld]]</f>
        <v>Mobilität 1</v>
      </c>
      <c r="D65" s="19" t="str">
        <f>Refsz_Verbräuche[[#This Row],[Datenpunkt]]</f>
        <v>DR - Mietwägen (E-Auto/ BEV)</v>
      </c>
      <c r="E65" s="26" t="str">
        <f>Refsz_Verbräuche[[#This Row],[Einheit]]</f>
        <v>Fkm</v>
      </c>
      <c r="F65" s="108"/>
      <c r="G65" s="14" t="str">
        <f>IF(ISBLANK(Refsz_Verbräuche[[#This Row],[2015]]),"",Refsz_Verbräuche[[#This Row],[2015]])</f>
        <v/>
      </c>
      <c r="H65" s="14" t="str">
        <f>IF(ISBLANK(Refsz_Verbräuche[[#This Row],[2016]]),"",Refsz_Verbräuche[[#This Row],[2016]])</f>
        <v/>
      </c>
      <c r="I65" s="14" t="str">
        <f>IF(ISBLANK(Refsz_Verbräuche[[#This Row],[2017]]),"",Refsz_Verbräuche[[#This Row],[2017]])</f>
        <v/>
      </c>
      <c r="J65" s="14" t="str">
        <f>IF(ISBLANK(Refsz_Verbräuche[[#This Row],[2018]]),"",Refsz_Verbräuche[[#This Row],[2018]])</f>
        <v/>
      </c>
      <c r="K65" s="14" t="str">
        <f>IF(ISBLANK(Refsz_Verbräuche[[#This Row],[2019]]),"",Refsz_Verbräuche[[#This Row],[2019]])</f>
        <v/>
      </c>
      <c r="L65" s="14" t="str">
        <f>IF(ISBLANK(Refsz_Verbräuche[[#This Row],[2020]]),"",Refsz_Verbräuche[[#This Row],[2020]])</f>
        <v/>
      </c>
      <c r="M65" s="14" t="str">
        <f>IF(ISBLANK(Refsz_Verbräuche[[#This Row],[2021]]),"",Refsz_Verbräuche[[#This Row],[2021]])</f>
        <v/>
      </c>
      <c r="N65" s="49" t="str">
        <f>IF(Klisz_Verbräuche[[#Headers],[2022]]=$B$14,IF(COUNTIF($G65:Klisz_Verbräuche[[#This Row],[2021]],"&gt;0")&gt;0, AVERAGEIF($G65:Klisz_Verbräuche[[#This Row],[2021]],"&lt;&gt;"), ""),IF($B$14&lt;Klisz_Verbräuche[[#Headers],[2022]],IF(COUNTIF($G65:Klisz_Verbräuche[[#This Row],[2021]],"&gt;0")&gt;0,IF(COUNTIF($G65:Klisz_Verbräuche[[#This Row],[2021]],"&gt;0")&gt;0,Klisz_Verbräuche[[#This Row],[2021]]*(1-$F65)^1, ""), ""),IF($B$14&gt;Klisz_Verbräuche[[#Headers],[2022]],Refsz_Verbräuche[[#This Row],[2022]],"")))</f>
        <v/>
      </c>
      <c r="O65" s="49" t="str">
        <f>IF(Klisz_Verbräuche[[#Headers],[2023]]=$B$14,IF(COUNTIF($G65:Klisz_Verbräuche[[#This Row],[2022]],"&gt;0")&gt;0, AVERAGEIF($G65:Klisz_Verbräuche[[#This Row],[2022]],"&lt;&gt;"), ""),IF($B$14&lt;Klisz_Verbräuche[[#Headers],[2023]],IF(COUNTIF($G65:Klisz_Verbräuche[[#This Row],[2022]],"&gt;0")&gt;0,IF(COUNTIF($G65:Klisz_Verbräuche[[#This Row],[2022]],"&gt;0")&gt;0,Klisz_Verbräuche[[#This Row],[2022]]*(1-$F65)^1, ""), ""),IF($B$14&gt;Klisz_Verbräuche[[#Headers],[2023]],Refsz_Verbräuche[[#This Row],[2023]],"")))</f>
        <v/>
      </c>
      <c r="P65" s="49" t="str">
        <f>IF(Klisz_Verbräuche[[#Headers],[2024]]=$B$14,IF(COUNTIF($G65:Klisz_Verbräuche[[#This Row],[2023]],"&gt;0")&gt;0, AVERAGEIF($G65:Klisz_Verbräuche[[#This Row],[2023]],"&lt;&gt;"), ""),IF($B$14&lt;Klisz_Verbräuche[[#Headers],[2024]],IF(COUNTIF($G65:Klisz_Verbräuche[[#This Row],[2023]],"&gt;0")&gt;0,IF(COUNTIF($G65:Klisz_Verbräuche[[#This Row],[2023]],"&gt;0")&gt;0,Klisz_Verbräuche[[#This Row],[2023]]*(1-$F65)^1, ""), ""),IF($B$14&gt;Klisz_Verbräuche[[#Headers],[2024]],Refsz_Verbräuche[[#This Row],[2024]],"")))</f>
        <v/>
      </c>
      <c r="Q65" s="49" t="str">
        <f>IF(Klisz_Verbräuche[[#Headers],[2025]]=$B$14,IF(COUNTIF($G65:Klisz_Verbräuche[[#This Row],[2024]],"&gt;0")&gt;0, AVERAGEIF($G65:Klisz_Verbräuche[[#This Row],[2024]],"&lt;&gt;"), ""),IF($B$14&lt;Klisz_Verbräuche[[#Headers],[2025]],IF(COUNTIF($G65:Klisz_Verbräuche[[#This Row],[2024]],"&gt;0")&gt;0,IF(COUNTIF($G65:Klisz_Verbräuche[[#This Row],[2024]],"&gt;0")&gt;0,Klisz_Verbräuche[[#This Row],[2024]]*(1-$F65)^1, ""), ""),IF($B$14&gt;Klisz_Verbräuche[[#Headers],[2025]],Refsz_Verbräuche[[#This Row],[2025]],"")))</f>
        <v/>
      </c>
      <c r="R65" s="49" t="str">
        <f>IF(Klisz_Verbräuche[[#Headers],[2026]]=$B$14,IF(COUNTIF($G65:Klisz_Verbräuche[[#This Row],[2025]],"&gt;0")&gt;0, AVERAGEIF($G65:Klisz_Verbräuche[[#This Row],[2025]],"&lt;&gt;"), ""),IF($B$14&lt;Klisz_Verbräuche[[#Headers],[2026]],IF(COUNTIF($G65:Klisz_Verbräuche[[#This Row],[2025]],"&gt;0")&gt;0,IF(COUNTIF($G65:Klisz_Verbräuche[[#This Row],[2025]],"&gt;0")&gt;0,Klisz_Verbräuche[[#This Row],[2025]]*(1-$F65)^1, ""), ""),IF($B$14&gt;Klisz_Verbräuche[[#Headers],[2026]],Refsz_Verbräuche[[#This Row],[2026]],"")))</f>
        <v/>
      </c>
      <c r="S65" s="49" t="str">
        <f>IF(Klisz_Verbräuche[[#Headers],[2027]]=$B$14,IF(COUNTIF($G65:Klisz_Verbräuche[[#This Row],[2026]],"&gt;0")&gt;0, AVERAGEIF($G65:Klisz_Verbräuche[[#This Row],[2026]],"&lt;&gt;"), ""),IF($B$14&lt;Klisz_Verbräuche[[#Headers],[2027]],IF(COUNTIF($G65:Klisz_Verbräuche[[#This Row],[2026]],"&gt;0")&gt;0,IF(COUNTIF($G65:Klisz_Verbräuche[[#This Row],[2026]],"&gt;0")&gt;0,Klisz_Verbräuche[[#This Row],[2026]]*(1-$F65)^1, ""), ""),IF($B$14&gt;Klisz_Verbräuche[[#Headers],[2027]],Refsz_Verbräuche[[#This Row],[2027]],"")))</f>
        <v/>
      </c>
      <c r="T65" s="49" t="str">
        <f>IF(Klisz_Verbräuche[[#Headers],[2028]]=$B$14,IF(COUNTIF($G65:Klisz_Verbräuche[[#This Row],[2027]],"&gt;0")&gt;0, AVERAGEIF($G65:Klisz_Verbräuche[[#This Row],[2027]],"&lt;&gt;"), ""),IF($B$14&lt;Klisz_Verbräuche[[#Headers],[2028]],IF(COUNTIF($G65:Klisz_Verbräuche[[#This Row],[2027]],"&gt;0")&gt;0,IF(COUNTIF($G65:Klisz_Verbräuche[[#This Row],[2027]],"&gt;0")&gt;0,Klisz_Verbräuche[[#This Row],[2027]]*(1-$F65)^1, ""), ""),IF($B$14&gt;Klisz_Verbräuche[[#Headers],[2028]],Refsz_Verbräuche[[#This Row],[2028]],"")))</f>
        <v/>
      </c>
      <c r="U65" s="49" t="str">
        <f>IF(Klisz_Verbräuche[[#Headers],[2029]]=$B$14,IF(COUNTIF($G65:Klisz_Verbräuche[[#This Row],[2028]],"&gt;0")&gt;0, AVERAGEIF($G65:Klisz_Verbräuche[[#This Row],[2028]],"&lt;&gt;"), ""),IF($B$14&lt;Klisz_Verbräuche[[#Headers],[2029]],IF(COUNTIF($G65:Klisz_Verbräuche[[#This Row],[2028]],"&gt;0")&gt;0,IF(COUNTIF($G65:Klisz_Verbräuche[[#This Row],[2028]],"&gt;0")&gt;0,Klisz_Verbräuche[[#This Row],[2028]]*(1-$F65)^1, ""), ""),IF($B$14&gt;Klisz_Verbräuche[[#Headers],[2029]],Refsz_Verbräuche[[#This Row],[2029]],"")))</f>
        <v/>
      </c>
      <c r="V65" s="49" t="str">
        <f>IF(Klisz_Verbräuche[[#Headers],[2030]]=$B$14,IF(COUNTIF($G65:Klisz_Verbräuche[[#This Row],[2029]],"&gt;0")&gt;0, AVERAGEIF($G65:Klisz_Verbräuche[[#This Row],[2029]],"&lt;&gt;"), ""),IF($B$14&lt;Klisz_Verbräuche[[#Headers],[2030]],IF(COUNTIF($G65:Klisz_Verbräuche[[#This Row],[2029]],"&gt;0")&gt;0,IF(COUNTIF($G65:Klisz_Verbräuche[[#This Row],[2029]],"&gt;0")&gt;0,Klisz_Verbräuche[[#This Row],[2029]]*(1-$F65)^1, ""), ""),IF($B$14&gt;Klisz_Verbräuche[[#Headers],[2030]],Refsz_Verbräuche[[#This Row],[2030]],"")))</f>
        <v/>
      </c>
      <c r="W65" s="49" t="str">
        <f>IF(Klisz_Verbräuche[[#Headers],[2035]]=$B$14,IF(COUNTIF($G65:Klisz_Verbräuche[[#This Row],[2030]],"&gt;0")&gt;0, AVERAGEIF($G65:Klisz_Verbräuche[[#This Row],[2030]],"&lt;&gt;"), ""),IF($B$14&lt;Klisz_Verbräuche[[#Headers],[2035]],IF(COUNTIF($G65:Klisz_Verbräuche[[#This Row],[2030]],"&gt;0")&gt;0,IF(COUNTIF($G65:Klisz_Verbräuche[[#This Row],[2030]],"&gt;0")&gt;0,Klisz_Verbräuche[[#This Row],[2030]]*(1-$F65)^5, ""), ""),IF($B$14&gt;Klisz_Verbräuche[[#Headers],[2035]],Refsz_Verbräuche[[#This Row],[2035]],"")))</f>
        <v/>
      </c>
      <c r="X65" s="49" t="str">
        <f>IF(Klisz_Verbräuche[[#Headers],[2040]]=$B$14,IF(COUNTIF($G65:Klisz_Verbräuche[[#This Row],[2035]],"&gt;0")&gt;0, AVERAGEIF($G65:Klisz_Verbräuche[[#This Row],[2035]],"&lt;&gt;"), ""),IF($B$14&lt;Klisz_Verbräuche[[#Headers],[2040]],IF(COUNTIF($G65:Klisz_Verbräuche[[#This Row],[2035]],"&gt;0")&gt;0,IF(COUNTIF($G65:Klisz_Verbräuche[[#This Row],[2035]],"&gt;0")&gt;0,Klisz_Verbräuche[[#This Row],[2035]]*(1-$F65)^5, ""), ""),IF($B$14&gt;Klisz_Verbräuche[[#Headers],[2040]],Refsz_Verbräuche[[#This Row],[2040]],"")))</f>
        <v/>
      </c>
      <c r="Y65" s="49" t="str">
        <f>IF(Klisz_Verbräuche[[#Headers],[2045]]=$B$14,IF(COUNTIF($G65:Klisz_Verbräuche[[#This Row],[2040]],"&gt;0")&gt;0, AVERAGEIF($G65:Klisz_Verbräuche[[#This Row],[2040]],"&lt;&gt;"), ""),IF($B$14&lt;Klisz_Verbräuche[[#Headers],[2045]],IF(COUNTIF($G65:Klisz_Verbräuche[[#This Row],[2040]],"&gt;0")&gt;0,IF(COUNTIF($G65:Klisz_Verbräuche[[#This Row],[2040]],"&gt;0")&gt;0,Klisz_Verbräuche[[#This Row],[2040]]*(1-$F65)^5, ""), ""),IF($B$14&gt;Klisz_Verbräuche[[#Headers],[2045]],Refsz_Verbräuche[[#This Row],[2045]],"")))</f>
        <v/>
      </c>
      <c r="Z65" s="49" t="str">
        <f>IF(Klisz_Verbräuche[[#Headers],[2050]]=$B$14,IF(COUNTIF($G65:Klisz_Verbräuche[[#This Row],[2045]],"&gt;0")&gt;0, AVERAGEIF($G65:Klisz_Verbräuche[[#This Row],[2045]],"&lt;&gt;"), ""),IF($B$14&lt;Klisz_Verbräuche[[#Headers],[2050]],IF(COUNTIF($G65:Klisz_Verbräuche[[#This Row],[2045]],"&gt;0")&gt;0,IF(COUNTIF($G65:Klisz_Verbräuche[[#This Row],[2045]],"&gt;0")&gt;0,Klisz_Verbräuche[[#This Row],[2045]]*(1-$F65)^5, ""), ""),IF($B$14&gt;Klisz_Verbräuche[[#Headers],[2050]],Refsz_Verbräuche[[#This Row],[2050]],"")))</f>
        <v/>
      </c>
      <c r="AA65" s="14"/>
    </row>
    <row r="66" spans="2:27">
      <c r="B66" s="14">
        <v>49</v>
      </c>
      <c r="C66" s="197" t="str">
        <f>Refsz_Verbräuche[[#This Row],[Handlungsfeld]]</f>
        <v>Mobilität 1</v>
      </c>
      <c r="D66" s="19" t="str">
        <f>Refsz_Verbräuche[[#This Row],[Datenpunkt]]</f>
        <v>DR - Mietwägen (Wasserstoff/ FCEV)</v>
      </c>
      <c r="E66" s="26" t="str">
        <f>Refsz_Verbräuche[[#This Row],[Einheit]]</f>
        <v>Fkm</v>
      </c>
      <c r="F66" s="108"/>
      <c r="G66" s="14" t="str">
        <f>IF(ISBLANK(Refsz_Verbräuche[[#This Row],[2015]]),"",Refsz_Verbräuche[[#This Row],[2015]])</f>
        <v/>
      </c>
      <c r="H66" s="14" t="str">
        <f>IF(ISBLANK(Refsz_Verbräuche[[#This Row],[2016]]),"",Refsz_Verbräuche[[#This Row],[2016]])</f>
        <v/>
      </c>
      <c r="I66" s="14" t="str">
        <f>IF(ISBLANK(Refsz_Verbräuche[[#This Row],[2017]]),"",Refsz_Verbräuche[[#This Row],[2017]])</f>
        <v/>
      </c>
      <c r="J66" s="14" t="str">
        <f>IF(ISBLANK(Refsz_Verbräuche[[#This Row],[2018]]),"",Refsz_Verbräuche[[#This Row],[2018]])</f>
        <v/>
      </c>
      <c r="K66" s="14" t="str">
        <f>IF(ISBLANK(Refsz_Verbräuche[[#This Row],[2019]]),"",Refsz_Verbräuche[[#This Row],[2019]])</f>
        <v/>
      </c>
      <c r="L66" s="14" t="str">
        <f>IF(ISBLANK(Refsz_Verbräuche[[#This Row],[2020]]),"",Refsz_Verbräuche[[#This Row],[2020]])</f>
        <v/>
      </c>
      <c r="M66" s="14" t="str">
        <f>IF(ISBLANK(Refsz_Verbräuche[[#This Row],[2021]]),"",Refsz_Verbräuche[[#This Row],[2021]])</f>
        <v/>
      </c>
      <c r="N66" s="49" t="str">
        <f>IF(Klisz_Verbräuche[[#Headers],[2022]]=$B$14,IF(COUNTIF($G66:Klisz_Verbräuche[[#This Row],[2021]],"&gt;0")&gt;0, AVERAGEIF($G66:Klisz_Verbräuche[[#This Row],[2021]],"&lt;&gt;"), ""),IF($B$14&lt;Klisz_Verbräuche[[#Headers],[2022]],IF(COUNTIF($G66:Klisz_Verbräuche[[#This Row],[2021]],"&gt;0")&gt;0,IF(COUNTIF($G66:Klisz_Verbräuche[[#This Row],[2021]],"&gt;0")&gt;0,Klisz_Verbräuche[[#This Row],[2021]]*(1-$F66)^1, ""), ""),IF($B$14&gt;Klisz_Verbräuche[[#Headers],[2022]],Refsz_Verbräuche[[#This Row],[2022]],"")))</f>
        <v/>
      </c>
      <c r="O66" s="49" t="str">
        <f>IF(Klisz_Verbräuche[[#Headers],[2023]]=$B$14,IF(COUNTIF($G66:Klisz_Verbräuche[[#This Row],[2022]],"&gt;0")&gt;0, AVERAGEIF($G66:Klisz_Verbräuche[[#This Row],[2022]],"&lt;&gt;"), ""),IF($B$14&lt;Klisz_Verbräuche[[#Headers],[2023]],IF(COUNTIF($G66:Klisz_Verbräuche[[#This Row],[2022]],"&gt;0")&gt;0,IF(COUNTIF($G66:Klisz_Verbräuche[[#This Row],[2022]],"&gt;0")&gt;0,Klisz_Verbräuche[[#This Row],[2022]]*(1-$F66)^1, ""), ""),IF($B$14&gt;Klisz_Verbräuche[[#Headers],[2023]],Refsz_Verbräuche[[#This Row],[2023]],"")))</f>
        <v/>
      </c>
      <c r="P66" s="49" t="str">
        <f>IF(Klisz_Verbräuche[[#Headers],[2024]]=$B$14,IF(COUNTIF($G66:Klisz_Verbräuche[[#This Row],[2023]],"&gt;0")&gt;0, AVERAGEIF($G66:Klisz_Verbräuche[[#This Row],[2023]],"&lt;&gt;"), ""),IF($B$14&lt;Klisz_Verbräuche[[#Headers],[2024]],IF(COUNTIF($G66:Klisz_Verbräuche[[#This Row],[2023]],"&gt;0")&gt;0,IF(COUNTIF($G66:Klisz_Verbräuche[[#This Row],[2023]],"&gt;0")&gt;0,Klisz_Verbräuche[[#This Row],[2023]]*(1-$F66)^1, ""), ""),IF($B$14&gt;Klisz_Verbräuche[[#Headers],[2024]],Refsz_Verbräuche[[#This Row],[2024]],"")))</f>
        <v/>
      </c>
      <c r="Q66" s="49" t="str">
        <f>IF(Klisz_Verbräuche[[#Headers],[2025]]=$B$14,IF(COUNTIF($G66:Klisz_Verbräuche[[#This Row],[2024]],"&gt;0")&gt;0, AVERAGEIF($G66:Klisz_Verbräuche[[#This Row],[2024]],"&lt;&gt;"), ""),IF($B$14&lt;Klisz_Verbräuche[[#Headers],[2025]],IF(COUNTIF($G66:Klisz_Verbräuche[[#This Row],[2024]],"&gt;0")&gt;0,IF(COUNTIF($G66:Klisz_Verbräuche[[#This Row],[2024]],"&gt;0")&gt;0,Klisz_Verbräuche[[#This Row],[2024]]*(1-$F66)^1, ""), ""),IF($B$14&gt;Klisz_Verbräuche[[#Headers],[2025]],Refsz_Verbräuche[[#This Row],[2025]],"")))</f>
        <v/>
      </c>
      <c r="R66" s="49" t="str">
        <f>IF(Klisz_Verbräuche[[#Headers],[2026]]=$B$14,IF(COUNTIF($G66:Klisz_Verbräuche[[#This Row],[2025]],"&gt;0")&gt;0, AVERAGEIF($G66:Klisz_Verbräuche[[#This Row],[2025]],"&lt;&gt;"), ""),IF($B$14&lt;Klisz_Verbräuche[[#Headers],[2026]],IF(COUNTIF($G66:Klisz_Verbräuche[[#This Row],[2025]],"&gt;0")&gt;0,IF(COUNTIF($G66:Klisz_Verbräuche[[#This Row],[2025]],"&gt;0")&gt;0,Klisz_Verbräuche[[#This Row],[2025]]*(1-$F66)^1, ""), ""),IF($B$14&gt;Klisz_Verbräuche[[#Headers],[2026]],Refsz_Verbräuche[[#This Row],[2026]],"")))</f>
        <v/>
      </c>
      <c r="S66" s="49" t="str">
        <f>IF(Klisz_Verbräuche[[#Headers],[2027]]=$B$14,IF(COUNTIF($G66:Klisz_Verbräuche[[#This Row],[2026]],"&gt;0")&gt;0, AVERAGEIF($G66:Klisz_Verbräuche[[#This Row],[2026]],"&lt;&gt;"), ""),IF($B$14&lt;Klisz_Verbräuche[[#Headers],[2027]],IF(COUNTIF($G66:Klisz_Verbräuche[[#This Row],[2026]],"&gt;0")&gt;0,IF(COUNTIF($G66:Klisz_Verbräuche[[#This Row],[2026]],"&gt;0")&gt;0,Klisz_Verbräuche[[#This Row],[2026]]*(1-$F66)^1, ""), ""),IF($B$14&gt;Klisz_Verbräuche[[#Headers],[2027]],Refsz_Verbräuche[[#This Row],[2027]],"")))</f>
        <v/>
      </c>
      <c r="T66" s="49" t="str">
        <f>IF(Klisz_Verbräuche[[#Headers],[2028]]=$B$14,IF(COUNTIF($G66:Klisz_Verbräuche[[#This Row],[2027]],"&gt;0")&gt;0, AVERAGEIF($G66:Klisz_Verbräuche[[#This Row],[2027]],"&lt;&gt;"), ""),IF($B$14&lt;Klisz_Verbräuche[[#Headers],[2028]],IF(COUNTIF($G66:Klisz_Verbräuche[[#This Row],[2027]],"&gt;0")&gt;0,IF(COUNTIF($G66:Klisz_Verbräuche[[#This Row],[2027]],"&gt;0")&gt;0,Klisz_Verbräuche[[#This Row],[2027]]*(1-$F66)^1, ""), ""),IF($B$14&gt;Klisz_Verbräuche[[#Headers],[2028]],Refsz_Verbräuche[[#This Row],[2028]],"")))</f>
        <v/>
      </c>
      <c r="U66" s="49" t="str">
        <f>IF(Klisz_Verbräuche[[#Headers],[2029]]=$B$14,IF(COUNTIF($G66:Klisz_Verbräuche[[#This Row],[2028]],"&gt;0")&gt;0, AVERAGEIF($G66:Klisz_Verbräuche[[#This Row],[2028]],"&lt;&gt;"), ""),IF($B$14&lt;Klisz_Verbräuche[[#Headers],[2029]],IF(COUNTIF($G66:Klisz_Verbräuche[[#This Row],[2028]],"&gt;0")&gt;0,IF(COUNTIF($G66:Klisz_Verbräuche[[#This Row],[2028]],"&gt;0")&gt;0,Klisz_Verbräuche[[#This Row],[2028]]*(1-$F66)^1, ""), ""),IF($B$14&gt;Klisz_Verbräuche[[#Headers],[2029]],Refsz_Verbräuche[[#This Row],[2029]],"")))</f>
        <v/>
      </c>
      <c r="V66" s="49" t="str">
        <f>IF(Klisz_Verbräuche[[#Headers],[2030]]=$B$14,IF(COUNTIF($G66:Klisz_Verbräuche[[#This Row],[2029]],"&gt;0")&gt;0, AVERAGEIF($G66:Klisz_Verbräuche[[#This Row],[2029]],"&lt;&gt;"), ""),IF($B$14&lt;Klisz_Verbräuche[[#Headers],[2030]],IF(COUNTIF($G66:Klisz_Verbräuche[[#This Row],[2029]],"&gt;0")&gt;0,IF(COUNTIF($G66:Klisz_Verbräuche[[#This Row],[2029]],"&gt;0")&gt;0,Klisz_Verbräuche[[#This Row],[2029]]*(1-$F66)^1, ""), ""),IF($B$14&gt;Klisz_Verbräuche[[#Headers],[2030]],Refsz_Verbräuche[[#This Row],[2030]],"")))</f>
        <v/>
      </c>
      <c r="W66" s="49" t="str">
        <f>IF(Klisz_Verbräuche[[#Headers],[2035]]=$B$14,IF(COUNTIF($G66:Klisz_Verbräuche[[#This Row],[2030]],"&gt;0")&gt;0, AVERAGEIF($G66:Klisz_Verbräuche[[#This Row],[2030]],"&lt;&gt;"), ""),IF($B$14&lt;Klisz_Verbräuche[[#Headers],[2035]],IF(COUNTIF($G66:Klisz_Verbräuche[[#This Row],[2030]],"&gt;0")&gt;0,IF(COUNTIF($G66:Klisz_Verbräuche[[#This Row],[2030]],"&gt;0")&gt;0,Klisz_Verbräuche[[#This Row],[2030]]*(1-$F66)^5, ""), ""),IF($B$14&gt;Klisz_Verbräuche[[#Headers],[2035]],Refsz_Verbräuche[[#This Row],[2035]],"")))</f>
        <v/>
      </c>
      <c r="X66" s="49" t="str">
        <f>IF(Klisz_Verbräuche[[#Headers],[2040]]=$B$14,IF(COUNTIF($G66:Klisz_Verbräuche[[#This Row],[2035]],"&gt;0")&gt;0, AVERAGEIF($G66:Klisz_Verbräuche[[#This Row],[2035]],"&lt;&gt;"), ""),IF($B$14&lt;Klisz_Verbräuche[[#Headers],[2040]],IF(COUNTIF($G66:Klisz_Verbräuche[[#This Row],[2035]],"&gt;0")&gt;0,IF(COUNTIF($G66:Klisz_Verbräuche[[#This Row],[2035]],"&gt;0")&gt;0,Klisz_Verbräuche[[#This Row],[2035]]*(1-$F66)^5, ""), ""),IF($B$14&gt;Klisz_Verbräuche[[#Headers],[2040]],Refsz_Verbräuche[[#This Row],[2040]],"")))</f>
        <v/>
      </c>
      <c r="Y66" s="49" t="str">
        <f>IF(Klisz_Verbräuche[[#Headers],[2045]]=$B$14,IF(COUNTIF($G66:Klisz_Verbräuche[[#This Row],[2040]],"&gt;0")&gt;0, AVERAGEIF($G66:Klisz_Verbräuche[[#This Row],[2040]],"&lt;&gt;"), ""),IF($B$14&lt;Klisz_Verbräuche[[#Headers],[2045]],IF(COUNTIF($G66:Klisz_Verbräuche[[#This Row],[2040]],"&gt;0")&gt;0,IF(COUNTIF($G66:Klisz_Verbräuche[[#This Row],[2040]],"&gt;0")&gt;0,Klisz_Verbräuche[[#This Row],[2040]]*(1-$F66)^5, ""), ""),IF($B$14&gt;Klisz_Verbräuche[[#Headers],[2045]],Refsz_Verbräuche[[#This Row],[2045]],"")))</f>
        <v/>
      </c>
      <c r="Z66" s="49" t="str">
        <f>IF(Klisz_Verbräuche[[#Headers],[2050]]=$B$14,IF(COUNTIF($G66:Klisz_Verbräuche[[#This Row],[2045]],"&gt;0")&gt;0, AVERAGEIF($G66:Klisz_Verbräuche[[#This Row],[2045]],"&lt;&gt;"), ""),IF($B$14&lt;Klisz_Verbräuche[[#Headers],[2050]],IF(COUNTIF($G66:Klisz_Verbräuche[[#This Row],[2045]],"&gt;0")&gt;0,IF(COUNTIF($G66:Klisz_Verbräuche[[#This Row],[2045]],"&gt;0")&gt;0,Klisz_Verbräuche[[#This Row],[2045]]*(1-$F66)^5, ""), ""),IF($B$14&gt;Klisz_Verbräuche[[#Headers],[2050]],Refsz_Verbräuche[[#This Row],[2050]],"")))</f>
        <v/>
      </c>
      <c r="AA66" s="14"/>
    </row>
    <row r="67" spans="2:27">
      <c r="B67" s="14">
        <v>50</v>
      </c>
      <c r="C67" s="197" t="str">
        <f>Refsz_Verbräuche[[#This Row],[Handlungsfeld]]</f>
        <v>Mobilität 1</v>
      </c>
      <c r="D67" s="19" t="str">
        <f>Refsz_Verbräuche[[#This Row],[Datenpunkt]]</f>
        <v>DR - Mietwägen (CNG)</v>
      </c>
      <c r="E67" s="26" t="str">
        <f>Refsz_Verbräuche[[#This Row],[Einheit]]</f>
        <v>Fkm</v>
      </c>
      <c r="F67" s="108"/>
      <c r="G67" s="14" t="str">
        <f>IF(ISBLANK(Refsz_Verbräuche[[#This Row],[2015]]),"",Refsz_Verbräuche[[#This Row],[2015]])</f>
        <v/>
      </c>
      <c r="H67" s="14" t="str">
        <f>IF(ISBLANK(Refsz_Verbräuche[[#This Row],[2016]]),"",Refsz_Verbräuche[[#This Row],[2016]])</f>
        <v/>
      </c>
      <c r="I67" s="14" t="str">
        <f>IF(ISBLANK(Refsz_Verbräuche[[#This Row],[2017]]),"",Refsz_Verbräuche[[#This Row],[2017]])</f>
        <v/>
      </c>
      <c r="J67" s="14" t="str">
        <f>IF(ISBLANK(Refsz_Verbräuche[[#This Row],[2018]]),"",Refsz_Verbräuche[[#This Row],[2018]])</f>
        <v/>
      </c>
      <c r="K67" s="14" t="str">
        <f>IF(ISBLANK(Refsz_Verbräuche[[#This Row],[2019]]),"",Refsz_Verbräuche[[#This Row],[2019]])</f>
        <v/>
      </c>
      <c r="L67" s="14" t="str">
        <f>IF(ISBLANK(Refsz_Verbräuche[[#This Row],[2020]]),"",Refsz_Verbräuche[[#This Row],[2020]])</f>
        <v/>
      </c>
      <c r="M67" s="14" t="str">
        <f>IF(ISBLANK(Refsz_Verbräuche[[#This Row],[2021]]),"",Refsz_Verbräuche[[#This Row],[2021]])</f>
        <v/>
      </c>
      <c r="N67" s="49" t="str">
        <f>IF(Klisz_Verbräuche[[#Headers],[2022]]=$B$14,IF(COUNTIF($G67:Klisz_Verbräuche[[#This Row],[2021]],"&gt;0")&gt;0, AVERAGEIF($G67:Klisz_Verbräuche[[#This Row],[2021]],"&lt;&gt;"), ""),IF($B$14&lt;Klisz_Verbräuche[[#Headers],[2022]],IF(COUNTIF($G67:Klisz_Verbräuche[[#This Row],[2021]],"&gt;0")&gt;0,IF(COUNTIF($G67:Klisz_Verbräuche[[#This Row],[2021]],"&gt;0")&gt;0,Klisz_Verbräuche[[#This Row],[2021]]*(1-$F67)^1, ""), ""),IF($B$14&gt;Klisz_Verbräuche[[#Headers],[2022]],Refsz_Verbräuche[[#This Row],[2022]],"")))</f>
        <v/>
      </c>
      <c r="O67" s="49" t="str">
        <f>IF(Klisz_Verbräuche[[#Headers],[2023]]=$B$14,IF(COUNTIF($G67:Klisz_Verbräuche[[#This Row],[2022]],"&gt;0")&gt;0, AVERAGEIF($G67:Klisz_Verbräuche[[#This Row],[2022]],"&lt;&gt;"), ""),IF($B$14&lt;Klisz_Verbräuche[[#Headers],[2023]],IF(COUNTIF($G67:Klisz_Verbräuche[[#This Row],[2022]],"&gt;0")&gt;0,IF(COUNTIF($G67:Klisz_Verbräuche[[#This Row],[2022]],"&gt;0")&gt;0,Klisz_Verbräuche[[#This Row],[2022]]*(1-$F67)^1, ""), ""),IF($B$14&gt;Klisz_Verbräuche[[#Headers],[2023]],Refsz_Verbräuche[[#This Row],[2023]],"")))</f>
        <v/>
      </c>
      <c r="P67" s="49" t="str">
        <f>IF(Klisz_Verbräuche[[#Headers],[2024]]=$B$14,IF(COUNTIF($G67:Klisz_Verbräuche[[#This Row],[2023]],"&gt;0")&gt;0, AVERAGEIF($G67:Klisz_Verbräuche[[#This Row],[2023]],"&lt;&gt;"), ""),IF($B$14&lt;Klisz_Verbräuche[[#Headers],[2024]],IF(COUNTIF($G67:Klisz_Verbräuche[[#This Row],[2023]],"&gt;0")&gt;0,IF(COUNTIF($G67:Klisz_Verbräuche[[#This Row],[2023]],"&gt;0")&gt;0,Klisz_Verbräuche[[#This Row],[2023]]*(1-$F67)^1, ""), ""),IF($B$14&gt;Klisz_Verbräuche[[#Headers],[2024]],Refsz_Verbräuche[[#This Row],[2024]],"")))</f>
        <v/>
      </c>
      <c r="Q67" s="49" t="str">
        <f>IF(Klisz_Verbräuche[[#Headers],[2025]]=$B$14,IF(COUNTIF($G67:Klisz_Verbräuche[[#This Row],[2024]],"&gt;0")&gt;0, AVERAGEIF($G67:Klisz_Verbräuche[[#This Row],[2024]],"&lt;&gt;"), ""),IF($B$14&lt;Klisz_Verbräuche[[#Headers],[2025]],IF(COUNTIF($G67:Klisz_Verbräuche[[#This Row],[2024]],"&gt;0")&gt;0,IF(COUNTIF($G67:Klisz_Verbräuche[[#This Row],[2024]],"&gt;0")&gt;0,Klisz_Verbräuche[[#This Row],[2024]]*(1-$F67)^1, ""), ""),IF($B$14&gt;Klisz_Verbräuche[[#Headers],[2025]],Refsz_Verbräuche[[#This Row],[2025]],"")))</f>
        <v/>
      </c>
      <c r="R67" s="49" t="str">
        <f>IF(Klisz_Verbräuche[[#Headers],[2026]]=$B$14,IF(COUNTIF($G67:Klisz_Verbräuche[[#This Row],[2025]],"&gt;0")&gt;0, AVERAGEIF($G67:Klisz_Verbräuche[[#This Row],[2025]],"&lt;&gt;"), ""),IF($B$14&lt;Klisz_Verbräuche[[#Headers],[2026]],IF(COUNTIF($G67:Klisz_Verbräuche[[#This Row],[2025]],"&gt;0")&gt;0,IF(COUNTIF($G67:Klisz_Verbräuche[[#This Row],[2025]],"&gt;0")&gt;0,Klisz_Verbräuche[[#This Row],[2025]]*(1-$F67)^1, ""), ""),IF($B$14&gt;Klisz_Verbräuche[[#Headers],[2026]],Refsz_Verbräuche[[#This Row],[2026]],"")))</f>
        <v/>
      </c>
      <c r="S67" s="49" t="str">
        <f>IF(Klisz_Verbräuche[[#Headers],[2027]]=$B$14,IF(COUNTIF($G67:Klisz_Verbräuche[[#This Row],[2026]],"&gt;0")&gt;0, AVERAGEIF($G67:Klisz_Verbräuche[[#This Row],[2026]],"&lt;&gt;"), ""),IF($B$14&lt;Klisz_Verbräuche[[#Headers],[2027]],IF(COUNTIF($G67:Klisz_Verbräuche[[#This Row],[2026]],"&gt;0")&gt;0,IF(COUNTIF($G67:Klisz_Verbräuche[[#This Row],[2026]],"&gt;0")&gt;0,Klisz_Verbräuche[[#This Row],[2026]]*(1-$F67)^1, ""), ""),IF($B$14&gt;Klisz_Verbräuche[[#Headers],[2027]],Refsz_Verbräuche[[#This Row],[2027]],"")))</f>
        <v/>
      </c>
      <c r="T67" s="49" t="str">
        <f>IF(Klisz_Verbräuche[[#Headers],[2028]]=$B$14,IF(COUNTIF($G67:Klisz_Verbräuche[[#This Row],[2027]],"&gt;0")&gt;0, AVERAGEIF($G67:Klisz_Verbräuche[[#This Row],[2027]],"&lt;&gt;"), ""),IF($B$14&lt;Klisz_Verbräuche[[#Headers],[2028]],IF(COUNTIF($G67:Klisz_Verbräuche[[#This Row],[2027]],"&gt;0")&gt;0,IF(COUNTIF($G67:Klisz_Verbräuche[[#This Row],[2027]],"&gt;0")&gt;0,Klisz_Verbräuche[[#This Row],[2027]]*(1-$F67)^1, ""), ""),IF($B$14&gt;Klisz_Verbräuche[[#Headers],[2028]],Refsz_Verbräuche[[#This Row],[2028]],"")))</f>
        <v/>
      </c>
      <c r="U67" s="49" t="str">
        <f>IF(Klisz_Verbräuche[[#Headers],[2029]]=$B$14,IF(COUNTIF($G67:Klisz_Verbräuche[[#This Row],[2028]],"&gt;0")&gt;0, AVERAGEIF($G67:Klisz_Verbräuche[[#This Row],[2028]],"&lt;&gt;"), ""),IF($B$14&lt;Klisz_Verbräuche[[#Headers],[2029]],IF(COUNTIF($G67:Klisz_Verbräuche[[#This Row],[2028]],"&gt;0")&gt;0,IF(COUNTIF($G67:Klisz_Verbräuche[[#This Row],[2028]],"&gt;0")&gt;0,Klisz_Verbräuche[[#This Row],[2028]]*(1-$F67)^1, ""), ""),IF($B$14&gt;Klisz_Verbräuche[[#Headers],[2029]],Refsz_Verbräuche[[#This Row],[2029]],"")))</f>
        <v/>
      </c>
      <c r="V67" s="49" t="str">
        <f>IF(Klisz_Verbräuche[[#Headers],[2030]]=$B$14,IF(COUNTIF($G67:Klisz_Verbräuche[[#This Row],[2029]],"&gt;0")&gt;0, AVERAGEIF($G67:Klisz_Verbräuche[[#This Row],[2029]],"&lt;&gt;"), ""),IF($B$14&lt;Klisz_Verbräuche[[#Headers],[2030]],IF(COUNTIF($G67:Klisz_Verbräuche[[#This Row],[2029]],"&gt;0")&gt;0,IF(COUNTIF($G67:Klisz_Verbräuche[[#This Row],[2029]],"&gt;0")&gt;0,Klisz_Verbräuche[[#This Row],[2029]]*(1-$F67)^1, ""), ""),IF($B$14&gt;Klisz_Verbräuche[[#Headers],[2030]],Refsz_Verbräuche[[#This Row],[2030]],"")))</f>
        <v/>
      </c>
      <c r="W67" s="49" t="str">
        <f>IF(Klisz_Verbräuche[[#Headers],[2035]]=$B$14,IF(COUNTIF($G67:Klisz_Verbräuche[[#This Row],[2030]],"&gt;0")&gt;0, AVERAGEIF($G67:Klisz_Verbräuche[[#This Row],[2030]],"&lt;&gt;"), ""),IF($B$14&lt;Klisz_Verbräuche[[#Headers],[2035]],IF(COUNTIF($G67:Klisz_Verbräuche[[#This Row],[2030]],"&gt;0")&gt;0,IF(COUNTIF($G67:Klisz_Verbräuche[[#This Row],[2030]],"&gt;0")&gt;0,Klisz_Verbräuche[[#This Row],[2030]]*(1-$F67)^5, ""), ""),IF($B$14&gt;Klisz_Verbräuche[[#Headers],[2035]],Refsz_Verbräuche[[#This Row],[2035]],"")))</f>
        <v/>
      </c>
      <c r="X67" s="49" t="str">
        <f>IF(Klisz_Verbräuche[[#Headers],[2040]]=$B$14,IF(COUNTIF($G67:Klisz_Verbräuche[[#This Row],[2035]],"&gt;0")&gt;0, AVERAGEIF($G67:Klisz_Verbräuche[[#This Row],[2035]],"&lt;&gt;"), ""),IF($B$14&lt;Klisz_Verbräuche[[#Headers],[2040]],IF(COUNTIF($G67:Klisz_Verbräuche[[#This Row],[2035]],"&gt;0")&gt;0,IF(COUNTIF($G67:Klisz_Verbräuche[[#This Row],[2035]],"&gt;0")&gt;0,Klisz_Verbräuche[[#This Row],[2035]]*(1-$F67)^5, ""), ""),IF($B$14&gt;Klisz_Verbräuche[[#Headers],[2040]],Refsz_Verbräuche[[#This Row],[2040]],"")))</f>
        <v/>
      </c>
      <c r="Y67" s="49" t="str">
        <f>IF(Klisz_Verbräuche[[#Headers],[2045]]=$B$14,IF(COUNTIF($G67:Klisz_Verbräuche[[#This Row],[2040]],"&gt;0")&gt;0, AVERAGEIF($G67:Klisz_Verbräuche[[#This Row],[2040]],"&lt;&gt;"), ""),IF($B$14&lt;Klisz_Verbräuche[[#Headers],[2045]],IF(COUNTIF($G67:Klisz_Verbräuche[[#This Row],[2040]],"&gt;0")&gt;0,IF(COUNTIF($G67:Klisz_Verbräuche[[#This Row],[2040]],"&gt;0")&gt;0,Klisz_Verbräuche[[#This Row],[2040]]*(1-$F67)^5, ""), ""),IF($B$14&gt;Klisz_Verbräuche[[#Headers],[2045]],Refsz_Verbräuche[[#This Row],[2045]],"")))</f>
        <v/>
      </c>
      <c r="Z67" s="49" t="str">
        <f>IF(Klisz_Verbräuche[[#Headers],[2050]]=$B$14,IF(COUNTIF($G67:Klisz_Verbräuche[[#This Row],[2045]],"&gt;0")&gt;0, AVERAGEIF($G67:Klisz_Verbräuche[[#This Row],[2045]],"&lt;&gt;"), ""),IF($B$14&lt;Klisz_Verbräuche[[#Headers],[2050]],IF(COUNTIF($G67:Klisz_Verbräuche[[#This Row],[2045]],"&gt;0")&gt;0,IF(COUNTIF($G67:Klisz_Verbräuche[[#This Row],[2045]],"&gt;0")&gt;0,Klisz_Verbräuche[[#This Row],[2045]]*(1-$F67)^5, ""), ""),IF($B$14&gt;Klisz_Verbräuche[[#Headers],[2050]],Refsz_Verbräuche[[#This Row],[2050]],"")))</f>
        <v/>
      </c>
      <c r="AA67" s="14"/>
    </row>
    <row r="68" spans="2:27">
      <c r="B68" s="14">
        <v>51</v>
      </c>
      <c r="C68" s="197" t="str">
        <f>Refsz_Verbräuche[[#This Row],[Handlungsfeld]]</f>
        <v>Mobilität 1</v>
      </c>
      <c r="D68" s="19" t="str">
        <f>Refsz_Verbräuche[[#This Row],[Datenpunkt]]</f>
        <v>DR - Mietwägen (Plug-In-Hybrid/ PHEV)</v>
      </c>
      <c r="E68" s="26" t="str">
        <f>Refsz_Verbräuche[[#This Row],[Einheit]]</f>
        <v>Fkm</v>
      </c>
      <c r="F68" s="108"/>
      <c r="G68" s="14" t="str">
        <f>IF(ISBLANK(Refsz_Verbräuche[[#This Row],[2015]]),"",Refsz_Verbräuche[[#This Row],[2015]])</f>
        <v/>
      </c>
      <c r="H68" s="14" t="str">
        <f>IF(ISBLANK(Refsz_Verbräuche[[#This Row],[2016]]),"",Refsz_Verbräuche[[#This Row],[2016]])</f>
        <v/>
      </c>
      <c r="I68" s="14" t="str">
        <f>IF(ISBLANK(Refsz_Verbräuche[[#This Row],[2017]]),"",Refsz_Verbräuche[[#This Row],[2017]])</f>
        <v/>
      </c>
      <c r="J68" s="14" t="str">
        <f>IF(ISBLANK(Refsz_Verbräuche[[#This Row],[2018]]),"",Refsz_Verbräuche[[#This Row],[2018]])</f>
        <v/>
      </c>
      <c r="K68" s="14" t="str">
        <f>IF(ISBLANK(Refsz_Verbräuche[[#This Row],[2019]]),"",Refsz_Verbräuche[[#This Row],[2019]])</f>
        <v/>
      </c>
      <c r="L68" s="14" t="str">
        <f>IF(ISBLANK(Refsz_Verbräuche[[#This Row],[2020]]),"",Refsz_Verbräuche[[#This Row],[2020]])</f>
        <v/>
      </c>
      <c r="M68" s="14" t="str">
        <f>IF(ISBLANK(Refsz_Verbräuche[[#This Row],[2021]]),"",Refsz_Verbräuche[[#This Row],[2021]])</f>
        <v/>
      </c>
      <c r="N68" s="49" t="str">
        <f>IF(Klisz_Verbräuche[[#Headers],[2022]]=$B$14,IF(COUNTIF($G68:Klisz_Verbräuche[[#This Row],[2021]],"&gt;0")&gt;0, AVERAGEIF($G68:Klisz_Verbräuche[[#This Row],[2021]],"&lt;&gt;"), ""),IF($B$14&lt;Klisz_Verbräuche[[#Headers],[2022]],IF(COUNTIF($G68:Klisz_Verbräuche[[#This Row],[2021]],"&gt;0")&gt;0,IF(COUNTIF($G68:Klisz_Verbräuche[[#This Row],[2021]],"&gt;0")&gt;0,Klisz_Verbräuche[[#This Row],[2021]]*(1-$F68)^1, ""), ""),IF($B$14&gt;Klisz_Verbräuche[[#Headers],[2022]],Refsz_Verbräuche[[#This Row],[2022]],"")))</f>
        <v/>
      </c>
      <c r="O68" s="49" t="str">
        <f>IF(Klisz_Verbräuche[[#Headers],[2023]]=$B$14,IF(COUNTIF($G68:Klisz_Verbräuche[[#This Row],[2022]],"&gt;0")&gt;0, AVERAGEIF($G68:Klisz_Verbräuche[[#This Row],[2022]],"&lt;&gt;"), ""),IF($B$14&lt;Klisz_Verbräuche[[#Headers],[2023]],IF(COUNTIF($G68:Klisz_Verbräuche[[#This Row],[2022]],"&gt;0")&gt;0,IF(COUNTIF($G68:Klisz_Verbräuche[[#This Row],[2022]],"&gt;0")&gt;0,Klisz_Verbräuche[[#This Row],[2022]]*(1-$F68)^1, ""), ""),IF($B$14&gt;Klisz_Verbräuche[[#Headers],[2023]],Refsz_Verbräuche[[#This Row],[2023]],"")))</f>
        <v/>
      </c>
      <c r="P68" s="49" t="str">
        <f>IF(Klisz_Verbräuche[[#Headers],[2024]]=$B$14,IF(COUNTIF($G68:Klisz_Verbräuche[[#This Row],[2023]],"&gt;0")&gt;0, AVERAGEIF($G68:Klisz_Verbräuche[[#This Row],[2023]],"&lt;&gt;"), ""),IF($B$14&lt;Klisz_Verbräuche[[#Headers],[2024]],IF(COUNTIF($G68:Klisz_Verbräuche[[#This Row],[2023]],"&gt;0")&gt;0,IF(COUNTIF($G68:Klisz_Verbräuche[[#This Row],[2023]],"&gt;0")&gt;0,Klisz_Verbräuche[[#This Row],[2023]]*(1-$F68)^1, ""), ""),IF($B$14&gt;Klisz_Verbräuche[[#Headers],[2024]],Refsz_Verbräuche[[#This Row],[2024]],"")))</f>
        <v/>
      </c>
      <c r="Q68" s="49" t="str">
        <f>IF(Klisz_Verbräuche[[#Headers],[2025]]=$B$14,IF(COUNTIF($G68:Klisz_Verbräuche[[#This Row],[2024]],"&gt;0")&gt;0, AVERAGEIF($G68:Klisz_Verbräuche[[#This Row],[2024]],"&lt;&gt;"), ""),IF($B$14&lt;Klisz_Verbräuche[[#Headers],[2025]],IF(COUNTIF($G68:Klisz_Verbräuche[[#This Row],[2024]],"&gt;0")&gt;0,IF(COUNTIF($G68:Klisz_Verbräuche[[#This Row],[2024]],"&gt;0")&gt;0,Klisz_Verbräuche[[#This Row],[2024]]*(1-$F68)^1, ""), ""),IF($B$14&gt;Klisz_Verbräuche[[#Headers],[2025]],Refsz_Verbräuche[[#This Row],[2025]],"")))</f>
        <v/>
      </c>
      <c r="R68" s="49" t="str">
        <f>IF(Klisz_Verbräuche[[#Headers],[2026]]=$B$14,IF(COUNTIF($G68:Klisz_Verbräuche[[#This Row],[2025]],"&gt;0")&gt;0, AVERAGEIF($G68:Klisz_Verbräuche[[#This Row],[2025]],"&lt;&gt;"), ""),IF($B$14&lt;Klisz_Verbräuche[[#Headers],[2026]],IF(COUNTIF($G68:Klisz_Verbräuche[[#This Row],[2025]],"&gt;0")&gt;0,IF(COUNTIF($G68:Klisz_Verbräuche[[#This Row],[2025]],"&gt;0")&gt;0,Klisz_Verbräuche[[#This Row],[2025]]*(1-$F68)^1, ""), ""),IF($B$14&gt;Klisz_Verbräuche[[#Headers],[2026]],Refsz_Verbräuche[[#This Row],[2026]],"")))</f>
        <v/>
      </c>
      <c r="S68" s="49" t="str">
        <f>IF(Klisz_Verbräuche[[#Headers],[2027]]=$B$14,IF(COUNTIF($G68:Klisz_Verbräuche[[#This Row],[2026]],"&gt;0")&gt;0, AVERAGEIF($G68:Klisz_Verbräuche[[#This Row],[2026]],"&lt;&gt;"), ""),IF($B$14&lt;Klisz_Verbräuche[[#Headers],[2027]],IF(COUNTIF($G68:Klisz_Verbräuche[[#This Row],[2026]],"&gt;0")&gt;0,IF(COUNTIF($G68:Klisz_Verbräuche[[#This Row],[2026]],"&gt;0")&gt;0,Klisz_Verbräuche[[#This Row],[2026]]*(1-$F68)^1, ""), ""),IF($B$14&gt;Klisz_Verbräuche[[#Headers],[2027]],Refsz_Verbräuche[[#This Row],[2027]],"")))</f>
        <v/>
      </c>
      <c r="T68" s="49" t="str">
        <f>IF(Klisz_Verbräuche[[#Headers],[2028]]=$B$14,IF(COUNTIF($G68:Klisz_Verbräuche[[#This Row],[2027]],"&gt;0")&gt;0, AVERAGEIF($G68:Klisz_Verbräuche[[#This Row],[2027]],"&lt;&gt;"), ""),IF($B$14&lt;Klisz_Verbräuche[[#Headers],[2028]],IF(COUNTIF($G68:Klisz_Verbräuche[[#This Row],[2027]],"&gt;0")&gt;0,IF(COUNTIF($G68:Klisz_Verbräuche[[#This Row],[2027]],"&gt;0")&gt;0,Klisz_Verbräuche[[#This Row],[2027]]*(1-$F68)^1, ""), ""),IF($B$14&gt;Klisz_Verbräuche[[#Headers],[2028]],Refsz_Verbräuche[[#This Row],[2028]],"")))</f>
        <v/>
      </c>
      <c r="U68" s="49" t="str">
        <f>IF(Klisz_Verbräuche[[#Headers],[2029]]=$B$14,IF(COUNTIF($G68:Klisz_Verbräuche[[#This Row],[2028]],"&gt;0")&gt;0, AVERAGEIF($G68:Klisz_Verbräuche[[#This Row],[2028]],"&lt;&gt;"), ""),IF($B$14&lt;Klisz_Verbräuche[[#Headers],[2029]],IF(COUNTIF($G68:Klisz_Verbräuche[[#This Row],[2028]],"&gt;0")&gt;0,IF(COUNTIF($G68:Klisz_Verbräuche[[#This Row],[2028]],"&gt;0")&gt;0,Klisz_Verbräuche[[#This Row],[2028]]*(1-$F68)^1, ""), ""),IF($B$14&gt;Klisz_Verbräuche[[#Headers],[2029]],Refsz_Verbräuche[[#This Row],[2029]],"")))</f>
        <v/>
      </c>
      <c r="V68" s="49" t="str">
        <f>IF(Klisz_Verbräuche[[#Headers],[2030]]=$B$14,IF(COUNTIF($G68:Klisz_Verbräuche[[#This Row],[2029]],"&gt;0")&gt;0, AVERAGEIF($G68:Klisz_Verbräuche[[#This Row],[2029]],"&lt;&gt;"), ""),IF($B$14&lt;Klisz_Verbräuche[[#Headers],[2030]],IF(COUNTIF($G68:Klisz_Verbräuche[[#This Row],[2029]],"&gt;0")&gt;0,IF(COUNTIF($G68:Klisz_Verbräuche[[#This Row],[2029]],"&gt;0")&gt;0,Klisz_Verbräuche[[#This Row],[2029]]*(1-$F68)^1, ""), ""),IF($B$14&gt;Klisz_Verbräuche[[#Headers],[2030]],Refsz_Verbräuche[[#This Row],[2030]],"")))</f>
        <v/>
      </c>
      <c r="W68" s="49" t="str">
        <f>IF(Klisz_Verbräuche[[#Headers],[2035]]=$B$14,IF(COUNTIF($G68:Klisz_Verbräuche[[#This Row],[2030]],"&gt;0")&gt;0, AVERAGEIF($G68:Klisz_Verbräuche[[#This Row],[2030]],"&lt;&gt;"), ""),IF($B$14&lt;Klisz_Verbräuche[[#Headers],[2035]],IF(COUNTIF($G68:Klisz_Verbräuche[[#This Row],[2030]],"&gt;0")&gt;0,IF(COUNTIF($G68:Klisz_Verbräuche[[#This Row],[2030]],"&gt;0")&gt;0,Klisz_Verbräuche[[#This Row],[2030]]*(1-$F68)^5, ""), ""),IF($B$14&gt;Klisz_Verbräuche[[#Headers],[2035]],Refsz_Verbräuche[[#This Row],[2035]],"")))</f>
        <v/>
      </c>
      <c r="X68" s="49" t="str">
        <f>IF(Klisz_Verbräuche[[#Headers],[2040]]=$B$14,IF(COUNTIF($G68:Klisz_Verbräuche[[#This Row],[2035]],"&gt;0")&gt;0, AVERAGEIF($G68:Klisz_Verbräuche[[#This Row],[2035]],"&lt;&gt;"), ""),IF($B$14&lt;Klisz_Verbräuche[[#Headers],[2040]],IF(COUNTIF($G68:Klisz_Verbräuche[[#This Row],[2035]],"&gt;0")&gt;0,IF(COUNTIF($G68:Klisz_Verbräuche[[#This Row],[2035]],"&gt;0")&gt;0,Klisz_Verbräuche[[#This Row],[2035]]*(1-$F68)^5, ""), ""),IF($B$14&gt;Klisz_Verbräuche[[#Headers],[2040]],Refsz_Verbräuche[[#This Row],[2040]],"")))</f>
        <v/>
      </c>
      <c r="Y68" s="49" t="str">
        <f>IF(Klisz_Verbräuche[[#Headers],[2045]]=$B$14,IF(COUNTIF($G68:Klisz_Verbräuche[[#This Row],[2040]],"&gt;0")&gt;0, AVERAGEIF($G68:Klisz_Verbräuche[[#This Row],[2040]],"&lt;&gt;"), ""),IF($B$14&lt;Klisz_Verbräuche[[#Headers],[2045]],IF(COUNTIF($G68:Klisz_Verbräuche[[#This Row],[2040]],"&gt;0")&gt;0,IF(COUNTIF($G68:Klisz_Verbräuche[[#This Row],[2040]],"&gt;0")&gt;0,Klisz_Verbräuche[[#This Row],[2040]]*(1-$F68)^5, ""), ""),IF($B$14&gt;Klisz_Verbräuche[[#Headers],[2045]],Refsz_Verbräuche[[#This Row],[2045]],"")))</f>
        <v/>
      </c>
      <c r="Z68" s="49" t="str">
        <f>IF(Klisz_Verbräuche[[#Headers],[2050]]=$B$14,IF(COUNTIF($G68:Klisz_Verbräuche[[#This Row],[2045]],"&gt;0")&gt;0, AVERAGEIF($G68:Klisz_Verbräuche[[#This Row],[2045]],"&lt;&gt;"), ""),IF($B$14&lt;Klisz_Verbräuche[[#Headers],[2050]],IF(COUNTIF($G68:Klisz_Verbräuche[[#This Row],[2045]],"&gt;0")&gt;0,IF(COUNTIF($G68:Klisz_Verbräuche[[#This Row],[2045]],"&gt;0")&gt;0,Klisz_Verbräuche[[#This Row],[2045]]*(1-$F68)^5, ""), ""),IF($B$14&gt;Klisz_Verbräuche[[#Headers],[2050]],Refsz_Verbräuche[[#This Row],[2050]],"")))</f>
        <v/>
      </c>
      <c r="AA68" s="14"/>
    </row>
    <row r="69" spans="2:27">
      <c r="B69" s="14">
        <v>52</v>
      </c>
      <c r="C69" s="197" t="str">
        <f>Refsz_Verbräuche[[#This Row],[Handlungsfeld]]</f>
        <v>Mobilität 1</v>
      </c>
      <c r="D69" s="19" t="str">
        <f>Refsz_Verbräuche[[#This Row],[Datenpunkt]]</f>
        <v>DR - E-Bike</v>
      </c>
      <c r="E69" s="26" t="str">
        <f>Refsz_Verbräuche[[#This Row],[Einheit]]</f>
        <v>Fkm</v>
      </c>
      <c r="F69" s="108"/>
      <c r="G69" s="14" t="str">
        <f>IF(ISBLANK(Refsz_Verbräuche[[#This Row],[2015]]),"",Refsz_Verbräuche[[#This Row],[2015]])</f>
        <v/>
      </c>
      <c r="H69" s="14" t="str">
        <f>IF(ISBLANK(Refsz_Verbräuche[[#This Row],[2016]]),"",Refsz_Verbräuche[[#This Row],[2016]])</f>
        <v/>
      </c>
      <c r="I69" s="14" t="str">
        <f>IF(ISBLANK(Refsz_Verbräuche[[#This Row],[2017]]),"",Refsz_Verbräuche[[#This Row],[2017]])</f>
        <v/>
      </c>
      <c r="J69" s="14" t="str">
        <f>IF(ISBLANK(Refsz_Verbräuche[[#This Row],[2018]]),"",Refsz_Verbräuche[[#This Row],[2018]])</f>
        <v/>
      </c>
      <c r="K69" s="14" t="str">
        <f>IF(ISBLANK(Refsz_Verbräuche[[#This Row],[2019]]),"",Refsz_Verbräuche[[#This Row],[2019]])</f>
        <v/>
      </c>
      <c r="L69" s="14" t="str">
        <f>IF(ISBLANK(Refsz_Verbräuche[[#This Row],[2020]]),"",Refsz_Verbräuche[[#This Row],[2020]])</f>
        <v/>
      </c>
      <c r="M69" s="14" t="str">
        <f>IF(ISBLANK(Refsz_Verbräuche[[#This Row],[2021]]),"",Refsz_Verbräuche[[#This Row],[2021]])</f>
        <v/>
      </c>
      <c r="N69" s="49" t="str">
        <f>IF(Klisz_Verbräuche[[#Headers],[2022]]=$B$14,IF(COUNTIF($G69:Klisz_Verbräuche[[#This Row],[2021]],"&gt;0")&gt;0, AVERAGEIF($G69:Klisz_Verbräuche[[#This Row],[2021]],"&lt;&gt;"), ""),IF($B$14&lt;Klisz_Verbräuche[[#Headers],[2022]],IF(COUNTIF($G69:Klisz_Verbräuche[[#This Row],[2021]],"&gt;0")&gt;0,IF(COUNTIF($G69:Klisz_Verbräuche[[#This Row],[2021]],"&gt;0")&gt;0,Klisz_Verbräuche[[#This Row],[2021]]*(1-$F69)^1, ""), ""),IF($B$14&gt;Klisz_Verbräuche[[#Headers],[2022]],Refsz_Verbräuche[[#This Row],[2022]],"")))</f>
        <v/>
      </c>
      <c r="O69" s="49" t="str">
        <f>IF(Klisz_Verbräuche[[#Headers],[2023]]=$B$14,IF(COUNTIF($G69:Klisz_Verbräuche[[#This Row],[2022]],"&gt;0")&gt;0, AVERAGEIF($G69:Klisz_Verbräuche[[#This Row],[2022]],"&lt;&gt;"), ""),IF($B$14&lt;Klisz_Verbräuche[[#Headers],[2023]],IF(COUNTIF($G69:Klisz_Verbräuche[[#This Row],[2022]],"&gt;0")&gt;0,IF(COUNTIF($G69:Klisz_Verbräuche[[#This Row],[2022]],"&gt;0")&gt;0,Klisz_Verbräuche[[#This Row],[2022]]*(1-$F69)^1, ""), ""),IF($B$14&gt;Klisz_Verbräuche[[#Headers],[2023]],Refsz_Verbräuche[[#This Row],[2023]],"")))</f>
        <v/>
      </c>
      <c r="P69" s="49" t="str">
        <f>IF(Klisz_Verbräuche[[#Headers],[2024]]=$B$14,IF(COUNTIF($G69:Klisz_Verbräuche[[#This Row],[2023]],"&gt;0")&gt;0, AVERAGEIF($G69:Klisz_Verbräuche[[#This Row],[2023]],"&lt;&gt;"), ""),IF($B$14&lt;Klisz_Verbräuche[[#Headers],[2024]],IF(COUNTIF($G69:Klisz_Verbräuche[[#This Row],[2023]],"&gt;0")&gt;0,IF(COUNTIF($G69:Klisz_Verbräuche[[#This Row],[2023]],"&gt;0")&gt;0,Klisz_Verbräuche[[#This Row],[2023]]*(1-$F69)^1, ""), ""),IF($B$14&gt;Klisz_Verbräuche[[#Headers],[2024]],Refsz_Verbräuche[[#This Row],[2024]],"")))</f>
        <v/>
      </c>
      <c r="Q69" s="49" t="str">
        <f>IF(Klisz_Verbräuche[[#Headers],[2025]]=$B$14,IF(COUNTIF($G69:Klisz_Verbräuche[[#This Row],[2024]],"&gt;0")&gt;0, AVERAGEIF($G69:Klisz_Verbräuche[[#This Row],[2024]],"&lt;&gt;"), ""),IF($B$14&lt;Klisz_Verbräuche[[#Headers],[2025]],IF(COUNTIF($G69:Klisz_Verbräuche[[#This Row],[2024]],"&gt;0")&gt;0,IF(COUNTIF($G69:Klisz_Verbräuche[[#This Row],[2024]],"&gt;0")&gt;0,Klisz_Verbräuche[[#This Row],[2024]]*(1-$F69)^1, ""), ""),IF($B$14&gt;Klisz_Verbräuche[[#Headers],[2025]],Refsz_Verbräuche[[#This Row],[2025]],"")))</f>
        <v/>
      </c>
      <c r="R69" s="49" t="str">
        <f>IF(Klisz_Verbräuche[[#Headers],[2026]]=$B$14,IF(COUNTIF($G69:Klisz_Verbräuche[[#This Row],[2025]],"&gt;0")&gt;0, AVERAGEIF($G69:Klisz_Verbräuche[[#This Row],[2025]],"&lt;&gt;"), ""),IF($B$14&lt;Klisz_Verbräuche[[#Headers],[2026]],IF(COUNTIF($G69:Klisz_Verbräuche[[#This Row],[2025]],"&gt;0")&gt;0,IF(COUNTIF($G69:Klisz_Verbräuche[[#This Row],[2025]],"&gt;0")&gt;0,Klisz_Verbräuche[[#This Row],[2025]]*(1-$F69)^1, ""), ""),IF($B$14&gt;Klisz_Verbräuche[[#Headers],[2026]],Refsz_Verbräuche[[#This Row],[2026]],"")))</f>
        <v/>
      </c>
      <c r="S69" s="49" t="str">
        <f>IF(Klisz_Verbräuche[[#Headers],[2027]]=$B$14,IF(COUNTIF($G69:Klisz_Verbräuche[[#This Row],[2026]],"&gt;0")&gt;0, AVERAGEIF($G69:Klisz_Verbräuche[[#This Row],[2026]],"&lt;&gt;"), ""),IF($B$14&lt;Klisz_Verbräuche[[#Headers],[2027]],IF(COUNTIF($G69:Klisz_Verbräuche[[#This Row],[2026]],"&gt;0")&gt;0,IF(COUNTIF($G69:Klisz_Verbräuche[[#This Row],[2026]],"&gt;0")&gt;0,Klisz_Verbräuche[[#This Row],[2026]]*(1-$F69)^1, ""), ""),IF($B$14&gt;Klisz_Verbräuche[[#Headers],[2027]],Refsz_Verbräuche[[#This Row],[2027]],"")))</f>
        <v/>
      </c>
      <c r="T69" s="49" t="str">
        <f>IF(Klisz_Verbräuche[[#Headers],[2028]]=$B$14,IF(COUNTIF($G69:Klisz_Verbräuche[[#This Row],[2027]],"&gt;0")&gt;0, AVERAGEIF($G69:Klisz_Verbräuche[[#This Row],[2027]],"&lt;&gt;"), ""),IF($B$14&lt;Klisz_Verbräuche[[#Headers],[2028]],IF(COUNTIF($G69:Klisz_Verbräuche[[#This Row],[2027]],"&gt;0")&gt;0,IF(COUNTIF($G69:Klisz_Verbräuche[[#This Row],[2027]],"&gt;0")&gt;0,Klisz_Verbräuche[[#This Row],[2027]]*(1-$F69)^1, ""), ""),IF($B$14&gt;Klisz_Verbräuche[[#Headers],[2028]],Refsz_Verbräuche[[#This Row],[2028]],"")))</f>
        <v/>
      </c>
      <c r="U69" s="49" t="str">
        <f>IF(Klisz_Verbräuche[[#Headers],[2029]]=$B$14,IF(COUNTIF($G69:Klisz_Verbräuche[[#This Row],[2028]],"&gt;0")&gt;0, AVERAGEIF($G69:Klisz_Verbräuche[[#This Row],[2028]],"&lt;&gt;"), ""),IF($B$14&lt;Klisz_Verbräuche[[#Headers],[2029]],IF(COUNTIF($G69:Klisz_Verbräuche[[#This Row],[2028]],"&gt;0")&gt;0,IF(COUNTIF($G69:Klisz_Verbräuche[[#This Row],[2028]],"&gt;0")&gt;0,Klisz_Verbräuche[[#This Row],[2028]]*(1-$F69)^1, ""), ""),IF($B$14&gt;Klisz_Verbräuche[[#Headers],[2029]],Refsz_Verbräuche[[#This Row],[2029]],"")))</f>
        <v/>
      </c>
      <c r="V69" s="49" t="str">
        <f>IF(Klisz_Verbräuche[[#Headers],[2030]]=$B$14,IF(COUNTIF($G69:Klisz_Verbräuche[[#This Row],[2029]],"&gt;0")&gt;0, AVERAGEIF($G69:Klisz_Verbräuche[[#This Row],[2029]],"&lt;&gt;"), ""),IF($B$14&lt;Klisz_Verbräuche[[#Headers],[2030]],IF(COUNTIF($G69:Klisz_Verbräuche[[#This Row],[2029]],"&gt;0")&gt;0,IF(COUNTIF($G69:Klisz_Verbräuche[[#This Row],[2029]],"&gt;0")&gt;0,Klisz_Verbräuche[[#This Row],[2029]]*(1-$F69)^1, ""), ""),IF($B$14&gt;Klisz_Verbräuche[[#Headers],[2030]],Refsz_Verbräuche[[#This Row],[2030]],"")))</f>
        <v/>
      </c>
      <c r="W69" s="49" t="str">
        <f>IF(Klisz_Verbräuche[[#Headers],[2035]]=$B$14,IF(COUNTIF($G69:Klisz_Verbräuche[[#This Row],[2030]],"&gt;0")&gt;0, AVERAGEIF($G69:Klisz_Verbräuche[[#This Row],[2030]],"&lt;&gt;"), ""),IF($B$14&lt;Klisz_Verbräuche[[#Headers],[2035]],IF(COUNTIF($G69:Klisz_Verbräuche[[#This Row],[2030]],"&gt;0")&gt;0,IF(COUNTIF($G69:Klisz_Verbräuche[[#This Row],[2030]],"&gt;0")&gt;0,Klisz_Verbräuche[[#This Row],[2030]]*(1-$F69)^5, ""), ""),IF($B$14&gt;Klisz_Verbräuche[[#Headers],[2035]],Refsz_Verbräuche[[#This Row],[2035]],"")))</f>
        <v/>
      </c>
      <c r="X69" s="49" t="str">
        <f>IF(Klisz_Verbräuche[[#Headers],[2040]]=$B$14,IF(COUNTIF($G69:Klisz_Verbräuche[[#This Row],[2035]],"&gt;0")&gt;0, AVERAGEIF($G69:Klisz_Verbräuche[[#This Row],[2035]],"&lt;&gt;"), ""),IF($B$14&lt;Klisz_Verbräuche[[#Headers],[2040]],IF(COUNTIF($G69:Klisz_Verbräuche[[#This Row],[2035]],"&gt;0")&gt;0,IF(COUNTIF($G69:Klisz_Verbräuche[[#This Row],[2035]],"&gt;0")&gt;0,Klisz_Verbräuche[[#This Row],[2035]]*(1-$F69)^5, ""), ""),IF($B$14&gt;Klisz_Verbräuche[[#Headers],[2040]],Refsz_Verbräuche[[#This Row],[2040]],"")))</f>
        <v/>
      </c>
      <c r="Y69" s="49" t="str">
        <f>IF(Klisz_Verbräuche[[#Headers],[2045]]=$B$14,IF(COUNTIF($G69:Klisz_Verbräuche[[#This Row],[2040]],"&gt;0")&gt;0, AVERAGEIF($G69:Klisz_Verbräuche[[#This Row],[2040]],"&lt;&gt;"), ""),IF($B$14&lt;Klisz_Verbräuche[[#Headers],[2045]],IF(COUNTIF($G69:Klisz_Verbräuche[[#This Row],[2040]],"&gt;0")&gt;0,IF(COUNTIF($G69:Klisz_Verbräuche[[#This Row],[2040]],"&gt;0")&gt;0,Klisz_Verbräuche[[#This Row],[2040]]*(1-$F69)^5, ""), ""),IF($B$14&gt;Klisz_Verbräuche[[#Headers],[2045]],Refsz_Verbräuche[[#This Row],[2045]],"")))</f>
        <v/>
      </c>
      <c r="Z69" s="49" t="str">
        <f>IF(Klisz_Verbräuche[[#Headers],[2050]]=$B$14,IF(COUNTIF($G69:Klisz_Verbräuche[[#This Row],[2045]],"&gt;0")&gt;0, AVERAGEIF($G69:Klisz_Verbräuche[[#This Row],[2045]],"&lt;&gt;"), ""),IF($B$14&lt;Klisz_Verbräuche[[#Headers],[2050]],IF(COUNTIF($G69:Klisz_Verbräuche[[#This Row],[2045]],"&gt;0")&gt;0,IF(COUNTIF($G69:Klisz_Verbräuche[[#This Row],[2045]],"&gt;0")&gt;0,Klisz_Verbräuche[[#This Row],[2045]]*(1-$F69)^5, ""), ""),IF($B$14&gt;Klisz_Verbräuche[[#Headers],[2050]],Refsz_Verbräuche[[#This Row],[2050]],"")))</f>
        <v/>
      </c>
      <c r="AA69" s="14"/>
    </row>
    <row r="70" spans="2:27">
      <c r="B70" s="14">
        <v>53</v>
      </c>
      <c r="C70" s="197" t="str">
        <f>Refsz_Verbräuche[[#This Row],[Handlungsfeld]]</f>
        <v>Mobilität 1</v>
      </c>
      <c r="D70" s="19" t="str">
        <f>Refsz_Verbräuche[[#This Row],[Datenpunkt]]</f>
        <v>DR - Fahrrad</v>
      </c>
      <c r="E70" s="26" t="str">
        <f>Refsz_Verbräuche[[#This Row],[Einheit]]</f>
        <v>Fkm</v>
      </c>
      <c r="F70" s="108"/>
      <c r="G70" s="14" t="str">
        <f>IF(ISBLANK(Refsz_Verbräuche[[#This Row],[2015]]),"",Refsz_Verbräuche[[#This Row],[2015]])</f>
        <v/>
      </c>
      <c r="H70" s="14" t="str">
        <f>IF(ISBLANK(Refsz_Verbräuche[[#This Row],[2016]]),"",Refsz_Verbräuche[[#This Row],[2016]])</f>
        <v/>
      </c>
      <c r="I70" s="14" t="str">
        <f>IF(ISBLANK(Refsz_Verbräuche[[#This Row],[2017]]),"",Refsz_Verbräuche[[#This Row],[2017]])</f>
        <v/>
      </c>
      <c r="J70" s="14" t="str">
        <f>IF(ISBLANK(Refsz_Verbräuche[[#This Row],[2018]]),"",Refsz_Verbräuche[[#This Row],[2018]])</f>
        <v/>
      </c>
      <c r="K70" s="14" t="str">
        <f>IF(ISBLANK(Refsz_Verbräuche[[#This Row],[2019]]),"",Refsz_Verbräuche[[#This Row],[2019]])</f>
        <v/>
      </c>
      <c r="L70" s="14" t="str">
        <f>IF(ISBLANK(Refsz_Verbräuche[[#This Row],[2020]]),"",Refsz_Verbräuche[[#This Row],[2020]])</f>
        <v/>
      </c>
      <c r="M70" s="14" t="str">
        <f>IF(ISBLANK(Refsz_Verbräuche[[#This Row],[2021]]),"",Refsz_Verbräuche[[#This Row],[2021]])</f>
        <v/>
      </c>
      <c r="N70" s="49" t="str">
        <f>IF(Klisz_Verbräuche[[#Headers],[2022]]=$B$14,IF(COUNTIF($G70:Klisz_Verbräuche[[#This Row],[2021]],"&gt;0")&gt;0, AVERAGEIF($G70:Klisz_Verbräuche[[#This Row],[2021]],"&lt;&gt;"), ""),IF($B$14&lt;Klisz_Verbräuche[[#Headers],[2022]],IF(COUNTIF($G70:Klisz_Verbräuche[[#This Row],[2021]],"&gt;0")&gt;0,IF(COUNTIF($G70:Klisz_Verbräuche[[#This Row],[2021]],"&gt;0")&gt;0,Klisz_Verbräuche[[#This Row],[2021]]*(1-$F70)^1, ""), ""),IF($B$14&gt;Klisz_Verbräuche[[#Headers],[2022]],Refsz_Verbräuche[[#This Row],[2022]],"")))</f>
        <v/>
      </c>
      <c r="O70" s="49" t="str">
        <f>IF(Klisz_Verbräuche[[#Headers],[2023]]=$B$14,IF(COUNTIF($G70:Klisz_Verbräuche[[#This Row],[2022]],"&gt;0")&gt;0, AVERAGEIF($G70:Klisz_Verbräuche[[#This Row],[2022]],"&lt;&gt;"), ""),IF($B$14&lt;Klisz_Verbräuche[[#Headers],[2023]],IF(COUNTIF($G70:Klisz_Verbräuche[[#This Row],[2022]],"&gt;0")&gt;0,IF(COUNTIF($G70:Klisz_Verbräuche[[#This Row],[2022]],"&gt;0")&gt;0,Klisz_Verbräuche[[#This Row],[2022]]*(1-$F70)^1, ""), ""),IF($B$14&gt;Klisz_Verbräuche[[#Headers],[2023]],Refsz_Verbräuche[[#This Row],[2023]],"")))</f>
        <v/>
      </c>
      <c r="P70" s="49" t="str">
        <f>IF(Klisz_Verbräuche[[#Headers],[2024]]=$B$14,IF(COUNTIF($G70:Klisz_Verbräuche[[#This Row],[2023]],"&gt;0")&gt;0, AVERAGEIF($G70:Klisz_Verbräuche[[#This Row],[2023]],"&lt;&gt;"), ""),IF($B$14&lt;Klisz_Verbräuche[[#Headers],[2024]],IF(COUNTIF($G70:Klisz_Verbräuche[[#This Row],[2023]],"&gt;0")&gt;0,IF(COUNTIF($G70:Klisz_Verbräuche[[#This Row],[2023]],"&gt;0")&gt;0,Klisz_Verbräuche[[#This Row],[2023]]*(1-$F70)^1, ""), ""),IF($B$14&gt;Klisz_Verbräuche[[#Headers],[2024]],Refsz_Verbräuche[[#This Row],[2024]],"")))</f>
        <v/>
      </c>
      <c r="Q70" s="49" t="str">
        <f>IF(Klisz_Verbräuche[[#Headers],[2025]]=$B$14,IF(COUNTIF($G70:Klisz_Verbräuche[[#This Row],[2024]],"&gt;0")&gt;0, AVERAGEIF($G70:Klisz_Verbräuche[[#This Row],[2024]],"&lt;&gt;"), ""),IF($B$14&lt;Klisz_Verbräuche[[#Headers],[2025]],IF(COUNTIF($G70:Klisz_Verbräuche[[#This Row],[2024]],"&gt;0")&gt;0,IF(COUNTIF($G70:Klisz_Verbräuche[[#This Row],[2024]],"&gt;0")&gt;0,Klisz_Verbräuche[[#This Row],[2024]]*(1-$F70)^1, ""), ""),IF($B$14&gt;Klisz_Verbräuche[[#Headers],[2025]],Refsz_Verbräuche[[#This Row],[2025]],"")))</f>
        <v/>
      </c>
      <c r="R70" s="49" t="str">
        <f>IF(Klisz_Verbräuche[[#Headers],[2026]]=$B$14,IF(COUNTIF($G70:Klisz_Verbräuche[[#This Row],[2025]],"&gt;0")&gt;0, AVERAGEIF($G70:Klisz_Verbräuche[[#This Row],[2025]],"&lt;&gt;"), ""),IF($B$14&lt;Klisz_Verbräuche[[#Headers],[2026]],IF(COUNTIF($G70:Klisz_Verbräuche[[#This Row],[2025]],"&gt;0")&gt;0,IF(COUNTIF($G70:Klisz_Verbräuche[[#This Row],[2025]],"&gt;0")&gt;0,Klisz_Verbräuche[[#This Row],[2025]]*(1-$F70)^1, ""), ""),IF($B$14&gt;Klisz_Verbräuche[[#Headers],[2026]],Refsz_Verbräuche[[#This Row],[2026]],"")))</f>
        <v/>
      </c>
      <c r="S70" s="49" t="str">
        <f>IF(Klisz_Verbräuche[[#Headers],[2027]]=$B$14,IF(COUNTIF($G70:Klisz_Verbräuche[[#This Row],[2026]],"&gt;0")&gt;0, AVERAGEIF($G70:Klisz_Verbräuche[[#This Row],[2026]],"&lt;&gt;"), ""),IF($B$14&lt;Klisz_Verbräuche[[#Headers],[2027]],IF(COUNTIF($G70:Klisz_Verbräuche[[#This Row],[2026]],"&gt;0")&gt;0,IF(COUNTIF($G70:Klisz_Verbräuche[[#This Row],[2026]],"&gt;0")&gt;0,Klisz_Verbräuche[[#This Row],[2026]]*(1-$F70)^1, ""), ""),IF($B$14&gt;Klisz_Verbräuche[[#Headers],[2027]],Refsz_Verbräuche[[#This Row],[2027]],"")))</f>
        <v/>
      </c>
      <c r="T70" s="49" t="str">
        <f>IF(Klisz_Verbräuche[[#Headers],[2028]]=$B$14,IF(COUNTIF($G70:Klisz_Verbräuche[[#This Row],[2027]],"&gt;0")&gt;0, AVERAGEIF($G70:Klisz_Verbräuche[[#This Row],[2027]],"&lt;&gt;"), ""),IF($B$14&lt;Klisz_Verbräuche[[#Headers],[2028]],IF(COUNTIF($G70:Klisz_Verbräuche[[#This Row],[2027]],"&gt;0")&gt;0,IF(COUNTIF($G70:Klisz_Verbräuche[[#This Row],[2027]],"&gt;0")&gt;0,Klisz_Verbräuche[[#This Row],[2027]]*(1-$F70)^1, ""), ""),IF($B$14&gt;Klisz_Verbräuche[[#Headers],[2028]],Refsz_Verbräuche[[#This Row],[2028]],"")))</f>
        <v/>
      </c>
      <c r="U70" s="49" t="str">
        <f>IF(Klisz_Verbräuche[[#Headers],[2029]]=$B$14,IF(COUNTIF($G70:Klisz_Verbräuche[[#This Row],[2028]],"&gt;0")&gt;0, AVERAGEIF($G70:Klisz_Verbräuche[[#This Row],[2028]],"&lt;&gt;"), ""),IF($B$14&lt;Klisz_Verbräuche[[#Headers],[2029]],IF(COUNTIF($G70:Klisz_Verbräuche[[#This Row],[2028]],"&gt;0")&gt;0,IF(COUNTIF($G70:Klisz_Verbräuche[[#This Row],[2028]],"&gt;0")&gt;0,Klisz_Verbräuche[[#This Row],[2028]]*(1-$F70)^1, ""), ""),IF($B$14&gt;Klisz_Verbräuche[[#Headers],[2029]],Refsz_Verbräuche[[#This Row],[2029]],"")))</f>
        <v/>
      </c>
      <c r="V70" s="49" t="str">
        <f>IF(Klisz_Verbräuche[[#Headers],[2030]]=$B$14,IF(COUNTIF($G70:Klisz_Verbräuche[[#This Row],[2029]],"&gt;0")&gt;0, AVERAGEIF($G70:Klisz_Verbräuche[[#This Row],[2029]],"&lt;&gt;"), ""),IF($B$14&lt;Klisz_Verbräuche[[#Headers],[2030]],IF(COUNTIF($G70:Klisz_Verbräuche[[#This Row],[2029]],"&gt;0")&gt;0,IF(COUNTIF($G70:Klisz_Verbräuche[[#This Row],[2029]],"&gt;0")&gt;0,Klisz_Verbräuche[[#This Row],[2029]]*(1-$F70)^1, ""), ""),IF($B$14&gt;Klisz_Verbräuche[[#Headers],[2030]],Refsz_Verbräuche[[#This Row],[2030]],"")))</f>
        <v/>
      </c>
      <c r="W70" s="49" t="str">
        <f>IF(Klisz_Verbräuche[[#Headers],[2035]]=$B$14,IF(COUNTIF($G70:Klisz_Verbräuche[[#This Row],[2030]],"&gt;0")&gt;0, AVERAGEIF($G70:Klisz_Verbräuche[[#This Row],[2030]],"&lt;&gt;"), ""),IF($B$14&lt;Klisz_Verbräuche[[#Headers],[2035]],IF(COUNTIF($G70:Klisz_Verbräuche[[#This Row],[2030]],"&gt;0")&gt;0,IF(COUNTIF($G70:Klisz_Verbräuche[[#This Row],[2030]],"&gt;0")&gt;0,Klisz_Verbräuche[[#This Row],[2030]]*(1-$F70)^5, ""), ""),IF($B$14&gt;Klisz_Verbräuche[[#Headers],[2035]],Refsz_Verbräuche[[#This Row],[2035]],"")))</f>
        <v/>
      </c>
      <c r="X70" s="49" t="str">
        <f>IF(Klisz_Verbräuche[[#Headers],[2040]]=$B$14,IF(COUNTIF($G70:Klisz_Verbräuche[[#This Row],[2035]],"&gt;0")&gt;0, AVERAGEIF($G70:Klisz_Verbräuche[[#This Row],[2035]],"&lt;&gt;"), ""),IF($B$14&lt;Klisz_Verbräuche[[#Headers],[2040]],IF(COUNTIF($G70:Klisz_Verbräuche[[#This Row],[2035]],"&gt;0")&gt;0,IF(COUNTIF($G70:Klisz_Verbräuche[[#This Row],[2035]],"&gt;0")&gt;0,Klisz_Verbräuche[[#This Row],[2035]]*(1-$F70)^5, ""), ""),IF($B$14&gt;Klisz_Verbräuche[[#Headers],[2040]],Refsz_Verbräuche[[#This Row],[2040]],"")))</f>
        <v/>
      </c>
      <c r="Y70" s="49" t="str">
        <f>IF(Klisz_Verbräuche[[#Headers],[2045]]=$B$14,IF(COUNTIF($G70:Klisz_Verbräuche[[#This Row],[2040]],"&gt;0")&gt;0, AVERAGEIF($G70:Klisz_Verbräuche[[#This Row],[2040]],"&lt;&gt;"), ""),IF($B$14&lt;Klisz_Verbräuche[[#Headers],[2045]],IF(COUNTIF($G70:Klisz_Verbräuche[[#This Row],[2040]],"&gt;0")&gt;0,IF(COUNTIF($G70:Klisz_Verbräuche[[#This Row],[2040]],"&gt;0")&gt;0,Klisz_Verbräuche[[#This Row],[2040]]*(1-$F70)^5, ""), ""),IF($B$14&gt;Klisz_Verbräuche[[#Headers],[2045]],Refsz_Verbräuche[[#This Row],[2045]],"")))</f>
        <v/>
      </c>
      <c r="Z70" s="49" t="str">
        <f>IF(Klisz_Verbräuche[[#Headers],[2050]]=$B$14,IF(COUNTIF($G70:Klisz_Verbräuche[[#This Row],[2045]],"&gt;0")&gt;0, AVERAGEIF($G70:Klisz_Verbräuche[[#This Row],[2045]],"&lt;&gt;"), ""),IF($B$14&lt;Klisz_Verbräuche[[#Headers],[2050]],IF(COUNTIF($G70:Klisz_Verbräuche[[#This Row],[2045]],"&gt;0")&gt;0,IF(COUNTIF($G70:Klisz_Verbräuche[[#This Row],[2045]],"&gt;0")&gt;0,Klisz_Verbräuche[[#This Row],[2045]]*(1-$F70)^5, ""), ""),IF($B$14&gt;Klisz_Verbräuche[[#Headers],[2050]],Refsz_Verbräuche[[#This Row],[2050]],"")))</f>
        <v/>
      </c>
      <c r="AA70" s="14"/>
    </row>
    <row r="71" spans="2:27">
      <c r="B71" s="14">
        <v>54</v>
      </c>
      <c r="C71" s="197">
        <f>Refsz_Verbräuche[[#This Row],[Handlungsfeld]]</f>
        <v>0</v>
      </c>
      <c r="D71" s="19">
        <f>Refsz_Verbräuche[[#This Row],[Datenpunkt]]</f>
        <v>0</v>
      </c>
      <c r="E71" s="26">
        <f>Refsz_Verbräuche[[#This Row],[Einheit]]</f>
        <v>0</v>
      </c>
      <c r="F71" s="108"/>
      <c r="G71" s="14" t="str">
        <f>IF(ISBLANK(Refsz_Verbräuche[[#This Row],[2015]]),"",Refsz_Verbräuche[[#This Row],[2015]])</f>
        <v/>
      </c>
      <c r="H71" s="14" t="str">
        <f>IF(ISBLANK(Refsz_Verbräuche[[#This Row],[2016]]),"",Refsz_Verbräuche[[#This Row],[2016]])</f>
        <v/>
      </c>
      <c r="I71" s="14" t="str">
        <f>IF(ISBLANK(Refsz_Verbräuche[[#This Row],[2017]]),"",Refsz_Verbräuche[[#This Row],[2017]])</f>
        <v/>
      </c>
      <c r="J71" s="14" t="str">
        <f>IF(ISBLANK(Refsz_Verbräuche[[#This Row],[2018]]),"",Refsz_Verbräuche[[#This Row],[2018]])</f>
        <v/>
      </c>
      <c r="K71" s="14" t="str">
        <f>IF(ISBLANK(Refsz_Verbräuche[[#This Row],[2019]]),"",Refsz_Verbräuche[[#This Row],[2019]])</f>
        <v/>
      </c>
      <c r="L71" s="14" t="str">
        <f>IF(ISBLANK(Refsz_Verbräuche[[#This Row],[2020]]),"",Refsz_Verbräuche[[#This Row],[2020]])</f>
        <v/>
      </c>
      <c r="M71" s="14" t="str">
        <f>IF(ISBLANK(Refsz_Verbräuche[[#This Row],[2021]]),"",Refsz_Verbräuche[[#This Row],[2021]])</f>
        <v/>
      </c>
      <c r="N71" s="49" t="str">
        <f>IF(Klisz_Verbräuche[[#Headers],[2022]]=$B$14,IF(COUNTIF($G71:Klisz_Verbräuche[[#This Row],[2021]],"&gt;0")&gt;0, AVERAGEIF($G71:Klisz_Verbräuche[[#This Row],[2021]],"&lt;&gt;"), ""),IF($B$14&lt;Klisz_Verbräuche[[#Headers],[2022]],IF(COUNTIF($G71:Klisz_Verbräuche[[#This Row],[2021]],"&gt;0")&gt;0,IF(COUNTIF($G71:Klisz_Verbräuche[[#This Row],[2021]],"&gt;0")&gt;0,Klisz_Verbräuche[[#This Row],[2021]]*(1-$F71)^1, ""), ""),IF($B$14&gt;Klisz_Verbräuche[[#Headers],[2022]],Refsz_Verbräuche[[#This Row],[2022]],"")))</f>
        <v/>
      </c>
      <c r="O71" s="49" t="str">
        <f>IF(Klisz_Verbräuche[[#Headers],[2023]]=$B$14,IF(COUNTIF($G71:Klisz_Verbräuche[[#This Row],[2022]],"&gt;0")&gt;0, AVERAGEIF($G71:Klisz_Verbräuche[[#This Row],[2022]],"&lt;&gt;"), ""),IF($B$14&lt;Klisz_Verbräuche[[#Headers],[2023]],IF(COUNTIF($G71:Klisz_Verbräuche[[#This Row],[2022]],"&gt;0")&gt;0,IF(COUNTIF($G71:Klisz_Verbräuche[[#This Row],[2022]],"&gt;0")&gt;0,Klisz_Verbräuche[[#This Row],[2022]]*(1-$F71)^1, ""), ""),IF($B$14&gt;Klisz_Verbräuche[[#Headers],[2023]],Refsz_Verbräuche[[#This Row],[2023]],"")))</f>
        <v/>
      </c>
      <c r="P71" s="49" t="str">
        <f>IF(Klisz_Verbräuche[[#Headers],[2024]]=$B$14,IF(COUNTIF($G71:Klisz_Verbräuche[[#This Row],[2023]],"&gt;0")&gt;0, AVERAGEIF($G71:Klisz_Verbräuche[[#This Row],[2023]],"&lt;&gt;"), ""),IF($B$14&lt;Klisz_Verbräuche[[#Headers],[2024]],IF(COUNTIF($G71:Klisz_Verbräuche[[#This Row],[2023]],"&gt;0")&gt;0,IF(COUNTIF($G71:Klisz_Verbräuche[[#This Row],[2023]],"&gt;0")&gt;0,Klisz_Verbräuche[[#This Row],[2023]]*(1-$F71)^1, ""), ""),IF($B$14&gt;Klisz_Verbräuche[[#Headers],[2024]],Refsz_Verbräuche[[#This Row],[2024]],"")))</f>
        <v/>
      </c>
      <c r="Q71" s="49" t="str">
        <f>IF(Klisz_Verbräuche[[#Headers],[2025]]=$B$14,IF(COUNTIF($G71:Klisz_Verbräuche[[#This Row],[2024]],"&gt;0")&gt;0, AVERAGEIF($G71:Klisz_Verbräuche[[#This Row],[2024]],"&lt;&gt;"), ""),IF($B$14&lt;Klisz_Verbräuche[[#Headers],[2025]],IF(COUNTIF($G71:Klisz_Verbräuche[[#This Row],[2024]],"&gt;0")&gt;0,IF(COUNTIF($G71:Klisz_Verbräuche[[#This Row],[2024]],"&gt;0")&gt;0,Klisz_Verbräuche[[#This Row],[2024]]*(1-$F71)^1, ""), ""),IF($B$14&gt;Klisz_Verbräuche[[#Headers],[2025]],Refsz_Verbräuche[[#This Row],[2025]],"")))</f>
        <v/>
      </c>
      <c r="R71" s="49" t="str">
        <f>IF(Klisz_Verbräuche[[#Headers],[2026]]=$B$14,IF(COUNTIF($G71:Klisz_Verbräuche[[#This Row],[2025]],"&gt;0")&gt;0, AVERAGEIF($G71:Klisz_Verbräuche[[#This Row],[2025]],"&lt;&gt;"), ""),IF($B$14&lt;Klisz_Verbräuche[[#Headers],[2026]],IF(COUNTIF($G71:Klisz_Verbräuche[[#This Row],[2025]],"&gt;0")&gt;0,IF(COUNTIF($G71:Klisz_Verbräuche[[#This Row],[2025]],"&gt;0")&gt;0,Klisz_Verbräuche[[#This Row],[2025]]*(1-$F71)^1, ""), ""),IF($B$14&gt;Klisz_Verbräuche[[#Headers],[2026]],Refsz_Verbräuche[[#This Row],[2026]],"")))</f>
        <v/>
      </c>
      <c r="S71" s="49" t="str">
        <f>IF(Klisz_Verbräuche[[#Headers],[2027]]=$B$14,IF(COUNTIF($G71:Klisz_Verbräuche[[#This Row],[2026]],"&gt;0")&gt;0, AVERAGEIF($G71:Klisz_Verbräuche[[#This Row],[2026]],"&lt;&gt;"), ""),IF($B$14&lt;Klisz_Verbräuche[[#Headers],[2027]],IF(COUNTIF($G71:Klisz_Verbräuche[[#This Row],[2026]],"&gt;0")&gt;0,IF(COUNTIF($G71:Klisz_Verbräuche[[#This Row],[2026]],"&gt;0")&gt;0,Klisz_Verbräuche[[#This Row],[2026]]*(1-$F71)^1, ""), ""),IF($B$14&gt;Klisz_Verbräuche[[#Headers],[2027]],Refsz_Verbräuche[[#This Row],[2027]],"")))</f>
        <v/>
      </c>
      <c r="T71" s="49" t="str">
        <f>IF(Klisz_Verbräuche[[#Headers],[2028]]=$B$14,IF(COUNTIF($G71:Klisz_Verbräuche[[#This Row],[2027]],"&gt;0")&gt;0, AVERAGEIF($G71:Klisz_Verbräuche[[#This Row],[2027]],"&lt;&gt;"), ""),IF($B$14&lt;Klisz_Verbräuche[[#Headers],[2028]],IF(COUNTIF($G71:Klisz_Verbräuche[[#This Row],[2027]],"&gt;0")&gt;0,IF(COUNTIF($G71:Klisz_Verbräuche[[#This Row],[2027]],"&gt;0")&gt;0,Klisz_Verbräuche[[#This Row],[2027]]*(1-$F71)^1, ""), ""),IF($B$14&gt;Klisz_Verbräuche[[#Headers],[2028]],Refsz_Verbräuche[[#This Row],[2028]],"")))</f>
        <v/>
      </c>
      <c r="U71" s="49" t="str">
        <f>IF(Klisz_Verbräuche[[#Headers],[2029]]=$B$14,IF(COUNTIF($G71:Klisz_Verbräuche[[#This Row],[2028]],"&gt;0")&gt;0, AVERAGEIF($G71:Klisz_Verbräuche[[#This Row],[2028]],"&lt;&gt;"), ""),IF($B$14&lt;Klisz_Verbräuche[[#Headers],[2029]],IF(COUNTIF($G71:Klisz_Verbräuche[[#This Row],[2028]],"&gt;0")&gt;0,IF(COUNTIF($G71:Klisz_Verbräuche[[#This Row],[2028]],"&gt;0")&gt;0,Klisz_Verbräuche[[#This Row],[2028]]*(1-$F71)^1, ""), ""),IF($B$14&gt;Klisz_Verbräuche[[#Headers],[2029]],Refsz_Verbräuche[[#This Row],[2029]],"")))</f>
        <v/>
      </c>
      <c r="V71" s="49" t="str">
        <f>IF(Klisz_Verbräuche[[#Headers],[2030]]=$B$14,IF(COUNTIF($G71:Klisz_Verbräuche[[#This Row],[2029]],"&gt;0")&gt;0, AVERAGEIF($G71:Klisz_Verbräuche[[#This Row],[2029]],"&lt;&gt;"), ""),IF($B$14&lt;Klisz_Verbräuche[[#Headers],[2030]],IF(COUNTIF($G71:Klisz_Verbräuche[[#This Row],[2029]],"&gt;0")&gt;0,IF(COUNTIF($G71:Klisz_Verbräuche[[#This Row],[2029]],"&gt;0")&gt;0,Klisz_Verbräuche[[#This Row],[2029]]*(1-$F71)^1, ""), ""),IF($B$14&gt;Klisz_Verbräuche[[#Headers],[2030]],Refsz_Verbräuche[[#This Row],[2030]],"")))</f>
        <v/>
      </c>
      <c r="W71" s="49" t="str">
        <f>IF(Klisz_Verbräuche[[#Headers],[2035]]=$B$14,IF(COUNTIF($G71:Klisz_Verbräuche[[#This Row],[2030]],"&gt;0")&gt;0, AVERAGEIF($G71:Klisz_Verbräuche[[#This Row],[2030]],"&lt;&gt;"), ""),IF($B$14&lt;Klisz_Verbräuche[[#Headers],[2035]],IF(COUNTIF($G71:Klisz_Verbräuche[[#This Row],[2030]],"&gt;0")&gt;0,IF(COUNTIF($G71:Klisz_Verbräuche[[#This Row],[2030]],"&gt;0")&gt;0,Klisz_Verbräuche[[#This Row],[2030]]*(1-$F71)^5, ""), ""),IF($B$14&gt;Klisz_Verbräuche[[#Headers],[2035]],Refsz_Verbräuche[[#This Row],[2035]],"")))</f>
        <v/>
      </c>
      <c r="X71" s="49" t="str">
        <f>IF(Klisz_Verbräuche[[#Headers],[2040]]=$B$14,IF(COUNTIF($G71:Klisz_Verbräuche[[#This Row],[2035]],"&gt;0")&gt;0, AVERAGEIF($G71:Klisz_Verbräuche[[#This Row],[2035]],"&lt;&gt;"), ""),IF($B$14&lt;Klisz_Verbräuche[[#Headers],[2040]],IF(COUNTIF($G71:Klisz_Verbräuche[[#This Row],[2035]],"&gt;0")&gt;0,IF(COUNTIF($G71:Klisz_Verbräuche[[#This Row],[2035]],"&gt;0")&gt;0,Klisz_Verbräuche[[#This Row],[2035]]*(1-$F71)^5, ""), ""),IF($B$14&gt;Klisz_Verbräuche[[#Headers],[2040]],Refsz_Verbräuche[[#This Row],[2040]],"")))</f>
        <v/>
      </c>
      <c r="Y71" s="49" t="str">
        <f>IF(Klisz_Verbräuche[[#Headers],[2045]]=$B$14,IF(COUNTIF($G71:Klisz_Verbräuche[[#This Row],[2040]],"&gt;0")&gt;0, AVERAGEIF($G71:Klisz_Verbräuche[[#This Row],[2040]],"&lt;&gt;"), ""),IF($B$14&lt;Klisz_Verbräuche[[#Headers],[2045]],IF(COUNTIF($G71:Klisz_Verbräuche[[#This Row],[2040]],"&gt;0")&gt;0,IF(COUNTIF($G71:Klisz_Verbräuche[[#This Row],[2040]],"&gt;0")&gt;0,Klisz_Verbräuche[[#This Row],[2040]]*(1-$F71)^5, ""), ""),IF($B$14&gt;Klisz_Verbräuche[[#Headers],[2045]],Refsz_Verbräuche[[#This Row],[2045]],"")))</f>
        <v/>
      </c>
      <c r="Z71" s="49" t="str">
        <f>IF(Klisz_Verbräuche[[#Headers],[2050]]=$B$14,IF(COUNTIF($G71:Klisz_Verbräuche[[#This Row],[2045]],"&gt;0")&gt;0, AVERAGEIF($G71:Klisz_Verbräuche[[#This Row],[2045]],"&lt;&gt;"), ""),IF($B$14&lt;Klisz_Verbräuche[[#Headers],[2050]],IF(COUNTIF($G71:Klisz_Verbräuche[[#This Row],[2045]],"&gt;0")&gt;0,IF(COUNTIF($G71:Klisz_Verbräuche[[#This Row],[2045]],"&gt;0")&gt;0,Klisz_Verbräuche[[#This Row],[2045]]*(1-$F71)^5, ""), ""),IF($B$14&gt;Klisz_Verbräuche[[#Headers],[2050]],Refsz_Verbräuche[[#This Row],[2050]],"")))</f>
        <v/>
      </c>
      <c r="AA71" s="14"/>
    </row>
    <row r="72" spans="2:27">
      <c r="B72" s="14">
        <v>55</v>
      </c>
      <c r="C72" s="197" t="str">
        <f>Refsz_Verbräuche[[#This Row],[Handlungsfeld]]</f>
        <v>Mobilität 1</v>
      </c>
      <c r="D72" s="19" t="str">
        <f>Refsz_Verbräuche[[#This Row],[Datenpunkt]]</f>
        <v>Studierendenreisen (Outgoing) - Flugreisen</v>
      </c>
      <c r="E72" s="26" t="str">
        <f>Refsz_Verbräuche[[#This Row],[Einheit]]</f>
        <v>Pkm</v>
      </c>
      <c r="F72" s="108"/>
      <c r="G72" s="14" t="str">
        <f>IF(ISBLANK(Refsz_Verbräuche[[#This Row],[2015]]),"",Refsz_Verbräuche[[#This Row],[2015]])</f>
        <v/>
      </c>
      <c r="H72" s="14" t="str">
        <f>IF(ISBLANK(Refsz_Verbräuche[[#This Row],[2016]]),"",Refsz_Verbräuche[[#This Row],[2016]])</f>
        <v/>
      </c>
      <c r="I72" s="14" t="str">
        <f>IF(ISBLANK(Refsz_Verbräuche[[#This Row],[2017]]),"",Refsz_Verbräuche[[#This Row],[2017]])</f>
        <v/>
      </c>
      <c r="J72" s="14" t="str">
        <f>IF(ISBLANK(Refsz_Verbräuche[[#This Row],[2018]]),"",Refsz_Verbräuche[[#This Row],[2018]])</f>
        <v/>
      </c>
      <c r="K72" s="14" t="str">
        <f>IF(ISBLANK(Refsz_Verbräuche[[#This Row],[2019]]),"",Refsz_Verbräuche[[#This Row],[2019]])</f>
        <v/>
      </c>
      <c r="L72" s="14" t="str">
        <f>IF(ISBLANK(Refsz_Verbräuche[[#This Row],[2020]]),"",Refsz_Verbräuche[[#This Row],[2020]])</f>
        <v/>
      </c>
      <c r="M72" s="14" t="str">
        <f>IF(ISBLANK(Refsz_Verbräuche[[#This Row],[2021]]),"",Refsz_Verbräuche[[#This Row],[2021]])</f>
        <v/>
      </c>
      <c r="N72" s="49" t="str">
        <f>IF(Klisz_Verbräuche[[#Headers],[2022]]=$B$14,IF(COUNTIF($G72:Klisz_Verbräuche[[#This Row],[2021]],"&gt;0")&gt;0, AVERAGEIF($G72:Klisz_Verbräuche[[#This Row],[2021]],"&lt;&gt;"), ""),IF($B$14&lt;Klisz_Verbräuche[[#Headers],[2022]],IF(COUNTIF($G72:Klisz_Verbräuche[[#This Row],[2021]],"&gt;0")&gt;0,IF(COUNTIF($G72:Klisz_Verbräuche[[#This Row],[2021]],"&gt;0")&gt;0,Klisz_Verbräuche[[#This Row],[2021]]*(1-$F72)^1, ""), ""),IF($B$14&gt;Klisz_Verbräuche[[#Headers],[2022]],Refsz_Verbräuche[[#This Row],[2022]],"")))</f>
        <v/>
      </c>
      <c r="O72" s="49" t="str">
        <f>IF(Klisz_Verbräuche[[#Headers],[2023]]=$B$14,IF(COUNTIF($G72:Klisz_Verbräuche[[#This Row],[2022]],"&gt;0")&gt;0, AVERAGEIF($G72:Klisz_Verbräuche[[#This Row],[2022]],"&lt;&gt;"), ""),IF($B$14&lt;Klisz_Verbräuche[[#Headers],[2023]],IF(COUNTIF($G72:Klisz_Verbräuche[[#This Row],[2022]],"&gt;0")&gt;0,IF(COUNTIF($G72:Klisz_Verbräuche[[#This Row],[2022]],"&gt;0")&gt;0,Klisz_Verbräuche[[#This Row],[2022]]*(1-$F72)^1, ""), ""),IF($B$14&gt;Klisz_Verbräuche[[#Headers],[2023]],Refsz_Verbräuche[[#This Row],[2023]],"")))</f>
        <v/>
      </c>
      <c r="P72" s="49" t="str">
        <f>IF(Klisz_Verbräuche[[#Headers],[2024]]=$B$14,IF(COUNTIF($G72:Klisz_Verbräuche[[#This Row],[2023]],"&gt;0")&gt;0, AVERAGEIF($G72:Klisz_Verbräuche[[#This Row],[2023]],"&lt;&gt;"), ""),IF($B$14&lt;Klisz_Verbräuche[[#Headers],[2024]],IF(COUNTIF($G72:Klisz_Verbräuche[[#This Row],[2023]],"&gt;0")&gt;0,IF(COUNTIF($G72:Klisz_Verbräuche[[#This Row],[2023]],"&gt;0")&gt;0,Klisz_Verbräuche[[#This Row],[2023]]*(1-$F72)^1, ""), ""),IF($B$14&gt;Klisz_Verbräuche[[#Headers],[2024]],Refsz_Verbräuche[[#This Row],[2024]],"")))</f>
        <v/>
      </c>
      <c r="Q72" s="49" t="str">
        <f>IF(Klisz_Verbräuche[[#Headers],[2025]]=$B$14,IF(COUNTIF($G72:Klisz_Verbräuche[[#This Row],[2024]],"&gt;0")&gt;0, AVERAGEIF($G72:Klisz_Verbräuche[[#This Row],[2024]],"&lt;&gt;"), ""),IF($B$14&lt;Klisz_Verbräuche[[#Headers],[2025]],IF(COUNTIF($G72:Klisz_Verbräuche[[#This Row],[2024]],"&gt;0")&gt;0,IF(COUNTIF($G72:Klisz_Verbräuche[[#This Row],[2024]],"&gt;0")&gt;0,Klisz_Verbräuche[[#This Row],[2024]]*(1-$F72)^1, ""), ""),IF($B$14&gt;Klisz_Verbräuche[[#Headers],[2025]],Refsz_Verbräuche[[#This Row],[2025]],"")))</f>
        <v/>
      </c>
      <c r="R72" s="49" t="str">
        <f>IF(Klisz_Verbräuche[[#Headers],[2026]]=$B$14,IF(COUNTIF($G72:Klisz_Verbräuche[[#This Row],[2025]],"&gt;0")&gt;0, AVERAGEIF($G72:Klisz_Verbräuche[[#This Row],[2025]],"&lt;&gt;"), ""),IF($B$14&lt;Klisz_Verbräuche[[#Headers],[2026]],IF(COUNTIF($G72:Klisz_Verbräuche[[#This Row],[2025]],"&gt;0")&gt;0,IF(COUNTIF($G72:Klisz_Verbräuche[[#This Row],[2025]],"&gt;0")&gt;0,Klisz_Verbräuche[[#This Row],[2025]]*(1-$F72)^1, ""), ""),IF($B$14&gt;Klisz_Verbräuche[[#Headers],[2026]],Refsz_Verbräuche[[#This Row],[2026]],"")))</f>
        <v/>
      </c>
      <c r="S72" s="49" t="str">
        <f>IF(Klisz_Verbräuche[[#Headers],[2027]]=$B$14,IF(COUNTIF($G72:Klisz_Verbräuche[[#This Row],[2026]],"&gt;0")&gt;0, AVERAGEIF($G72:Klisz_Verbräuche[[#This Row],[2026]],"&lt;&gt;"), ""),IF($B$14&lt;Klisz_Verbräuche[[#Headers],[2027]],IF(COUNTIF($G72:Klisz_Verbräuche[[#This Row],[2026]],"&gt;0")&gt;0,IF(COUNTIF($G72:Klisz_Verbräuche[[#This Row],[2026]],"&gt;0")&gt;0,Klisz_Verbräuche[[#This Row],[2026]]*(1-$F72)^1, ""), ""),IF($B$14&gt;Klisz_Verbräuche[[#Headers],[2027]],Refsz_Verbräuche[[#This Row],[2027]],"")))</f>
        <v/>
      </c>
      <c r="T72" s="49" t="str">
        <f>IF(Klisz_Verbräuche[[#Headers],[2028]]=$B$14,IF(COUNTIF($G72:Klisz_Verbräuche[[#This Row],[2027]],"&gt;0")&gt;0, AVERAGEIF($G72:Klisz_Verbräuche[[#This Row],[2027]],"&lt;&gt;"), ""),IF($B$14&lt;Klisz_Verbräuche[[#Headers],[2028]],IF(COUNTIF($G72:Klisz_Verbräuche[[#This Row],[2027]],"&gt;0")&gt;0,IF(COUNTIF($G72:Klisz_Verbräuche[[#This Row],[2027]],"&gt;0")&gt;0,Klisz_Verbräuche[[#This Row],[2027]]*(1-$F72)^1, ""), ""),IF($B$14&gt;Klisz_Verbräuche[[#Headers],[2028]],Refsz_Verbräuche[[#This Row],[2028]],"")))</f>
        <v/>
      </c>
      <c r="U72" s="49" t="str">
        <f>IF(Klisz_Verbräuche[[#Headers],[2029]]=$B$14,IF(COUNTIF($G72:Klisz_Verbräuche[[#This Row],[2028]],"&gt;0")&gt;0, AVERAGEIF($G72:Klisz_Verbräuche[[#This Row],[2028]],"&lt;&gt;"), ""),IF($B$14&lt;Klisz_Verbräuche[[#Headers],[2029]],IF(COUNTIF($G72:Klisz_Verbräuche[[#This Row],[2028]],"&gt;0")&gt;0,IF(COUNTIF($G72:Klisz_Verbräuche[[#This Row],[2028]],"&gt;0")&gt;0,Klisz_Verbräuche[[#This Row],[2028]]*(1-$F72)^1, ""), ""),IF($B$14&gt;Klisz_Verbräuche[[#Headers],[2029]],Refsz_Verbräuche[[#This Row],[2029]],"")))</f>
        <v/>
      </c>
      <c r="V72" s="49" t="str">
        <f>IF(Klisz_Verbräuche[[#Headers],[2030]]=$B$14,IF(COUNTIF($G72:Klisz_Verbräuche[[#This Row],[2029]],"&gt;0")&gt;0, AVERAGEIF($G72:Klisz_Verbräuche[[#This Row],[2029]],"&lt;&gt;"), ""),IF($B$14&lt;Klisz_Verbräuche[[#Headers],[2030]],IF(COUNTIF($G72:Klisz_Verbräuche[[#This Row],[2029]],"&gt;0")&gt;0,IF(COUNTIF($G72:Klisz_Verbräuche[[#This Row],[2029]],"&gt;0")&gt;0,Klisz_Verbräuche[[#This Row],[2029]]*(1-$F72)^1, ""), ""),IF($B$14&gt;Klisz_Verbräuche[[#Headers],[2030]],Refsz_Verbräuche[[#This Row],[2030]],"")))</f>
        <v/>
      </c>
      <c r="W72" s="49" t="str">
        <f>IF(Klisz_Verbräuche[[#Headers],[2035]]=$B$14,IF(COUNTIF($G72:Klisz_Verbräuche[[#This Row],[2030]],"&gt;0")&gt;0, AVERAGEIF($G72:Klisz_Verbräuche[[#This Row],[2030]],"&lt;&gt;"), ""),IF($B$14&lt;Klisz_Verbräuche[[#Headers],[2035]],IF(COUNTIF($G72:Klisz_Verbräuche[[#This Row],[2030]],"&gt;0")&gt;0,IF(COUNTIF($G72:Klisz_Verbräuche[[#This Row],[2030]],"&gt;0")&gt;0,Klisz_Verbräuche[[#This Row],[2030]]*(1-$F72)^5, ""), ""),IF($B$14&gt;Klisz_Verbräuche[[#Headers],[2035]],Refsz_Verbräuche[[#This Row],[2035]],"")))</f>
        <v/>
      </c>
      <c r="X72" s="49" t="str">
        <f>IF(Klisz_Verbräuche[[#Headers],[2040]]=$B$14,IF(COUNTIF($G72:Klisz_Verbräuche[[#This Row],[2035]],"&gt;0")&gt;0, AVERAGEIF($G72:Klisz_Verbräuche[[#This Row],[2035]],"&lt;&gt;"), ""),IF($B$14&lt;Klisz_Verbräuche[[#Headers],[2040]],IF(COUNTIF($G72:Klisz_Verbräuche[[#This Row],[2035]],"&gt;0")&gt;0,IF(COUNTIF($G72:Klisz_Verbräuche[[#This Row],[2035]],"&gt;0")&gt;0,Klisz_Verbräuche[[#This Row],[2035]]*(1-$F72)^5, ""), ""),IF($B$14&gt;Klisz_Verbräuche[[#Headers],[2040]],Refsz_Verbräuche[[#This Row],[2040]],"")))</f>
        <v/>
      </c>
      <c r="Y72" s="49" t="str">
        <f>IF(Klisz_Verbräuche[[#Headers],[2045]]=$B$14,IF(COUNTIF($G72:Klisz_Verbräuche[[#This Row],[2040]],"&gt;0")&gt;0, AVERAGEIF($G72:Klisz_Verbräuche[[#This Row],[2040]],"&lt;&gt;"), ""),IF($B$14&lt;Klisz_Verbräuche[[#Headers],[2045]],IF(COUNTIF($G72:Klisz_Verbräuche[[#This Row],[2040]],"&gt;0")&gt;0,IF(COUNTIF($G72:Klisz_Verbräuche[[#This Row],[2040]],"&gt;0")&gt;0,Klisz_Verbräuche[[#This Row],[2040]]*(1-$F72)^5, ""), ""),IF($B$14&gt;Klisz_Verbräuche[[#Headers],[2045]],Refsz_Verbräuche[[#This Row],[2045]],"")))</f>
        <v/>
      </c>
      <c r="Z72" s="49" t="str">
        <f>IF(Klisz_Verbräuche[[#Headers],[2050]]=$B$14,IF(COUNTIF($G72:Klisz_Verbräuche[[#This Row],[2045]],"&gt;0")&gt;0, AVERAGEIF($G72:Klisz_Verbräuche[[#This Row],[2045]],"&lt;&gt;"), ""),IF($B$14&lt;Klisz_Verbräuche[[#Headers],[2050]],IF(COUNTIF($G72:Klisz_Verbräuche[[#This Row],[2045]],"&gt;0")&gt;0,IF(COUNTIF($G72:Klisz_Verbräuche[[#This Row],[2045]],"&gt;0")&gt;0,Klisz_Verbräuche[[#This Row],[2045]]*(1-$F72)^5, ""), ""),IF($B$14&gt;Klisz_Verbräuche[[#Headers],[2050]],Refsz_Verbräuche[[#This Row],[2050]],"")))</f>
        <v/>
      </c>
      <c r="AA72" s="14"/>
    </row>
    <row r="73" spans="2:27">
      <c r="B73" s="14">
        <v>56</v>
      </c>
      <c r="C73" s="197" t="str">
        <f>Refsz_Verbräuche[[#This Row],[Handlungsfeld]]</f>
        <v>Mobilität 1</v>
      </c>
      <c r="D73" s="19" t="str">
        <f>Refsz_Verbräuche[[#This Row],[Datenpunkt]]</f>
        <v>Studierendenreisen (Outgoing) - Eisenbahn (Nahverkehr)</v>
      </c>
      <c r="E73" s="26" t="str">
        <f>Refsz_Verbräuche[[#This Row],[Einheit]]</f>
        <v>Pkm</v>
      </c>
      <c r="F73" s="108"/>
      <c r="G73" s="14" t="str">
        <f>IF(ISBLANK(Refsz_Verbräuche[[#This Row],[2015]]),"",Refsz_Verbräuche[[#This Row],[2015]])</f>
        <v/>
      </c>
      <c r="H73" s="14" t="str">
        <f>IF(ISBLANK(Refsz_Verbräuche[[#This Row],[2016]]),"",Refsz_Verbräuche[[#This Row],[2016]])</f>
        <v/>
      </c>
      <c r="I73" s="14" t="str">
        <f>IF(ISBLANK(Refsz_Verbräuche[[#This Row],[2017]]),"",Refsz_Verbräuche[[#This Row],[2017]])</f>
        <v/>
      </c>
      <c r="J73" s="14" t="str">
        <f>IF(ISBLANK(Refsz_Verbräuche[[#This Row],[2018]]),"",Refsz_Verbräuche[[#This Row],[2018]])</f>
        <v/>
      </c>
      <c r="K73" s="14" t="str">
        <f>IF(ISBLANK(Refsz_Verbräuche[[#This Row],[2019]]),"",Refsz_Verbräuche[[#This Row],[2019]])</f>
        <v/>
      </c>
      <c r="L73" s="14" t="str">
        <f>IF(ISBLANK(Refsz_Verbräuche[[#This Row],[2020]]),"",Refsz_Verbräuche[[#This Row],[2020]])</f>
        <v/>
      </c>
      <c r="M73" s="14" t="str">
        <f>IF(ISBLANK(Refsz_Verbräuche[[#This Row],[2021]]),"",Refsz_Verbräuche[[#This Row],[2021]])</f>
        <v/>
      </c>
      <c r="N73" s="49" t="str">
        <f>IF(Klisz_Verbräuche[[#Headers],[2022]]=$B$14,IF(COUNTIF($G73:Klisz_Verbräuche[[#This Row],[2021]],"&gt;0")&gt;0, AVERAGEIF($G73:Klisz_Verbräuche[[#This Row],[2021]],"&lt;&gt;"), ""),IF($B$14&lt;Klisz_Verbräuche[[#Headers],[2022]],IF(COUNTIF($G73:Klisz_Verbräuche[[#This Row],[2021]],"&gt;0")&gt;0,IF(COUNTIF($G73:Klisz_Verbräuche[[#This Row],[2021]],"&gt;0")&gt;0,Klisz_Verbräuche[[#This Row],[2021]]*(1-$F73)^1, ""), ""),IF($B$14&gt;Klisz_Verbräuche[[#Headers],[2022]],Refsz_Verbräuche[[#This Row],[2022]],"")))</f>
        <v/>
      </c>
      <c r="O73" s="49" t="str">
        <f>IF(Klisz_Verbräuche[[#Headers],[2023]]=$B$14,IF(COUNTIF($G73:Klisz_Verbräuche[[#This Row],[2022]],"&gt;0")&gt;0, AVERAGEIF($G73:Klisz_Verbräuche[[#This Row],[2022]],"&lt;&gt;"), ""),IF($B$14&lt;Klisz_Verbräuche[[#Headers],[2023]],IF(COUNTIF($G73:Klisz_Verbräuche[[#This Row],[2022]],"&gt;0")&gt;0,IF(COUNTIF($G73:Klisz_Verbräuche[[#This Row],[2022]],"&gt;0")&gt;0,Klisz_Verbräuche[[#This Row],[2022]]*(1-$F73)^1, ""), ""),IF($B$14&gt;Klisz_Verbräuche[[#Headers],[2023]],Refsz_Verbräuche[[#This Row],[2023]],"")))</f>
        <v/>
      </c>
      <c r="P73" s="49" t="str">
        <f>IF(Klisz_Verbräuche[[#Headers],[2024]]=$B$14,IF(COUNTIF($G73:Klisz_Verbräuche[[#This Row],[2023]],"&gt;0")&gt;0, AVERAGEIF($G73:Klisz_Verbräuche[[#This Row],[2023]],"&lt;&gt;"), ""),IF($B$14&lt;Klisz_Verbräuche[[#Headers],[2024]],IF(COUNTIF($G73:Klisz_Verbräuche[[#This Row],[2023]],"&gt;0")&gt;0,IF(COUNTIF($G73:Klisz_Verbräuche[[#This Row],[2023]],"&gt;0")&gt;0,Klisz_Verbräuche[[#This Row],[2023]]*(1-$F73)^1, ""), ""),IF($B$14&gt;Klisz_Verbräuche[[#Headers],[2024]],Refsz_Verbräuche[[#This Row],[2024]],"")))</f>
        <v/>
      </c>
      <c r="Q73" s="49" t="str">
        <f>IF(Klisz_Verbräuche[[#Headers],[2025]]=$B$14,IF(COUNTIF($G73:Klisz_Verbräuche[[#This Row],[2024]],"&gt;0")&gt;0, AVERAGEIF($G73:Klisz_Verbräuche[[#This Row],[2024]],"&lt;&gt;"), ""),IF($B$14&lt;Klisz_Verbräuche[[#Headers],[2025]],IF(COUNTIF($G73:Klisz_Verbräuche[[#This Row],[2024]],"&gt;0")&gt;0,IF(COUNTIF($G73:Klisz_Verbräuche[[#This Row],[2024]],"&gt;0")&gt;0,Klisz_Verbräuche[[#This Row],[2024]]*(1-$F73)^1, ""), ""),IF($B$14&gt;Klisz_Verbräuche[[#Headers],[2025]],Refsz_Verbräuche[[#This Row],[2025]],"")))</f>
        <v/>
      </c>
      <c r="R73" s="49" t="str">
        <f>IF(Klisz_Verbräuche[[#Headers],[2026]]=$B$14,IF(COUNTIF($G73:Klisz_Verbräuche[[#This Row],[2025]],"&gt;0")&gt;0, AVERAGEIF($G73:Klisz_Verbräuche[[#This Row],[2025]],"&lt;&gt;"), ""),IF($B$14&lt;Klisz_Verbräuche[[#Headers],[2026]],IF(COUNTIF($G73:Klisz_Verbräuche[[#This Row],[2025]],"&gt;0")&gt;0,IF(COUNTIF($G73:Klisz_Verbräuche[[#This Row],[2025]],"&gt;0")&gt;0,Klisz_Verbräuche[[#This Row],[2025]]*(1-$F73)^1, ""), ""),IF($B$14&gt;Klisz_Verbräuche[[#Headers],[2026]],Refsz_Verbräuche[[#This Row],[2026]],"")))</f>
        <v/>
      </c>
      <c r="S73" s="49" t="str">
        <f>IF(Klisz_Verbräuche[[#Headers],[2027]]=$B$14,IF(COUNTIF($G73:Klisz_Verbräuche[[#This Row],[2026]],"&gt;0")&gt;0, AVERAGEIF($G73:Klisz_Verbräuche[[#This Row],[2026]],"&lt;&gt;"), ""),IF($B$14&lt;Klisz_Verbräuche[[#Headers],[2027]],IF(COUNTIF($G73:Klisz_Verbräuche[[#This Row],[2026]],"&gt;0")&gt;0,IF(COUNTIF($G73:Klisz_Verbräuche[[#This Row],[2026]],"&gt;0")&gt;0,Klisz_Verbräuche[[#This Row],[2026]]*(1-$F73)^1, ""), ""),IF($B$14&gt;Klisz_Verbräuche[[#Headers],[2027]],Refsz_Verbräuche[[#This Row],[2027]],"")))</f>
        <v/>
      </c>
      <c r="T73" s="49" t="str">
        <f>IF(Klisz_Verbräuche[[#Headers],[2028]]=$B$14,IF(COUNTIF($G73:Klisz_Verbräuche[[#This Row],[2027]],"&gt;0")&gt;0, AVERAGEIF($G73:Klisz_Verbräuche[[#This Row],[2027]],"&lt;&gt;"), ""),IF($B$14&lt;Klisz_Verbräuche[[#Headers],[2028]],IF(COUNTIF($G73:Klisz_Verbräuche[[#This Row],[2027]],"&gt;0")&gt;0,IF(COUNTIF($G73:Klisz_Verbräuche[[#This Row],[2027]],"&gt;0")&gt;0,Klisz_Verbräuche[[#This Row],[2027]]*(1-$F73)^1, ""), ""),IF($B$14&gt;Klisz_Verbräuche[[#Headers],[2028]],Refsz_Verbräuche[[#This Row],[2028]],"")))</f>
        <v/>
      </c>
      <c r="U73" s="49" t="str">
        <f>IF(Klisz_Verbräuche[[#Headers],[2029]]=$B$14,IF(COUNTIF($G73:Klisz_Verbräuche[[#This Row],[2028]],"&gt;0")&gt;0, AVERAGEIF($G73:Klisz_Verbräuche[[#This Row],[2028]],"&lt;&gt;"), ""),IF($B$14&lt;Klisz_Verbräuche[[#Headers],[2029]],IF(COUNTIF($G73:Klisz_Verbräuche[[#This Row],[2028]],"&gt;0")&gt;0,IF(COUNTIF($G73:Klisz_Verbräuche[[#This Row],[2028]],"&gt;0")&gt;0,Klisz_Verbräuche[[#This Row],[2028]]*(1-$F73)^1, ""), ""),IF($B$14&gt;Klisz_Verbräuche[[#Headers],[2029]],Refsz_Verbräuche[[#This Row],[2029]],"")))</f>
        <v/>
      </c>
      <c r="V73" s="49" t="str">
        <f>IF(Klisz_Verbräuche[[#Headers],[2030]]=$B$14,IF(COUNTIF($G73:Klisz_Verbräuche[[#This Row],[2029]],"&gt;0")&gt;0, AVERAGEIF($G73:Klisz_Verbräuche[[#This Row],[2029]],"&lt;&gt;"), ""),IF($B$14&lt;Klisz_Verbräuche[[#Headers],[2030]],IF(COUNTIF($G73:Klisz_Verbräuche[[#This Row],[2029]],"&gt;0")&gt;0,IF(COUNTIF($G73:Klisz_Verbräuche[[#This Row],[2029]],"&gt;0")&gt;0,Klisz_Verbräuche[[#This Row],[2029]]*(1-$F73)^1, ""), ""),IF($B$14&gt;Klisz_Verbräuche[[#Headers],[2030]],Refsz_Verbräuche[[#This Row],[2030]],"")))</f>
        <v/>
      </c>
      <c r="W73" s="49" t="str">
        <f>IF(Klisz_Verbräuche[[#Headers],[2035]]=$B$14,IF(COUNTIF($G73:Klisz_Verbräuche[[#This Row],[2030]],"&gt;0")&gt;0, AVERAGEIF($G73:Klisz_Verbräuche[[#This Row],[2030]],"&lt;&gt;"), ""),IF($B$14&lt;Klisz_Verbräuche[[#Headers],[2035]],IF(COUNTIF($G73:Klisz_Verbräuche[[#This Row],[2030]],"&gt;0")&gt;0,IF(COUNTIF($G73:Klisz_Verbräuche[[#This Row],[2030]],"&gt;0")&gt;0,Klisz_Verbräuche[[#This Row],[2030]]*(1-$F73)^5, ""), ""),IF($B$14&gt;Klisz_Verbräuche[[#Headers],[2035]],Refsz_Verbräuche[[#This Row],[2035]],"")))</f>
        <v/>
      </c>
      <c r="X73" s="49" t="str">
        <f>IF(Klisz_Verbräuche[[#Headers],[2040]]=$B$14,IF(COUNTIF($G73:Klisz_Verbräuche[[#This Row],[2035]],"&gt;0")&gt;0, AVERAGEIF($G73:Klisz_Verbräuche[[#This Row],[2035]],"&lt;&gt;"), ""),IF($B$14&lt;Klisz_Verbräuche[[#Headers],[2040]],IF(COUNTIF($G73:Klisz_Verbräuche[[#This Row],[2035]],"&gt;0")&gt;0,IF(COUNTIF($G73:Klisz_Verbräuche[[#This Row],[2035]],"&gt;0")&gt;0,Klisz_Verbräuche[[#This Row],[2035]]*(1-$F73)^5, ""), ""),IF($B$14&gt;Klisz_Verbräuche[[#Headers],[2040]],Refsz_Verbräuche[[#This Row],[2040]],"")))</f>
        <v/>
      </c>
      <c r="Y73" s="49" t="str">
        <f>IF(Klisz_Verbräuche[[#Headers],[2045]]=$B$14,IF(COUNTIF($G73:Klisz_Verbräuche[[#This Row],[2040]],"&gt;0")&gt;0, AVERAGEIF($G73:Klisz_Verbräuche[[#This Row],[2040]],"&lt;&gt;"), ""),IF($B$14&lt;Klisz_Verbräuche[[#Headers],[2045]],IF(COUNTIF($G73:Klisz_Verbräuche[[#This Row],[2040]],"&gt;0")&gt;0,IF(COUNTIF($G73:Klisz_Verbräuche[[#This Row],[2040]],"&gt;0")&gt;0,Klisz_Verbräuche[[#This Row],[2040]]*(1-$F73)^5, ""), ""),IF($B$14&gt;Klisz_Verbräuche[[#Headers],[2045]],Refsz_Verbräuche[[#This Row],[2045]],"")))</f>
        <v/>
      </c>
      <c r="Z73" s="49" t="str">
        <f>IF(Klisz_Verbräuche[[#Headers],[2050]]=$B$14,IF(COUNTIF($G73:Klisz_Verbräuche[[#This Row],[2045]],"&gt;0")&gt;0, AVERAGEIF($G73:Klisz_Verbräuche[[#This Row],[2045]],"&lt;&gt;"), ""),IF($B$14&lt;Klisz_Verbräuche[[#Headers],[2050]],IF(COUNTIF($G73:Klisz_Verbräuche[[#This Row],[2045]],"&gt;0")&gt;0,IF(COUNTIF($G73:Klisz_Verbräuche[[#This Row],[2045]],"&gt;0")&gt;0,Klisz_Verbräuche[[#This Row],[2045]]*(1-$F73)^5, ""), ""),IF($B$14&gt;Klisz_Verbräuche[[#Headers],[2050]],Refsz_Verbräuche[[#This Row],[2050]],"")))</f>
        <v/>
      </c>
      <c r="AA73" s="14"/>
    </row>
    <row r="74" spans="2:27">
      <c r="B74" s="14">
        <v>57</v>
      </c>
      <c r="C74" s="197" t="str">
        <f>Refsz_Verbräuche[[#This Row],[Handlungsfeld]]</f>
        <v>Mobilität 1</v>
      </c>
      <c r="D74" s="19" t="str">
        <f>Refsz_Verbräuche[[#This Row],[Datenpunkt]]</f>
        <v>Studierendenreisen (Outgoing) - Privater PKW (alle Antriebsarten)</v>
      </c>
      <c r="E74" s="26" t="str">
        <f>Refsz_Verbräuche[[#This Row],[Einheit]]</f>
        <v>Fkm</v>
      </c>
      <c r="F74" s="108"/>
      <c r="G74" s="14" t="str">
        <f>IF(ISBLANK(Refsz_Verbräuche[[#This Row],[2015]]),"",Refsz_Verbräuche[[#This Row],[2015]])</f>
        <v/>
      </c>
      <c r="H74" s="14" t="str">
        <f>IF(ISBLANK(Refsz_Verbräuche[[#This Row],[2016]]),"",Refsz_Verbräuche[[#This Row],[2016]])</f>
        <v/>
      </c>
      <c r="I74" s="14" t="str">
        <f>IF(ISBLANK(Refsz_Verbräuche[[#This Row],[2017]]),"",Refsz_Verbräuche[[#This Row],[2017]])</f>
        <v/>
      </c>
      <c r="J74" s="14" t="str">
        <f>IF(ISBLANK(Refsz_Verbräuche[[#This Row],[2018]]),"",Refsz_Verbräuche[[#This Row],[2018]])</f>
        <v/>
      </c>
      <c r="K74" s="14" t="str">
        <f>IF(ISBLANK(Refsz_Verbräuche[[#This Row],[2019]]),"",Refsz_Verbräuche[[#This Row],[2019]])</f>
        <v/>
      </c>
      <c r="L74" s="14" t="str">
        <f>IF(ISBLANK(Refsz_Verbräuche[[#This Row],[2020]]),"",Refsz_Verbräuche[[#This Row],[2020]])</f>
        <v/>
      </c>
      <c r="M74" s="14" t="str">
        <f>IF(ISBLANK(Refsz_Verbräuche[[#This Row],[2021]]),"",Refsz_Verbräuche[[#This Row],[2021]])</f>
        <v/>
      </c>
      <c r="N74" s="49" t="str">
        <f>IF(Klisz_Verbräuche[[#Headers],[2022]]=$B$14,IF(COUNTIF($G74:Klisz_Verbräuche[[#This Row],[2021]],"&gt;0")&gt;0, AVERAGEIF($G74:Klisz_Verbräuche[[#This Row],[2021]],"&lt;&gt;"), ""),IF($B$14&lt;Klisz_Verbräuche[[#Headers],[2022]],IF(COUNTIF($G74:Klisz_Verbräuche[[#This Row],[2021]],"&gt;0")&gt;0,IF(COUNTIF($G74:Klisz_Verbräuche[[#This Row],[2021]],"&gt;0")&gt;0,Klisz_Verbräuche[[#This Row],[2021]]*(1-$F74)^1, ""), ""),IF($B$14&gt;Klisz_Verbräuche[[#Headers],[2022]],Refsz_Verbräuche[[#This Row],[2022]],"")))</f>
        <v/>
      </c>
      <c r="O74" s="49" t="str">
        <f>IF(Klisz_Verbräuche[[#Headers],[2023]]=$B$14,IF(COUNTIF($G74:Klisz_Verbräuche[[#This Row],[2022]],"&gt;0")&gt;0, AVERAGEIF($G74:Klisz_Verbräuche[[#This Row],[2022]],"&lt;&gt;"), ""),IF($B$14&lt;Klisz_Verbräuche[[#Headers],[2023]],IF(COUNTIF($G74:Klisz_Verbräuche[[#This Row],[2022]],"&gt;0")&gt;0,IF(COUNTIF($G74:Klisz_Verbräuche[[#This Row],[2022]],"&gt;0")&gt;0,Klisz_Verbräuche[[#This Row],[2022]]*(1-$F74)^1, ""), ""),IF($B$14&gt;Klisz_Verbräuche[[#Headers],[2023]],Refsz_Verbräuche[[#This Row],[2023]],"")))</f>
        <v/>
      </c>
      <c r="P74" s="49" t="str">
        <f>IF(Klisz_Verbräuche[[#Headers],[2024]]=$B$14,IF(COUNTIF($G74:Klisz_Verbräuche[[#This Row],[2023]],"&gt;0")&gt;0, AVERAGEIF($G74:Klisz_Verbräuche[[#This Row],[2023]],"&lt;&gt;"), ""),IF($B$14&lt;Klisz_Verbräuche[[#Headers],[2024]],IF(COUNTIF($G74:Klisz_Verbräuche[[#This Row],[2023]],"&gt;0")&gt;0,IF(COUNTIF($G74:Klisz_Verbräuche[[#This Row],[2023]],"&gt;0")&gt;0,Klisz_Verbräuche[[#This Row],[2023]]*(1-$F74)^1, ""), ""),IF($B$14&gt;Klisz_Verbräuche[[#Headers],[2024]],Refsz_Verbräuche[[#This Row],[2024]],"")))</f>
        <v/>
      </c>
      <c r="Q74" s="49" t="str">
        <f>IF(Klisz_Verbräuche[[#Headers],[2025]]=$B$14,IF(COUNTIF($G74:Klisz_Verbräuche[[#This Row],[2024]],"&gt;0")&gt;0, AVERAGEIF($G74:Klisz_Verbräuche[[#This Row],[2024]],"&lt;&gt;"), ""),IF($B$14&lt;Klisz_Verbräuche[[#Headers],[2025]],IF(COUNTIF($G74:Klisz_Verbräuche[[#This Row],[2024]],"&gt;0")&gt;0,IF(COUNTIF($G74:Klisz_Verbräuche[[#This Row],[2024]],"&gt;0")&gt;0,Klisz_Verbräuche[[#This Row],[2024]]*(1-$F74)^1, ""), ""),IF($B$14&gt;Klisz_Verbräuche[[#Headers],[2025]],Refsz_Verbräuche[[#This Row],[2025]],"")))</f>
        <v/>
      </c>
      <c r="R74" s="49" t="str">
        <f>IF(Klisz_Verbräuche[[#Headers],[2026]]=$B$14,IF(COUNTIF($G74:Klisz_Verbräuche[[#This Row],[2025]],"&gt;0")&gt;0, AVERAGEIF($G74:Klisz_Verbräuche[[#This Row],[2025]],"&lt;&gt;"), ""),IF($B$14&lt;Klisz_Verbräuche[[#Headers],[2026]],IF(COUNTIF($G74:Klisz_Verbräuche[[#This Row],[2025]],"&gt;0")&gt;0,IF(COUNTIF($G74:Klisz_Verbräuche[[#This Row],[2025]],"&gt;0")&gt;0,Klisz_Verbräuche[[#This Row],[2025]]*(1-$F74)^1, ""), ""),IF($B$14&gt;Klisz_Verbräuche[[#Headers],[2026]],Refsz_Verbräuche[[#This Row],[2026]],"")))</f>
        <v/>
      </c>
      <c r="S74" s="49" t="str">
        <f>IF(Klisz_Verbräuche[[#Headers],[2027]]=$B$14,IF(COUNTIF($G74:Klisz_Verbräuche[[#This Row],[2026]],"&gt;0")&gt;0, AVERAGEIF($G74:Klisz_Verbräuche[[#This Row],[2026]],"&lt;&gt;"), ""),IF($B$14&lt;Klisz_Verbräuche[[#Headers],[2027]],IF(COUNTIF($G74:Klisz_Verbräuche[[#This Row],[2026]],"&gt;0")&gt;0,IF(COUNTIF($G74:Klisz_Verbräuche[[#This Row],[2026]],"&gt;0")&gt;0,Klisz_Verbräuche[[#This Row],[2026]]*(1-$F74)^1, ""), ""),IF($B$14&gt;Klisz_Verbräuche[[#Headers],[2027]],Refsz_Verbräuche[[#This Row],[2027]],"")))</f>
        <v/>
      </c>
      <c r="T74" s="49" t="str">
        <f>IF(Klisz_Verbräuche[[#Headers],[2028]]=$B$14,IF(COUNTIF($G74:Klisz_Verbräuche[[#This Row],[2027]],"&gt;0")&gt;0, AVERAGEIF($G74:Klisz_Verbräuche[[#This Row],[2027]],"&lt;&gt;"), ""),IF($B$14&lt;Klisz_Verbräuche[[#Headers],[2028]],IF(COUNTIF($G74:Klisz_Verbräuche[[#This Row],[2027]],"&gt;0")&gt;0,IF(COUNTIF($G74:Klisz_Verbräuche[[#This Row],[2027]],"&gt;0")&gt;0,Klisz_Verbräuche[[#This Row],[2027]]*(1-$F74)^1, ""), ""),IF($B$14&gt;Klisz_Verbräuche[[#Headers],[2028]],Refsz_Verbräuche[[#This Row],[2028]],"")))</f>
        <v/>
      </c>
      <c r="U74" s="49" t="str">
        <f>IF(Klisz_Verbräuche[[#Headers],[2029]]=$B$14,IF(COUNTIF($G74:Klisz_Verbräuche[[#This Row],[2028]],"&gt;0")&gt;0, AVERAGEIF($G74:Klisz_Verbräuche[[#This Row],[2028]],"&lt;&gt;"), ""),IF($B$14&lt;Klisz_Verbräuche[[#Headers],[2029]],IF(COUNTIF($G74:Klisz_Verbräuche[[#This Row],[2028]],"&gt;0")&gt;0,IF(COUNTIF($G74:Klisz_Verbräuche[[#This Row],[2028]],"&gt;0")&gt;0,Klisz_Verbräuche[[#This Row],[2028]]*(1-$F74)^1, ""), ""),IF($B$14&gt;Klisz_Verbräuche[[#Headers],[2029]],Refsz_Verbräuche[[#This Row],[2029]],"")))</f>
        <v/>
      </c>
      <c r="V74" s="49" t="str">
        <f>IF(Klisz_Verbräuche[[#Headers],[2030]]=$B$14,IF(COUNTIF($G74:Klisz_Verbräuche[[#This Row],[2029]],"&gt;0")&gt;0, AVERAGEIF($G74:Klisz_Verbräuche[[#This Row],[2029]],"&lt;&gt;"), ""),IF($B$14&lt;Klisz_Verbräuche[[#Headers],[2030]],IF(COUNTIF($G74:Klisz_Verbräuche[[#This Row],[2029]],"&gt;0")&gt;0,IF(COUNTIF($G74:Klisz_Verbräuche[[#This Row],[2029]],"&gt;0")&gt;0,Klisz_Verbräuche[[#This Row],[2029]]*(1-$F74)^1, ""), ""),IF($B$14&gt;Klisz_Verbräuche[[#Headers],[2030]],Refsz_Verbräuche[[#This Row],[2030]],"")))</f>
        <v/>
      </c>
      <c r="W74" s="49" t="str">
        <f>IF(Klisz_Verbräuche[[#Headers],[2035]]=$B$14,IF(COUNTIF($G74:Klisz_Verbräuche[[#This Row],[2030]],"&gt;0")&gt;0, AVERAGEIF($G74:Klisz_Verbräuche[[#This Row],[2030]],"&lt;&gt;"), ""),IF($B$14&lt;Klisz_Verbräuche[[#Headers],[2035]],IF(COUNTIF($G74:Klisz_Verbräuche[[#This Row],[2030]],"&gt;0")&gt;0,IF(COUNTIF($G74:Klisz_Verbräuche[[#This Row],[2030]],"&gt;0")&gt;0,Klisz_Verbräuche[[#This Row],[2030]]*(1-$F74)^5, ""), ""),IF($B$14&gt;Klisz_Verbräuche[[#Headers],[2035]],Refsz_Verbräuche[[#This Row],[2035]],"")))</f>
        <v/>
      </c>
      <c r="X74" s="49" t="str">
        <f>IF(Klisz_Verbräuche[[#Headers],[2040]]=$B$14,IF(COUNTIF($G74:Klisz_Verbräuche[[#This Row],[2035]],"&gt;0")&gt;0, AVERAGEIF($G74:Klisz_Verbräuche[[#This Row],[2035]],"&lt;&gt;"), ""),IF($B$14&lt;Klisz_Verbräuche[[#Headers],[2040]],IF(COUNTIF($G74:Klisz_Verbräuche[[#This Row],[2035]],"&gt;0")&gt;0,IF(COUNTIF($G74:Klisz_Verbräuche[[#This Row],[2035]],"&gt;0")&gt;0,Klisz_Verbräuche[[#This Row],[2035]]*(1-$F74)^5, ""), ""),IF($B$14&gt;Klisz_Verbräuche[[#Headers],[2040]],Refsz_Verbräuche[[#This Row],[2040]],"")))</f>
        <v/>
      </c>
      <c r="Y74" s="49" t="str">
        <f>IF(Klisz_Verbräuche[[#Headers],[2045]]=$B$14,IF(COUNTIF($G74:Klisz_Verbräuche[[#This Row],[2040]],"&gt;0")&gt;0, AVERAGEIF($G74:Klisz_Verbräuche[[#This Row],[2040]],"&lt;&gt;"), ""),IF($B$14&lt;Klisz_Verbräuche[[#Headers],[2045]],IF(COUNTIF($G74:Klisz_Verbräuche[[#This Row],[2040]],"&gt;0")&gt;0,IF(COUNTIF($G74:Klisz_Verbräuche[[#This Row],[2040]],"&gt;0")&gt;0,Klisz_Verbräuche[[#This Row],[2040]]*(1-$F74)^5, ""), ""),IF($B$14&gt;Klisz_Verbräuche[[#Headers],[2045]],Refsz_Verbräuche[[#This Row],[2045]],"")))</f>
        <v/>
      </c>
      <c r="Z74" s="49" t="str">
        <f>IF(Klisz_Verbräuche[[#Headers],[2050]]=$B$14,IF(COUNTIF($G74:Klisz_Verbräuche[[#This Row],[2045]],"&gt;0")&gt;0, AVERAGEIF($G74:Klisz_Verbräuche[[#This Row],[2045]],"&lt;&gt;"), ""),IF($B$14&lt;Klisz_Verbräuche[[#Headers],[2050]],IF(COUNTIF($G74:Klisz_Verbräuche[[#This Row],[2045]],"&gt;0")&gt;0,IF(COUNTIF($G74:Klisz_Verbräuche[[#This Row],[2045]],"&gt;0")&gt;0,Klisz_Verbräuche[[#This Row],[2045]]*(1-$F74)^5, ""), ""),IF($B$14&gt;Klisz_Verbräuche[[#Headers],[2050]],Refsz_Verbräuche[[#This Row],[2050]],"")))</f>
        <v/>
      </c>
      <c r="AA74" s="14"/>
    </row>
    <row r="75" spans="2:27">
      <c r="B75" s="14">
        <v>58</v>
      </c>
      <c r="C75" s="197">
        <f>Refsz_Verbräuche[[#This Row],[Handlungsfeld]]</f>
        <v>0</v>
      </c>
      <c r="D75" s="19">
        <f>Refsz_Verbräuche[[#This Row],[Datenpunkt]]</f>
        <v>0</v>
      </c>
      <c r="E75" s="26">
        <f>Refsz_Verbräuche[[#This Row],[Einheit]]</f>
        <v>0</v>
      </c>
      <c r="F75" s="108"/>
      <c r="G75" s="14" t="str">
        <f>IF(ISBLANK(Refsz_Verbräuche[[#This Row],[2015]]),"",Refsz_Verbräuche[[#This Row],[2015]])</f>
        <v/>
      </c>
      <c r="H75" s="14" t="str">
        <f>IF(ISBLANK(Refsz_Verbräuche[[#This Row],[2016]]),"",Refsz_Verbräuche[[#This Row],[2016]])</f>
        <v/>
      </c>
      <c r="I75" s="14" t="str">
        <f>IF(ISBLANK(Refsz_Verbräuche[[#This Row],[2017]]),"",Refsz_Verbräuche[[#This Row],[2017]])</f>
        <v/>
      </c>
      <c r="J75" s="14" t="str">
        <f>IF(ISBLANK(Refsz_Verbräuche[[#This Row],[2018]]),"",Refsz_Verbräuche[[#This Row],[2018]])</f>
        <v/>
      </c>
      <c r="K75" s="14" t="str">
        <f>IF(ISBLANK(Refsz_Verbräuche[[#This Row],[2019]]),"",Refsz_Verbräuche[[#This Row],[2019]])</f>
        <v/>
      </c>
      <c r="L75" s="14" t="str">
        <f>IF(ISBLANK(Refsz_Verbräuche[[#This Row],[2020]]),"",Refsz_Verbräuche[[#This Row],[2020]])</f>
        <v/>
      </c>
      <c r="M75" s="14" t="str">
        <f>IF(ISBLANK(Refsz_Verbräuche[[#This Row],[2021]]),"",Refsz_Verbräuche[[#This Row],[2021]])</f>
        <v/>
      </c>
      <c r="N75" s="49" t="str">
        <f>IF(Klisz_Verbräuche[[#Headers],[2022]]=$B$14,IF(COUNTIF($G75:Klisz_Verbräuche[[#This Row],[2021]],"&gt;0")&gt;0, AVERAGEIF($G75:Klisz_Verbräuche[[#This Row],[2021]],"&lt;&gt;"), ""),IF($B$14&lt;Klisz_Verbräuche[[#Headers],[2022]],IF(COUNTIF($G75:Klisz_Verbräuche[[#This Row],[2021]],"&gt;0")&gt;0,IF(COUNTIF($G75:Klisz_Verbräuche[[#This Row],[2021]],"&gt;0")&gt;0,Klisz_Verbräuche[[#This Row],[2021]]*(1-$F75)^1, ""), ""),IF($B$14&gt;Klisz_Verbräuche[[#Headers],[2022]],Refsz_Verbräuche[[#This Row],[2022]],"")))</f>
        <v/>
      </c>
      <c r="O75" s="49" t="str">
        <f>IF(Klisz_Verbräuche[[#Headers],[2023]]=$B$14,IF(COUNTIF($G75:Klisz_Verbräuche[[#This Row],[2022]],"&gt;0")&gt;0, AVERAGEIF($G75:Klisz_Verbräuche[[#This Row],[2022]],"&lt;&gt;"), ""),IF($B$14&lt;Klisz_Verbräuche[[#Headers],[2023]],IF(COUNTIF($G75:Klisz_Verbräuche[[#This Row],[2022]],"&gt;0")&gt;0,IF(COUNTIF($G75:Klisz_Verbräuche[[#This Row],[2022]],"&gt;0")&gt;0,Klisz_Verbräuche[[#This Row],[2022]]*(1-$F75)^1, ""), ""),IF($B$14&gt;Klisz_Verbräuche[[#Headers],[2023]],Refsz_Verbräuche[[#This Row],[2023]],"")))</f>
        <v/>
      </c>
      <c r="P75" s="49" t="str">
        <f>IF(Klisz_Verbräuche[[#Headers],[2024]]=$B$14,IF(COUNTIF($G75:Klisz_Verbräuche[[#This Row],[2023]],"&gt;0")&gt;0, AVERAGEIF($G75:Klisz_Verbräuche[[#This Row],[2023]],"&lt;&gt;"), ""),IF($B$14&lt;Klisz_Verbräuche[[#Headers],[2024]],IF(COUNTIF($G75:Klisz_Verbräuche[[#This Row],[2023]],"&gt;0")&gt;0,IF(COUNTIF($G75:Klisz_Verbräuche[[#This Row],[2023]],"&gt;0")&gt;0,Klisz_Verbräuche[[#This Row],[2023]]*(1-$F75)^1, ""), ""),IF($B$14&gt;Klisz_Verbräuche[[#Headers],[2024]],Refsz_Verbräuche[[#This Row],[2024]],"")))</f>
        <v/>
      </c>
      <c r="Q75" s="49" t="str">
        <f>IF(Klisz_Verbräuche[[#Headers],[2025]]=$B$14,IF(COUNTIF($G75:Klisz_Verbräuche[[#This Row],[2024]],"&gt;0")&gt;0, AVERAGEIF($G75:Klisz_Verbräuche[[#This Row],[2024]],"&lt;&gt;"), ""),IF($B$14&lt;Klisz_Verbräuche[[#Headers],[2025]],IF(COUNTIF($G75:Klisz_Verbräuche[[#This Row],[2024]],"&gt;0")&gt;0,IF(COUNTIF($G75:Klisz_Verbräuche[[#This Row],[2024]],"&gt;0")&gt;0,Klisz_Verbräuche[[#This Row],[2024]]*(1-$F75)^1, ""), ""),IF($B$14&gt;Klisz_Verbräuche[[#Headers],[2025]],Refsz_Verbräuche[[#This Row],[2025]],"")))</f>
        <v/>
      </c>
      <c r="R75" s="49" t="str">
        <f>IF(Klisz_Verbräuche[[#Headers],[2026]]=$B$14,IF(COUNTIF($G75:Klisz_Verbräuche[[#This Row],[2025]],"&gt;0")&gt;0, AVERAGEIF($G75:Klisz_Verbräuche[[#This Row],[2025]],"&lt;&gt;"), ""),IF($B$14&lt;Klisz_Verbräuche[[#Headers],[2026]],IF(COUNTIF($G75:Klisz_Verbräuche[[#This Row],[2025]],"&gt;0")&gt;0,IF(COUNTIF($G75:Klisz_Verbräuche[[#This Row],[2025]],"&gt;0")&gt;0,Klisz_Verbräuche[[#This Row],[2025]]*(1-$F75)^1, ""), ""),IF($B$14&gt;Klisz_Verbräuche[[#Headers],[2026]],Refsz_Verbräuche[[#This Row],[2026]],"")))</f>
        <v/>
      </c>
      <c r="S75" s="49" t="str">
        <f>IF(Klisz_Verbräuche[[#Headers],[2027]]=$B$14,IF(COUNTIF($G75:Klisz_Verbräuche[[#This Row],[2026]],"&gt;0")&gt;0, AVERAGEIF($G75:Klisz_Verbräuche[[#This Row],[2026]],"&lt;&gt;"), ""),IF($B$14&lt;Klisz_Verbräuche[[#Headers],[2027]],IF(COUNTIF($G75:Klisz_Verbräuche[[#This Row],[2026]],"&gt;0")&gt;0,IF(COUNTIF($G75:Klisz_Verbräuche[[#This Row],[2026]],"&gt;0")&gt;0,Klisz_Verbräuche[[#This Row],[2026]]*(1-$F75)^1, ""), ""),IF($B$14&gt;Klisz_Verbräuche[[#Headers],[2027]],Refsz_Verbräuche[[#This Row],[2027]],"")))</f>
        <v/>
      </c>
      <c r="T75" s="49" t="str">
        <f>IF(Klisz_Verbräuche[[#Headers],[2028]]=$B$14,IF(COUNTIF($G75:Klisz_Verbräuche[[#This Row],[2027]],"&gt;0")&gt;0, AVERAGEIF($G75:Klisz_Verbräuche[[#This Row],[2027]],"&lt;&gt;"), ""),IF($B$14&lt;Klisz_Verbräuche[[#Headers],[2028]],IF(COUNTIF($G75:Klisz_Verbräuche[[#This Row],[2027]],"&gt;0")&gt;0,IF(COUNTIF($G75:Klisz_Verbräuche[[#This Row],[2027]],"&gt;0")&gt;0,Klisz_Verbräuche[[#This Row],[2027]]*(1-$F75)^1, ""), ""),IF($B$14&gt;Klisz_Verbräuche[[#Headers],[2028]],Refsz_Verbräuche[[#This Row],[2028]],"")))</f>
        <v/>
      </c>
      <c r="U75" s="49" t="str">
        <f>IF(Klisz_Verbräuche[[#Headers],[2029]]=$B$14,IF(COUNTIF($G75:Klisz_Verbräuche[[#This Row],[2028]],"&gt;0")&gt;0, AVERAGEIF($G75:Klisz_Verbräuche[[#This Row],[2028]],"&lt;&gt;"), ""),IF($B$14&lt;Klisz_Verbräuche[[#Headers],[2029]],IF(COUNTIF($G75:Klisz_Verbräuche[[#This Row],[2028]],"&gt;0")&gt;0,IF(COUNTIF($G75:Klisz_Verbräuche[[#This Row],[2028]],"&gt;0")&gt;0,Klisz_Verbräuche[[#This Row],[2028]]*(1-$F75)^1, ""), ""),IF($B$14&gt;Klisz_Verbräuche[[#Headers],[2029]],Refsz_Verbräuche[[#This Row],[2029]],"")))</f>
        <v/>
      </c>
      <c r="V75" s="49" t="str">
        <f>IF(Klisz_Verbräuche[[#Headers],[2030]]=$B$14,IF(COUNTIF($G75:Klisz_Verbräuche[[#This Row],[2029]],"&gt;0")&gt;0, AVERAGEIF($G75:Klisz_Verbräuche[[#This Row],[2029]],"&lt;&gt;"), ""),IF($B$14&lt;Klisz_Verbräuche[[#Headers],[2030]],IF(COUNTIF($G75:Klisz_Verbräuche[[#This Row],[2029]],"&gt;0")&gt;0,IF(COUNTIF($G75:Klisz_Verbräuche[[#This Row],[2029]],"&gt;0")&gt;0,Klisz_Verbräuche[[#This Row],[2029]]*(1-$F75)^1, ""), ""),IF($B$14&gt;Klisz_Verbräuche[[#Headers],[2030]],Refsz_Verbräuche[[#This Row],[2030]],"")))</f>
        <v/>
      </c>
      <c r="W75" s="49" t="str">
        <f>IF(Klisz_Verbräuche[[#Headers],[2035]]=$B$14,IF(COUNTIF($G75:Klisz_Verbräuche[[#This Row],[2030]],"&gt;0")&gt;0, AVERAGEIF($G75:Klisz_Verbräuche[[#This Row],[2030]],"&lt;&gt;"), ""),IF($B$14&lt;Klisz_Verbräuche[[#Headers],[2035]],IF(COUNTIF($G75:Klisz_Verbräuche[[#This Row],[2030]],"&gt;0")&gt;0,IF(COUNTIF($G75:Klisz_Verbräuche[[#This Row],[2030]],"&gt;0")&gt;0,Klisz_Verbräuche[[#This Row],[2030]]*(1-$F75)^5, ""), ""),IF($B$14&gt;Klisz_Verbräuche[[#Headers],[2035]],Refsz_Verbräuche[[#This Row],[2035]],"")))</f>
        <v/>
      </c>
      <c r="X75" s="49" t="str">
        <f>IF(Klisz_Verbräuche[[#Headers],[2040]]=$B$14,IF(COUNTIF($G75:Klisz_Verbräuche[[#This Row],[2035]],"&gt;0")&gt;0, AVERAGEIF($G75:Klisz_Verbräuche[[#This Row],[2035]],"&lt;&gt;"), ""),IF($B$14&lt;Klisz_Verbräuche[[#Headers],[2040]],IF(COUNTIF($G75:Klisz_Verbräuche[[#This Row],[2035]],"&gt;0")&gt;0,IF(COUNTIF($G75:Klisz_Verbräuche[[#This Row],[2035]],"&gt;0")&gt;0,Klisz_Verbräuche[[#This Row],[2035]]*(1-$F75)^5, ""), ""),IF($B$14&gt;Klisz_Verbräuche[[#Headers],[2040]],Refsz_Verbräuche[[#This Row],[2040]],"")))</f>
        <v/>
      </c>
      <c r="Y75" s="49" t="str">
        <f>IF(Klisz_Verbräuche[[#Headers],[2045]]=$B$14,IF(COUNTIF($G75:Klisz_Verbräuche[[#This Row],[2040]],"&gt;0")&gt;0, AVERAGEIF($G75:Klisz_Verbräuche[[#This Row],[2040]],"&lt;&gt;"), ""),IF($B$14&lt;Klisz_Verbräuche[[#Headers],[2045]],IF(COUNTIF($G75:Klisz_Verbräuche[[#This Row],[2040]],"&gt;0")&gt;0,IF(COUNTIF($G75:Klisz_Verbräuche[[#This Row],[2040]],"&gt;0")&gt;0,Klisz_Verbräuche[[#This Row],[2040]]*(1-$F75)^5, ""), ""),IF($B$14&gt;Klisz_Verbräuche[[#Headers],[2045]],Refsz_Verbräuche[[#This Row],[2045]],"")))</f>
        <v/>
      </c>
      <c r="Z75" s="49" t="str">
        <f>IF(Klisz_Verbräuche[[#Headers],[2050]]=$B$14,IF(COUNTIF($G75:Klisz_Verbräuche[[#This Row],[2045]],"&gt;0")&gt;0, AVERAGEIF($G75:Klisz_Verbräuche[[#This Row],[2045]],"&lt;&gt;"), ""),IF($B$14&lt;Klisz_Verbräuche[[#Headers],[2050]],IF(COUNTIF($G75:Klisz_Verbräuche[[#This Row],[2045]],"&gt;0")&gt;0,IF(COUNTIF($G75:Klisz_Verbräuche[[#This Row],[2045]],"&gt;0")&gt;0,Klisz_Verbräuche[[#This Row],[2045]]*(1-$F75)^5, ""), ""),IF($B$14&gt;Klisz_Verbräuche[[#Headers],[2050]],Refsz_Verbräuche[[#This Row],[2050]],"")))</f>
        <v/>
      </c>
      <c r="AA75" s="14"/>
    </row>
    <row r="76" spans="2:27">
      <c r="B76" s="14">
        <v>59</v>
      </c>
      <c r="C76" s="197" t="str">
        <f>Refsz_Verbräuche[[#This Row],[Handlungsfeld]]</f>
        <v>Mobilität 1</v>
      </c>
      <c r="D76" s="19" t="str">
        <f>Refsz_Verbräuche[[#This Row],[Datenpunkt]]</f>
        <v>Exkursionen - Flugreisen</v>
      </c>
      <c r="E76" s="26" t="str">
        <f>Refsz_Verbräuche[[#This Row],[Einheit]]</f>
        <v>Pkm</v>
      </c>
      <c r="F76" s="108"/>
      <c r="G76" s="14" t="str">
        <f>IF(ISBLANK(Refsz_Verbräuche[[#This Row],[2015]]),"",Refsz_Verbräuche[[#This Row],[2015]])</f>
        <v/>
      </c>
      <c r="H76" s="14" t="str">
        <f>IF(ISBLANK(Refsz_Verbräuche[[#This Row],[2016]]),"",Refsz_Verbräuche[[#This Row],[2016]])</f>
        <v/>
      </c>
      <c r="I76" s="14" t="str">
        <f>IF(ISBLANK(Refsz_Verbräuche[[#This Row],[2017]]),"",Refsz_Verbräuche[[#This Row],[2017]])</f>
        <v/>
      </c>
      <c r="J76" s="14" t="str">
        <f>IF(ISBLANK(Refsz_Verbräuche[[#This Row],[2018]]),"",Refsz_Verbräuche[[#This Row],[2018]])</f>
        <v/>
      </c>
      <c r="K76" s="14" t="str">
        <f>IF(ISBLANK(Refsz_Verbräuche[[#This Row],[2019]]),"",Refsz_Verbräuche[[#This Row],[2019]])</f>
        <v/>
      </c>
      <c r="L76" s="14" t="str">
        <f>IF(ISBLANK(Refsz_Verbräuche[[#This Row],[2020]]),"",Refsz_Verbräuche[[#This Row],[2020]])</f>
        <v/>
      </c>
      <c r="M76" s="14" t="str">
        <f>IF(ISBLANK(Refsz_Verbräuche[[#This Row],[2021]]),"",Refsz_Verbräuche[[#This Row],[2021]])</f>
        <v/>
      </c>
      <c r="N76" s="49" t="str">
        <f>IF(Klisz_Verbräuche[[#Headers],[2022]]=$B$14,IF(COUNTIF($G76:Klisz_Verbräuche[[#This Row],[2021]],"&gt;0")&gt;0, AVERAGEIF($G76:Klisz_Verbräuche[[#This Row],[2021]],"&lt;&gt;"), ""),IF($B$14&lt;Klisz_Verbräuche[[#Headers],[2022]],IF(COUNTIF($G76:Klisz_Verbräuche[[#This Row],[2021]],"&gt;0")&gt;0,IF(COUNTIF($G76:Klisz_Verbräuche[[#This Row],[2021]],"&gt;0")&gt;0,Klisz_Verbräuche[[#This Row],[2021]]*(1-$F76)^1, ""), ""),IF($B$14&gt;Klisz_Verbräuche[[#Headers],[2022]],Refsz_Verbräuche[[#This Row],[2022]],"")))</f>
        <v/>
      </c>
      <c r="O76" s="49" t="str">
        <f>IF(Klisz_Verbräuche[[#Headers],[2023]]=$B$14,IF(COUNTIF($G76:Klisz_Verbräuche[[#This Row],[2022]],"&gt;0")&gt;0, AVERAGEIF($G76:Klisz_Verbräuche[[#This Row],[2022]],"&lt;&gt;"), ""),IF($B$14&lt;Klisz_Verbräuche[[#Headers],[2023]],IF(COUNTIF($G76:Klisz_Verbräuche[[#This Row],[2022]],"&gt;0")&gt;0,IF(COUNTIF($G76:Klisz_Verbräuche[[#This Row],[2022]],"&gt;0")&gt;0,Klisz_Verbräuche[[#This Row],[2022]]*(1-$F76)^1, ""), ""),IF($B$14&gt;Klisz_Verbräuche[[#Headers],[2023]],Refsz_Verbräuche[[#This Row],[2023]],"")))</f>
        <v/>
      </c>
      <c r="P76" s="49" t="str">
        <f>IF(Klisz_Verbräuche[[#Headers],[2024]]=$B$14,IF(COUNTIF($G76:Klisz_Verbräuche[[#This Row],[2023]],"&gt;0")&gt;0, AVERAGEIF($G76:Klisz_Verbräuche[[#This Row],[2023]],"&lt;&gt;"), ""),IF($B$14&lt;Klisz_Verbräuche[[#Headers],[2024]],IF(COUNTIF($G76:Klisz_Verbräuche[[#This Row],[2023]],"&gt;0")&gt;0,IF(COUNTIF($G76:Klisz_Verbräuche[[#This Row],[2023]],"&gt;0")&gt;0,Klisz_Verbräuche[[#This Row],[2023]]*(1-$F76)^1, ""), ""),IF($B$14&gt;Klisz_Verbräuche[[#Headers],[2024]],Refsz_Verbräuche[[#This Row],[2024]],"")))</f>
        <v/>
      </c>
      <c r="Q76" s="49" t="str">
        <f>IF(Klisz_Verbräuche[[#Headers],[2025]]=$B$14,IF(COUNTIF($G76:Klisz_Verbräuche[[#This Row],[2024]],"&gt;0")&gt;0, AVERAGEIF($G76:Klisz_Verbräuche[[#This Row],[2024]],"&lt;&gt;"), ""),IF($B$14&lt;Klisz_Verbräuche[[#Headers],[2025]],IF(COUNTIF($G76:Klisz_Verbräuche[[#This Row],[2024]],"&gt;0")&gt;0,IF(COUNTIF($G76:Klisz_Verbräuche[[#This Row],[2024]],"&gt;0")&gt;0,Klisz_Verbräuche[[#This Row],[2024]]*(1-$F76)^1, ""), ""),IF($B$14&gt;Klisz_Verbräuche[[#Headers],[2025]],Refsz_Verbräuche[[#This Row],[2025]],"")))</f>
        <v/>
      </c>
      <c r="R76" s="49" t="str">
        <f>IF(Klisz_Verbräuche[[#Headers],[2026]]=$B$14,IF(COUNTIF($G76:Klisz_Verbräuche[[#This Row],[2025]],"&gt;0")&gt;0, AVERAGEIF($G76:Klisz_Verbräuche[[#This Row],[2025]],"&lt;&gt;"), ""),IF($B$14&lt;Klisz_Verbräuche[[#Headers],[2026]],IF(COUNTIF($G76:Klisz_Verbräuche[[#This Row],[2025]],"&gt;0")&gt;0,IF(COUNTIF($G76:Klisz_Verbräuche[[#This Row],[2025]],"&gt;0")&gt;0,Klisz_Verbräuche[[#This Row],[2025]]*(1-$F76)^1, ""), ""),IF($B$14&gt;Klisz_Verbräuche[[#Headers],[2026]],Refsz_Verbräuche[[#This Row],[2026]],"")))</f>
        <v/>
      </c>
      <c r="S76" s="49" t="str">
        <f>IF(Klisz_Verbräuche[[#Headers],[2027]]=$B$14,IF(COUNTIF($G76:Klisz_Verbräuche[[#This Row],[2026]],"&gt;0")&gt;0, AVERAGEIF($G76:Klisz_Verbräuche[[#This Row],[2026]],"&lt;&gt;"), ""),IF($B$14&lt;Klisz_Verbräuche[[#Headers],[2027]],IF(COUNTIF($G76:Klisz_Verbräuche[[#This Row],[2026]],"&gt;0")&gt;0,IF(COUNTIF($G76:Klisz_Verbräuche[[#This Row],[2026]],"&gt;0")&gt;0,Klisz_Verbräuche[[#This Row],[2026]]*(1-$F76)^1, ""), ""),IF($B$14&gt;Klisz_Verbräuche[[#Headers],[2027]],Refsz_Verbräuche[[#This Row],[2027]],"")))</f>
        <v/>
      </c>
      <c r="T76" s="49" t="str">
        <f>IF(Klisz_Verbräuche[[#Headers],[2028]]=$B$14,IF(COUNTIF($G76:Klisz_Verbräuche[[#This Row],[2027]],"&gt;0")&gt;0, AVERAGEIF($G76:Klisz_Verbräuche[[#This Row],[2027]],"&lt;&gt;"), ""),IF($B$14&lt;Klisz_Verbräuche[[#Headers],[2028]],IF(COUNTIF($G76:Klisz_Verbräuche[[#This Row],[2027]],"&gt;0")&gt;0,IF(COUNTIF($G76:Klisz_Verbräuche[[#This Row],[2027]],"&gt;0")&gt;0,Klisz_Verbräuche[[#This Row],[2027]]*(1-$F76)^1, ""), ""),IF($B$14&gt;Klisz_Verbräuche[[#Headers],[2028]],Refsz_Verbräuche[[#This Row],[2028]],"")))</f>
        <v/>
      </c>
      <c r="U76" s="49" t="str">
        <f>IF(Klisz_Verbräuche[[#Headers],[2029]]=$B$14,IF(COUNTIF($G76:Klisz_Verbräuche[[#This Row],[2028]],"&gt;0")&gt;0, AVERAGEIF($G76:Klisz_Verbräuche[[#This Row],[2028]],"&lt;&gt;"), ""),IF($B$14&lt;Klisz_Verbräuche[[#Headers],[2029]],IF(COUNTIF($G76:Klisz_Verbräuche[[#This Row],[2028]],"&gt;0")&gt;0,IF(COUNTIF($G76:Klisz_Verbräuche[[#This Row],[2028]],"&gt;0")&gt;0,Klisz_Verbräuche[[#This Row],[2028]]*(1-$F76)^1, ""), ""),IF($B$14&gt;Klisz_Verbräuche[[#Headers],[2029]],Refsz_Verbräuche[[#This Row],[2029]],"")))</f>
        <v/>
      </c>
      <c r="V76" s="49" t="str">
        <f>IF(Klisz_Verbräuche[[#Headers],[2030]]=$B$14,IF(COUNTIF($G76:Klisz_Verbräuche[[#This Row],[2029]],"&gt;0")&gt;0, AVERAGEIF($G76:Klisz_Verbräuche[[#This Row],[2029]],"&lt;&gt;"), ""),IF($B$14&lt;Klisz_Verbräuche[[#Headers],[2030]],IF(COUNTIF($G76:Klisz_Verbräuche[[#This Row],[2029]],"&gt;0")&gt;0,IF(COUNTIF($G76:Klisz_Verbräuche[[#This Row],[2029]],"&gt;0")&gt;0,Klisz_Verbräuche[[#This Row],[2029]]*(1-$F76)^1, ""), ""),IF($B$14&gt;Klisz_Verbräuche[[#Headers],[2030]],Refsz_Verbräuche[[#This Row],[2030]],"")))</f>
        <v/>
      </c>
      <c r="W76" s="49" t="str">
        <f>IF(Klisz_Verbräuche[[#Headers],[2035]]=$B$14,IF(COUNTIF($G76:Klisz_Verbräuche[[#This Row],[2030]],"&gt;0")&gt;0, AVERAGEIF($G76:Klisz_Verbräuche[[#This Row],[2030]],"&lt;&gt;"), ""),IF($B$14&lt;Klisz_Verbräuche[[#Headers],[2035]],IF(COUNTIF($G76:Klisz_Verbräuche[[#This Row],[2030]],"&gt;0")&gt;0,IF(COUNTIF($G76:Klisz_Verbräuche[[#This Row],[2030]],"&gt;0")&gt;0,Klisz_Verbräuche[[#This Row],[2030]]*(1-$F76)^5, ""), ""),IF($B$14&gt;Klisz_Verbräuche[[#Headers],[2035]],Refsz_Verbräuche[[#This Row],[2035]],"")))</f>
        <v/>
      </c>
      <c r="X76" s="49" t="str">
        <f>IF(Klisz_Verbräuche[[#Headers],[2040]]=$B$14,IF(COUNTIF($G76:Klisz_Verbräuche[[#This Row],[2035]],"&gt;0")&gt;0, AVERAGEIF($G76:Klisz_Verbräuche[[#This Row],[2035]],"&lt;&gt;"), ""),IF($B$14&lt;Klisz_Verbräuche[[#Headers],[2040]],IF(COUNTIF($G76:Klisz_Verbräuche[[#This Row],[2035]],"&gt;0")&gt;0,IF(COUNTIF($G76:Klisz_Verbräuche[[#This Row],[2035]],"&gt;0")&gt;0,Klisz_Verbräuche[[#This Row],[2035]]*(1-$F76)^5, ""), ""),IF($B$14&gt;Klisz_Verbräuche[[#Headers],[2040]],Refsz_Verbräuche[[#This Row],[2040]],"")))</f>
        <v/>
      </c>
      <c r="Y76" s="49" t="str">
        <f>IF(Klisz_Verbräuche[[#Headers],[2045]]=$B$14,IF(COUNTIF($G76:Klisz_Verbräuche[[#This Row],[2040]],"&gt;0")&gt;0, AVERAGEIF($G76:Klisz_Verbräuche[[#This Row],[2040]],"&lt;&gt;"), ""),IF($B$14&lt;Klisz_Verbräuche[[#Headers],[2045]],IF(COUNTIF($G76:Klisz_Verbräuche[[#This Row],[2040]],"&gt;0")&gt;0,IF(COUNTIF($G76:Klisz_Verbräuche[[#This Row],[2040]],"&gt;0")&gt;0,Klisz_Verbräuche[[#This Row],[2040]]*(1-$F76)^5, ""), ""),IF($B$14&gt;Klisz_Verbräuche[[#Headers],[2045]],Refsz_Verbräuche[[#This Row],[2045]],"")))</f>
        <v/>
      </c>
      <c r="Z76" s="49" t="str">
        <f>IF(Klisz_Verbräuche[[#Headers],[2050]]=$B$14,IF(COUNTIF($G76:Klisz_Verbräuche[[#This Row],[2045]],"&gt;0")&gt;0, AVERAGEIF($G76:Klisz_Verbräuche[[#This Row],[2045]],"&lt;&gt;"), ""),IF($B$14&lt;Klisz_Verbräuche[[#Headers],[2050]],IF(COUNTIF($G76:Klisz_Verbräuche[[#This Row],[2045]],"&gt;0")&gt;0,IF(COUNTIF($G76:Klisz_Verbräuche[[#This Row],[2045]],"&gt;0")&gt;0,Klisz_Verbräuche[[#This Row],[2045]]*(1-$F76)^5, ""), ""),IF($B$14&gt;Klisz_Verbräuche[[#Headers],[2050]],Refsz_Verbräuche[[#This Row],[2050]],"")))</f>
        <v/>
      </c>
      <c r="AA76" s="14"/>
    </row>
    <row r="77" spans="2:27">
      <c r="B77" s="14">
        <v>60</v>
      </c>
      <c r="C77" s="197" t="str">
        <f>Refsz_Verbräuche[[#This Row],[Handlungsfeld]]</f>
        <v>Mobilität 1</v>
      </c>
      <c r="D77" s="19" t="str">
        <f>Refsz_Verbräuche[[#This Row],[Datenpunkt]]</f>
        <v>Exkursionen - Eisenbahn (Nahverkehr)</v>
      </c>
      <c r="E77" s="26" t="str">
        <f>Refsz_Verbräuche[[#This Row],[Einheit]]</f>
        <v>Pkm</v>
      </c>
      <c r="F77" s="108"/>
      <c r="G77" s="14" t="str">
        <f>IF(ISBLANK(Refsz_Verbräuche[[#This Row],[2015]]),"",Refsz_Verbräuche[[#This Row],[2015]])</f>
        <v/>
      </c>
      <c r="H77" s="14" t="str">
        <f>IF(ISBLANK(Refsz_Verbräuche[[#This Row],[2016]]),"",Refsz_Verbräuche[[#This Row],[2016]])</f>
        <v/>
      </c>
      <c r="I77" s="14" t="str">
        <f>IF(ISBLANK(Refsz_Verbräuche[[#This Row],[2017]]),"",Refsz_Verbräuche[[#This Row],[2017]])</f>
        <v/>
      </c>
      <c r="J77" s="14" t="str">
        <f>IF(ISBLANK(Refsz_Verbräuche[[#This Row],[2018]]),"",Refsz_Verbräuche[[#This Row],[2018]])</f>
        <v/>
      </c>
      <c r="K77" s="14" t="str">
        <f>IF(ISBLANK(Refsz_Verbräuche[[#This Row],[2019]]),"",Refsz_Verbräuche[[#This Row],[2019]])</f>
        <v/>
      </c>
      <c r="L77" s="14" t="str">
        <f>IF(ISBLANK(Refsz_Verbräuche[[#This Row],[2020]]),"",Refsz_Verbräuche[[#This Row],[2020]])</f>
        <v/>
      </c>
      <c r="M77" s="14" t="str">
        <f>IF(ISBLANK(Refsz_Verbräuche[[#This Row],[2021]]),"",Refsz_Verbräuche[[#This Row],[2021]])</f>
        <v/>
      </c>
      <c r="N77" s="49" t="str">
        <f>IF(Klisz_Verbräuche[[#Headers],[2022]]=$B$14,IF(COUNTIF($G77:Klisz_Verbräuche[[#This Row],[2021]],"&gt;0")&gt;0, AVERAGEIF($G77:Klisz_Verbräuche[[#This Row],[2021]],"&lt;&gt;"), ""),IF($B$14&lt;Klisz_Verbräuche[[#Headers],[2022]],IF(COUNTIF($G77:Klisz_Verbräuche[[#This Row],[2021]],"&gt;0")&gt;0,IF(COUNTIF($G77:Klisz_Verbräuche[[#This Row],[2021]],"&gt;0")&gt;0,Klisz_Verbräuche[[#This Row],[2021]]*(1-$F77)^1, ""), ""),IF($B$14&gt;Klisz_Verbräuche[[#Headers],[2022]],Refsz_Verbräuche[[#This Row],[2022]],"")))</f>
        <v/>
      </c>
      <c r="O77" s="49" t="str">
        <f>IF(Klisz_Verbräuche[[#Headers],[2023]]=$B$14,IF(COUNTIF($G77:Klisz_Verbräuche[[#This Row],[2022]],"&gt;0")&gt;0, AVERAGEIF($G77:Klisz_Verbräuche[[#This Row],[2022]],"&lt;&gt;"), ""),IF($B$14&lt;Klisz_Verbräuche[[#Headers],[2023]],IF(COUNTIF($G77:Klisz_Verbräuche[[#This Row],[2022]],"&gt;0")&gt;0,IF(COUNTIF($G77:Klisz_Verbräuche[[#This Row],[2022]],"&gt;0")&gt;0,Klisz_Verbräuche[[#This Row],[2022]]*(1-$F77)^1, ""), ""),IF($B$14&gt;Klisz_Verbräuche[[#Headers],[2023]],Refsz_Verbräuche[[#This Row],[2023]],"")))</f>
        <v/>
      </c>
      <c r="P77" s="49" t="str">
        <f>IF(Klisz_Verbräuche[[#Headers],[2024]]=$B$14,IF(COUNTIF($G77:Klisz_Verbräuche[[#This Row],[2023]],"&gt;0")&gt;0, AVERAGEIF($G77:Klisz_Verbräuche[[#This Row],[2023]],"&lt;&gt;"), ""),IF($B$14&lt;Klisz_Verbräuche[[#Headers],[2024]],IF(COUNTIF($G77:Klisz_Verbräuche[[#This Row],[2023]],"&gt;0")&gt;0,IF(COUNTIF($G77:Klisz_Verbräuche[[#This Row],[2023]],"&gt;0")&gt;0,Klisz_Verbräuche[[#This Row],[2023]]*(1-$F77)^1, ""), ""),IF($B$14&gt;Klisz_Verbräuche[[#Headers],[2024]],Refsz_Verbräuche[[#This Row],[2024]],"")))</f>
        <v/>
      </c>
      <c r="Q77" s="49" t="str">
        <f>IF(Klisz_Verbräuche[[#Headers],[2025]]=$B$14,IF(COUNTIF($G77:Klisz_Verbräuche[[#This Row],[2024]],"&gt;0")&gt;0, AVERAGEIF($G77:Klisz_Verbräuche[[#This Row],[2024]],"&lt;&gt;"), ""),IF($B$14&lt;Klisz_Verbräuche[[#Headers],[2025]],IF(COUNTIF($G77:Klisz_Verbräuche[[#This Row],[2024]],"&gt;0")&gt;0,IF(COUNTIF($G77:Klisz_Verbräuche[[#This Row],[2024]],"&gt;0")&gt;0,Klisz_Verbräuche[[#This Row],[2024]]*(1-$F77)^1, ""), ""),IF($B$14&gt;Klisz_Verbräuche[[#Headers],[2025]],Refsz_Verbräuche[[#This Row],[2025]],"")))</f>
        <v/>
      </c>
      <c r="R77" s="49" t="str">
        <f>IF(Klisz_Verbräuche[[#Headers],[2026]]=$B$14,IF(COUNTIF($G77:Klisz_Verbräuche[[#This Row],[2025]],"&gt;0")&gt;0, AVERAGEIF($G77:Klisz_Verbräuche[[#This Row],[2025]],"&lt;&gt;"), ""),IF($B$14&lt;Klisz_Verbräuche[[#Headers],[2026]],IF(COUNTIF($G77:Klisz_Verbräuche[[#This Row],[2025]],"&gt;0")&gt;0,IF(COUNTIF($G77:Klisz_Verbräuche[[#This Row],[2025]],"&gt;0")&gt;0,Klisz_Verbräuche[[#This Row],[2025]]*(1-$F77)^1, ""), ""),IF($B$14&gt;Klisz_Verbräuche[[#Headers],[2026]],Refsz_Verbräuche[[#This Row],[2026]],"")))</f>
        <v/>
      </c>
      <c r="S77" s="49" t="str">
        <f>IF(Klisz_Verbräuche[[#Headers],[2027]]=$B$14,IF(COUNTIF($G77:Klisz_Verbräuche[[#This Row],[2026]],"&gt;0")&gt;0, AVERAGEIF($G77:Klisz_Verbräuche[[#This Row],[2026]],"&lt;&gt;"), ""),IF($B$14&lt;Klisz_Verbräuche[[#Headers],[2027]],IF(COUNTIF($G77:Klisz_Verbräuche[[#This Row],[2026]],"&gt;0")&gt;0,IF(COUNTIF($G77:Klisz_Verbräuche[[#This Row],[2026]],"&gt;0")&gt;0,Klisz_Verbräuche[[#This Row],[2026]]*(1-$F77)^1, ""), ""),IF($B$14&gt;Klisz_Verbräuche[[#Headers],[2027]],Refsz_Verbräuche[[#This Row],[2027]],"")))</f>
        <v/>
      </c>
      <c r="T77" s="49" t="str">
        <f>IF(Klisz_Verbräuche[[#Headers],[2028]]=$B$14,IF(COUNTIF($G77:Klisz_Verbräuche[[#This Row],[2027]],"&gt;0")&gt;0, AVERAGEIF($G77:Klisz_Verbräuche[[#This Row],[2027]],"&lt;&gt;"), ""),IF($B$14&lt;Klisz_Verbräuche[[#Headers],[2028]],IF(COUNTIF($G77:Klisz_Verbräuche[[#This Row],[2027]],"&gt;0")&gt;0,IF(COUNTIF($G77:Klisz_Verbräuche[[#This Row],[2027]],"&gt;0")&gt;0,Klisz_Verbräuche[[#This Row],[2027]]*(1-$F77)^1, ""), ""),IF($B$14&gt;Klisz_Verbräuche[[#Headers],[2028]],Refsz_Verbräuche[[#This Row],[2028]],"")))</f>
        <v/>
      </c>
      <c r="U77" s="49" t="str">
        <f>IF(Klisz_Verbräuche[[#Headers],[2029]]=$B$14,IF(COUNTIF($G77:Klisz_Verbräuche[[#This Row],[2028]],"&gt;0")&gt;0, AVERAGEIF($G77:Klisz_Verbräuche[[#This Row],[2028]],"&lt;&gt;"), ""),IF($B$14&lt;Klisz_Verbräuche[[#Headers],[2029]],IF(COUNTIF($G77:Klisz_Verbräuche[[#This Row],[2028]],"&gt;0")&gt;0,IF(COUNTIF($G77:Klisz_Verbräuche[[#This Row],[2028]],"&gt;0")&gt;0,Klisz_Verbräuche[[#This Row],[2028]]*(1-$F77)^1, ""), ""),IF($B$14&gt;Klisz_Verbräuche[[#Headers],[2029]],Refsz_Verbräuche[[#This Row],[2029]],"")))</f>
        <v/>
      </c>
      <c r="V77" s="49" t="str">
        <f>IF(Klisz_Verbräuche[[#Headers],[2030]]=$B$14,IF(COUNTIF($G77:Klisz_Verbräuche[[#This Row],[2029]],"&gt;0")&gt;0, AVERAGEIF($G77:Klisz_Verbräuche[[#This Row],[2029]],"&lt;&gt;"), ""),IF($B$14&lt;Klisz_Verbräuche[[#Headers],[2030]],IF(COUNTIF($G77:Klisz_Verbräuche[[#This Row],[2029]],"&gt;0")&gt;0,IF(COUNTIF($G77:Klisz_Verbräuche[[#This Row],[2029]],"&gt;0")&gt;0,Klisz_Verbräuche[[#This Row],[2029]]*(1-$F77)^1, ""), ""),IF($B$14&gt;Klisz_Verbräuche[[#Headers],[2030]],Refsz_Verbräuche[[#This Row],[2030]],"")))</f>
        <v/>
      </c>
      <c r="W77" s="49" t="str">
        <f>IF(Klisz_Verbräuche[[#Headers],[2035]]=$B$14,IF(COUNTIF($G77:Klisz_Verbräuche[[#This Row],[2030]],"&gt;0")&gt;0, AVERAGEIF($G77:Klisz_Verbräuche[[#This Row],[2030]],"&lt;&gt;"), ""),IF($B$14&lt;Klisz_Verbräuche[[#Headers],[2035]],IF(COUNTIF($G77:Klisz_Verbräuche[[#This Row],[2030]],"&gt;0")&gt;0,IF(COUNTIF($G77:Klisz_Verbräuche[[#This Row],[2030]],"&gt;0")&gt;0,Klisz_Verbräuche[[#This Row],[2030]]*(1-$F77)^5, ""), ""),IF($B$14&gt;Klisz_Verbräuche[[#Headers],[2035]],Refsz_Verbräuche[[#This Row],[2035]],"")))</f>
        <v/>
      </c>
      <c r="X77" s="49" t="str">
        <f>IF(Klisz_Verbräuche[[#Headers],[2040]]=$B$14,IF(COUNTIF($G77:Klisz_Verbräuche[[#This Row],[2035]],"&gt;0")&gt;0, AVERAGEIF($G77:Klisz_Verbräuche[[#This Row],[2035]],"&lt;&gt;"), ""),IF($B$14&lt;Klisz_Verbräuche[[#Headers],[2040]],IF(COUNTIF($G77:Klisz_Verbräuche[[#This Row],[2035]],"&gt;0")&gt;0,IF(COUNTIF($G77:Klisz_Verbräuche[[#This Row],[2035]],"&gt;0")&gt;0,Klisz_Verbräuche[[#This Row],[2035]]*(1-$F77)^5, ""), ""),IF($B$14&gt;Klisz_Verbräuche[[#Headers],[2040]],Refsz_Verbräuche[[#This Row],[2040]],"")))</f>
        <v/>
      </c>
      <c r="Y77" s="49" t="str">
        <f>IF(Klisz_Verbräuche[[#Headers],[2045]]=$B$14,IF(COUNTIF($G77:Klisz_Verbräuche[[#This Row],[2040]],"&gt;0")&gt;0, AVERAGEIF($G77:Klisz_Verbräuche[[#This Row],[2040]],"&lt;&gt;"), ""),IF($B$14&lt;Klisz_Verbräuche[[#Headers],[2045]],IF(COUNTIF($G77:Klisz_Verbräuche[[#This Row],[2040]],"&gt;0")&gt;0,IF(COUNTIF($G77:Klisz_Verbräuche[[#This Row],[2040]],"&gt;0")&gt;0,Klisz_Verbräuche[[#This Row],[2040]]*(1-$F77)^5, ""), ""),IF($B$14&gt;Klisz_Verbräuche[[#Headers],[2045]],Refsz_Verbräuche[[#This Row],[2045]],"")))</f>
        <v/>
      </c>
      <c r="Z77" s="49" t="str">
        <f>IF(Klisz_Verbräuche[[#Headers],[2050]]=$B$14,IF(COUNTIF($G77:Klisz_Verbräuche[[#This Row],[2045]],"&gt;0")&gt;0, AVERAGEIF($G77:Klisz_Verbräuche[[#This Row],[2045]],"&lt;&gt;"), ""),IF($B$14&lt;Klisz_Verbräuche[[#Headers],[2050]],IF(COUNTIF($G77:Klisz_Verbräuche[[#This Row],[2045]],"&gt;0")&gt;0,IF(COUNTIF($G77:Klisz_Verbräuche[[#This Row],[2045]],"&gt;0")&gt;0,Klisz_Verbräuche[[#This Row],[2045]]*(1-$F77)^5, ""), ""),IF($B$14&gt;Klisz_Verbräuche[[#Headers],[2050]],Refsz_Verbräuche[[#This Row],[2050]],"")))</f>
        <v/>
      </c>
      <c r="AA77" s="14"/>
    </row>
    <row r="78" spans="2:27">
      <c r="B78" s="14">
        <v>61</v>
      </c>
      <c r="C78" s="197" t="str">
        <f>Refsz_Verbräuche[[#This Row],[Handlungsfeld]]</f>
        <v>Mobilität 1</v>
      </c>
      <c r="D78" s="19" t="str">
        <f>Refsz_Verbräuche[[#This Row],[Datenpunkt]]</f>
        <v>Exkursionen - Privater PKW (alle Antriebsarten)</v>
      </c>
      <c r="E78" s="26" t="str">
        <f>Refsz_Verbräuche[[#This Row],[Einheit]]</f>
        <v>Fkm</v>
      </c>
      <c r="F78" s="108"/>
      <c r="G78" s="14" t="str">
        <f>IF(ISBLANK(Refsz_Verbräuche[[#This Row],[2015]]),"",Refsz_Verbräuche[[#This Row],[2015]])</f>
        <v/>
      </c>
      <c r="H78" s="14" t="str">
        <f>IF(ISBLANK(Refsz_Verbräuche[[#This Row],[2016]]),"",Refsz_Verbräuche[[#This Row],[2016]])</f>
        <v/>
      </c>
      <c r="I78" s="14" t="str">
        <f>IF(ISBLANK(Refsz_Verbräuche[[#This Row],[2017]]),"",Refsz_Verbräuche[[#This Row],[2017]])</f>
        <v/>
      </c>
      <c r="J78" s="14" t="str">
        <f>IF(ISBLANK(Refsz_Verbräuche[[#This Row],[2018]]),"",Refsz_Verbräuche[[#This Row],[2018]])</f>
        <v/>
      </c>
      <c r="K78" s="14" t="str">
        <f>IF(ISBLANK(Refsz_Verbräuche[[#This Row],[2019]]),"",Refsz_Verbräuche[[#This Row],[2019]])</f>
        <v/>
      </c>
      <c r="L78" s="14" t="str">
        <f>IF(ISBLANK(Refsz_Verbräuche[[#This Row],[2020]]),"",Refsz_Verbräuche[[#This Row],[2020]])</f>
        <v/>
      </c>
      <c r="M78" s="14" t="str">
        <f>IF(ISBLANK(Refsz_Verbräuche[[#This Row],[2021]]),"",Refsz_Verbräuche[[#This Row],[2021]])</f>
        <v/>
      </c>
      <c r="N78" s="49" t="str">
        <f>IF(Klisz_Verbräuche[[#Headers],[2022]]=$B$14,IF(COUNTIF($G78:Klisz_Verbräuche[[#This Row],[2021]],"&gt;0")&gt;0, AVERAGEIF($G78:Klisz_Verbräuche[[#This Row],[2021]],"&lt;&gt;"), ""),IF($B$14&lt;Klisz_Verbräuche[[#Headers],[2022]],IF(COUNTIF($G78:Klisz_Verbräuche[[#This Row],[2021]],"&gt;0")&gt;0,IF(COUNTIF($G78:Klisz_Verbräuche[[#This Row],[2021]],"&gt;0")&gt;0,Klisz_Verbräuche[[#This Row],[2021]]*(1-$F78)^1, ""), ""),IF($B$14&gt;Klisz_Verbräuche[[#Headers],[2022]],Refsz_Verbräuche[[#This Row],[2022]],"")))</f>
        <v/>
      </c>
      <c r="O78" s="49" t="str">
        <f>IF(Klisz_Verbräuche[[#Headers],[2023]]=$B$14,IF(COUNTIF($G78:Klisz_Verbräuche[[#This Row],[2022]],"&gt;0")&gt;0, AVERAGEIF($G78:Klisz_Verbräuche[[#This Row],[2022]],"&lt;&gt;"), ""),IF($B$14&lt;Klisz_Verbräuche[[#Headers],[2023]],IF(COUNTIF($G78:Klisz_Verbräuche[[#This Row],[2022]],"&gt;0")&gt;0,IF(COUNTIF($G78:Klisz_Verbräuche[[#This Row],[2022]],"&gt;0")&gt;0,Klisz_Verbräuche[[#This Row],[2022]]*(1-$F78)^1, ""), ""),IF($B$14&gt;Klisz_Verbräuche[[#Headers],[2023]],Refsz_Verbräuche[[#This Row],[2023]],"")))</f>
        <v/>
      </c>
      <c r="P78" s="49" t="str">
        <f>IF(Klisz_Verbräuche[[#Headers],[2024]]=$B$14,IF(COUNTIF($G78:Klisz_Verbräuche[[#This Row],[2023]],"&gt;0")&gt;0, AVERAGEIF($G78:Klisz_Verbräuche[[#This Row],[2023]],"&lt;&gt;"), ""),IF($B$14&lt;Klisz_Verbräuche[[#Headers],[2024]],IF(COUNTIF($G78:Klisz_Verbräuche[[#This Row],[2023]],"&gt;0")&gt;0,IF(COUNTIF($G78:Klisz_Verbräuche[[#This Row],[2023]],"&gt;0")&gt;0,Klisz_Verbräuche[[#This Row],[2023]]*(1-$F78)^1, ""), ""),IF($B$14&gt;Klisz_Verbräuche[[#Headers],[2024]],Refsz_Verbräuche[[#This Row],[2024]],"")))</f>
        <v/>
      </c>
      <c r="Q78" s="49" t="str">
        <f>IF(Klisz_Verbräuche[[#Headers],[2025]]=$B$14,IF(COUNTIF($G78:Klisz_Verbräuche[[#This Row],[2024]],"&gt;0")&gt;0, AVERAGEIF($G78:Klisz_Verbräuche[[#This Row],[2024]],"&lt;&gt;"), ""),IF($B$14&lt;Klisz_Verbräuche[[#Headers],[2025]],IF(COUNTIF($G78:Klisz_Verbräuche[[#This Row],[2024]],"&gt;0")&gt;0,IF(COUNTIF($G78:Klisz_Verbräuche[[#This Row],[2024]],"&gt;0")&gt;0,Klisz_Verbräuche[[#This Row],[2024]]*(1-$F78)^1, ""), ""),IF($B$14&gt;Klisz_Verbräuche[[#Headers],[2025]],Refsz_Verbräuche[[#This Row],[2025]],"")))</f>
        <v/>
      </c>
      <c r="R78" s="49" t="str">
        <f>IF(Klisz_Verbräuche[[#Headers],[2026]]=$B$14,IF(COUNTIF($G78:Klisz_Verbräuche[[#This Row],[2025]],"&gt;0")&gt;0, AVERAGEIF($G78:Klisz_Verbräuche[[#This Row],[2025]],"&lt;&gt;"), ""),IF($B$14&lt;Klisz_Verbräuche[[#Headers],[2026]],IF(COUNTIF($G78:Klisz_Verbräuche[[#This Row],[2025]],"&gt;0")&gt;0,IF(COUNTIF($G78:Klisz_Verbräuche[[#This Row],[2025]],"&gt;0")&gt;0,Klisz_Verbräuche[[#This Row],[2025]]*(1-$F78)^1, ""), ""),IF($B$14&gt;Klisz_Verbräuche[[#Headers],[2026]],Refsz_Verbräuche[[#This Row],[2026]],"")))</f>
        <v/>
      </c>
      <c r="S78" s="49" t="str">
        <f>IF(Klisz_Verbräuche[[#Headers],[2027]]=$B$14,IF(COUNTIF($G78:Klisz_Verbräuche[[#This Row],[2026]],"&gt;0")&gt;0, AVERAGEIF($G78:Klisz_Verbräuche[[#This Row],[2026]],"&lt;&gt;"), ""),IF($B$14&lt;Klisz_Verbräuche[[#Headers],[2027]],IF(COUNTIF($G78:Klisz_Verbräuche[[#This Row],[2026]],"&gt;0")&gt;0,IF(COUNTIF($G78:Klisz_Verbräuche[[#This Row],[2026]],"&gt;0")&gt;0,Klisz_Verbräuche[[#This Row],[2026]]*(1-$F78)^1, ""), ""),IF($B$14&gt;Klisz_Verbräuche[[#Headers],[2027]],Refsz_Verbräuche[[#This Row],[2027]],"")))</f>
        <v/>
      </c>
      <c r="T78" s="49" t="str">
        <f>IF(Klisz_Verbräuche[[#Headers],[2028]]=$B$14,IF(COUNTIF($G78:Klisz_Verbräuche[[#This Row],[2027]],"&gt;0")&gt;0, AVERAGEIF($G78:Klisz_Verbräuche[[#This Row],[2027]],"&lt;&gt;"), ""),IF($B$14&lt;Klisz_Verbräuche[[#Headers],[2028]],IF(COUNTIF($G78:Klisz_Verbräuche[[#This Row],[2027]],"&gt;0")&gt;0,IF(COUNTIF($G78:Klisz_Verbräuche[[#This Row],[2027]],"&gt;0")&gt;0,Klisz_Verbräuche[[#This Row],[2027]]*(1-$F78)^1, ""), ""),IF($B$14&gt;Klisz_Verbräuche[[#Headers],[2028]],Refsz_Verbräuche[[#This Row],[2028]],"")))</f>
        <v/>
      </c>
      <c r="U78" s="49" t="str">
        <f>IF(Klisz_Verbräuche[[#Headers],[2029]]=$B$14,IF(COUNTIF($G78:Klisz_Verbräuche[[#This Row],[2028]],"&gt;0")&gt;0, AVERAGEIF($G78:Klisz_Verbräuche[[#This Row],[2028]],"&lt;&gt;"), ""),IF($B$14&lt;Klisz_Verbräuche[[#Headers],[2029]],IF(COUNTIF($G78:Klisz_Verbräuche[[#This Row],[2028]],"&gt;0")&gt;0,IF(COUNTIF($G78:Klisz_Verbräuche[[#This Row],[2028]],"&gt;0")&gt;0,Klisz_Verbräuche[[#This Row],[2028]]*(1-$F78)^1, ""), ""),IF($B$14&gt;Klisz_Verbräuche[[#Headers],[2029]],Refsz_Verbräuche[[#This Row],[2029]],"")))</f>
        <v/>
      </c>
      <c r="V78" s="49" t="str">
        <f>IF(Klisz_Verbräuche[[#Headers],[2030]]=$B$14,IF(COUNTIF($G78:Klisz_Verbräuche[[#This Row],[2029]],"&gt;0")&gt;0, AVERAGEIF($G78:Klisz_Verbräuche[[#This Row],[2029]],"&lt;&gt;"), ""),IF($B$14&lt;Klisz_Verbräuche[[#Headers],[2030]],IF(COUNTIF($G78:Klisz_Verbräuche[[#This Row],[2029]],"&gt;0")&gt;0,IF(COUNTIF($G78:Klisz_Verbräuche[[#This Row],[2029]],"&gt;0")&gt;0,Klisz_Verbräuche[[#This Row],[2029]]*(1-$F78)^1, ""), ""),IF($B$14&gt;Klisz_Verbräuche[[#Headers],[2030]],Refsz_Verbräuche[[#This Row],[2030]],"")))</f>
        <v/>
      </c>
      <c r="W78" s="49" t="str">
        <f>IF(Klisz_Verbräuche[[#Headers],[2035]]=$B$14,IF(COUNTIF($G78:Klisz_Verbräuche[[#This Row],[2030]],"&gt;0")&gt;0, AVERAGEIF($G78:Klisz_Verbräuche[[#This Row],[2030]],"&lt;&gt;"), ""),IF($B$14&lt;Klisz_Verbräuche[[#Headers],[2035]],IF(COUNTIF($G78:Klisz_Verbräuche[[#This Row],[2030]],"&gt;0")&gt;0,IF(COUNTIF($G78:Klisz_Verbräuche[[#This Row],[2030]],"&gt;0")&gt;0,Klisz_Verbräuche[[#This Row],[2030]]*(1-$F78)^5, ""), ""),IF($B$14&gt;Klisz_Verbräuche[[#Headers],[2035]],Refsz_Verbräuche[[#This Row],[2035]],"")))</f>
        <v/>
      </c>
      <c r="X78" s="49" t="str">
        <f>IF(Klisz_Verbräuche[[#Headers],[2040]]=$B$14,IF(COUNTIF($G78:Klisz_Verbräuche[[#This Row],[2035]],"&gt;0")&gt;0, AVERAGEIF($G78:Klisz_Verbräuche[[#This Row],[2035]],"&lt;&gt;"), ""),IF($B$14&lt;Klisz_Verbräuche[[#Headers],[2040]],IF(COUNTIF($G78:Klisz_Verbräuche[[#This Row],[2035]],"&gt;0")&gt;0,IF(COUNTIF($G78:Klisz_Verbräuche[[#This Row],[2035]],"&gt;0")&gt;0,Klisz_Verbräuche[[#This Row],[2035]]*(1-$F78)^5, ""), ""),IF($B$14&gt;Klisz_Verbräuche[[#Headers],[2040]],Refsz_Verbräuche[[#This Row],[2040]],"")))</f>
        <v/>
      </c>
      <c r="Y78" s="49" t="str">
        <f>IF(Klisz_Verbräuche[[#Headers],[2045]]=$B$14,IF(COUNTIF($G78:Klisz_Verbräuche[[#This Row],[2040]],"&gt;0")&gt;0, AVERAGEIF($G78:Klisz_Verbräuche[[#This Row],[2040]],"&lt;&gt;"), ""),IF($B$14&lt;Klisz_Verbräuche[[#Headers],[2045]],IF(COUNTIF($G78:Klisz_Verbräuche[[#This Row],[2040]],"&gt;0")&gt;0,IF(COUNTIF($G78:Klisz_Verbräuche[[#This Row],[2040]],"&gt;0")&gt;0,Klisz_Verbräuche[[#This Row],[2040]]*(1-$F78)^5, ""), ""),IF($B$14&gt;Klisz_Verbräuche[[#Headers],[2045]],Refsz_Verbräuche[[#This Row],[2045]],"")))</f>
        <v/>
      </c>
      <c r="Z78" s="49" t="str">
        <f>IF(Klisz_Verbräuche[[#Headers],[2050]]=$B$14,IF(COUNTIF($G78:Klisz_Verbräuche[[#This Row],[2045]],"&gt;0")&gt;0, AVERAGEIF($G78:Klisz_Verbräuche[[#This Row],[2045]],"&lt;&gt;"), ""),IF($B$14&lt;Klisz_Verbräuche[[#Headers],[2050]],IF(COUNTIF($G78:Klisz_Verbräuche[[#This Row],[2045]],"&gt;0")&gt;0,IF(COUNTIF($G78:Klisz_Verbräuche[[#This Row],[2045]],"&gt;0")&gt;0,Klisz_Verbräuche[[#This Row],[2045]]*(1-$F78)^5, ""), ""),IF($B$14&gt;Klisz_Verbräuche[[#Headers],[2050]],Refsz_Verbräuche[[#This Row],[2050]],"")))</f>
        <v/>
      </c>
      <c r="AA78" s="14"/>
    </row>
    <row r="79" spans="2:27">
      <c r="B79" s="14">
        <v>62</v>
      </c>
      <c r="C79" s="197">
        <f>Refsz_Verbräuche[[#This Row],[Handlungsfeld]]</f>
        <v>0</v>
      </c>
      <c r="D79" s="19">
        <f>Refsz_Verbräuche[[#This Row],[Datenpunkt]]</f>
        <v>0</v>
      </c>
      <c r="E79" s="26">
        <f>Refsz_Verbräuche[[#This Row],[Einheit]]</f>
        <v>0</v>
      </c>
      <c r="F79" s="108"/>
      <c r="G79" s="14" t="str">
        <f>IF(ISBLANK(Refsz_Verbräuche[[#This Row],[2015]]),"",Refsz_Verbräuche[[#This Row],[2015]])</f>
        <v/>
      </c>
      <c r="H79" s="14" t="str">
        <f>IF(ISBLANK(Refsz_Verbräuche[[#This Row],[2016]]),"",Refsz_Verbräuche[[#This Row],[2016]])</f>
        <v/>
      </c>
      <c r="I79" s="14" t="str">
        <f>IF(ISBLANK(Refsz_Verbräuche[[#This Row],[2017]]),"",Refsz_Verbräuche[[#This Row],[2017]])</f>
        <v/>
      </c>
      <c r="J79" s="14" t="str">
        <f>IF(ISBLANK(Refsz_Verbräuche[[#This Row],[2018]]),"",Refsz_Verbräuche[[#This Row],[2018]])</f>
        <v/>
      </c>
      <c r="K79" s="14" t="str">
        <f>IF(ISBLANK(Refsz_Verbräuche[[#This Row],[2019]]),"",Refsz_Verbräuche[[#This Row],[2019]])</f>
        <v/>
      </c>
      <c r="L79" s="14" t="str">
        <f>IF(ISBLANK(Refsz_Verbräuche[[#This Row],[2020]]),"",Refsz_Verbräuche[[#This Row],[2020]])</f>
        <v/>
      </c>
      <c r="M79" s="14" t="str">
        <f>IF(ISBLANK(Refsz_Verbräuche[[#This Row],[2021]]),"",Refsz_Verbräuche[[#This Row],[2021]])</f>
        <v/>
      </c>
      <c r="N79" s="49" t="str">
        <f>IF(Klisz_Verbräuche[[#Headers],[2022]]=$B$14,IF(COUNTIF($G79:Klisz_Verbräuche[[#This Row],[2021]],"&gt;0")&gt;0, AVERAGEIF($G79:Klisz_Verbräuche[[#This Row],[2021]],"&lt;&gt;"), ""),IF($B$14&lt;Klisz_Verbräuche[[#Headers],[2022]],IF(COUNTIF($G79:Klisz_Verbräuche[[#This Row],[2021]],"&gt;0")&gt;0,IF(COUNTIF($G79:Klisz_Verbräuche[[#This Row],[2021]],"&gt;0")&gt;0,Klisz_Verbräuche[[#This Row],[2021]]*(1-$F79)^1, ""), ""),IF($B$14&gt;Klisz_Verbräuche[[#Headers],[2022]],Refsz_Verbräuche[[#This Row],[2022]],"")))</f>
        <v/>
      </c>
      <c r="O79" s="49" t="str">
        <f>IF(Klisz_Verbräuche[[#Headers],[2023]]=$B$14,IF(COUNTIF($G79:Klisz_Verbräuche[[#This Row],[2022]],"&gt;0")&gt;0, AVERAGEIF($G79:Klisz_Verbräuche[[#This Row],[2022]],"&lt;&gt;"), ""),IF($B$14&lt;Klisz_Verbräuche[[#Headers],[2023]],IF(COUNTIF($G79:Klisz_Verbräuche[[#This Row],[2022]],"&gt;0")&gt;0,IF(COUNTIF($G79:Klisz_Verbräuche[[#This Row],[2022]],"&gt;0")&gt;0,Klisz_Verbräuche[[#This Row],[2022]]*(1-$F79)^1, ""), ""),IF($B$14&gt;Klisz_Verbräuche[[#Headers],[2023]],Refsz_Verbräuche[[#This Row],[2023]],"")))</f>
        <v/>
      </c>
      <c r="P79" s="49" t="str">
        <f>IF(Klisz_Verbräuche[[#Headers],[2024]]=$B$14,IF(COUNTIF($G79:Klisz_Verbräuche[[#This Row],[2023]],"&gt;0")&gt;0, AVERAGEIF($G79:Klisz_Verbräuche[[#This Row],[2023]],"&lt;&gt;"), ""),IF($B$14&lt;Klisz_Verbräuche[[#Headers],[2024]],IF(COUNTIF($G79:Klisz_Verbräuche[[#This Row],[2023]],"&gt;0")&gt;0,IF(COUNTIF($G79:Klisz_Verbräuche[[#This Row],[2023]],"&gt;0")&gt;0,Klisz_Verbräuche[[#This Row],[2023]]*(1-$F79)^1, ""), ""),IF($B$14&gt;Klisz_Verbräuche[[#Headers],[2024]],Refsz_Verbräuche[[#This Row],[2024]],"")))</f>
        <v/>
      </c>
      <c r="Q79" s="49" t="str">
        <f>IF(Klisz_Verbräuche[[#Headers],[2025]]=$B$14,IF(COUNTIF($G79:Klisz_Verbräuche[[#This Row],[2024]],"&gt;0")&gt;0, AVERAGEIF($G79:Klisz_Verbräuche[[#This Row],[2024]],"&lt;&gt;"), ""),IF($B$14&lt;Klisz_Verbräuche[[#Headers],[2025]],IF(COUNTIF($G79:Klisz_Verbräuche[[#This Row],[2024]],"&gt;0")&gt;0,IF(COUNTIF($G79:Klisz_Verbräuche[[#This Row],[2024]],"&gt;0")&gt;0,Klisz_Verbräuche[[#This Row],[2024]]*(1-$F79)^1, ""), ""),IF($B$14&gt;Klisz_Verbräuche[[#Headers],[2025]],Refsz_Verbräuche[[#This Row],[2025]],"")))</f>
        <v/>
      </c>
      <c r="R79" s="49" t="str">
        <f>IF(Klisz_Verbräuche[[#Headers],[2026]]=$B$14,IF(COUNTIF($G79:Klisz_Verbräuche[[#This Row],[2025]],"&gt;0")&gt;0, AVERAGEIF($G79:Klisz_Verbräuche[[#This Row],[2025]],"&lt;&gt;"), ""),IF($B$14&lt;Klisz_Verbräuche[[#Headers],[2026]],IF(COUNTIF($G79:Klisz_Verbräuche[[#This Row],[2025]],"&gt;0")&gt;0,IF(COUNTIF($G79:Klisz_Verbräuche[[#This Row],[2025]],"&gt;0")&gt;0,Klisz_Verbräuche[[#This Row],[2025]]*(1-$F79)^1, ""), ""),IF($B$14&gt;Klisz_Verbräuche[[#Headers],[2026]],Refsz_Verbräuche[[#This Row],[2026]],"")))</f>
        <v/>
      </c>
      <c r="S79" s="49" t="str">
        <f>IF(Klisz_Verbräuche[[#Headers],[2027]]=$B$14,IF(COUNTIF($G79:Klisz_Verbräuche[[#This Row],[2026]],"&gt;0")&gt;0, AVERAGEIF($G79:Klisz_Verbräuche[[#This Row],[2026]],"&lt;&gt;"), ""),IF($B$14&lt;Klisz_Verbräuche[[#Headers],[2027]],IF(COUNTIF($G79:Klisz_Verbräuche[[#This Row],[2026]],"&gt;0")&gt;0,IF(COUNTIF($G79:Klisz_Verbräuche[[#This Row],[2026]],"&gt;0")&gt;0,Klisz_Verbräuche[[#This Row],[2026]]*(1-$F79)^1, ""), ""),IF($B$14&gt;Klisz_Verbräuche[[#Headers],[2027]],Refsz_Verbräuche[[#This Row],[2027]],"")))</f>
        <v/>
      </c>
      <c r="T79" s="49" t="str">
        <f>IF(Klisz_Verbräuche[[#Headers],[2028]]=$B$14,IF(COUNTIF($G79:Klisz_Verbräuche[[#This Row],[2027]],"&gt;0")&gt;0, AVERAGEIF($G79:Klisz_Verbräuche[[#This Row],[2027]],"&lt;&gt;"), ""),IF($B$14&lt;Klisz_Verbräuche[[#Headers],[2028]],IF(COUNTIF($G79:Klisz_Verbräuche[[#This Row],[2027]],"&gt;0")&gt;0,IF(COUNTIF($G79:Klisz_Verbräuche[[#This Row],[2027]],"&gt;0")&gt;0,Klisz_Verbräuche[[#This Row],[2027]]*(1-$F79)^1, ""), ""),IF($B$14&gt;Klisz_Verbräuche[[#Headers],[2028]],Refsz_Verbräuche[[#This Row],[2028]],"")))</f>
        <v/>
      </c>
      <c r="U79" s="49" t="str">
        <f>IF(Klisz_Verbräuche[[#Headers],[2029]]=$B$14,IF(COUNTIF($G79:Klisz_Verbräuche[[#This Row],[2028]],"&gt;0")&gt;0, AVERAGEIF($G79:Klisz_Verbräuche[[#This Row],[2028]],"&lt;&gt;"), ""),IF($B$14&lt;Klisz_Verbräuche[[#Headers],[2029]],IF(COUNTIF($G79:Klisz_Verbräuche[[#This Row],[2028]],"&gt;0")&gt;0,IF(COUNTIF($G79:Klisz_Verbräuche[[#This Row],[2028]],"&gt;0")&gt;0,Klisz_Verbräuche[[#This Row],[2028]]*(1-$F79)^1, ""), ""),IF($B$14&gt;Klisz_Verbräuche[[#Headers],[2029]],Refsz_Verbräuche[[#This Row],[2029]],"")))</f>
        <v/>
      </c>
      <c r="V79" s="49" t="str">
        <f>IF(Klisz_Verbräuche[[#Headers],[2030]]=$B$14,IF(COUNTIF($G79:Klisz_Verbräuche[[#This Row],[2029]],"&gt;0")&gt;0, AVERAGEIF($G79:Klisz_Verbräuche[[#This Row],[2029]],"&lt;&gt;"), ""),IF($B$14&lt;Klisz_Verbräuche[[#Headers],[2030]],IF(COUNTIF($G79:Klisz_Verbräuche[[#This Row],[2029]],"&gt;0")&gt;0,IF(COUNTIF($G79:Klisz_Verbräuche[[#This Row],[2029]],"&gt;0")&gt;0,Klisz_Verbräuche[[#This Row],[2029]]*(1-$F79)^1, ""), ""),IF($B$14&gt;Klisz_Verbräuche[[#Headers],[2030]],Refsz_Verbräuche[[#This Row],[2030]],"")))</f>
        <v/>
      </c>
      <c r="W79" s="49" t="str">
        <f>IF(Klisz_Verbräuche[[#Headers],[2035]]=$B$14,IF(COUNTIF($G79:Klisz_Verbräuche[[#This Row],[2030]],"&gt;0")&gt;0, AVERAGEIF($G79:Klisz_Verbräuche[[#This Row],[2030]],"&lt;&gt;"), ""),IF($B$14&lt;Klisz_Verbräuche[[#Headers],[2035]],IF(COUNTIF($G79:Klisz_Verbräuche[[#This Row],[2030]],"&gt;0")&gt;0,IF(COUNTIF($G79:Klisz_Verbräuche[[#This Row],[2030]],"&gt;0")&gt;0,Klisz_Verbräuche[[#This Row],[2030]]*(1-$F79)^5, ""), ""),IF($B$14&gt;Klisz_Verbräuche[[#Headers],[2035]],Refsz_Verbräuche[[#This Row],[2035]],"")))</f>
        <v/>
      </c>
      <c r="X79" s="49" t="str">
        <f>IF(Klisz_Verbräuche[[#Headers],[2040]]=$B$14,IF(COUNTIF($G79:Klisz_Verbräuche[[#This Row],[2035]],"&gt;0")&gt;0, AVERAGEIF($G79:Klisz_Verbräuche[[#This Row],[2035]],"&lt;&gt;"), ""),IF($B$14&lt;Klisz_Verbräuche[[#Headers],[2040]],IF(COUNTIF($G79:Klisz_Verbräuche[[#This Row],[2035]],"&gt;0")&gt;0,IF(COUNTIF($G79:Klisz_Verbräuche[[#This Row],[2035]],"&gt;0")&gt;0,Klisz_Verbräuche[[#This Row],[2035]]*(1-$F79)^5, ""), ""),IF($B$14&gt;Klisz_Verbräuche[[#Headers],[2040]],Refsz_Verbräuche[[#This Row],[2040]],"")))</f>
        <v/>
      </c>
      <c r="Y79" s="49" t="str">
        <f>IF(Klisz_Verbräuche[[#Headers],[2045]]=$B$14,IF(COUNTIF($G79:Klisz_Verbräuche[[#This Row],[2040]],"&gt;0")&gt;0, AVERAGEIF($G79:Klisz_Verbräuche[[#This Row],[2040]],"&lt;&gt;"), ""),IF($B$14&lt;Klisz_Verbräuche[[#Headers],[2045]],IF(COUNTIF($G79:Klisz_Verbräuche[[#This Row],[2040]],"&gt;0")&gt;0,IF(COUNTIF($G79:Klisz_Verbräuche[[#This Row],[2040]],"&gt;0")&gt;0,Klisz_Verbräuche[[#This Row],[2040]]*(1-$F79)^5, ""), ""),IF($B$14&gt;Klisz_Verbräuche[[#Headers],[2045]],Refsz_Verbräuche[[#This Row],[2045]],"")))</f>
        <v/>
      </c>
      <c r="Z79" s="49" t="str">
        <f>IF(Klisz_Verbräuche[[#Headers],[2050]]=$B$14,IF(COUNTIF($G79:Klisz_Verbräuche[[#This Row],[2045]],"&gt;0")&gt;0, AVERAGEIF($G79:Klisz_Verbräuche[[#This Row],[2045]],"&lt;&gt;"), ""),IF($B$14&lt;Klisz_Verbräuche[[#Headers],[2050]],IF(COUNTIF($G79:Klisz_Verbräuche[[#This Row],[2045]],"&gt;0")&gt;0,IF(COUNTIF($G79:Klisz_Verbräuche[[#This Row],[2045]],"&gt;0")&gt;0,Klisz_Verbräuche[[#This Row],[2045]]*(1-$F79)^5, ""), ""),IF($B$14&gt;Klisz_Verbräuche[[#Headers],[2050]],Refsz_Verbräuche[[#This Row],[2050]],"")))</f>
        <v/>
      </c>
      <c r="AA79" s="14"/>
    </row>
    <row r="80" spans="2:27">
      <c r="B80" s="14">
        <v>63</v>
      </c>
      <c r="C80" s="197" t="str">
        <f>Refsz_Verbräuche[[#This Row],[Handlungsfeld]]</f>
        <v>Mobilität 2</v>
      </c>
      <c r="D80" s="19" t="str">
        <f>Refsz_Verbräuche[[#This Row],[Datenpunkt]]</f>
        <v>Pendeln - Eisenbahn (Fernverkehr)</v>
      </c>
      <c r="E80" s="26" t="str">
        <f>Refsz_Verbräuche[[#This Row],[Einheit]]</f>
        <v>Pkm</v>
      </c>
      <c r="F80" s="108"/>
      <c r="G80" s="14" t="str">
        <f>IF(ISBLANK(Refsz_Verbräuche[[#This Row],[2015]]),"",Refsz_Verbräuche[[#This Row],[2015]])</f>
        <v/>
      </c>
      <c r="H80" s="14" t="str">
        <f>IF(ISBLANK(Refsz_Verbräuche[[#This Row],[2016]]),"",Refsz_Verbräuche[[#This Row],[2016]])</f>
        <v/>
      </c>
      <c r="I80" s="14" t="str">
        <f>IF(ISBLANK(Refsz_Verbräuche[[#This Row],[2017]]),"",Refsz_Verbräuche[[#This Row],[2017]])</f>
        <v/>
      </c>
      <c r="J80" s="14" t="str">
        <f>IF(ISBLANK(Refsz_Verbräuche[[#This Row],[2018]]),"",Refsz_Verbräuche[[#This Row],[2018]])</f>
        <v/>
      </c>
      <c r="K80" s="14" t="str">
        <f>IF(ISBLANK(Refsz_Verbräuche[[#This Row],[2019]]),"",Refsz_Verbräuche[[#This Row],[2019]])</f>
        <v/>
      </c>
      <c r="L80" s="14" t="str">
        <f>IF(ISBLANK(Refsz_Verbräuche[[#This Row],[2020]]),"",Refsz_Verbräuche[[#This Row],[2020]])</f>
        <v/>
      </c>
      <c r="M80" s="14" t="str">
        <f>IF(ISBLANK(Refsz_Verbräuche[[#This Row],[2021]]),"",Refsz_Verbräuche[[#This Row],[2021]])</f>
        <v/>
      </c>
      <c r="N80" s="49" t="str">
        <f>IF(Klisz_Verbräuche[[#Headers],[2022]]=$B$14,IF(COUNTIF($G80:Klisz_Verbräuche[[#This Row],[2021]],"&gt;0")&gt;0, AVERAGEIF($G80:Klisz_Verbräuche[[#This Row],[2021]],"&lt;&gt;"), ""),IF($B$14&lt;Klisz_Verbräuche[[#Headers],[2022]],IF(COUNTIF($G80:Klisz_Verbräuche[[#This Row],[2021]],"&gt;0")&gt;0,IF(COUNTIF($G80:Klisz_Verbräuche[[#This Row],[2021]],"&gt;0")&gt;0,Klisz_Verbräuche[[#This Row],[2021]]*(1-$F80)^1, ""), ""),IF($B$14&gt;Klisz_Verbräuche[[#Headers],[2022]],Refsz_Verbräuche[[#This Row],[2022]],"")))</f>
        <v/>
      </c>
      <c r="O80" s="49" t="str">
        <f>IF(Klisz_Verbräuche[[#Headers],[2023]]=$B$14,IF(COUNTIF($G80:Klisz_Verbräuche[[#This Row],[2022]],"&gt;0")&gt;0, AVERAGEIF($G80:Klisz_Verbräuche[[#This Row],[2022]],"&lt;&gt;"), ""),IF($B$14&lt;Klisz_Verbräuche[[#Headers],[2023]],IF(COUNTIF($G80:Klisz_Verbräuche[[#This Row],[2022]],"&gt;0")&gt;0,IF(COUNTIF($G80:Klisz_Verbräuche[[#This Row],[2022]],"&gt;0")&gt;0,Klisz_Verbräuche[[#This Row],[2022]]*(1-$F80)^1, ""), ""),IF($B$14&gt;Klisz_Verbräuche[[#Headers],[2023]],Refsz_Verbräuche[[#This Row],[2023]],"")))</f>
        <v/>
      </c>
      <c r="P80" s="49" t="str">
        <f>IF(Klisz_Verbräuche[[#Headers],[2024]]=$B$14,IF(COUNTIF($G80:Klisz_Verbräuche[[#This Row],[2023]],"&gt;0")&gt;0, AVERAGEIF($G80:Klisz_Verbräuche[[#This Row],[2023]],"&lt;&gt;"), ""),IF($B$14&lt;Klisz_Verbräuche[[#Headers],[2024]],IF(COUNTIF($G80:Klisz_Verbräuche[[#This Row],[2023]],"&gt;0")&gt;0,IF(COUNTIF($G80:Klisz_Verbräuche[[#This Row],[2023]],"&gt;0")&gt;0,Klisz_Verbräuche[[#This Row],[2023]]*(1-$F80)^1, ""), ""),IF($B$14&gt;Klisz_Verbräuche[[#Headers],[2024]],Refsz_Verbräuche[[#This Row],[2024]],"")))</f>
        <v/>
      </c>
      <c r="Q80" s="49" t="str">
        <f>IF(Klisz_Verbräuche[[#Headers],[2025]]=$B$14,IF(COUNTIF($G80:Klisz_Verbräuche[[#This Row],[2024]],"&gt;0")&gt;0, AVERAGEIF($G80:Klisz_Verbräuche[[#This Row],[2024]],"&lt;&gt;"), ""),IF($B$14&lt;Klisz_Verbräuche[[#Headers],[2025]],IF(COUNTIF($G80:Klisz_Verbräuche[[#This Row],[2024]],"&gt;0")&gt;0,IF(COUNTIF($G80:Klisz_Verbräuche[[#This Row],[2024]],"&gt;0")&gt;0,Klisz_Verbräuche[[#This Row],[2024]]*(1-$F80)^1, ""), ""),IF($B$14&gt;Klisz_Verbräuche[[#Headers],[2025]],Refsz_Verbräuche[[#This Row],[2025]],"")))</f>
        <v/>
      </c>
      <c r="R80" s="49" t="str">
        <f>IF(Klisz_Verbräuche[[#Headers],[2026]]=$B$14,IF(COUNTIF($G80:Klisz_Verbräuche[[#This Row],[2025]],"&gt;0")&gt;0, AVERAGEIF($G80:Klisz_Verbräuche[[#This Row],[2025]],"&lt;&gt;"), ""),IF($B$14&lt;Klisz_Verbräuche[[#Headers],[2026]],IF(COUNTIF($G80:Klisz_Verbräuche[[#This Row],[2025]],"&gt;0")&gt;0,IF(COUNTIF($G80:Klisz_Verbräuche[[#This Row],[2025]],"&gt;0")&gt;0,Klisz_Verbräuche[[#This Row],[2025]]*(1-$F80)^1, ""), ""),IF($B$14&gt;Klisz_Verbräuche[[#Headers],[2026]],Refsz_Verbräuche[[#This Row],[2026]],"")))</f>
        <v/>
      </c>
      <c r="S80" s="49" t="str">
        <f>IF(Klisz_Verbräuche[[#Headers],[2027]]=$B$14,IF(COUNTIF($G80:Klisz_Verbräuche[[#This Row],[2026]],"&gt;0")&gt;0, AVERAGEIF($G80:Klisz_Verbräuche[[#This Row],[2026]],"&lt;&gt;"), ""),IF($B$14&lt;Klisz_Verbräuche[[#Headers],[2027]],IF(COUNTIF($G80:Klisz_Verbräuche[[#This Row],[2026]],"&gt;0")&gt;0,IF(COUNTIF($G80:Klisz_Verbräuche[[#This Row],[2026]],"&gt;0")&gt;0,Klisz_Verbräuche[[#This Row],[2026]]*(1-$F80)^1, ""), ""),IF($B$14&gt;Klisz_Verbräuche[[#Headers],[2027]],Refsz_Verbräuche[[#This Row],[2027]],"")))</f>
        <v/>
      </c>
      <c r="T80" s="49" t="str">
        <f>IF(Klisz_Verbräuche[[#Headers],[2028]]=$B$14,IF(COUNTIF($G80:Klisz_Verbräuche[[#This Row],[2027]],"&gt;0")&gt;0, AVERAGEIF($G80:Klisz_Verbräuche[[#This Row],[2027]],"&lt;&gt;"), ""),IF($B$14&lt;Klisz_Verbräuche[[#Headers],[2028]],IF(COUNTIF($G80:Klisz_Verbräuche[[#This Row],[2027]],"&gt;0")&gt;0,IF(COUNTIF($G80:Klisz_Verbräuche[[#This Row],[2027]],"&gt;0")&gt;0,Klisz_Verbräuche[[#This Row],[2027]]*(1-$F80)^1, ""), ""),IF($B$14&gt;Klisz_Verbräuche[[#Headers],[2028]],Refsz_Verbräuche[[#This Row],[2028]],"")))</f>
        <v/>
      </c>
      <c r="U80" s="49" t="str">
        <f>IF(Klisz_Verbräuche[[#Headers],[2029]]=$B$14,IF(COUNTIF($G80:Klisz_Verbräuche[[#This Row],[2028]],"&gt;0")&gt;0, AVERAGEIF($G80:Klisz_Verbräuche[[#This Row],[2028]],"&lt;&gt;"), ""),IF($B$14&lt;Klisz_Verbräuche[[#Headers],[2029]],IF(COUNTIF($G80:Klisz_Verbräuche[[#This Row],[2028]],"&gt;0")&gt;0,IF(COUNTIF($G80:Klisz_Verbräuche[[#This Row],[2028]],"&gt;0")&gt;0,Klisz_Verbräuche[[#This Row],[2028]]*(1-$F80)^1, ""), ""),IF($B$14&gt;Klisz_Verbräuche[[#Headers],[2029]],Refsz_Verbräuche[[#This Row],[2029]],"")))</f>
        <v/>
      </c>
      <c r="V80" s="49" t="str">
        <f>IF(Klisz_Verbräuche[[#Headers],[2030]]=$B$14,IF(COUNTIF($G80:Klisz_Verbräuche[[#This Row],[2029]],"&gt;0")&gt;0, AVERAGEIF($G80:Klisz_Verbräuche[[#This Row],[2029]],"&lt;&gt;"), ""),IF($B$14&lt;Klisz_Verbräuche[[#Headers],[2030]],IF(COUNTIF($G80:Klisz_Verbräuche[[#This Row],[2029]],"&gt;0")&gt;0,IF(COUNTIF($G80:Klisz_Verbräuche[[#This Row],[2029]],"&gt;0")&gt;0,Klisz_Verbräuche[[#This Row],[2029]]*(1-$F80)^1, ""), ""),IF($B$14&gt;Klisz_Verbräuche[[#Headers],[2030]],Refsz_Verbräuche[[#This Row],[2030]],"")))</f>
        <v/>
      </c>
      <c r="W80" s="49" t="str">
        <f>IF(Klisz_Verbräuche[[#Headers],[2035]]=$B$14,IF(COUNTIF($G80:Klisz_Verbräuche[[#This Row],[2030]],"&gt;0")&gt;0, AVERAGEIF($G80:Klisz_Verbräuche[[#This Row],[2030]],"&lt;&gt;"), ""),IF($B$14&lt;Klisz_Verbräuche[[#Headers],[2035]],IF(COUNTIF($G80:Klisz_Verbräuche[[#This Row],[2030]],"&gt;0")&gt;0,IF(COUNTIF($G80:Klisz_Verbräuche[[#This Row],[2030]],"&gt;0")&gt;0,Klisz_Verbräuche[[#This Row],[2030]]*(1-$F80)^5, ""), ""),IF($B$14&gt;Klisz_Verbräuche[[#Headers],[2035]],Refsz_Verbräuche[[#This Row],[2035]],"")))</f>
        <v/>
      </c>
      <c r="X80" s="49" t="str">
        <f>IF(Klisz_Verbräuche[[#Headers],[2040]]=$B$14,IF(COUNTIF($G80:Klisz_Verbräuche[[#This Row],[2035]],"&gt;0")&gt;0, AVERAGEIF($G80:Klisz_Verbräuche[[#This Row],[2035]],"&lt;&gt;"), ""),IF($B$14&lt;Klisz_Verbräuche[[#Headers],[2040]],IF(COUNTIF($G80:Klisz_Verbräuche[[#This Row],[2035]],"&gt;0")&gt;0,IF(COUNTIF($G80:Klisz_Verbräuche[[#This Row],[2035]],"&gt;0")&gt;0,Klisz_Verbräuche[[#This Row],[2035]]*(1-$F80)^5, ""), ""),IF($B$14&gt;Klisz_Verbräuche[[#Headers],[2040]],Refsz_Verbräuche[[#This Row],[2040]],"")))</f>
        <v/>
      </c>
      <c r="Y80" s="49" t="str">
        <f>IF(Klisz_Verbräuche[[#Headers],[2045]]=$B$14,IF(COUNTIF($G80:Klisz_Verbräuche[[#This Row],[2040]],"&gt;0")&gt;0, AVERAGEIF($G80:Klisz_Verbräuche[[#This Row],[2040]],"&lt;&gt;"), ""),IF($B$14&lt;Klisz_Verbräuche[[#Headers],[2045]],IF(COUNTIF($G80:Klisz_Verbräuche[[#This Row],[2040]],"&gt;0")&gt;0,IF(COUNTIF($G80:Klisz_Verbräuche[[#This Row],[2040]],"&gt;0")&gt;0,Klisz_Verbräuche[[#This Row],[2040]]*(1-$F80)^5, ""), ""),IF($B$14&gt;Klisz_Verbräuche[[#Headers],[2045]],Refsz_Verbräuche[[#This Row],[2045]],"")))</f>
        <v/>
      </c>
      <c r="Z80" s="49" t="str">
        <f>IF(Klisz_Verbräuche[[#Headers],[2050]]=$B$14,IF(COUNTIF($G80:Klisz_Verbräuche[[#This Row],[2045]],"&gt;0")&gt;0, AVERAGEIF($G80:Klisz_Verbräuche[[#This Row],[2045]],"&lt;&gt;"), ""),IF($B$14&lt;Klisz_Verbräuche[[#Headers],[2050]],IF(COUNTIF($G80:Klisz_Verbräuche[[#This Row],[2045]],"&gt;0")&gt;0,IF(COUNTIF($G80:Klisz_Verbräuche[[#This Row],[2045]],"&gt;0")&gt;0,Klisz_Verbräuche[[#This Row],[2045]]*(1-$F80)^5, ""), ""),IF($B$14&gt;Klisz_Verbräuche[[#Headers],[2050]],Refsz_Verbräuche[[#This Row],[2050]],"")))</f>
        <v/>
      </c>
      <c r="AA80" s="14"/>
    </row>
    <row r="81" spans="2:27">
      <c r="B81" s="14">
        <v>64</v>
      </c>
      <c r="C81" s="197" t="str">
        <f>Refsz_Verbräuche[[#This Row],[Handlungsfeld]]</f>
        <v>Mobilität 2</v>
      </c>
      <c r="D81" s="19" t="str">
        <f>Refsz_Verbräuche[[#This Row],[Datenpunkt]]</f>
        <v>Pendeln - Eisenbahn (Nahverkehr)</v>
      </c>
      <c r="E81" s="26" t="str">
        <f>Refsz_Verbräuche[[#This Row],[Einheit]]</f>
        <v>Pkm</v>
      </c>
      <c r="F81" s="108"/>
      <c r="G81" s="14" t="str">
        <f>IF(ISBLANK(Refsz_Verbräuche[[#This Row],[2015]]),"",Refsz_Verbräuche[[#This Row],[2015]])</f>
        <v/>
      </c>
      <c r="H81" s="14" t="str">
        <f>IF(ISBLANK(Refsz_Verbräuche[[#This Row],[2016]]),"",Refsz_Verbräuche[[#This Row],[2016]])</f>
        <v/>
      </c>
      <c r="I81" s="14" t="str">
        <f>IF(ISBLANK(Refsz_Verbräuche[[#This Row],[2017]]),"",Refsz_Verbräuche[[#This Row],[2017]])</f>
        <v/>
      </c>
      <c r="J81" s="14" t="str">
        <f>IF(ISBLANK(Refsz_Verbräuche[[#This Row],[2018]]),"",Refsz_Verbräuche[[#This Row],[2018]])</f>
        <v/>
      </c>
      <c r="K81" s="14" t="str">
        <f>IF(ISBLANK(Refsz_Verbräuche[[#This Row],[2019]]),"",Refsz_Verbräuche[[#This Row],[2019]])</f>
        <v/>
      </c>
      <c r="L81" s="14" t="str">
        <f>IF(ISBLANK(Refsz_Verbräuche[[#This Row],[2020]]),"",Refsz_Verbräuche[[#This Row],[2020]])</f>
        <v/>
      </c>
      <c r="M81" s="14" t="str">
        <f>IF(ISBLANK(Refsz_Verbräuche[[#This Row],[2021]]),"",Refsz_Verbräuche[[#This Row],[2021]])</f>
        <v/>
      </c>
      <c r="N81" s="49" t="str">
        <f>IF(Klisz_Verbräuche[[#Headers],[2022]]=$B$14,IF(COUNTIF($G81:Klisz_Verbräuche[[#This Row],[2021]],"&gt;0")&gt;0, AVERAGEIF($G81:Klisz_Verbräuche[[#This Row],[2021]],"&lt;&gt;"), ""),IF($B$14&lt;Klisz_Verbräuche[[#Headers],[2022]],IF(COUNTIF($G81:Klisz_Verbräuche[[#This Row],[2021]],"&gt;0")&gt;0,IF(COUNTIF($G81:Klisz_Verbräuche[[#This Row],[2021]],"&gt;0")&gt;0,Klisz_Verbräuche[[#This Row],[2021]]*(1-$F81)^1, ""), ""),IF($B$14&gt;Klisz_Verbräuche[[#Headers],[2022]],Refsz_Verbräuche[[#This Row],[2022]],"")))</f>
        <v/>
      </c>
      <c r="O81" s="49" t="str">
        <f>IF(Klisz_Verbräuche[[#Headers],[2023]]=$B$14,IF(COUNTIF($G81:Klisz_Verbräuche[[#This Row],[2022]],"&gt;0")&gt;0, AVERAGEIF($G81:Klisz_Verbräuche[[#This Row],[2022]],"&lt;&gt;"), ""),IF($B$14&lt;Klisz_Verbräuche[[#Headers],[2023]],IF(COUNTIF($G81:Klisz_Verbräuche[[#This Row],[2022]],"&gt;0")&gt;0,IF(COUNTIF($G81:Klisz_Verbräuche[[#This Row],[2022]],"&gt;0")&gt;0,Klisz_Verbräuche[[#This Row],[2022]]*(1-$F81)^1, ""), ""),IF($B$14&gt;Klisz_Verbräuche[[#Headers],[2023]],Refsz_Verbräuche[[#This Row],[2023]],"")))</f>
        <v/>
      </c>
      <c r="P81" s="49" t="str">
        <f>IF(Klisz_Verbräuche[[#Headers],[2024]]=$B$14,IF(COUNTIF($G81:Klisz_Verbräuche[[#This Row],[2023]],"&gt;0")&gt;0, AVERAGEIF($G81:Klisz_Verbräuche[[#This Row],[2023]],"&lt;&gt;"), ""),IF($B$14&lt;Klisz_Verbräuche[[#Headers],[2024]],IF(COUNTIF($G81:Klisz_Verbräuche[[#This Row],[2023]],"&gt;0")&gt;0,IF(COUNTIF($G81:Klisz_Verbräuche[[#This Row],[2023]],"&gt;0")&gt;0,Klisz_Verbräuche[[#This Row],[2023]]*(1-$F81)^1, ""), ""),IF($B$14&gt;Klisz_Verbräuche[[#Headers],[2024]],Refsz_Verbräuche[[#This Row],[2024]],"")))</f>
        <v/>
      </c>
      <c r="Q81" s="49" t="str">
        <f>IF(Klisz_Verbräuche[[#Headers],[2025]]=$B$14,IF(COUNTIF($G81:Klisz_Verbräuche[[#This Row],[2024]],"&gt;0")&gt;0, AVERAGEIF($G81:Klisz_Verbräuche[[#This Row],[2024]],"&lt;&gt;"), ""),IF($B$14&lt;Klisz_Verbräuche[[#Headers],[2025]],IF(COUNTIF($G81:Klisz_Verbräuche[[#This Row],[2024]],"&gt;0")&gt;0,IF(COUNTIF($G81:Klisz_Verbräuche[[#This Row],[2024]],"&gt;0")&gt;0,Klisz_Verbräuche[[#This Row],[2024]]*(1-$F81)^1, ""), ""),IF($B$14&gt;Klisz_Verbräuche[[#Headers],[2025]],Refsz_Verbräuche[[#This Row],[2025]],"")))</f>
        <v/>
      </c>
      <c r="R81" s="49" t="str">
        <f>IF(Klisz_Verbräuche[[#Headers],[2026]]=$B$14,IF(COUNTIF($G81:Klisz_Verbräuche[[#This Row],[2025]],"&gt;0")&gt;0, AVERAGEIF($G81:Klisz_Verbräuche[[#This Row],[2025]],"&lt;&gt;"), ""),IF($B$14&lt;Klisz_Verbräuche[[#Headers],[2026]],IF(COUNTIF($G81:Klisz_Verbräuche[[#This Row],[2025]],"&gt;0")&gt;0,IF(COUNTIF($G81:Klisz_Verbräuche[[#This Row],[2025]],"&gt;0")&gt;0,Klisz_Verbräuche[[#This Row],[2025]]*(1-$F81)^1, ""), ""),IF($B$14&gt;Klisz_Verbräuche[[#Headers],[2026]],Refsz_Verbräuche[[#This Row],[2026]],"")))</f>
        <v/>
      </c>
      <c r="S81" s="49" t="str">
        <f>IF(Klisz_Verbräuche[[#Headers],[2027]]=$B$14,IF(COUNTIF($G81:Klisz_Verbräuche[[#This Row],[2026]],"&gt;0")&gt;0, AVERAGEIF($G81:Klisz_Verbräuche[[#This Row],[2026]],"&lt;&gt;"), ""),IF($B$14&lt;Klisz_Verbräuche[[#Headers],[2027]],IF(COUNTIF($G81:Klisz_Verbräuche[[#This Row],[2026]],"&gt;0")&gt;0,IF(COUNTIF($G81:Klisz_Verbräuche[[#This Row],[2026]],"&gt;0")&gt;0,Klisz_Verbräuche[[#This Row],[2026]]*(1-$F81)^1, ""), ""),IF($B$14&gt;Klisz_Verbräuche[[#Headers],[2027]],Refsz_Verbräuche[[#This Row],[2027]],"")))</f>
        <v/>
      </c>
      <c r="T81" s="49" t="str">
        <f>IF(Klisz_Verbräuche[[#Headers],[2028]]=$B$14,IF(COUNTIF($G81:Klisz_Verbräuche[[#This Row],[2027]],"&gt;0")&gt;0, AVERAGEIF($G81:Klisz_Verbräuche[[#This Row],[2027]],"&lt;&gt;"), ""),IF($B$14&lt;Klisz_Verbräuche[[#Headers],[2028]],IF(COUNTIF($G81:Klisz_Verbräuche[[#This Row],[2027]],"&gt;0")&gt;0,IF(COUNTIF($G81:Klisz_Verbräuche[[#This Row],[2027]],"&gt;0")&gt;0,Klisz_Verbräuche[[#This Row],[2027]]*(1-$F81)^1, ""), ""),IF($B$14&gt;Klisz_Verbräuche[[#Headers],[2028]],Refsz_Verbräuche[[#This Row],[2028]],"")))</f>
        <v/>
      </c>
      <c r="U81" s="49" t="str">
        <f>IF(Klisz_Verbräuche[[#Headers],[2029]]=$B$14,IF(COUNTIF($G81:Klisz_Verbräuche[[#This Row],[2028]],"&gt;0")&gt;0, AVERAGEIF($G81:Klisz_Verbräuche[[#This Row],[2028]],"&lt;&gt;"), ""),IF($B$14&lt;Klisz_Verbräuche[[#Headers],[2029]],IF(COUNTIF($G81:Klisz_Verbräuche[[#This Row],[2028]],"&gt;0")&gt;0,IF(COUNTIF($G81:Klisz_Verbräuche[[#This Row],[2028]],"&gt;0")&gt;0,Klisz_Verbräuche[[#This Row],[2028]]*(1-$F81)^1, ""), ""),IF($B$14&gt;Klisz_Verbräuche[[#Headers],[2029]],Refsz_Verbräuche[[#This Row],[2029]],"")))</f>
        <v/>
      </c>
      <c r="V81" s="49" t="str">
        <f>IF(Klisz_Verbräuche[[#Headers],[2030]]=$B$14,IF(COUNTIF($G81:Klisz_Verbräuche[[#This Row],[2029]],"&gt;0")&gt;0, AVERAGEIF($G81:Klisz_Verbräuche[[#This Row],[2029]],"&lt;&gt;"), ""),IF($B$14&lt;Klisz_Verbräuche[[#Headers],[2030]],IF(COUNTIF($G81:Klisz_Verbräuche[[#This Row],[2029]],"&gt;0")&gt;0,IF(COUNTIF($G81:Klisz_Verbräuche[[#This Row],[2029]],"&gt;0")&gt;0,Klisz_Verbräuche[[#This Row],[2029]]*(1-$F81)^1, ""), ""),IF($B$14&gt;Klisz_Verbräuche[[#Headers],[2030]],Refsz_Verbräuche[[#This Row],[2030]],"")))</f>
        <v/>
      </c>
      <c r="W81" s="49" t="str">
        <f>IF(Klisz_Verbräuche[[#Headers],[2035]]=$B$14,IF(COUNTIF($G81:Klisz_Verbräuche[[#This Row],[2030]],"&gt;0")&gt;0, AVERAGEIF($G81:Klisz_Verbräuche[[#This Row],[2030]],"&lt;&gt;"), ""),IF($B$14&lt;Klisz_Verbräuche[[#Headers],[2035]],IF(COUNTIF($G81:Klisz_Verbräuche[[#This Row],[2030]],"&gt;0")&gt;0,IF(COUNTIF($G81:Klisz_Verbräuche[[#This Row],[2030]],"&gt;0")&gt;0,Klisz_Verbräuche[[#This Row],[2030]]*(1-$F81)^5, ""), ""),IF($B$14&gt;Klisz_Verbräuche[[#Headers],[2035]],Refsz_Verbräuche[[#This Row],[2035]],"")))</f>
        <v/>
      </c>
      <c r="X81" s="49" t="str">
        <f>IF(Klisz_Verbräuche[[#Headers],[2040]]=$B$14,IF(COUNTIF($G81:Klisz_Verbräuche[[#This Row],[2035]],"&gt;0")&gt;0, AVERAGEIF($G81:Klisz_Verbräuche[[#This Row],[2035]],"&lt;&gt;"), ""),IF($B$14&lt;Klisz_Verbräuche[[#Headers],[2040]],IF(COUNTIF($G81:Klisz_Verbräuche[[#This Row],[2035]],"&gt;0")&gt;0,IF(COUNTIF($G81:Klisz_Verbräuche[[#This Row],[2035]],"&gt;0")&gt;0,Klisz_Verbräuche[[#This Row],[2035]]*(1-$F81)^5, ""), ""),IF($B$14&gt;Klisz_Verbräuche[[#Headers],[2040]],Refsz_Verbräuche[[#This Row],[2040]],"")))</f>
        <v/>
      </c>
      <c r="Y81" s="49" t="str">
        <f>IF(Klisz_Verbräuche[[#Headers],[2045]]=$B$14,IF(COUNTIF($G81:Klisz_Verbräuche[[#This Row],[2040]],"&gt;0")&gt;0, AVERAGEIF($G81:Klisz_Verbräuche[[#This Row],[2040]],"&lt;&gt;"), ""),IF($B$14&lt;Klisz_Verbräuche[[#Headers],[2045]],IF(COUNTIF($G81:Klisz_Verbräuche[[#This Row],[2040]],"&gt;0")&gt;0,IF(COUNTIF($G81:Klisz_Verbräuche[[#This Row],[2040]],"&gt;0")&gt;0,Klisz_Verbräuche[[#This Row],[2040]]*(1-$F81)^5, ""), ""),IF($B$14&gt;Klisz_Verbräuche[[#Headers],[2045]],Refsz_Verbräuche[[#This Row],[2045]],"")))</f>
        <v/>
      </c>
      <c r="Z81" s="49" t="str">
        <f>IF(Klisz_Verbräuche[[#Headers],[2050]]=$B$14,IF(COUNTIF($G81:Klisz_Verbräuche[[#This Row],[2045]],"&gt;0")&gt;0, AVERAGEIF($G81:Klisz_Verbräuche[[#This Row],[2045]],"&lt;&gt;"), ""),IF($B$14&lt;Klisz_Verbräuche[[#Headers],[2050]],IF(COUNTIF($G81:Klisz_Verbräuche[[#This Row],[2045]],"&gt;0")&gt;0,IF(COUNTIF($G81:Klisz_Verbräuche[[#This Row],[2045]],"&gt;0")&gt;0,Klisz_Verbräuche[[#This Row],[2045]]*(1-$F81)^5, ""), ""),IF($B$14&gt;Klisz_Verbräuche[[#Headers],[2050]],Refsz_Verbräuche[[#This Row],[2050]],"")))</f>
        <v/>
      </c>
      <c r="AA81" s="14"/>
    </row>
    <row r="82" spans="2:27">
      <c r="B82" s="14">
        <v>65</v>
      </c>
      <c r="C82" s="197" t="str">
        <f>Refsz_Verbräuche[[#This Row],[Handlungsfeld]]</f>
        <v>Mobilität 2</v>
      </c>
      <c r="D82" s="19" t="str">
        <f>Refsz_Verbräuche[[#This Row],[Datenpunkt]]</f>
        <v>Pendeln - Linienbus (Nahverkehr)</v>
      </c>
      <c r="E82" s="26" t="str">
        <f>Refsz_Verbräuche[[#This Row],[Einheit]]</f>
        <v>Pkm</v>
      </c>
      <c r="F82" s="108"/>
      <c r="G82" s="14" t="str">
        <f>IF(ISBLANK(Refsz_Verbräuche[[#This Row],[2015]]),"",Refsz_Verbräuche[[#This Row],[2015]])</f>
        <v/>
      </c>
      <c r="H82" s="14" t="str">
        <f>IF(ISBLANK(Refsz_Verbräuche[[#This Row],[2016]]),"",Refsz_Verbräuche[[#This Row],[2016]])</f>
        <v/>
      </c>
      <c r="I82" s="14" t="str">
        <f>IF(ISBLANK(Refsz_Verbräuche[[#This Row],[2017]]),"",Refsz_Verbräuche[[#This Row],[2017]])</f>
        <v/>
      </c>
      <c r="J82" s="14" t="str">
        <f>IF(ISBLANK(Refsz_Verbräuche[[#This Row],[2018]]),"",Refsz_Verbräuche[[#This Row],[2018]])</f>
        <v/>
      </c>
      <c r="K82" s="14" t="str">
        <f>IF(ISBLANK(Refsz_Verbräuche[[#This Row],[2019]]),"",Refsz_Verbräuche[[#This Row],[2019]])</f>
        <v/>
      </c>
      <c r="L82" s="14" t="str">
        <f>IF(ISBLANK(Refsz_Verbräuche[[#This Row],[2020]]),"",Refsz_Verbräuche[[#This Row],[2020]])</f>
        <v/>
      </c>
      <c r="M82" s="14" t="str">
        <f>IF(ISBLANK(Refsz_Verbräuche[[#This Row],[2021]]),"",Refsz_Verbräuche[[#This Row],[2021]])</f>
        <v/>
      </c>
      <c r="N82" s="49" t="str">
        <f>IF(Klisz_Verbräuche[[#Headers],[2022]]=$B$14,IF(COUNTIF($G82:Klisz_Verbräuche[[#This Row],[2021]],"&gt;0")&gt;0, AVERAGEIF($G82:Klisz_Verbräuche[[#This Row],[2021]],"&lt;&gt;"), ""),IF($B$14&lt;Klisz_Verbräuche[[#Headers],[2022]],IF(COUNTIF($G82:Klisz_Verbräuche[[#This Row],[2021]],"&gt;0")&gt;0,IF(COUNTIF($G82:Klisz_Verbräuche[[#This Row],[2021]],"&gt;0")&gt;0,Klisz_Verbräuche[[#This Row],[2021]]*(1-$F82)^1, ""), ""),IF($B$14&gt;Klisz_Verbräuche[[#Headers],[2022]],Refsz_Verbräuche[[#This Row],[2022]],"")))</f>
        <v/>
      </c>
      <c r="O82" s="49" t="str">
        <f>IF(Klisz_Verbräuche[[#Headers],[2023]]=$B$14,IF(COUNTIF($G82:Klisz_Verbräuche[[#This Row],[2022]],"&gt;0")&gt;0, AVERAGEIF($G82:Klisz_Verbräuche[[#This Row],[2022]],"&lt;&gt;"), ""),IF($B$14&lt;Klisz_Verbräuche[[#Headers],[2023]],IF(COUNTIF($G82:Klisz_Verbräuche[[#This Row],[2022]],"&gt;0")&gt;0,IF(COUNTIF($G82:Klisz_Verbräuche[[#This Row],[2022]],"&gt;0")&gt;0,Klisz_Verbräuche[[#This Row],[2022]]*(1-$F82)^1, ""), ""),IF($B$14&gt;Klisz_Verbräuche[[#Headers],[2023]],Refsz_Verbräuche[[#This Row],[2023]],"")))</f>
        <v/>
      </c>
      <c r="P82" s="49" t="str">
        <f>IF(Klisz_Verbräuche[[#Headers],[2024]]=$B$14,IF(COUNTIF($G82:Klisz_Verbräuche[[#This Row],[2023]],"&gt;0")&gt;0, AVERAGEIF($G82:Klisz_Verbräuche[[#This Row],[2023]],"&lt;&gt;"), ""),IF($B$14&lt;Klisz_Verbräuche[[#Headers],[2024]],IF(COUNTIF($G82:Klisz_Verbräuche[[#This Row],[2023]],"&gt;0")&gt;0,IF(COUNTIF($G82:Klisz_Verbräuche[[#This Row],[2023]],"&gt;0")&gt;0,Klisz_Verbräuche[[#This Row],[2023]]*(1-$F82)^1, ""), ""),IF($B$14&gt;Klisz_Verbräuche[[#Headers],[2024]],Refsz_Verbräuche[[#This Row],[2024]],"")))</f>
        <v/>
      </c>
      <c r="Q82" s="49" t="str">
        <f>IF(Klisz_Verbräuche[[#Headers],[2025]]=$B$14,IF(COUNTIF($G82:Klisz_Verbräuche[[#This Row],[2024]],"&gt;0")&gt;0, AVERAGEIF($G82:Klisz_Verbräuche[[#This Row],[2024]],"&lt;&gt;"), ""),IF($B$14&lt;Klisz_Verbräuche[[#Headers],[2025]],IF(COUNTIF($G82:Klisz_Verbräuche[[#This Row],[2024]],"&gt;0")&gt;0,IF(COUNTIF($G82:Klisz_Verbräuche[[#This Row],[2024]],"&gt;0")&gt;0,Klisz_Verbräuche[[#This Row],[2024]]*(1-$F82)^1, ""), ""),IF($B$14&gt;Klisz_Verbräuche[[#Headers],[2025]],Refsz_Verbräuche[[#This Row],[2025]],"")))</f>
        <v/>
      </c>
      <c r="R82" s="49" t="str">
        <f>IF(Klisz_Verbräuche[[#Headers],[2026]]=$B$14,IF(COUNTIF($G82:Klisz_Verbräuche[[#This Row],[2025]],"&gt;0")&gt;0, AVERAGEIF($G82:Klisz_Verbräuche[[#This Row],[2025]],"&lt;&gt;"), ""),IF($B$14&lt;Klisz_Verbräuche[[#Headers],[2026]],IF(COUNTIF($G82:Klisz_Verbräuche[[#This Row],[2025]],"&gt;0")&gt;0,IF(COUNTIF($G82:Klisz_Verbräuche[[#This Row],[2025]],"&gt;0")&gt;0,Klisz_Verbräuche[[#This Row],[2025]]*(1-$F82)^1, ""), ""),IF($B$14&gt;Klisz_Verbräuche[[#Headers],[2026]],Refsz_Verbräuche[[#This Row],[2026]],"")))</f>
        <v/>
      </c>
      <c r="S82" s="49" t="str">
        <f>IF(Klisz_Verbräuche[[#Headers],[2027]]=$B$14,IF(COUNTIF($G82:Klisz_Verbräuche[[#This Row],[2026]],"&gt;0")&gt;0, AVERAGEIF($G82:Klisz_Verbräuche[[#This Row],[2026]],"&lt;&gt;"), ""),IF($B$14&lt;Klisz_Verbräuche[[#Headers],[2027]],IF(COUNTIF($G82:Klisz_Verbräuche[[#This Row],[2026]],"&gt;0")&gt;0,IF(COUNTIF($G82:Klisz_Verbräuche[[#This Row],[2026]],"&gt;0")&gt;0,Klisz_Verbräuche[[#This Row],[2026]]*(1-$F82)^1, ""), ""),IF($B$14&gt;Klisz_Verbräuche[[#Headers],[2027]],Refsz_Verbräuche[[#This Row],[2027]],"")))</f>
        <v/>
      </c>
      <c r="T82" s="49" t="str">
        <f>IF(Klisz_Verbräuche[[#Headers],[2028]]=$B$14,IF(COUNTIF($G82:Klisz_Verbräuche[[#This Row],[2027]],"&gt;0")&gt;0, AVERAGEIF($G82:Klisz_Verbräuche[[#This Row],[2027]],"&lt;&gt;"), ""),IF($B$14&lt;Klisz_Verbräuche[[#Headers],[2028]],IF(COUNTIF($G82:Klisz_Verbräuche[[#This Row],[2027]],"&gt;0")&gt;0,IF(COUNTIF($G82:Klisz_Verbräuche[[#This Row],[2027]],"&gt;0")&gt;0,Klisz_Verbräuche[[#This Row],[2027]]*(1-$F82)^1, ""), ""),IF($B$14&gt;Klisz_Verbräuche[[#Headers],[2028]],Refsz_Verbräuche[[#This Row],[2028]],"")))</f>
        <v/>
      </c>
      <c r="U82" s="49" t="str">
        <f>IF(Klisz_Verbräuche[[#Headers],[2029]]=$B$14,IF(COUNTIF($G82:Klisz_Verbräuche[[#This Row],[2028]],"&gt;0")&gt;0, AVERAGEIF($G82:Klisz_Verbräuche[[#This Row],[2028]],"&lt;&gt;"), ""),IF($B$14&lt;Klisz_Verbräuche[[#Headers],[2029]],IF(COUNTIF($G82:Klisz_Verbräuche[[#This Row],[2028]],"&gt;0")&gt;0,IF(COUNTIF($G82:Klisz_Verbräuche[[#This Row],[2028]],"&gt;0")&gt;0,Klisz_Verbräuche[[#This Row],[2028]]*(1-$F82)^1, ""), ""),IF($B$14&gt;Klisz_Verbräuche[[#Headers],[2029]],Refsz_Verbräuche[[#This Row],[2029]],"")))</f>
        <v/>
      </c>
      <c r="V82" s="49" t="str">
        <f>IF(Klisz_Verbräuche[[#Headers],[2030]]=$B$14,IF(COUNTIF($G82:Klisz_Verbräuche[[#This Row],[2029]],"&gt;0")&gt;0, AVERAGEIF($G82:Klisz_Verbräuche[[#This Row],[2029]],"&lt;&gt;"), ""),IF($B$14&lt;Klisz_Verbräuche[[#Headers],[2030]],IF(COUNTIF($G82:Klisz_Verbräuche[[#This Row],[2029]],"&gt;0")&gt;0,IF(COUNTIF($G82:Klisz_Verbräuche[[#This Row],[2029]],"&gt;0")&gt;0,Klisz_Verbräuche[[#This Row],[2029]]*(1-$F82)^1, ""), ""),IF($B$14&gt;Klisz_Verbräuche[[#Headers],[2030]],Refsz_Verbräuche[[#This Row],[2030]],"")))</f>
        <v/>
      </c>
      <c r="W82" s="49" t="str">
        <f>IF(Klisz_Verbräuche[[#Headers],[2035]]=$B$14,IF(COUNTIF($G82:Klisz_Verbräuche[[#This Row],[2030]],"&gt;0")&gt;0, AVERAGEIF($G82:Klisz_Verbräuche[[#This Row],[2030]],"&lt;&gt;"), ""),IF($B$14&lt;Klisz_Verbräuche[[#Headers],[2035]],IF(COUNTIF($G82:Klisz_Verbräuche[[#This Row],[2030]],"&gt;0")&gt;0,IF(COUNTIF($G82:Klisz_Verbräuche[[#This Row],[2030]],"&gt;0")&gt;0,Klisz_Verbräuche[[#This Row],[2030]]*(1-$F82)^5, ""), ""),IF($B$14&gt;Klisz_Verbräuche[[#Headers],[2035]],Refsz_Verbräuche[[#This Row],[2035]],"")))</f>
        <v/>
      </c>
      <c r="X82" s="49" t="str">
        <f>IF(Klisz_Verbräuche[[#Headers],[2040]]=$B$14,IF(COUNTIF($G82:Klisz_Verbräuche[[#This Row],[2035]],"&gt;0")&gt;0, AVERAGEIF($G82:Klisz_Verbräuche[[#This Row],[2035]],"&lt;&gt;"), ""),IF($B$14&lt;Klisz_Verbräuche[[#Headers],[2040]],IF(COUNTIF($G82:Klisz_Verbräuche[[#This Row],[2035]],"&gt;0")&gt;0,IF(COUNTIF($G82:Klisz_Verbräuche[[#This Row],[2035]],"&gt;0")&gt;0,Klisz_Verbräuche[[#This Row],[2035]]*(1-$F82)^5, ""), ""),IF($B$14&gt;Klisz_Verbräuche[[#Headers],[2040]],Refsz_Verbräuche[[#This Row],[2040]],"")))</f>
        <v/>
      </c>
      <c r="Y82" s="49" t="str">
        <f>IF(Klisz_Verbräuche[[#Headers],[2045]]=$B$14,IF(COUNTIF($G82:Klisz_Verbräuche[[#This Row],[2040]],"&gt;0")&gt;0, AVERAGEIF($G82:Klisz_Verbräuche[[#This Row],[2040]],"&lt;&gt;"), ""),IF($B$14&lt;Klisz_Verbräuche[[#Headers],[2045]],IF(COUNTIF($G82:Klisz_Verbräuche[[#This Row],[2040]],"&gt;0")&gt;0,IF(COUNTIF($G82:Klisz_Verbräuche[[#This Row],[2040]],"&gt;0")&gt;0,Klisz_Verbräuche[[#This Row],[2040]]*(1-$F82)^5, ""), ""),IF($B$14&gt;Klisz_Verbräuche[[#Headers],[2045]],Refsz_Verbräuche[[#This Row],[2045]],"")))</f>
        <v/>
      </c>
      <c r="Z82" s="49" t="str">
        <f>IF(Klisz_Verbräuche[[#Headers],[2050]]=$B$14,IF(COUNTIF($G82:Klisz_Verbräuche[[#This Row],[2045]],"&gt;0")&gt;0, AVERAGEIF($G82:Klisz_Verbräuche[[#This Row],[2045]],"&lt;&gt;"), ""),IF($B$14&lt;Klisz_Verbräuche[[#Headers],[2050]],IF(COUNTIF($G82:Klisz_Verbräuche[[#This Row],[2045]],"&gt;0")&gt;0,IF(COUNTIF($G82:Klisz_Verbräuche[[#This Row],[2045]],"&gt;0")&gt;0,Klisz_Verbräuche[[#This Row],[2045]]*(1-$F82)^5, ""), ""),IF($B$14&gt;Klisz_Verbräuche[[#Headers],[2050]],Refsz_Verbräuche[[#This Row],[2050]],"")))</f>
        <v/>
      </c>
      <c r="AA82" s="14"/>
    </row>
    <row r="83" spans="2:27">
      <c r="B83" s="14">
        <v>66</v>
      </c>
      <c r="C83" s="197" t="str">
        <f>Refsz_Verbräuche[[#This Row],[Handlungsfeld]]</f>
        <v>Mobilität 2</v>
      </c>
      <c r="D83" s="19" t="str">
        <f>Refsz_Verbräuche[[#This Row],[Datenpunkt]]</f>
        <v>Pendeln - PKW (alle Antriebsarten)</v>
      </c>
      <c r="E83" s="26" t="str">
        <f>Refsz_Verbräuche[[#This Row],[Einheit]]</f>
        <v>Fkm</v>
      </c>
      <c r="F83" s="108"/>
      <c r="G83" s="14" t="str">
        <f>IF(ISBLANK(Refsz_Verbräuche[[#This Row],[2015]]),"",Refsz_Verbräuche[[#This Row],[2015]])</f>
        <v/>
      </c>
      <c r="H83" s="14" t="str">
        <f>IF(ISBLANK(Refsz_Verbräuche[[#This Row],[2016]]),"",Refsz_Verbräuche[[#This Row],[2016]])</f>
        <v/>
      </c>
      <c r="I83" s="14" t="str">
        <f>IF(ISBLANK(Refsz_Verbräuche[[#This Row],[2017]]),"",Refsz_Verbräuche[[#This Row],[2017]])</f>
        <v/>
      </c>
      <c r="J83" s="14" t="str">
        <f>IF(ISBLANK(Refsz_Verbräuche[[#This Row],[2018]]),"",Refsz_Verbräuche[[#This Row],[2018]])</f>
        <v/>
      </c>
      <c r="K83" s="14" t="str">
        <f>IF(ISBLANK(Refsz_Verbräuche[[#This Row],[2019]]),"",Refsz_Verbräuche[[#This Row],[2019]])</f>
        <v/>
      </c>
      <c r="L83" s="14" t="str">
        <f>IF(ISBLANK(Refsz_Verbräuche[[#This Row],[2020]]),"",Refsz_Verbräuche[[#This Row],[2020]])</f>
        <v/>
      </c>
      <c r="M83" s="14" t="str">
        <f>IF(ISBLANK(Refsz_Verbräuche[[#This Row],[2021]]),"",Refsz_Verbräuche[[#This Row],[2021]])</f>
        <v/>
      </c>
      <c r="N83" s="49" t="str">
        <f>IF(Klisz_Verbräuche[[#Headers],[2022]]=$B$14,IF(COUNTIF($G83:Klisz_Verbräuche[[#This Row],[2021]],"&gt;0")&gt;0, AVERAGEIF($G83:Klisz_Verbräuche[[#This Row],[2021]],"&lt;&gt;"), ""),IF($B$14&lt;Klisz_Verbräuche[[#Headers],[2022]],IF(COUNTIF($G83:Klisz_Verbräuche[[#This Row],[2021]],"&gt;0")&gt;0,IF(COUNTIF($G83:Klisz_Verbräuche[[#This Row],[2021]],"&gt;0")&gt;0,Klisz_Verbräuche[[#This Row],[2021]]*(1-$F83)^1, ""), ""),IF($B$14&gt;Klisz_Verbräuche[[#Headers],[2022]],Refsz_Verbräuche[[#This Row],[2022]],"")))</f>
        <v/>
      </c>
      <c r="O83" s="49" t="str">
        <f>IF(Klisz_Verbräuche[[#Headers],[2023]]=$B$14,IF(COUNTIF($G83:Klisz_Verbräuche[[#This Row],[2022]],"&gt;0")&gt;0, AVERAGEIF($G83:Klisz_Verbräuche[[#This Row],[2022]],"&lt;&gt;"), ""),IF($B$14&lt;Klisz_Verbräuche[[#Headers],[2023]],IF(COUNTIF($G83:Klisz_Verbräuche[[#This Row],[2022]],"&gt;0")&gt;0,IF(COUNTIF($G83:Klisz_Verbräuche[[#This Row],[2022]],"&gt;0")&gt;0,Klisz_Verbräuche[[#This Row],[2022]]*(1-$F83)^1, ""), ""),IF($B$14&gt;Klisz_Verbräuche[[#Headers],[2023]],Refsz_Verbräuche[[#This Row],[2023]],"")))</f>
        <v/>
      </c>
      <c r="P83" s="49" t="str">
        <f>IF(Klisz_Verbräuche[[#Headers],[2024]]=$B$14,IF(COUNTIF($G83:Klisz_Verbräuche[[#This Row],[2023]],"&gt;0")&gt;0, AVERAGEIF($G83:Klisz_Verbräuche[[#This Row],[2023]],"&lt;&gt;"), ""),IF($B$14&lt;Klisz_Verbräuche[[#Headers],[2024]],IF(COUNTIF($G83:Klisz_Verbräuche[[#This Row],[2023]],"&gt;0")&gt;0,IF(COUNTIF($G83:Klisz_Verbräuche[[#This Row],[2023]],"&gt;0")&gt;0,Klisz_Verbräuche[[#This Row],[2023]]*(1-$F83)^1, ""), ""),IF($B$14&gt;Klisz_Verbräuche[[#Headers],[2024]],Refsz_Verbräuche[[#This Row],[2024]],"")))</f>
        <v/>
      </c>
      <c r="Q83" s="49" t="str">
        <f>IF(Klisz_Verbräuche[[#Headers],[2025]]=$B$14,IF(COUNTIF($G83:Klisz_Verbräuche[[#This Row],[2024]],"&gt;0")&gt;0, AVERAGEIF($G83:Klisz_Verbräuche[[#This Row],[2024]],"&lt;&gt;"), ""),IF($B$14&lt;Klisz_Verbräuche[[#Headers],[2025]],IF(COUNTIF($G83:Klisz_Verbräuche[[#This Row],[2024]],"&gt;0")&gt;0,IF(COUNTIF($G83:Klisz_Verbräuche[[#This Row],[2024]],"&gt;0")&gt;0,Klisz_Verbräuche[[#This Row],[2024]]*(1-$F83)^1, ""), ""),IF($B$14&gt;Klisz_Verbräuche[[#Headers],[2025]],Refsz_Verbräuche[[#This Row],[2025]],"")))</f>
        <v/>
      </c>
      <c r="R83" s="49" t="str">
        <f>IF(Klisz_Verbräuche[[#Headers],[2026]]=$B$14,IF(COUNTIF($G83:Klisz_Verbräuche[[#This Row],[2025]],"&gt;0")&gt;0, AVERAGEIF($G83:Klisz_Verbräuche[[#This Row],[2025]],"&lt;&gt;"), ""),IF($B$14&lt;Klisz_Verbräuche[[#Headers],[2026]],IF(COUNTIF($G83:Klisz_Verbräuche[[#This Row],[2025]],"&gt;0")&gt;0,IF(COUNTIF($G83:Klisz_Verbräuche[[#This Row],[2025]],"&gt;0")&gt;0,Klisz_Verbräuche[[#This Row],[2025]]*(1-$F83)^1, ""), ""),IF($B$14&gt;Klisz_Verbräuche[[#Headers],[2026]],Refsz_Verbräuche[[#This Row],[2026]],"")))</f>
        <v/>
      </c>
      <c r="S83" s="49" t="str">
        <f>IF(Klisz_Verbräuche[[#Headers],[2027]]=$B$14,IF(COUNTIF($G83:Klisz_Verbräuche[[#This Row],[2026]],"&gt;0")&gt;0, AVERAGEIF($G83:Klisz_Verbräuche[[#This Row],[2026]],"&lt;&gt;"), ""),IF($B$14&lt;Klisz_Verbräuche[[#Headers],[2027]],IF(COUNTIF($G83:Klisz_Verbräuche[[#This Row],[2026]],"&gt;0")&gt;0,IF(COUNTIF($G83:Klisz_Verbräuche[[#This Row],[2026]],"&gt;0")&gt;0,Klisz_Verbräuche[[#This Row],[2026]]*(1-$F83)^1, ""), ""),IF($B$14&gt;Klisz_Verbräuche[[#Headers],[2027]],Refsz_Verbräuche[[#This Row],[2027]],"")))</f>
        <v/>
      </c>
      <c r="T83" s="49" t="str">
        <f>IF(Klisz_Verbräuche[[#Headers],[2028]]=$B$14,IF(COUNTIF($G83:Klisz_Verbräuche[[#This Row],[2027]],"&gt;0")&gt;0, AVERAGEIF($G83:Klisz_Verbräuche[[#This Row],[2027]],"&lt;&gt;"), ""),IF($B$14&lt;Klisz_Verbräuche[[#Headers],[2028]],IF(COUNTIF($G83:Klisz_Verbräuche[[#This Row],[2027]],"&gt;0")&gt;0,IF(COUNTIF($G83:Klisz_Verbräuche[[#This Row],[2027]],"&gt;0")&gt;0,Klisz_Verbräuche[[#This Row],[2027]]*(1-$F83)^1, ""), ""),IF($B$14&gt;Klisz_Verbräuche[[#Headers],[2028]],Refsz_Verbräuche[[#This Row],[2028]],"")))</f>
        <v/>
      </c>
      <c r="U83" s="49" t="str">
        <f>IF(Klisz_Verbräuche[[#Headers],[2029]]=$B$14,IF(COUNTIF($G83:Klisz_Verbräuche[[#This Row],[2028]],"&gt;0")&gt;0, AVERAGEIF($G83:Klisz_Verbräuche[[#This Row],[2028]],"&lt;&gt;"), ""),IF($B$14&lt;Klisz_Verbräuche[[#Headers],[2029]],IF(COUNTIF($G83:Klisz_Verbräuche[[#This Row],[2028]],"&gt;0")&gt;0,IF(COUNTIF($G83:Klisz_Verbräuche[[#This Row],[2028]],"&gt;0")&gt;0,Klisz_Verbräuche[[#This Row],[2028]]*(1-$F83)^1, ""), ""),IF($B$14&gt;Klisz_Verbräuche[[#Headers],[2029]],Refsz_Verbräuche[[#This Row],[2029]],"")))</f>
        <v/>
      </c>
      <c r="V83" s="49" t="str">
        <f>IF(Klisz_Verbräuche[[#Headers],[2030]]=$B$14,IF(COUNTIF($G83:Klisz_Verbräuche[[#This Row],[2029]],"&gt;0")&gt;0, AVERAGEIF($G83:Klisz_Verbräuche[[#This Row],[2029]],"&lt;&gt;"), ""),IF($B$14&lt;Klisz_Verbräuche[[#Headers],[2030]],IF(COUNTIF($G83:Klisz_Verbräuche[[#This Row],[2029]],"&gt;0")&gt;0,IF(COUNTIF($G83:Klisz_Verbräuche[[#This Row],[2029]],"&gt;0")&gt;0,Klisz_Verbräuche[[#This Row],[2029]]*(1-$F83)^1, ""), ""),IF($B$14&gt;Klisz_Verbräuche[[#Headers],[2030]],Refsz_Verbräuche[[#This Row],[2030]],"")))</f>
        <v/>
      </c>
      <c r="W83" s="49" t="str">
        <f>IF(Klisz_Verbräuche[[#Headers],[2035]]=$B$14,IF(COUNTIF($G83:Klisz_Verbräuche[[#This Row],[2030]],"&gt;0")&gt;0, AVERAGEIF($G83:Klisz_Verbräuche[[#This Row],[2030]],"&lt;&gt;"), ""),IF($B$14&lt;Klisz_Verbräuche[[#Headers],[2035]],IF(COUNTIF($G83:Klisz_Verbräuche[[#This Row],[2030]],"&gt;0")&gt;0,IF(COUNTIF($G83:Klisz_Verbräuche[[#This Row],[2030]],"&gt;0")&gt;0,Klisz_Verbräuche[[#This Row],[2030]]*(1-$F83)^5, ""), ""),IF($B$14&gt;Klisz_Verbräuche[[#Headers],[2035]],Refsz_Verbräuche[[#This Row],[2035]],"")))</f>
        <v/>
      </c>
      <c r="X83" s="49" t="str">
        <f>IF(Klisz_Verbräuche[[#Headers],[2040]]=$B$14,IF(COUNTIF($G83:Klisz_Verbräuche[[#This Row],[2035]],"&gt;0")&gt;0, AVERAGEIF($G83:Klisz_Verbräuche[[#This Row],[2035]],"&lt;&gt;"), ""),IF($B$14&lt;Klisz_Verbräuche[[#Headers],[2040]],IF(COUNTIF($G83:Klisz_Verbräuche[[#This Row],[2035]],"&gt;0")&gt;0,IF(COUNTIF($G83:Klisz_Verbräuche[[#This Row],[2035]],"&gt;0")&gt;0,Klisz_Verbräuche[[#This Row],[2035]]*(1-$F83)^5, ""), ""),IF($B$14&gt;Klisz_Verbräuche[[#Headers],[2040]],Refsz_Verbräuche[[#This Row],[2040]],"")))</f>
        <v/>
      </c>
      <c r="Y83" s="49" t="str">
        <f>IF(Klisz_Verbräuche[[#Headers],[2045]]=$B$14,IF(COUNTIF($G83:Klisz_Verbräuche[[#This Row],[2040]],"&gt;0")&gt;0, AVERAGEIF($G83:Klisz_Verbräuche[[#This Row],[2040]],"&lt;&gt;"), ""),IF($B$14&lt;Klisz_Verbräuche[[#Headers],[2045]],IF(COUNTIF($G83:Klisz_Verbräuche[[#This Row],[2040]],"&gt;0")&gt;0,IF(COUNTIF($G83:Klisz_Verbräuche[[#This Row],[2040]],"&gt;0")&gt;0,Klisz_Verbräuche[[#This Row],[2040]]*(1-$F83)^5, ""), ""),IF($B$14&gt;Klisz_Verbräuche[[#Headers],[2045]],Refsz_Verbräuche[[#This Row],[2045]],"")))</f>
        <v/>
      </c>
      <c r="Z83" s="49" t="str">
        <f>IF(Klisz_Verbräuche[[#Headers],[2050]]=$B$14,IF(COUNTIF($G83:Klisz_Verbräuche[[#This Row],[2045]],"&gt;0")&gt;0, AVERAGEIF($G83:Klisz_Verbräuche[[#This Row],[2045]],"&lt;&gt;"), ""),IF($B$14&lt;Klisz_Verbräuche[[#Headers],[2050]],IF(COUNTIF($G83:Klisz_Verbräuche[[#This Row],[2045]],"&gt;0")&gt;0,IF(COUNTIF($G83:Klisz_Verbräuche[[#This Row],[2045]],"&gt;0")&gt;0,Klisz_Verbräuche[[#This Row],[2045]]*(1-$F83)^5, ""), ""),IF($B$14&gt;Klisz_Verbräuche[[#Headers],[2050]],Refsz_Verbräuche[[#This Row],[2050]],"")))</f>
        <v/>
      </c>
      <c r="AA83" s="14"/>
    </row>
    <row r="84" spans="2:27">
      <c r="B84" s="14">
        <v>67</v>
      </c>
      <c r="C84" s="197" t="str">
        <f>Refsz_Verbräuche[[#This Row],[Handlungsfeld]]</f>
        <v>Mobilität 2</v>
      </c>
      <c r="D84" s="19" t="str">
        <f>Refsz_Verbräuche[[#This Row],[Datenpunkt]]</f>
        <v>Pendeln - PKW (Diesel)</v>
      </c>
      <c r="E84" s="26" t="str">
        <f>Refsz_Verbräuche[[#This Row],[Einheit]]</f>
        <v>Fkm</v>
      </c>
      <c r="F84" s="108"/>
      <c r="G84" s="14" t="str">
        <f>IF(ISBLANK(Refsz_Verbräuche[[#This Row],[2015]]),"",Refsz_Verbräuche[[#This Row],[2015]])</f>
        <v/>
      </c>
      <c r="H84" s="14" t="str">
        <f>IF(ISBLANK(Refsz_Verbräuche[[#This Row],[2016]]),"",Refsz_Verbräuche[[#This Row],[2016]])</f>
        <v/>
      </c>
      <c r="I84" s="14" t="str">
        <f>IF(ISBLANK(Refsz_Verbräuche[[#This Row],[2017]]),"",Refsz_Verbräuche[[#This Row],[2017]])</f>
        <v/>
      </c>
      <c r="J84" s="14" t="str">
        <f>IF(ISBLANK(Refsz_Verbräuche[[#This Row],[2018]]),"",Refsz_Verbräuche[[#This Row],[2018]])</f>
        <v/>
      </c>
      <c r="K84" s="14" t="str">
        <f>IF(ISBLANK(Refsz_Verbräuche[[#This Row],[2019]]),"",Refsz_Verbräuche[[#This Row],[2019]])</f>
        <v/>
      </c>
      <c r="L84" s="14" t="str">
        <f>IF(ISBLANK(Refsz_Verbräuche[[#This Row],[2020]]),"",Refsz_Verbräuche[[#This Row],[2020]])</f>
        <v/>
      </c>
      <c r="M84" s="14" t="str">
        <f>IF(ISBLANK(Refsz_Verbräuche[[#This Row],[2021]]),"",Refsz_Verbräuche[[#This Row],[2021]])</f>
        <v/>
      </c>
      <c r="N84" s="49" t="str">
        <f>IF(Klisz_Verbräuche[[#Headers],[2022]]=$B$14,IF(COUNTIF($G84:Klisz_Verbräuche[[#This Row],[2021]],"&gt;0")&gt;0, AVERAGEIF($G84:Klisz_Verbräuche[[#This Row],[2021]],"&lt;&gt;"), ""),IF($B$14&lt;Klisz_Verbräuche[[#Headers],[2022]],IF(COUNTIF($G84:Klisz_Verbräuche[[#This Row],[2021]],"&gt;0")&gt;0,IF(COUNTIF($G84:Klisz_Verbräuche[[#This Row],[2021]],"&gt;0")&gt;0,Klisz_Verbräuche[[#This Row],[2021]]*(1-$F84)^1, ""), ""),IF($B$14&gt;Klisz_Verbräuche[[#Headers],[2022]],Refsz_Verbräuche[[#This Row],[2022]],"")))</f>
        <v/>
      </c>
      <c r="O84" s="49" t="str">
        <f>IF(Klisz_Verbräuche[[#Headers],[2023]]=$B$14,IF(COUNTIF($G84:Klisz_Verbräuche[[#This Row],[2022]],"&gt;0")&gt;0, AVERAGEIF($G84:Klisz_Verbräuche[[#This Row],[2022]],"&lt;&gt;"), ""),IF($B$14&lt;Klisz_Verbräuche[[#Headers],[2023]],IF(COUNTIF($G84:Klisz_Verbräuche[[#This Row],[2022]],"&gt;0")&gt;0,IF(COUNTIF($G84:Klisz_Verbräuche[[#This Row],[2022]],"&gt;0")&gt;0,Klisz_Verbräuche[[#This Row],[2022]]*(1-$F84)^1, ""), ""),IF($B$14&gt;Klisz_Verbräuche[[#Headers],[2023]],Refsz_Verbräuche[[#This Row],[2023]],"")))</f>
        <v/>
      </c>
      <c r="P84" s="49" t="str">
        <f>IF(Klisz_Verbräuche[[#Headers],[2024]]=$B$14,IF(COUNTIF($G84:Klisz_Verbräuche[[#This Row],[2023]],"&gt;0")&gt;0, AVERAGEIF($G84:Klisz_Verbräuche[[#This Row],[2023]],"&lt;&gt;"), ""),IF($B$14&lt;Klisz_Verbräuche[[#Headers],[2024]],IF(COUNTIF($G84:Klisz_Verbräuche[[#This Row],[2023]],"&gt;0")&gt;0,IF(COUNTIF($G84:Klisz_Verbräuche[[#This Row],[2023]],"&gt;0")&gt;0,Klisz_Verbräuche[[#This Row],[2023]]*(1-$F84)^1, ""), ""),IF($B$14&gt;Klisz_Verbräuche[[#Headers],[2024]],Refsz_Verbräuche[[#This Row],[2024]],"")))</f>
        <v/>
      </c>
      <c r="Q84" s="49" t="str">
        <f>IF(Klisz_Verbräuche[[#Headers],[2025]]=$B$14,IF(COUNTIF($G84:Klisz_Verbräuche[[#This Row],[2024]],"&gt;0")&gt;0, AVERAGEIF($G84:Klisz_Verbräuche[[#This Row],[2024]],"&lt;&gt;"), ""),IF($B$14&lt;Klisz_Verbräuche[[#Headers],[2025]],IF(COUNTIF($G84:Klisz_Verbräuche[[#This Row],[2024]],"&gt;0")&gt;0,IF(COUNTIF($G84:Klisz_Verbräuche[[#This Row],[2024]],"&gt;0")&gt;0,Klisz_Verbräuche[[#This Row],[2024]]*(1-$F84)^1, ""), ""),IF($B$14&gt;Klisz_Verbräuche[[#Headers],[2025]],Refsz_Verbräuche[[#This Row],[2025]],"")))</f>
        <v/>
      </c>
      <c r="R84" s="49" t="str">
        <f>IF(Klisz_Verbräuche[[#Headers],[2026]]=$B$14,IF(COUNTIF($G84:Klisz_Verbräuche[[#This Row],[2025]],"&gt;0")&gt;0, AVERAGEIF($G84:Klisz_Verbräuche[[#This Row],[2025]],"&lt;&gt;"), ""),IF($B$14&lt;Klisz_Verbräuche[[#Headers],[2026]],IF(COUNTIF($G84:Klisz_Verbräuche[[#This Row],[2025]],"&gt;0")&gt;0,IF(COUNTIF($G84:Klisz_Verbräuche[[#This Row],[2025]],"&gt;0")&gt;0,Klisz_Verbräuche[[#This Row],[2025]]*(1-$F84)^1, ""), ""),IF($B$14&gt;Klisz_Verbräuche[[#Headers],[2026]],Refsz_Verbräuche[[#This Row],[2026]],"")))</f>
        <v/>
      </c>
      <c r="S84" s="49" t="str">
        <f>IF(Klisz_Verbräuche[[#Headers],[2027]]=$B$14,IF(COUNTIF($G84:Klisz_Verbräuche[[#This Row],[2026]],"&gt;0")&gt;0, AVERAGEIF($G84:Klisz_Verbräuche[[#This Row],[2026]],"&lt;&gt;"), ""),IF($B$14&lt;Klisz_Verbräuche[[#Headers],[2027]],IF(COUNTIF($G84:Klisz_Verbräuche[[#This Row],[2026]],"&gt;0")&gt;0,IF(COUNTIF($G84:Klisz_Verbräuche[[#This Row],[2026]],"&gt;0")&gt;0,Klisz_Verbräuche[[#This Row],[2026]]*(1-$F84)^1, ""), ""),IF($B$14&gt;Klisz_Verbräuche[[#Headers],[2027]],Refsz_Verbräuche[[#This Row],[2027]],"")))</f>
        <v/>
      </c>
      <c r="T84" s="49" t="str">
        <f>IF(Klisz_Verbräuche[[#Headers],[2028]]=$B$14,IF(COUNTIF($G84:Klisz_Verbräuche[[#This Row],[2027]],"&gt;0")&gt;0, AVERAGEIF($G84:Klisz_Verbräuche[[#This Row],[2027]],"&lt;&gt;"), ""),IF($B$14&lt;Klisz_Verbräuche[[#Headers],[2028]],IF(COUNTIF($G84:Klisz_Verbräuche[[#This Row],[2027]],"&gt;0")&gt;0,IF(COUNTIF($G84:Klisz_Verbräuche[[#This Row],[2027]],"&gt;0")&gt;0,Klisz_Verbräuche[[#This Row],[2027]]*(1-$F84)^1, ""), ""),IF($B$14&gt;Klisz_Verbräuche[[#Headers],[2028]],Refsz_Verbräuche[[#This Row],[2028]],"")))</f>
        <v/>
      </c>
      <c r="U84" s="49" t="str">
        <f>IF(Klisz_Verbräuche[[#Headers],[2029]]=$B$14,IF(COUNTIF($G84:Klisz_Verbräuche[[#This Row],[2028]],"&gt;0")&gt;0, AVERAGEIF($G84:Klisz_Verbräuche[[#This Row],[2028]],"&lt;&gt;"), ""),IF($B$14&lt;Klisz_Verbräuche[[#Headers],[2029]],IF(COUNTIF($G84:Klisz_Verbräuche[[#This Row],[2028]],"&gt;0")&gt;0,IF(COUNTIF($G84:Klisz_Verbräuche[[#This Row],[2028]],"&gt;0")&gt;0,Klisz_Verbräuche[[#This Row],[2028]]*(1-$F84)^1, ""), ""),IF($B$14&gt;Klisz_Verbräuche[[#Headers],[2029]],Refsz_Verbräuche[[#This Row],[2029]],"")))</f>
        <v/>
      </c>
      <c r="V84" s="49" t="str">
        <f>IF(Klisz_Verbräuche[[#Headers],[2030]]=$B$14,IF(COUNTIF($G84:Klisz_Verbräuche[[#This Row],[2029]],"&gt;0")&gt;0, AVERAGEIF($G84:Klisz_Verbräuche[[#This Row],[2029]],"&lt;&gt;"), ""),IF($B$14&lt;Klisz_Verbräuche[[#Headers],[2030]],IF(COUNTIF($G84:Klisz_Verbräuche[[#This Row],[2029]],"&gt;0")&gt;0,IF(COUNTIF($G84:Klisz_Verbräuche[[#This Row],[2029]],"&gt;0")&gt;0,Klisz_Verbräuche[[#This Row],[2029]]*(1-$F84)^1, ""), ""),IF($B$14&gt;Klisz_Verbräuche[[#Headers],[2030]],Refsz_Verbräuche[[#This Row],[2030]],"")))</f>
        <v/>
      </c>
      <c r="W84" s="49" t="str">
        <f>IF(Klisz_Verbräuche[[#Headers],[2035]]=$B$14,IF(COUNTIF($G84:Klisz_Verbräuche[[#This Row],[2030]],"&gt;0")&gt;0, AVERAGEIF($G84:Klisz_Verbräuche[[#This Row],[2030]],"&lt;&gt;"), ""),IF($B$14&lt;Klisz_Verbräuche[[#Headers],[2035]],IF(COUNTIF($G84:Klisz_Verbräuche[[#This Row],[2030]],"&gt;0")&gt;0,IF(COUNTIF($G84:Klisz_Verbräuche[[#This Row],[2030]],"&gt;0")&gt;0,Klisz_Verbräuche[[#This Row],[2030]]*(1-$F84)^5, ""), ""),IF($B$14&gt;Klisz_Verbräuche[[#Headers],[2035]],Refsz_Verbräuche[[#This Row],[2035]],"")))</f>
        <v/>
      </c>
      <c r="X84" s="49" t="str">
        <f>IF(Klisz_Verbräuche[[#Headers],[2040]]=$B$14,IF(COUNTIF($G84:Klisz_Verbräuche[[#This Row],[2035]],"&gt;0")&gt;0, AVERAGEIF($G84:Klisz_Verbräuche[[#This Row],[2035]],"&lt;&gt;"), ""),IF($B$14&lt;Klisz_Verbräuche[[#Headers],[2040]],IF(COUNTIF($G84:Klisz_Verbräuche[[#This Row],[2035]],"&gt;0")&gt;0,IF(COUNTIF($G84:Klisz_Verbräuche[[#This Row],[2035]],"&gt;0")&gt;0,Klisz_Verbräuche[[#This Row],[2035]]*(1-$F84)^5, ""), ""),IF($B$14&gt;Klisz_Verbräuche[[#Headers],[2040]],Refsz_Verbräuche[[#This Row],[2040]],"")))</f>
        <v/>
      </c>
      <c r="Y84" s="49" t="str">
        <f>IF(Klisz_Verbräuche[[#Headers],[2045]]=$B$14,IF(COUNTIF($G84:Klisz_Verbräuche[[#This Row],[2040]],"&gt;0")&gt;0, AVERAGEIF($G84:Klisz_Verbräuche[[#This Row],[2040]],"&lt;&gt;"), ""),IF($B$14&lt;Klisz_Verbräuche[[#Headers],[2045]],IF(COUNTIF($G84:Klisz_Verbräuche[[#This Row],[2040]],"&gt;0")&gt;0,IF(COUNTIF($G84:Klisz_Verbräuche[[#This Row],[2040]],"&gt;0")&gt;0,Klisz_Verbräuche[[#This Row],[2040]]*(1-$F84)^5, ""), ""),IF($B$14&gt;Klisz_Verbräuche[[#Headers],[2045]],Refsz_Verbräuche[[#This Row],[2045]],"")))</f>
        <v/>
      </c>
      <c r="Z84" s="49" t="str">
        <f>IF(Klisz_Verbräuche[[#Headers],[2050]]=$B$14,IF(COUNTIF($G84:Klisz_Verbräuche[[#This Row],[2045]],"&gt;0")&gt;0, AVERAGEIF($G84:Klisz_Verbräuche[[#This Row],[2045]],"&lt;&gt;"), ""),IF($B$14&lt;Klisz_Verbräuche[[#Headers],[2050]],IF(COUNTIF($G84:Klisz_Verbräuche[[#This Row],[2045]],"&gt;0")&gt;0,IF(COUNTIF($G84:Klisz_Verbräuche[[#This Row],[2045]],"&gt;0")&gt;0,Klisz_Verbräuche[[#This Row],[2045]]*(1-$F84)^5, ""), ""),IF($B$14&gt;Klisz_Verbräuche[[#Headers],[2050]],Refsz_Verbräuche[[#This Row],[2050]],"")))</f>
        <v/>
      </c>
      <c r="AA84" s="14"/>
    </row>
    <row r="85" spans="2:27">
      <c r="B85" s="14">
        <v>68</v>
      </c>
      <c r="C85" s="197" t="str">
        <f>Refsz_Verbräuche[[#This Row],[Handlungsfeld]]</f>
        <v>Mobilität 2</v>
      </c>
      <c r="D85" s="19" t="str">
        <f>Refsz_Verbräuche[[#This Row],[Datenpunkt]]</f>
        <v>Pendeln - PKW (Benzin)</v>
      </c>
      <c r="E85" s="26" t="str">
        <f>Refsz_Verbräuche[[#This Row],[Einheit]]</f>
        <v>Fkm</v>
      </c>
      <c r="F85" s="108"/>
      <c r="G85" s="14" t="str">
        <f>IF(ISBLANK(Refsz_Verbräuche[[#This Row],[2015]]),"",Refsz_Verbräuche[[#This Row],[2015]])</f>
        <v/>
      </c>
      <c r="H85" s="14" t="str">
        <f>IF(ISBLANK(Refsz_Verbräuche[[#This Row],[2016]]),"",Refsz_Verbräuche[[#This Row],[2016]])</f>
        <v/>
      </c>
      <c r="I85" s="14" t="str">
        <f>IF(ISBLANK(Refsz_Verbräuche[[#This Row],[2017]]),"",Refsz_Verbräuche[[#This Row],[2017]])</f>
        <v/>
      </c>
      <c r="J85" s="14" t="str">
        <f>IF(ISBLANK(Refsz_Verbräuche[[#This Row],[2018]]),"",Refsz_Verbräuche[[#This Row],[2018]])</f>
        <v/>
      </c>
      <c r="K85" s="14" t="str">
        <f>IF(ISBLANK(Refsz_Verbräuche[[#This Row],[2019]]),"",Refsz_Verbräuche[[#This Row],[2019]])</f>
        <v/>
      </c>
      <c r="L85" s="14" t="str">
        <f>IF(ISBLANK(Refsz_Verbräuche[[#This Row],[2020]]),"",Refsz_Verbräuche[[#This Row],[2020]])</f>
        <v/>
      </c>
      <c r="M85" s="14" t="str">
        <f>IF(ISBLANK(Refsz_Verbräuche[[#This Row],[2021]]),"",Refsz_Verbräuche[[#This Row],[2021]])</f>
        <v/>
      </c>
      <c r="N85" s="49" t="str">
        <f>IF(Klisz_Verbräuche[[#Headers],[2022]]=$B$14,IF(COUNTIF($G85:Klisz_Verbräuche[[#This Row],[2021]],"&gt;0")&gt;0, AVERAGEIF($G85:Klisz_Verbräuche[[#This Row],[2021]],"&lt;&gt;"), ""),IF($B$14&lt;Klisz_Verbräuche[[#Headers],[2022]],IF(COUNTIF($G85:Klisz_Verbräuche[[#This Row],[2021]],"&gt;0")&gt;0,IF(COUNTIF($G85:Klisz_Verbräuche[[#This Row],[2021]],"&gt;0")&gt;0,Klisz_Verbräuche[[#This Row],[2021]]*(1-$F85)^1, ""), ""),IF($B$14&gt;Klisz_Verbräuche[[#Headers],[2022]],Refsz_Verbräuche[[#This Row],[2022]],"")))</f>
        <v/>
      </c>
      <c r="O85" s="49" t="str">
        <f>IF(Klisz_Verbräuche[[#Headers],[2023]]=$B$14,IF(COUNTIF($G85:Klisz_Verbräuche[[#This Row],[2022]],"&gt;0")&gt;0, AVERAGEIF($G85:Klisz_Verbräuche[[#This Row],[2022]],"&lt;&gt;"), ""),IF($B$14&lt;Klisz_Verbräuche[[#Headers],[2023]],IF(COUNTIF($G85:Klisz_Verbräuche[[#This Row],[2022]],"&gt;0")&gt;0,IF(COUNTIF($G85:Klisz_Verbräuche[[#This Row],[2022]],"&gt;0")&gt;0,Klisz_Verbräuche[[#This Row],[2022]]*(1-$F85)^1, ""), ""),IF($B$14&gt;Klisz_Verbräuche[[#Headers],[2023]],Refsz_Verbräuche[[#This Row],[2023]],"")))</f>
        <v/>
      </c>
      <c r="P85" s="49" t="str">
        <f>IF(Klisz_Verbräuche[[#Headers],[2024]]=$B$14,IF(COUNTIF($G85:Klisz_Verbräuche[[#This Row],[2023]],"&gt;0")&gt;0, AVERAGEIF($G85:Klisz_Verbräuche[[#This Row],[2023]],"&lt;&gt;"), ""),IF($B$14&lt;Klisz_Verbräuche[[#Headers],[2024]],IF(COUNTIF($G85:Klisz_Verbräuche[[#This Row],[2023]],"&gt;0")&gt;0,IF(COUNTIF($G85:Klisz_Verbräuche[[#This Row],[2023]],"&gt;0")&gt;0,Klisz_Verbräuche[[#This Row],[2023]]*(1-$F85)^1, ""), ""),IF($B$14&gt;Klisz_Verbräuche[[#Headers],[2024]],Refsz_Verbräuche[[#This Row],[2024]],"")))</f>
        <v/>
      </c>
      <c r="Q85" s="49" t="str">
        <f>IF(Klisz_Verbräuche[[#Headers],[2025]]=$B$14,IF(COUNTIF($G85:Klisz_Verbräuche[[#This Row],[2024]],"&gt;0")&gt;0, AVERAGEIF($G85:Klisz_Verbräuche[[#This Row],[2024]],"&lt;&gt;"), ""),IF($B$14&lt;Klisz_Verbräuche[[#Headers],[2025]],IF(COUNTIF($G85:Klisz_Verbräuche[[#This Row],[2024]],"&gt;0")&gt;0,IF(COUNTIF($G85:Klisz_Verbräuche[[#This Row],[2024]],"&gt;0")&gt;0,Klisz_Verbräuche[[#This Row],[2024]]*(1-$F85)^1, ""), ""),IF($B$14&gt;Klisz_Verbräuche[[#Headers],[2025]],Refsz_Verbräuche[[#This Row],[2025]],"")))</f>
        <v/>
      </c>
      <c r="R85" s="49" t="str">
        <f>IF(Klisz_Verbräuche[[#Headers],[2026]]=$B$14,IF(COUNTIF($G85:Klisz_Verbräuche[[#This Row],[2025]],"&gt;0")&gt;0, AVERAGEIF($G85:Klisz_Verbräuche[[#This Row],[2025]],"&lt;&gt;"), ""),IF($B$14&lt;Klisz_Verbräuche[[#Headers],[2026]],IF(COUNTIF($G85:Klisz_Verbräuche[[#This Row],[2025]],"&gt;0")&gt;0,IF(COUNTIF($G85:Klisz_Verbräuche[[#This Row],[2025]],"&gt;0")&gt;0,Klisz_Verbräuche[[#This Row],[2025]]*(1-$F85)^1, ""), ""),IF($B$14&gt;Klisz_Verbräuche[[#Headers],[2026]],Refsz_Verbräuche[[#This Row],[2026]],"")))</f>
        <v/>
      </c>
      <c r="S85" s="49" t="str">
        <f>IF(Klisz_Verbräuche[[#Headers],[2027]]=$B$14,IF(COUNTIF($G85:Klisz_Verbräuche[[#This Row],[2026]],"&gt;0")&gt;0, AVERAGEIF($G85:Klisz_Verbräuche[[#This Row],[2026]],"&lt;&gt;"), ""),IF($B$14&lt;Klisz_Verbräuche[[#Headers],[2027]],IF(COUNTIF($G85:Klisz_Verbräuche[[#This Row],[2026]],"&gt;0")&gt;0,IF(COUNTIF($G85:Klisz_Verbräuche[[#This Row],[2026]],"&gt;0")&gt;0,Klisz_Verbräuche[[#This Row],[2026]]*(1-$F85)^1, ""), ""),IF($B$14&gt;Klisz_Verbräuche[[#Headers],[2027]],Refsz_Verbräuche[[#This Row],[2027]],"")))</f>
        <v/>
      </c>
      <c r="T85" s="49" t="str">
        <f>IF(Klisz_Verbräuche[[#Headers],[2028]]=$B$14,IF(COUNTIF($G85:Klisz_Verbräuche[[#This Row],[2027]],"&gt;0")&gt;0, AVERAGEIF($G85:Klisz_Verbräuche[[#This Row],[2027]],"&lt;&gt;"), ""),IF($B$14&lt;Klisz_Verbräuche[[#Headers],[2028]],IF(COUNTIF($G85:Klisz_Verbräuche[[#This Row],[2027]],"&gt;0")&gt;0,IF(COUNTIF($G85:Klisz_Verbräuche[[#This Row],[2027]],"&gt;0")&gt;0,Klisz_Verbräuche[[#This Row],[2027]]*(1-$F85)^1, ""), ""),IF($B$14&gt;Klisz_Verbräuche[[#Headers],[2028]],Refsz_Verbräuche[[#This Row],[2028]],"")))</f>
        <v/>
      </c>
      <c r="U85" s="49" t="str">
        <f>IF(Klisz_Verbräuche[[#Headers],[2029]]=$B$14,IF(COUNTIF($G85:Klisz_Verbräuche[[#This Row],[2028]],"&gt;0")&gt;0, AVERAGEIF($G85:Klisz_Verbräuche[[#This Row],[2028]],"&lt;&gt;"), ""),IF($B$14&lt;Klisz_Verbräuche[[#Headers],[2029]],IF(COUNTIF($G85:Klisz_Verbräuche[[#This Row],[2028]],"&gt;0")&gt;0,IF(COUNTIF($G85:Klisz_Verbräuche[[#This Row],[2028]],"&gt;0")&gt;0,Klisz_Verbräuche[[#This Row],[2028]]*(1-$F85)^1, ""), ""),IF($B$14&gt;Klisz_Verbräuche[[#Headers],[2029]],Refsz_Verbräuche[[#This Row],[2029]],"")))</f>
        <v/>
      </c>
      <c r="V85" s="49" t="str">
        <f>IF(Klisz_Verbräuche[[#Headers],[2030]]=$B$14,IF(COUNTIF($G85:Klisz_Verbräuche[[#This Row],[2029]],"&gt;0")&gt;0, AVERAGEIF($G85:Klisz_Verbräuche[[#This Row],[2029]],"&lt;&gt;"), ""),IF($B$14&lt;Klisz_Verbräuche[[#Headers],[2030]],IF(COUNTIF($G85:Klisz_Verbräuche[[#This Row],[2029]],"&gt;0")&gt;0,IF(COUNTIF($G85:Klisz_Verbräuche[[#This Row],[2029]],"&gt;0")&gt;0,Klisz_Verbräuche[[#This Row],[2029]]*(1-$F85)^1, ""), ""),IF($B$14&gt;Klisz_Verbräuche[[#Headers],[2030]],Refsz_Verbräuche[[#This Row],[2030]],"")))</f>
        <v/>
      </c>
      <c r="W85" s="49" t="str">
        <f>IF(Klisz_Verbräuche[[#Headers],[2035]]=$B$14,IF(COUNTIF($G85:Klisz_Verbräuche[[#This Row],[2030]],"&gt;0")&gt;0, AVERAGEIF($G85:Klisz_Verbräuche[[#This Row],[2030]],"&lt;&gt;"), ""),IF($B$14&lt;Klisz_Verbräuche[[#Headers],[2035]],IF(COUNTIF($G85:Klisz_Verbräuche[[#This Row],[2030]],"&gt;0")&gt;0,IF(COUNTIF($G85:Klisz_Verbräuche[[#This Row],[2030]],"&gt;0")&gt;0,Klisz_Verbräuche[[#This Row],[2030]]*(1-$F85)^5, ""), ""),IF($B$14&gt;Klisz_Verbräuche[[#Headers],[2035]],Refsz_Verbräuche[[#This Row],[2035]],"")))</f>
        <v/>
      </c>
      <c r="X85" s="49" t="str">
        <f>IF(Klisz_Verbräuche[[#Headers],[2040]]=$B$14,IF(COUNTIF($G85:Klisz_Verbräuche[[#This Row],[2035]],"&gt;0")&gt;0, AVERAGEIF($G85:Klisz_Verbräuche[[#This Row],[2035]],"&lt;&gt;"), ""),IF($B$14&lt;Klisz_Verbräuche[[#Headers],[2040]],IF(COUNTIF($G85:Klisz_Verbräuche[[#This Row],[2035]],"&gt;0")&gt;0,IF(COUNTIF($G85:Klisz_Verbräuche[[#This Row],[2035]],"&gt;0")&gt;0,Klisz_Verbräuche[[#This Row],[2035]]*(1-$F85)^5, ""), ""),IF($B$14&gt;Klisz_Verbräuche[[#Headers],[2040]],Refsz_Verbräuche[[#This Row],[2040]],"")))</f>
        <v/>
      </c>
      <c r="Y85" s="49" t="str">
        <f>IF(Klisz_Verbräuche[[#Headers],[2045]]=$B$14,IF(COUNTIF($G85:Klisz_Verbräuche[[#This Row],[2040]],"&gt;0")&gt;0, AVERAGEIF($G85:Klisz_Verbräuche[[#This Row],[2040]],"&lt;&gt;"), ""),IF($B$14&lt;Klisz_Verbräuche[[#Headers],[2045]],IF(COUNTIF($G85:Klisz_Verbräuche[[#This Row],[2040]],"&gt;0")&gt;0,IF(COUNTIF($G85:Klisz_Verbräuche[[#This Row],[2040]],"&gt;0")&gt;0,Klisz_Verbräuche[[#This Row],[2040]]*(1-$F85)^5, ""), ""),IF($B$14&gt;Klisz_Verbräuche[[#Headers],[2045]],Refsz_Verbräuche[[#This Row],[2045]],"")))</f>
        <v/>
      </c>
      <c r="Z85" s="49" t="str">
        <f>IF(Klisz_Verbräuche[[#Headers],[2050]]=$B$14,IF(COUNTIF($G85:Klisz_Verbräuche[[#This Row],[2045]],"&gt;0")&gt;0, AVERAGEIF($G85:Klisz_Verbräuche[[#This Row],[2045]],"&lt;&gt;"), ""),IF($B$14&lt;Klisz_Verbräuche[[#Headers],[2050]],IF(COUNTIF($G85:Klisz_Verbräuche[[#This Row],[2045]],"&gt;0")&gt;0,IF(COUNTIF($G85:Klisz_Verbräuche[[#This Row],[2045]],"&gt;0")&gt;0,Klisz_Verbräuche[[#This Row],[2045]]*(1-$F85)^5, ""), ""),IF($B$14&gt;Klisz_Verbräuche[[#Headers],[2050]],Refsz_Verbräuche[[#This Row],[2050]],"")))</f>
        <v/>
      </c>
      <c r="AA85" s="14"/>
    </row>
    <row r="86" spans="2:27">
      <c r="B86" s="14">
        <v>69</v>
      </c>
      <c r="C86" s="197" t="str">
        <f>Refsz_Verbräuche[[#This Row],[Handlungsfeld]]</f>
        <v>Mobilität 2</v>
      </c>
      <c r="D86" s="19" t="str">
        <f>Refsz_Verbräuche[[#This Row],[Datenpunkt]]</f>
        <v>Pendeln - PKW (E-Auto/ BEV)</v>
      </c>
      <c r="E86" s="26" t="str">
        <f>Refsz_Verbräuche[[#This Row],[Einheit]]</f>
        <v>Fkm</v>
      </c>
      <c r="F86" s="108"/>
      <c r="G86" s="14" t="str">
        <f>IF(ISBLANK(Refsz_Verbräuche[[#This Row],[2015]]),"",Refsz_Verbräuche[[#This Row],[2015]])</f>
        <v/>
      </c>
      <c r="H86" s="14" t="str">
        <f>IF(ISBLANK(Refsz_Verbräuche[[#This Row],[2016]]),"",Refsz_Verbräuche[[#This Row],[2016]])</f>
        <v/>
      </c>
      <c r="I86" s="14" t="str">
        <f>IF(ISBLANK(Refsz_Verbräuche[[#This Row],[2017]]),"",Refsz_Verbräuche[[#This Row],[2017]])</f>
        <v/>
      </c>
      <c r="J86" s="14" t="str">
        <f>IF(ISBLANK(Refsz_Verbräuche[[#This Row],[2018]]),"",Refsz_Verbräuche[[#This Row],[2018]])</f>
        <v/>
      </c>
      <c r="K86" s="14" t="str">
        <f>IF(ISBLANK(Refsz_Verbräuche[[#This Row],[2019]]),"",Refsz_Verbräuche[[#This Row],[2019]])</f>
        <v/>
      </c>
      <c r="L86" s="14" t="str">
        <f>IF(ISBLANK(Refsz_Verbräuche[[#This Row],[2020]]),"",Refsz_Verbräuche[[#This Row],[2020]])</f>
        <v/>
      </c>
      <c r="M86" s="14" t="str">
        <f>IF(ISBLANK(Refsz_Verbräuche[[#This Row],[2021]]),"",Refsz_Verbräuche[[#This Row],[2021]])</f>
        <v/>
      </c>
      <c r="N86" s="49" t="str">
        <f>IF(Klisz_Verbräuche[[#Headers],[2022]]=$B$14,IF(COUNTIF($G86:Klisz_Verbräuche[[#This Row],[2021]],"&gt;0")&gt;0, AVERAGEIF($G86:Klisz_Verbräuche[[#This Row],[2021]],"&lt;&gt;"), ""),IF($B$14&lt;Klisz_Verbräuche[[#Headers],[2022]],IF(COUNTIF($G86:Klisz_Verbräuche[[#This Row],[2021]],"&gt;0")&gt;0,IF(COUNTIF($G86:Klisz_Verbräuche[[#This Row],[2021]],"&gt;0")&gt;0,Klisz_Verbräuche[[#This Row],[2021]]*(1-$F86)^1, ""), ""),IF($B$14&gt;Klisz_Verbräuche[[#Headers],[2022]],Refsz_Verbräuche[[#This Row],[2022]],"")))</f>
        <v/>
      </c>
      <c r="O86" s="49" t="str">
        <f>IF(Klisz_Verbräuche[[#Headers],[2023]]=$B$14,IF(COUNTIF($G86:Klisz_Verbräuche[[#This Row],[2022]],"&gt;0")&gt;0, AVERAGEIF($G86:Klisz_Verbräuche[[#This Row],[2022]],"&lt;&gt;"), ""),IF($B$14&lt;Klisz_Verbräuche[[#Headers],[2023]],IF(COUNTIF($G86:Klisz_Verbräuche[[#This Row],[2022]],"&gt;0")&gt;0,IF(COUNTIF($G86:Klisz_Verbräuche[[#This Row],[2022]],"&gt;0")&gt;0,Klisz_Verbräuche[[#This Row],[2022]]*(1-$F86)^1, ""), ""),IF($B$14&gt;Klisz_Verbräuche[[#Headers],[2023]],Refsz_Verbräuche[[#This Row],[2023]],"")))</f>
        <v/>
      </c>
      <c r="P86" s="49" t="str">
        <f>IF(Klisz_Verbräuche[[#Headers],[2024]]=$B$14,IF(COUNTIF($G86:Klisz_Verbräuche[[#This Row],[2023]],"&gt;0")&gt;0, AVERAGEIF($G86:Klisz_Verbräuche[[#This Row],[2023]],"&lt;&gt;"), ""),IF($B$14&lt;Klisz_Verbräuche[[#Headers],[2024]],IF(COUNTIF($G86:Klisz_Verbräuche[[#This Row],[2023]],"&gt;0")&gt;0,IF(COUNTIF($G86:Klisz_Verbräuche[[#This Row],[2023]],"&gt;0")&gt;0,Klisz_Verbräuche[[#This Row],[2023]]*(1-$F86)^1, ""), ""),IF($B$14&gt;Klisz_Verbräuche[[#Headers],[2024]],Refsz_Verbräuche[[#This Row],[2024]],"")))</f>
        <v/>
      </c>
      <c r="Q86" s="49" t="str">
        <f>IF(Klisz_Verbräuche[[#Headers],[2025]]=$B$14,IF(COUNTIF($G86:Klisz_Verbräuche[[#This Row],[2024]],"&gt;0")&gt;0, AVERAGEIF($G86:Klisz_Verbräuche[[#This Row],[2024]],"&lt;&gt;"), ""),IF($B$14&lt;Klisz_Verbräuche[[#Headers],[2025]],IF(COUNTIF($G86:Klisz_Verbräuche[[#This Row],[2024]],"&gt;0")&gt;0,IF(COUNTIF($G86:Klisz_Verbräuche[[#This Row],[2024]],"&gt;0")&gt;0,Klisz_Verbräuche[[#This Row],[2024]]*(1-$F86)^1, ""), ""),IF($B$14&gt;Klisz_Verbräuche[[#Headers],[2025]],Refsz_Verbräuche[[#This Row],[2025]],"")))</f>
        <v/>
      </c>
      <c r="R86" s="49" t="str">
        <f>IF(Klisz_Verbräuche[[#Headers],[2026]]=$B$14,IF(COUNTIF($G86:Klisz_Verbräuche[[#This Row],[2025]],"&gt;0")&gt;0, AVERAGEIF($G86:Klisz_Verbräuche[[#This Row],[2025]],"&lt;&gt;"), ""),IF($B$14&lt;Klisz_Verbräuche[[#Headers],[2026]],IF(COUNTIF($G86:Klisz_Verbräuche[[#This Row],[2025]],"&gt;0")&gt;0,IF(COUNTIF($G86:Klisz_Verbräuche[[#This Row],[2025]],"&gt;0")&gt;0,Klisz_Verbräuche[[#This Row],[2025]]*(1-$F86)^1, ""), ""),IF($B$14&gt;Klisz_Verbräuche[[#Headers],[2026]],Refsz_Verbräuche[[#This Row],[2026]],"")))</f>
        <v/>
      </c>
      <c r="S86" s="49" t="str">
        <f>IF(Klisz_Verbräuche[[#Headers],[2027]]=$B$14,IF(COUNTIF($G86:Klisz_Verbräuche[[#This Row],[2026]],"&gt;0")&gt;0, AVERAGEIF($G86:Klisz_Verbräuche[[#This Row],[2026]],"&lt;&gt;"), ""),IF($B$14&lt;Klisz_Verbräuche[[#Headers],[2027]],IF(COUNTIF($G86:Klisz_Verbräuche[[#This Row],[2026]],"&gt;0")&gt;0,IF(COUNTIF($G86:Klisz_Verbräuche[[#This Row],[2026]],"&gt;0")&gt;0,Klisz_Verbräuche[[#This Row],[2026]]*(1-$F86)^1, ""), ""),IF($B$14&gt;Klisz_Verbräuche[[#Headers],[2027]],Refsz_Verbräuche[[#This Row],[2027]],"")))</f>
        <v/>
      </c>
      <c r="T86" s="49" t="str">
        <f>IF(Klisz_Verbräuche[[#Headers],[2028]]=$B$14,IF(COUNTIF($G86:Klisz_Verbräuche[[#This Row],[2027]],"&gt;0")&gt;0, AVERAGEIF($G86:Klisz_Verbräuche[[#This Row],[2027]],"&lt;&gt;"), ""),IF($B$14&lt;Klisz_Verbräuche[[#Headers],[2028]],IF(COUNTIF($G86:Klisz_Verbräuche[[#This Row],[2027]],"&gt;0")&gt;0,IF(COUNTIF($G86:Klisz_Verbräuche[[#This Row],[2027]],"&gt;0")&gt;0,Klisz_Verbräuche[[#This Row],[2027]]*(1-$F86)^1, ""), ""),IF($B$14&gt;Klisz_Verbräuche[[#Headers],[2028]],Refsz_Verbräuche[[#This Row],[2028]],"")))</f>
        <v/>
      </c>
      <c r="U86" s="49" t="str">
        <f>IF(Klisz_Verbräuche[[#Headers],[2029]]=$B$14,IF(COUNTIF($G86:Klisz_Verbräuche[[#This Row],[2028]],"&gt;0")&gt;0, AVERAGEIF($G86:Klisz_Verbräuche[[#This Row],[2028]],"&lt;&gt;"), ""),IF($B$14&lt;Klisz_Verbräuche[[#Headers],[2029]],IF(COUNTIF($G86:Klisz_Verbräuche[[#This Row],[2028]],"&gt;0")&gt;0,IF(COUNTIF($G86:Klisz_Verbräuche[[#This Row],[2028]],"&gt;0")&gt;0,Klisz_Verbräuche[[#This Row],[2028]]*(1-$F86)^1, ""), ""),IF($B$14&gt;Klisz_Verbräuche[[#Headers],[2029]],Refsz_Verbräuche[[#This Row],[2029]],"")))</f>
        <v/>
      </c>
      <c r="V86" s="49" t="str">
        <f>IF(Klisz_Verbräuche[[#Headers],[2030]]=$B$14,IF(COUNTIF($G86:Klisz_Verbräuche[[#This Row],[2029]],"&gt;0")&gt;0, AVERAGEIF($G86:Klisz_Verbräuche[[#This Row],[2029]],"&lt;&gt;"), ""),IF($B$14&lt;Klisz_Verbräuche[[#Headers],[2030]],IF(COUNTIF($G86:Klisz_Verbräuche[[#This Row],[2029]],"&gt;0")&gt;0,IF(COUNTIF($G86:Klisz_Verbräuche[[#This Row],[2029]],"&gt;0")&gt;0,Klisz_Verbräuche[[#This Row],[2029]]*(1-$F86)^1, ""), ""),IF($B$14&gt;Klisz_Verbräuche[[#Headers],[2030]],Refsz_Verbräuche[[#This Row],[2030]],"")))</f>
        <v/>
      </c>
      <c r="W86" s="49" t="str">
        <f>IF(Klisz_Verbräuche[[#Headers],[2035]]=$B$14,IF(COUNTIF($G86:Klisz_Verbräuche[[#This Row],[2030]],"&gt;0")&gt;0, AVERAGEIF($G86:Klisz_Verbräuche[[#This Row],[2030]],"&lt;&gt;"), ""),IF($B$14&lt;Klisz_Verbräuche[[#Headers],[2035]],IF(COUNTIF($G86:Klisz_Verbräuche[[#This Row],[2030]],"&gt;0")&gt;0,IF(COUNTIF($G86:Klisz_Verbräuche[[#This Row],[2030]],"&gt;0")&gt;0,Klisz_Verbräuche[[#This Row],[2030]]*(1-$F86)^5, ""), ""),IF($B$14&gt;Klisz_Verbräuche[[#Headers],[2035]],Refsz_Verbräuche[[#This Row],[2035]],"")))</f>
        <v/>
      </c>
      <c r="X86" s="49" t="str">
        <f>IF(Klisz_Verbräuche[[#Headers],[2040]]=$B$14,IF(COUNTIF($G86:Klisz_Verbräuche[[#This Row],[2035]],"&gt;0")&gt;0, AVERAGEIF($G86:Klisz_Verbräuche[[#This Row],[2035]],"&lt;&gt;"), ""),IF($B$14&lt;Klisz_Verbräuche[[#Headers],[2040]],IF(COUNTIF($G86:Klisz_Verbräuche[[#This Row],[2035]],"&gt;0")&gt;0,IF(COUNTIF($G86:Klisz_Verbräuche[[#This Row],[2035]],"&gt;0")&gt;0,Klisz_Verbräuche[[#This Row],[2035]]*(1-$F86)^5, ""), ""),IF($B$14&gt;Klisz_Verbräuche[[#Headers],[2040]],Refsz_Verbräuche[[#This Row],[2040]],"")))</f>
        <v/>
      </c>
      <c r="Y86" s="49" t="str">
        <f>IF(Klisz_Verbräuche[[#Headers],[2045]]=$B$14,IF(COUNTIF($G86:Klisz_Verbräuche[[#This Row],[2040]],"&gt;0")&gt;0, AVERAGEIF($G86:Klisz_Verbräuche[[#This Row],[2040]],"&lt;&gt;"), ""),IF($B$14&lt;Klisz_Verbräuche[[#Headers],[2045]],IF(COUNTIF($G86:Klisz_Verbräuche[[#This Row],[2040]],"&gt;0")&gt;0,IF(COUNTIF($G86:Klisz_Verbräuche[[#This Row],[2040]],"&gt;0")&gt;0,Klisz_Verbräuche[[#This Row],[2040]]*(1-$F86)^5, ""), ""),IF($B$14&gt;Klisz_Verbräuche[[#Headers],[2045]],Refsz_Verbräuche[[#This Row],[2045]],"")))</f>
        <v/>
      </c>
      <c r="Z86" s="49" t="str">
        <f>IF(Klisz_Verbräuche[[#Headers],[2050]]=$B$14,IF(COUNTIF($G86:Klisz_Verbräuche[[#This Row],[2045]],"&gt;0")&gt;0, AVERAGEIF($G86:Klisz_Verbräuche[[#This Row],[2045]],"&lt;&gt;"), ""),IF($B$14&lt;Klisz_Verbräuche[[#Headers],[2050]],IF(COUNTIF($G86:Klisz_Verbräuche[[#This Row],[2045]],"&gt;0")&gt;0,IF(COUNTIF($G86:Klisz_Verbräuche[[#This Row],[2045]],"&gt;0")&gt;0,Klisz_Verbräuche[[#This Row],[2045]]*(1-$F86)^5, ""), ""),IF($B$14&gt;Klisz_Verbräuche[[#Headers],[2050]],Refsz_Verbräuche[[#This Row],[2050]],"")))</f>
        <v/>
      </c>
      <c r="AA86" s="14"/>
    </row>
    <row r="87" spans="2:27">
      <c r="B87" s="14">
        <v>70</v>
      </c>
      <c r="C87" s="197" t="str">
        <f>Refsz_Verbräuche[[#This Row],[Handlungsfeld]]</f>
        <v>Mobilität 2</v>
      </c>
      <c r="D87" s="19" t="str">
        <f>Refsz_Verbräuche[[#This Row],[Datenpunkt]]</f>
        <v>Pendeln - PKW (Wasserstoff/ FCEV)</v>
      </c>
      <c r="E87" s="26" t="str">
        <f>Refsz_Verbräuche[[#This Row],[Einheit]]</f>
        <v>Fkm</v>
      </c>
      <c r="F87" s="108"/>
      <c r="G87" s="14" t="str">
        <f>IF(ISBLANK(Refsz_Verbräuche[[#This Row],[2015]]),"",Refsz_Verbräuche[[#This Row],[2015]])</f>
        <v/>
      </c>
      <c r="H87" s="14" t="str">
        <f>IF(ISBLANK(Refsz_Verbräuche[[#This Row],[2016]]),"",Refsz_Verbräuche[[#This Row],[2016]])</f>
        <v/>
      </c>
      <c r="I87" s="14" t="str">
        <f>IF(ISBLANK(Refsz_Verbräuche[[#This Row],[2017]]),"",Refsz_Verbräuche[[#This Row],[2017]])</f>
        <v/>
      </c>
      <c r="J87" s="14" t="str">
        <f>IF(ISBLANK(Refsz_Verbräuche[[#This Row],[2018]]),"",Refsz_Verbräuche[[#This Row],[2018]])</f>
        <v/>
      </c>
      <c r="K87" s="14" t="str">
        <f>IF(ISBLANK(Refsz_Verbräuche[[#This Row],[2019]]),"",Refsz_Verbräuche[[#This Row],[2019]])</f>
        <v/>
      </c>
      <c r="L87" s="14" t="str">
        <f>IF(ISBLANK(Refsz_Verbräuche[[#This Row],[2020]]),"",Refsz_Verbräuche[[#This Row],[2020]])</f>
        <v/>
      </c>
      <c r="M87" s="14" t="str">
        <f>IF(ISBLANK(Refsz_Verbräuche[[#This Row],[2021]]),"",Refsz_Verbräuche[[#This Row],[2021]])</f>
        <v/>
      </c>
      <c r="N87" s="49" t="str">
        <f>IF(Klisz_Verbräuche[[#Headers],[2022]]=$B$14,IF(COUNTIF($G87:Klisz_Verbräuche[[#This Row],[2021]],"&gt;0")&gt;0, AVERAGEIF($G87:Klisz_Verbräuche[[#This Row],[2021]],"&lt;&gt;"), ""),IF($B$14&lt;Klisz_Verbräuche[[#Headers],[2022]],IF(COUNTIF($G87:Klisz_Verbräuche[[#This Row],[2021]],"&gt;0")&gt;0,IF(COUNTIF($G87:Klisz_Verbräuche[[#This Row],[2021]],"&gt;0")&gt;0,Klisz_Verbräuche[[#This Row],[2021]]*(1-$F87)^1, ""), ""),IF($B$14&gt;Klisz_Verbräuche[[#Headers],[2022]],Refsz_Verbräuche[[#This Row],[2022]],"")))</f>
        <v/>
      </c>
      <c r="O87" s="49" t="str">
        <f>IF(Klisz_Verbräuche[[#Headers],[2023]]=$B$14,IF(COUNTIF($G87:Klisz_Verbräuche[[#This Row],[2022]],"&gt;0")&gt;0, AVERAGEIF($G87:Klisz_Verbräuche[[#This Row],[2022]],"&lt;&gt;"), ""),IF($B$14&lt;Klisz_Verbräuche[[#Headers],[2023]],IF(COUNTIF($G87:Klisz_Verbräuche[[#This Row],[2022]],"&gt;0")&gt;0,IF(COUNTIF($G87:Klisz_Verbräuche[[#This Row],[2022]],"&gt;0")&gt;0,Klisz_Verbräuche[[#This Row],[2022]]*(1-$F87)^1, ""), ""),IF($B$14&gt;Klisz_Verbräuche[[#Headers],[2023]],Refsz_Verbräuche[[#This Row],[2023]],"")))</f>
        <v/>
      </c>
      <c r="P87" s="49" t="str">
        <f>IF(Klisz_Verbräuche[[#Headers],[2024]]=$B$14,IF(COUNTIF($G87:Klisz_Verbräuche[[#This Row],[2023]],"&gt;0")&gt;0, AVERAGEIF($G87:Klisz_Verbräuche[[#This Row],[2023]],"&lt;&gt;"), ""),IF($B$14&lt;Klisz_Verbräuche[[#Headers],[2024]],IF(COUNTIF($G87:Klisz_Verbräuche[[#This Row],[2023]],"&gt;0")&gt;0,IF(COUNTIF($G87:Klisz_Verbräuche[[#This Row],[2023]],"&gt;0")&gt;0,Klisz_Verbräuche[[#This Row],[2023]]*(1-$F87)^1, ""), ""),IF($B$14&gt;Klisz_Verbräuche[[#Headers],[2024]],Refsz_Verbräuche[[#This Row],[2024]],"")))</f>
        <v/>
      </c>
      <c r="Q87" s="49" t="str">
        <f>IF(Klisz_Verbräuche[[#Headers],[2025]]=$B$14,IF(COUNTIF($G87:Klisz_Verbräuche[[#This Row],[2024]],"&gt;0")&gt;0, AVERAGEIF($G87:Klisz_Verbräuche[[#This Row],[2024]],"&lt;&gt;"), ""),IF($B$14&lt;Klisz_Verbräuche[[#Headers],[2025]],IF(COUNTIF($G87:Klisz_Verbräuche[[#This Row],[2024]],"&gt;0")&gt;0,IF(COUNTIF($G87:Klisz_Verbräuche[[#This Row],[2024]],"&gt;0")&gt;0,Klisz_Verbräuche[[#This Row],[2024]]*(1-$F87)^1, ""), ""),IF($B$14&gt;Klisz_Verbräuche[[#Headers],[2025]],Refsz_Verbräuche[[#This Row],[2025]],"")))</f>
        <v/>
      </c>
      <c r="R87" s="49" t="str">
        <f>IF(Klisz_Verbräuche[[#Headers],[2026]]=$B$14,IF(COUNTIF($G87:Klisz_Verbräuche[[#This Row],[2025]],"&gt;0")&gt;0, AVERAGEIF($G87:Klisz_Verbräuche[[#This Row],[2025]],"&lt;&gt;"), ""),IF($B$14&lt;Klisz_Verbräuche[[#Headers],[2026]],IF(COUNTIF($G87:Klisz_Verbräuche[[#This Row],[2025]],"&gt;0")&gt;0,IF(COUNTIF($G87:Klisz_Verbräuche[[#This Row],[2025]],"&gt;0")&gt;0,Klisz_Verbräuche[[#This Row],[2025]]*(1-$F87)^1, ""), ""),IF($B$14&gt;Klisz_Verbräuche[[#Headers],[2026]],Refsz_Verbräuche[[#This Row],[2026]],"")))</f>
        <v/>
      </c>
      <c r="S87" s="49" t="str">
        <f>IF(Klisz_Verbräuche[[#Headers],[2027]]=$B$14,IF(COUNTIF($G87:Klisz_Verbräuche[[#This Row],[2026]],"&gt;0")&gt;0, AVERAGEIF($G87:Klisz_Verbräuche[[#This Row],[2026]],"&lt;&gt;"), ""),IF($B$14&lt;Klisz_Verbräuche[[#Headers],[2027]],IF(COUNTIF($G87:Klisz_Verbräuche[[#This Row],[2026]],"&gt;0")&gt;0,IF(COUNTIF($G87:Klisz_Verbräuche[[#This Row],[2026]],"&gt;0")&gt;0,Klisz_Verbräuche[[#This Row],[2026]]*(1-$F87)^1, ""), ""),IF($B$14&gt;Klisz_Verbräuche[[#Headers],[2027]],Refsz_Verbräuche[[#This Row],[2027]],"")))</f>
        <v/>
      </c>
      <c r="T87" s="49" t="str">
        <f>IF(Klisz_Verbräuche[[#Headers],[2028]]=$B$14,IF(COUNTIF($G87:Klisz_Verbräuche[[#This Row],[2027]],"&gt;0")&gt;0, AVERAGEIF($G87:Klisz_Verbräuche[[#This Row],[2027]],"&lt;&gt;"), ""),IF($B$14&lt;Klisz_Verbräuche[[#Headers],[2028]],IF(COUNTIF($G87:Klisz_Verbräuche[[#This Row],[2027]],"&gt;0")&gt;0,IF(COUNTIF($G87:Klisz_Verbräuche[[#This Row],[2027]],"&gt;0")&gt;0,Klisz_Verbräuche[[#This Row],[2027]]*(1-$F87)^1, ""), ""),IF($B$14&gt;Klisz_Verbräuche[[#Headers],[2028]],Refsz_Verbräuche[[#This Row],[2028]],"")))</f>
        <v/>
      </c>
      <c r="U87" s="49" t="str">
        <f>IF(Klisz_Verbräuche[[#Headers],[2029]]=$B$14,IF(COUNTIF($G87:Klisz_Verbräuche[[#This Row],[2028]],"&gt;0")&gt;0, AVERAGEIF($G87:Klisz_Verbräuche[[#This Row],[2028]],"&lt;&gt;"), ""),IF($B$14&lt;Klisz_Verbräuche[[#Headers],[2029]],IF(COUNTIF($G87:Klisz_Verbräuche[[#This Row],[2028]],"&gt;0")&gt;0,IF(COUNTIF($G87:Klisz_Verbräuche[[#This Row],[2028]],"&gt;0")&gt;0,Klisz_Verbräuche[[#This Row],[2028]]*(1-$F87)^1, ""), ""),IF($B$14&gt;Klisz_Verbräuche[[#Headers],[2029]],Refsz_Verbräuche[[#This Row],[2029]],"")))</f>
        <v/>
      </c>
      <c r="V87" s="49" t="str">
        <f>IF(Klisz_Verbräuche[[#Headers],[2030]]=$B$14,IF(COUNTIF($G87:Klisz_Verbräuche[[#This Row],[2029]],"&gt;0")&gt;0, AVERAGEIF($G87:Klisz_Verbräuche[[#This Row],[2029]],"&lt;&gt;"), ""),IF($B$14&lt;Klisz_Verbräuche[[#Headers],[2030]],IF(COUNTIF($G87:Klisz_Verbräuche[[#This Row],[2029]],"&gt;0")&gt;0,IF(COUNTIF($G87:Klisz_Verbräuche[[#This Row],[2029]],"&gt;0")&gt;0,Klisz_Verbräuche[[#This Row],[2029]]*(1-$F87)^1, ""), ""),IF($B$14&gt;Klisz_Verbräuche[[#Headers],[2030]],Refsz_Verbräuche[[#This Row],[2030]],"")))</f>
        <v/>
      </c>
      <c r="W87" s="49" t="str">
        <f>IF(Klisz_Verbräuche[[#Headers],[2035]]=$B$14,IF(COUNTIF($G87:Klisz_Verbräuche[[#This Row],[2030]],"&gt;0")&gt;0, AVERAGEIF($G87:Klisz_Verbräuche[[#This Row],[2030]],"&lt;&gt;"), ""),IF($B$14&lt;Klisz_Verbräuche[[#Headers],[2035]],IF(COUNTIF($G87:Klisz_Verbräuche[[#This Row],[2030]],"&gt;0")&gt;0,IF(COUNTIF($G87:Klisz_Verbräuche[[#This Row],[2030]],"&gt;0")&gt;0,Klisz_Verbräuche[[#This Row],[2030]]*(1-$F87)^5, ""), ""),IF($B$14&gt;Klisz_Verbräuche[[#Headers],[2035]],Refsz_Verbräuche[[#This Row],[2035]],"")))</f>
        <v/>
      </c>
      <c r="X87" s="49" t="str">
        <f>IF(Klisz_Verbräuche[[#Headers],[2040]]=$B$14,IF(COUNTIF($G87:Klisz_Verbräuche[[#This Row],[2035]],"&gt;0")&gt;0, AVERAGEIF($G87:Klisz_Verbräuche[[#This Row],[2035]],"&lt;&gt;"), ""),IF($B$14&lt;Klisz_Verbräuche[[#Headers],[2040]],IF(COUNTIF($G87:Klisz_Verbräuche[[#This Row],[2035]],"&gt;0")&gt;0,IF(COUNTIF($G87:Klisz_Verbräuche[[#This Row],[2035]],"&gt;0")&gt;0,Klisz_Verbräuche[[#This Row],[2035]]*(1-$F87)^5, ""), ""),IF($B$14&gt;Klisz_Verbräuche[[#Headers],[2040]],Refsz_Verbräuche[[#This Row],[2040]],"")))</f>
        <v/>
      </c>
      <c r="Y87" s="49" t="str">
        <f>IF(Klisz_Verbräuche[[#Headers],[2045]]=$B$14,IF(COUNTIF($G87:Klisz_Verbräuche[[#This Row],[2040]],"&gt;0")&gt;0, AVERAGEIF($G87:Klisz_Verbräuche[[#This Row],[2040]],"&lt;&gt;"), ""),IF($B$14&lt;Klisz_Verbräuche[[#Headers],[2045]],IF(COUNTIF($G87:Klisz_Verbräuche[[#This Row],[2040]],"&gt;0")&gt;0,IF(COUNTIF($G87:Klisz_Verbräuche[[#This Row],[2040]],"&gt;0")&gt;0,Klisz_Verbräuche[[#This Row],[2040]]*(1-$F87)^5, ""), ""),IF($B$14&gt;Klisz_Verbräuche[[#Headers],[2045]],Refsz_Verbräuche[[#This Row],[2045]],"")))</f>
        <v/>
      </c>
      <c r="Z87" s="49" t="str">
        <f>IF(Klisz_Verbräuche[[#Headers],[2050]]=$B$14,IF(COUNTIF($G87:Klisz_Verbräuche[[#This Row],[2045]],"&gt;0")&gt;0, AVERAGEIF($G87:Klisz_Verbräuche[[#This Row],[2045]],"&lt;&gt;"), ""),IF($B$14&lt;Klisz_Verbräuche[[#Headers],[2050]],IF(COUNTIF($G87:Klisz_Verbräuche[[#This Row],[2045]],"&gt;0")&gt;0,IF(COUNTIF($G87:Klisz_Verbräuche[[#This Row],[2045]],"&gt;0")&gt;0,Klisz_Verbräuche[[#This Row],[2045]]*(1-$F87)^5, ""), ""),IF($B$14&gt;Klisz_Verbräuche[[#Headers],[2050]],Refsz_Verbräuche[[#This Row],[2050]],"")))</f>
        <v/>
      </c>
      <c r="AA87" s="14"/>
    </row>
    <row r="88" spans="2:27">
      <c r="B88" s="14">
        <v>71</v>
      </c>
      <c r="C88" s="197" t="str">
        <f>Refsz_Verbräuche[[#This Row],[Handlungsfeld]]</f>
        <v>Mobilität 2</v>
      </c>
      <c r="D88" s="19" t="str">
        <f>Refsz_Verbräuche[[#This Row],[Datenpunkt]]</f>
        <v>Pendeln - PKW (CNG)</v>
      </c>
      <c r="E88" s="26" t="str">
        <f>Refsz_Verbräuche[[#This Row],[Einheit]]</f>
        <v>Fkm</v>
      </c>
      <c r="F88" s="108"/>
      <c r="G88" s="14" t="str">
        <f>IF(ISBLANK(Refsz_Verbräuche[[#This Row],[2015]]),"",Refsz_Verbräuche[[#This Row],[2015]])</f>
        <v/>
      </c>
      <c r="H88" s="14" t="str">
        <f>IF(ISBLANK(Refsz_Verbräuche[[#This Row],[2016]]),"",Refsz_Verbräuche[[#This Row],[2016]])</f>
        <v/>
      </c>
      <c r="I88" s="14" t="str">
        <f>IF(ISBLANK(Refsz_Verbräuche[[#This Row],[2017]]),"",Refsz_Verbräuche[[#This Row],[2017]])</f>
        <v/>
      </c>
      <c r="J88" s="14" t="str">
        <f>IF(ISBLANK(Refsz_Verbräuche[[#This Row],[2018]]),"",Refsz_Verbräuche[[#This Row],[2018]])</f>
        <v/>
      </c>
      <c r="K88" s="14" t="str">
        <f>IF(ISBLANK(Refsz_Verbräuche[[#This Row],[2019]]),"",Refsz_Verbräuche[[#This Row],[2019]])</f>
        <v/>
      </c>
      <c r="L88" s="14" t="str">
        <f>IF(ISBLANK(Refsz_Verbräuche[[#This Row],[2020]]),"",Refsz_Verbräuche[[#This Row],[2020]])</f>
        <v/>
      </c>
      <c r="M88" s="14" t="str">
        <f>IF(ISBLANK(Refsz_Verbräuche[[#This Row],[2021]]),"",Refsz_Verbräuche[[#This Row],[2021]])</f>
        <v/>
      </c>
      <c r="N88" s="49" t="str">
        <f>IF(Klisz_Verbräuche[[#Headers],[2022]]=$B$14,IF(COUNTIF($G88:Klisz_Verbräuche[[#This Row],[2021]],"&gt;0")&gt;0, AVERAGEIF($G88:Klisz_Verbräuche[[#This Row],[2021]],"&lt;&gt;"), ""),IF($B$14&lt;Klisz_Verbräuche[[#Headers],[2022]],IF(COUNTIF($G88:Klisz_Verbräuche[[#This Row],[2021]],"&gt;0")&gt;0,IF(COUNTIF($G88:Klisz_Verbräuche[[#This Row],[2021]],"&gt;0")&gt;0,Klisz_Verbräuche[[#This Row],[2021]]*(1-$F88)^1, ""), ""),IF($B$14&gt;Klisz_Verbräuche[[#Headers],[2022]],Refsz_Verbräuche[[#This Row],[2022]],"")))</f>
        <v/>
      </c>
      <c r="O88" s="49" t="str">
        <f>IF(Klisz_Verbräuche[[#Headers],[2023]]=$B$14,IF(COUNTIF($G88:Klisz_Verbräuche[[#This Row],[2022]],"&gt;0")&gt;0, AVERAGEIF($G88:Klisz_Verbräuche[[#This Row],[2022]],"&lt;&gt;"), ""),IF($B$14&lt;Klisz_Verbräuche[[#Headers],[2023]],IF(COUNTIF($G88:Klisz_Verbräuche[[#This Row],[2022]],"&gt;0")&gt;0,IF(COUNTIF($G88:Klisz_Verbräuche[[#This Row],[2022]],"&gt;0")&gt;0,Klisz_Verbräuche[[#This Row],[2022]]*(1-$F88)^1, ""), ""),IF($B$14&gt;Klisz_Verbräuche[[#Headers],[2023]],Refsz_Verbräuche[[#This Row],[2023]],"")))</f>
        <v/>
      </c>
      <c r="P88" s="49" t="str">
        <f>IF(Klisz_Verbräuche[[#Headers],[2024]]=$B$14,IF(COUNTIF($G88:Klisz_Verbräuche[[#This Row],[2023]],"&gt;0")&gt;0, AVERAGEIF($G88:Klisz_Verbräuche[[#This Row],[2023]],"&lt;&gt;"), ""),IF($B$14&lt;Klisz_Verbräuche[[#Headers],[2024]],IF(COUNTIF($G88:Klisz_Verbräuche[[#This Row],[2023]],"&gt;0")&gt;0,IF(COUNTIF($G88:Klisz_Verbräuche[[#This Row],[2023]],"&gt;0")&gt;0,Klisz_Verbräuche[[#This Row],[2023]]*(1-$F88)^1, ""), ""),IF($B$14&gt;Klisz_Verbräuche[[#Headers],[2024]],Refsz_Verbräuche[[#This Row],[2024]],"")))</f>
        <v/>
      </c>
      <c r="Q88" s="49" t="str">
        <f>IF(Klisz_Verbräuche[[#Headers],[2025]]=$B$14,IF(COUNTIF($G88:Klisz_Verbräuche[[#This Row],[2024]],"&gt;0")&gt;0, AVERAGEIF($G88:Klisz_Verbräuche[[#This Row],[2024]],"&lt;&gt;"), ""),IF($B$14&lt;Klisz_Verbräuche[[#Headers],[2025]],IF(COUNTIF($G88:Klisz_Verbräuche[[#This Row],[2024]],"&gt;0")&gt;0,IF(COUNTIF($G88:Klisz_Verbräuche[[#This Row],[2024]],"&gt;0")&gt;0,Klisz_Verbräuche[[#This Row],[2024]]*(1-$F88)^1, ""), ""),IF($B$14&gt;Klisz_Verbräuche[[#Headers],[2025]],Refsz_Verbräuche[[#This Row],[2025]],"")))</f>
        <v/>
      </c>
      <c r="R88" s="49" t="str">
        <f>IF(Klisz_Verbräuche[[#Headers],[2026]]=$B$14,IF(COUNTIF($G88:Klisz_Verbräuche[[#This Row],[2025]],"&gt;0")&gt;0, AVERAGEIF($G88:Klisz_Verbräuche[[#This Row],[2025]],"&lt;&gt;"), ""),IF($B$14&lt;Klisz_Verbräuche[[#Headers],[2026]],IF(COUNTIF($G88:Klisz_Verbräuche[[#This Row],[2025]],"&gt;0")&gt;0,IF(COUNTIF($G88:Klisz_Verbräuche[[#This Row],[2025]],"&gt;0")&gt;0,Klisz_Verbräuche[[#This Row],[2025]]*(1-$F88)^1, ""), ""),IF($B$14&gt;Klisz_Verbräuche[[#Headers],[2026]],Refsz_Verbräuche[[#This Row],[2026]],"")))</f>
        <v/>
      </c>
      <c r="S88" s="49" t="str">
        <f>IF(Klisz_Verbräuche[[#Headers],[2027]]=$B$14,IF(COUNTIF($G88:Klisz_Verbräuche[[#This Row],[2026]],"&gt;0")&gt;0, AVERAGEIF($G88:Klisz_Verbräuche[[#This Row],[2026]],"&lt;&gt;"), ""),IF($B$14&lt;Klisz_Verbräuche[[#Headers],[2027]],IF(COUNTIF($G88:Klisz_Verbräuche[[#This Row],[2026]],"&gt;0")&gt;0,IF(COUNTIF($G88:Klisz_Verbräuche[[#This Row],[2026]],"&gt;0")&gt;0,Klisz_Verbräuche[[#This Row],[2026]]*(1-$F88)^1, ""), ""),IF($B$14&gt;Klisz_Verbräuche[[#Headers],[2027]],Refsz_Verbräuche[[#This Row],[2027]],"")))</f>
        <v/>
      </c>
      <c r="T88" s="49" t="str">
        <f>IF(Klisz_Verbräuche[[#Headers],[2028]]=$B$14,IF(COUNTIF($G88:Klisz_Verbräuche[[#This Row],[2027]],"&gt;0")&gt;0, AVERAGEIF($G88:Klisz_Verbräuche[[#This Row],[2027]],"&lt;&gt;"), ""),IF($B$14&lt;Klisz_Verbräuche[[#Headers],[2028]],IF(COUNTIF($G88:Klisz_Verbräuche[[#This Row],[2027]],"&gt;0")&gt;0,IF(COUNTIF($G88:Klisz_Verbräuche[[#This Row],[2027]],"&gt;0")&gt;0,Klisz_Verbräuche[[#This Row],[2027]]*(1-$F88)^1, ""), ""),IF($B$14&gt;Klisz_Verbräuche[[#Headers],[2028]],Refsz_Verbräuche[[#This Row],[2028]],"")))</f>
        <v/>
      </c>
      <c r="U88" s="49" t="str">
        <f>IF(Klisz_Verbräuche[[#Headers],[2029]]=$B$14,IF(COUNTIF($G88:Klisz_Verbräuche[[#This Row],[2028]],"&gt;0")&gt;0, AVERAGEIF($G88:Klisz_Verbräuche[[#This Row],[2028]],"&lt;&gt;"), ""),IF($B$14&lt;Klisz_Verbräuche[[#Headers],[2029]],IF(COUNTIF($G88:Klisz_Verbräuche[[#This Row],[2028]],"&gt;0")&gt;0,IF(COUNTIF($G88:Klisz_Verbräuche[[#This Row],[2028]],"&gt;0")&gt;0,Klisz_Verbräuche[[#This Row],[2028]]*(1-$F88)^1, ""), ""),IF($B$14&gt;Klisz_Verbräuche[[#Headers],[2029]],Refsz_Verbräuche[[#This Row],[2029]],"")))</f>
        <v/>
      </c>
      <c r="V88" s="49" t="str">
        <f>IF(Klisz_Verbräuche[[#Headers],[2030]]=$B$14,IF(COUNTIF($G88:Klisz_Verbräuche[[#This Row],[2029]],"&gt;0")&gt;0, AVERAGEIF($G88:Klisz_Verbräuche[[#This Row],[2029]],"&lt;&gt;"), ""),IF($B$14&lt;Klisz_Verbräuche[[#Headers],[2030]],IF(COUNTIF($G88:Klisz_Verbräuche[[#This Row],[2029]],"&gt;0")&gt;0,IF(COUNTIF($G88:Klisz_Verbräuche[[#This Row],[2029]],"&gt;0")&gt;0,Klisz_Verbräuche[[#This Row],[2029]]*(1-$F88)^1, ""), ""),IF($B$14&gt;Klisz_Verbräuche[[#Headers],[2030]],Refsz_Verbräuche[[#This Row],[2030]],"")))</f>
        <v/>
      </c>
      <c r="W88" s="49" t="str">
        <f>IF(Klisz_Verbräuche[[#Headers],[2035]]=$B$14,IF(COUNTIF($G88:Klisz_Verbräuche[[#This Row],[2030]],"&gt;0")&gt;0, AVERAGEIF($G88:Klisz_Verbräuche[[#This Row],[2030]],"&lt;&gt;"), ""),IF($B$14&lt;Klisz_Verbräuche[[#Headers],[2035]],IF(COUNTIF($G88:Klisz_Verbräuche[[#This Row],[2030]],"&gt;0")&gt;0,IF(COUNTIF($G88:Klisz_Verbräuche[[#This Row],[2030]],"&gt;0")&gt;0,Klisz_Verbräuche[[#This Row],[2030]]*(1-$F88)^5, ""), ""),IF($B$14&gt;Klisz_Verbräuche[[#Headers],[2035]],Refsz_Verbräuche[[#This Row],[2035]],"")))</f>
        <v/>
      </c>
      <c r="X88" s="49" t="str">
        <f>IF(Klisz_Verbräuche[[#Headers],[2040]]=$B$14,IF(COUNTIF($G88:Klisz_Verbräuche[[#This Row],[2035]],"&gt;0")&gt;0, AVERAGEIF($G88:Klisz_Verbräuche[[#This Row],[2035]],"&lt;&gt;"), ""),IF($B$14&lt;Klisz_Verbräuche[[#Headers],[2040]],IF(COUNTIF($G88:Klisz_Verbräuche[[#This Row],[2035]],"&gt;0")&gt;0,IF(COUNTIF($G88:Klisz_Verbräuche[[#This Row],[2035]],"&gt;0")&gt;0,Klisz_Verbräuche[[#This Row],[2035]]*(1-$F88)^5, ""), ""),IF($B$14&gt;Klisz_Verbräuche[[#Headers],[2040]],Refsz_Verbräuche[[#This Row],[2040]],"")))</f>
        <v/>
      </c>
      <c r="Y88" s="49" t="str">
        <f>IF(Klisz_Verbräuche[[#Headers],[2045]]=$B$14,IF(COUNTIF($G88:Klisz_Verbräuche[[#This Row],[2040]],"&gt;0")&gt;0, AVERAGEIF($G88:Klisz_Verbräuche[[#This Row],[2040]],"&lt;&gt;"), ""),IF($B$14&lt;Klisz_Verbräuche[[#Headers],[2045]],IF(COUNTIF($G88:Klisz_Verbräuche[[#This Row],[2040]],"&gt;0")&gt;0,IF(COUNTIF($G88:Klisz_Verbräuche[[#This Row],[2040]],"&gt;0")&gt;0,Klisz_Verbräuche[[#This Row],[2040]]*(1-$F88)^5, ""), ""),IF($B$14&gt;Klisz_Verbräuche[[#Headers],[2045]],Refsz_Verbräuche[[#This Row],[2045]],"")))</f>
        <v/>
      </c>
      <c r="Z88" s="49" t="str">
        <f>IF(Klisz_Verbräuche[[#Headers],[2050]]=$B$14,IF(COUNTIF($G88:Klisz_Verbräuche[[#This Row],[2045]],"&gt;0")&gt;0, AVERAGEIF($G88:Klisz_Verbräuche[[#This Row],[2045]],"&lt;&gt;"), ""),IF($B$14&lt;Klisz_Verbräuche[[#Headers],[2050]],IF(COUNTIF($G88:Klisz_Verbräuche[[#This Row],[2045]],"&gt;0")&gt;0,IF(COUNTIF($G88:Klisz_Verbräuche[[#This Row],[2045]],"&gt;0")&gt;0,Klisz_Verbräuche[[#This Row],[2045]]*(1-$F88)^5, ""), ""),IF($B$14&gt;Klisz_Verbräuche[[#Headers],[2050]],Refsz_Verbräuche[[#This Row],[2050]],"")))</f>
        <v/>
      </c>
      <c r="AA88" s="14"/>
    </row>
    <row r="89" spans="2:27">
      <c r="B89" s="14">
        <v>72</v>
      </c>
      <c r="C89" s="197" t="str">
        <f>Refsz_Verbräuche[[#This Row],[Handlungsfeld]]</f>
        <v>Mobilität 2</v>
      </c>
      <c r="D89" s="19" t="str">
        <f>Refsz_Verbräuche[[#This Row],[Datenpunkt]]</f>
        <v>Pendeln - PKW (Plug-In-Hybrid/PHEV)</v>
      </c>
      <c r="E89" s="26" t="str">
        <f>Refsz_Verbräuche[[#This Row],[Einheit]]</f>
        <v>Fkm</v>
      </c>
      <c r="F89" s="108"/>
      <c r="G89" s="14" t="str">
        <f>IF(ISBLANK(Refsz_Verbräuche[[#This Row],[2015]]),"",Refsz_Verbräuche[[#This Row],[2015]])</f>
        <v/>
      </c>
      <c r="H89" s="14" t="str">
        <f>IF(ISBLANK(Refsz_Verbräuche[[#This Row],[2016]]),"",Refsz_Verbräuche[[#This Row],[2016]])</f>
        <v/>
      </c>
      <c r="I89" s="14" t="str">
        <f>IF(ISBLANK(Refsz_Verbräuche[[#This Row],[2017]]),"",Refsz_Verbräuche[[#This Row],[2017]])</f>
        <v/>
      </c>
      <c r="J89" s="14" t="str">
        <f>IF(ISBLANK(Refsz_Verbräuche[[#This Row],[2018]]),"",Refsz_Verbräuche[[#This Row],[2018]])</f>
        <v/>
      </c>
      <c r="K89" s="14" t="str">
        <f>IF(ISBLANK(Refsz_Verbräuche[[#This Row],[2019]]),"",Refsz_Verbräuche[[#This Row],[2019]])</f>
        <v/>
      </c>
      <c r="L89" s="14" t="str">
        <f>IF(ISBLANK(Refsz_Verbräuche[[#This Row],[2020]]),"",Refsz_Verbräuche[[#This Row],[2020]])</f>
        <v/>
      </c>
      <c r="M89" s="14" t="str">
        <f>IF(ISBLANK(Refsz_Verbräuche[[#This Row],[2021]]),"",Refsz_Verbräuche[[#This Row],[2021]])</f>
        <v/>
      </c>
      <c r="N89" s="49" t="str">
        <f>IF(Klisz_Verbräuche[[#Headers],[2022]]=$B$14,IF(COUNTIF($G89:Klisz_Verbräuche[[#This Row],[2021]],"&gt;0")&gt;0, AVERAGEIF($G89:Klisz_Verbräuche[[#This Row],[2021]],"&lt;&gt;"), ""),IF($B$14&lt;Klisz_Verbräuche[[#Headers],[2022]],IF(COUNTIF($G89:Klisz_Verbräuche[[#This Row],[2021]],"&gt;0")&gt;0,IF(COUNTIF($G89:Klisz_Verbräuche[[#This Row],[2021]],"&gt;0")&gt;0,Klisz_Verbräuche[[#This Row],[2021]]*(1-$F89)^1, ""), ""),IF($B$14&gt;Klisz_Verbräuche[[#Headers],[2022]],Refsz_Verbräuche[[#This Row],[2022]],"")))</f>
        <v/>
      </c>
      <c r="O89" s="49" t="str">
        <f>IF(Klisz_Verbräuche[[#Headers],[2023]]=$B$14,IF(COUNTIF($G89:Klisz_Verbräuche[[#This Row],[2022]],"&gt;0")&gt;0, AVERAGEIF($G89:Klisz_Verbräuche[[#This Row],[2022]],"&lt;&gt;"), ""),IF($B$14&lt;Klisz_Verbräuche[[#Headers],[2023]],IF(COUNTIF($G89:Klisz_Verbräuche[[#This Row],[2022]],"&gt;0")&gt;0,IF(COUNTIF($G89:Klisz_Verbräuche[[#This Row],[2022]],"&gt;0")&gt;0,Klisz_Verbräuche[[#This Row],[2022]]*(1-$F89)^1, ""), ""),IF($B$14&gt;Klisz_Verbräuche[[#Headers],[2023]],Refsz_Verbräuche[[#This Row],[2023]],"")))</f>
        <v/>
      </c>
      <c r="P89" s="49" t="str">
        <f>IF(Klisz_Verbräuche[[#Headers],[2024]]=$B$14,IF(COUNTIF($G89:Klisz_Verbräuche[[#This Row],[2023]],"&gt;0")&gt;0, AVERAGEIF($G89:Klisz_Verbräuche[[#This Row],[2023]],"&lt;&gt;"), ""),IF($B$14&lt;Klisz_Verbräuche[[#Headers],[2024]],IF(COUNTIF($G89:Klisz_Verbräuche[[#This Row],[2023]],"&gt;0")&gt;0,IF(COUNTIF($G89:Klisz_Verbräuche[[#This Row],[2023]],"&gt;0")&gt;0,Klisz_Verbräuche[[#This Row],[2023]]*(1-$F89)^1, ""), ""),IF($B$14&gt;Klisz_Verbräuche[[#Headers],[2024]],Refsz_Verbräuche[[#This Row],[2024]],"")))</f>
        <v/>
      </c>
      <c r="Q89" s="49" t="str">
        <f>IF(Klisz_Verbräuche[[#Headers],[2025]]=$B$14,IF(COUNTIF($G89:Klisz_Verbräuche[[#This Row],[2024]],"&gt;0")&gt;0, AVERAGEIF($G89:Klisz_Verbräuche[[#This Row],[2024]],"&lt;&gt;"), ""),IF($B$14&lt;Klisz_Verbräuche[[#Headers],[2025]],IF(COUNTIF($G89:Klisz_Verbräuche[[#This Row],[2024]],"&gt;0")&gt;0,IF(COUNTIF($G89:Klisz_Verbräuche[[#This Row],[2024]],"&gt;0")&gt;0,Klisz_Verbräuche[[#This Row],[2024]]*(1-$F89)^1, ""), ""),IF($B$14&gt;Klisz_Verbräuche[[#Headers],[2025]],Refsz_Verbräuche[[#This Row],[2025]],"")))</f>
        <v/>
      </c>
      <c r="R89" s="49" t="str">
        <f>IF(Klisz_Verbräuche[[#Headers],[2026]]=$B$14,IF(COUNTIF($G89:Klisz_Verbräuche[[#This Row],[2025]],"&gt;0")&gt;0, AVERAGEIF($G89:Klisz_Verbräuche[[#This Row],[2025]],"&lt;&gt;"), ""),IF($B$14&lt;Klisz_Verbräuche[[#Headers],[2026]],IF(COUNTIF($G89:Klisz_Verbräuche[[#This Row],[2025]],"&gt;0")&gt;0,IF(COUNTIF($G89:Klisz_Verbräuche[[#This Row],[2025]],"&gt;0")&gt;0,Klisz_Verbräuche[[#This Row],[2025]]*(1-$F89)^1, ""), ""),IF($B$14&gt;Klisz_Verbräuche[[#Headers],[2026]],Refsz_Verbräuche[[#This Row],[2026]],"")))</f>
        <v/>
      </c>
      <c r="S89" s="49" t="str">
        <f>IF(Klisz_Verbräuche[[#Headers],[2027]]=$B$14,IF(COUNTIF($G89:Klisz_Verbräuche[[#This Row],[2026]],"&gt;0")&gt;0, AVERAGEIF($G89:Klisz_Verbräuche[[#This Row],[2026]],"&lt;&gt;"), ""),IF($B$14&lt;Klisz_Verbräuche[[#Headers],[2027]],IF(COUNTIF($G89:Klisz_Verbräuche[[#This Row],[2026]],"&gt;0")&gt;0,IF(COUNTIF($G89:Klisz_Verbräuche[[#This Row],[2026]],"&gt;0")&gt;0,Klisz_Verbräuche[[#This Row],[2026]]*(1-$F89)^1, ""), ""),IF($B$14&gt;Klisz_Verbräuche[[#Headers],[2027]],Refsz_Verbräuche[[#This Row],[2027]],"")))</f>
        <v/>
      </c>
      <c r="T89" s="49" t="str">
        <f>IF(Klisz_Verbräuche[[#Headers],[2028]]=$B$14,IF(COUNTIF($G89:Klisz_Verbräuche[[#This Row],[2027]],"&gt;0")&gt;0, AVERAGEIF($G89:Klisz_Verbräuche[[#This Row],[2027]],"&lt;&gt;"), ""),IF($B$14&lt;Klisz_Verbräuche[[#Headers],[2028]],IF(COUNTIF($G89:Klisz_Verbräuche[[#This Row],[2027]],"&gt;0")&gt;0,IF(COUNTIF($G89:Klisz_Verbräuche[[#This Row],[2027]],"&gt;0")&gt;0,Klisz_Verbräuche[[#This Row],[2027]]*(1-$F89)^1, ""), ""),IF($B$14&gt;Klisz_Verbräuche[[#Headers],[2028]],Refsz_Verbräuche[[#This Row],[2028]],"")))</f>
        <v/>
      </c>
      <c r="U89" s="49" t="str">
        <f>IF(Klisz_Verbräuche[[#Headers],[2029]]=$B$14,IF(COUNTIF($G89:Klisz_Verbräuche[[#This Row],[2028]],"&gt;0")&gt;0, AVERAGEIF($G89:Klisz_Verbräuche[[#This Row],[2028]],"&lt;&gt;"), ""),IF($B$14&lt;Klisz_Verbräuche[[#Headers],[2029]],IF(COUNTIF($G89:Klisz_Verbräuche[[#This Row],[2028]],"&gt;0")&gt;0,IF(COUNTIF($G89:Klisz_Verbräuche[[#This Row],[2028]],"&gt;0")&gt;0,Klisz_Verbräuche[[#This Row],[2028]]*(1-$F89)^1, ""), ""),IF($B$14&gt;Klisz_Verbräuche[[#Headers],[2029]],Refsz_Verbräuche[[#This Row],[2029]],"")))</f>
        <v/>
      </c>
      <c r="V89" s="49" t="str">
        <f>IF(Klisz_Verbräuche[[#Headers],[2030]]=$B$14,IF(COUNTIF($G89:Klisz_Verbräuche[[#This Row],[2029]],"&gt;0")&gt;0, AVERAGEIF($G89:Klisz_Verbräuche[[#This Row],[2029]],"&lt;&gt;"), ""),IF($B$14&lt;Klisz_Verbräuche[[#Headers],[2030]],IF(COUNTIF($G89:Klisz_Verbräuche[[#This Row],[2029]],"&gt;0")&gt;0,IF(COUNTIF($G89:Klisz_Verbräuche[[#This Row],[2029]],"&gt;0")&gt;0,Klisz_Verbräuche[[#This Row],[2029]]*(1-$F89)^1, ""), ""),IF($B$14&gt;Klisz_Verbräuche[[#Headers],[2030]],Refsz_Verbräuche[[#This Row],[2030]],"")))</f>
        <v/>
      </c>
      <c r="W89" s="49" t="str">
        <f>IF(Klisz_Verbräuche[[#Headers],[2035]]=$B$14,IF(COUNTIF($G89:Klisz_Verbräuche[[#This Row],[2030]],"&gt;0")&gt;0, AVERAGEIF($G89:Klisz_Verbräuche[[#This Row],[2030]],"&lt;&gt;"), ""),IF($B$14&lt;Klisz_Verbräuche[[#Headers],[2035]],IF(COUNTIF($G89:Klisz_Verbräuche[[#This Row],[2030]],"&gt;0")&gt;0,IF(COUNTIF($G89:Klisz_Verbräuche[[#This Row],[2030]],"&gt;0")&gt;0,Klisz_Verbräuche[[#This Row],[2030]]*(1-$F89)^5, ""), ""),IF($B$14&gt;Klisz_Verbräuche[[#Headers],[2035]],Refsz_Verbräuche[[#This Row],[2035]],"")))</f>
        <v/>
      </c>
      <c r="X89" s="49" t="str">
        <f>IF(Klisz_Verbräuche[[#Headers],[2040]]=$B$14,IF(COUNTIF($G89:Klisz_Verbräuche[[#This Row],[2035]],"&gt;0")&gt;0, AVERAGEIF($G89:Klisz_Verbräuche[[#This Row],[2035]],"&lt;&gt;"), ""),IF($B$14&lt;Klisz_Verbräuche[[#Headers],[2040]],IF(COUNTIF($G89:Klisz_Verbräuche[[#This Row],[2035]],"&gt;0")&gt;0,IF(COUNTIF($G89:Klisz_Verbräuche[[#This Row],[2035]],"&gt;0")&gt;0,Klisz_Verbräuche[[#This Row],[2035]]*(1-$F89)^5, ""), ""),IF($B$14&gt;Klisz_Verbräuche[[#Headers],[2040]],Refsz_Verbräuche[[#This Row],[2040]],"")))</f>
        <v/>
      </c>
      <c r="Y89" s="49" t="str">
        <f>IF(Klisz_Verbräuche[[#Headers],[2045]]=$B$14,IF(COUNTIF($G89:Klisz_Verbräuche[[#This Row],[2040]],"&gt;0")&gt;0, AVERAGEIF($G89:Klisz_Verbräuche[[#This Row],[2040]],"&lt;&gt;"), ""),IF($B$14&lt;Klisz_Verbräuche[[#Headers],[2045]],IF(COUNTIF($G89:Klisz_Verbräuche[[#This Row],[2040]],"&gt;0")&gt;0,IF(COUNTIF($G89:Klisz_Verbräuche[[#This Row],[2040]],"&gt;0")&gt;0,Klisz_Verbräuche[[#This Row],[2040]]*(1-$F89)^5, ""), ""),IF($B$14&gt;Klisz_Verbräuche[[#Headers],[2045]],Refsz_Verbräuche[[#This Row],[2045]],"")))</f>
        <v/>
      </c>
      <c r="Z89" s="49" t="str">
        <f>IF(Klisz_Verbräuche[[#Headers],[2050]]=$B$14,IF(COUNTIF($G89:Klisz_Verbräuche[[#This Row],[2045]],"&gt;0")&gt;0, AVERAGEIF($G89:Klisz_Verbräuche[[#This Row],[2045]],"&lt;&gt;"), ""),IF($B$14&lt;Klisz_Verbräuche[[#Headers],[2050]],IF(COUNTIF($G89:Klisz_Verbräuche[[#This Row],[2045]],"&gt;0")&gt;0,IF(COUNTIF($G89:Klisz_Verbräuche[[#This Row],[2045]],"&gt;0")&gt;0,Klisz_Verbräuche[[#This Row],[2045]]*(1-$F89)^5, ""), ""),IF($B$14&gt;Klisz_Verbräuche[[#Headers],[2050]],Refsz_Verbräuche[[#This Row],[2050]],"")))</f>
        <v/>
      </c>
      <c r="AA89" s="14"/>
    </row>
    <row r="90" spans="2:27">
      <c r="B90" s="14">
        <v>73</v>
      </c>
      <c r="C90" s="197" t="str">
        <f>Refsz_Verbräuche[[#This Row],[Handlungsfeld]]</f>
        <v>Mobilität 2</v>
      </c>
      <c r="D90" s="19" t="str">
        <f>Refsz_Verbräuche[[#This Row],[Datenpunkt]]</f>
        <v>Pendeln - Motorisierte Zweiräder</v>
      </c>
      <c r="E90" s="26" t="str">
        <f>Refsz_Verbräuche[[#This Row],[Einheit]]</f>
        <v>Fkm</v>
      </c>
      <c r="F90" s="108"/>
      <c r="G90" s="14" t="str">
        <f>IF(ISBLANK(Refsz_Verbräuche[[#This Row],[2015]]),"",Refsz_Verbräuche[[#This Row],[2015]])</f>
        <v/>
      </c>
      <c r="H90" s="14" t="str">
        <f>IF(ISBLANK(Refsz_Verbräuche[[#This Row],[2016]]),"",Refsz_Verbräuche[[#This Row],[2016]])</f>
        <v/>
      </c>
      <c r="I90" s="14" t="str">
        <f>IF(ISBLANK(Refsz_Verbräuche[[#This Row],[2017]]),"",Refsz_Verbräuche[[#This Row],[2017]])</f>
        <v/>
      </c>
      <c r="J90" s="14" t="str">
        <f>IF(ISBLANK(Refsz_Verbräuche[[#This Row],[2018]]),"",Refsz_Verbräuche[[#This Row],[2018]])</f>
        <v/>
      </c>
      <c r="K90" s="14" t="str">
        <f>IF(ISBLANK(Refsz_Verbräuche[[#This Row],[2019]]),"",Refsz_Verbräuche[[#This Row],[2019]])</f>
        <v/>
      </c>
      <c r="L90" s="14" t="str">
        <f>IF(ISBLANK(Refsz_Verbräuche[[#This Row],[2020]]),"",Refsz_Verbräuche[[#This Row],[2020]])</f>
        <v/>
      </c>
      <c r="M90" s="14" t="str">
        <f>IF(ISBLANK(Refsz_Verbräuche[[#This Row],[2021]]),"",Refsz_Verbräuche[[#This Row],[2021]])</f>
        <v/>
      </c>
      <c r="N90" s="49" t="str">
        <f>IF(Klisz_Verbräuche[[#Headers],[2022]]=$B$14,IF(COUNTIF($G90:Klisz_Verbräuche[[#This Row],[2021]],"&gt;0")&gt;0, AVERAGEIF($G90:Klisz_Verbräuche[[#This Row],[2021]],"&lt;&gt;"), ""),IF($B$14&lt;Klisz_Verbräuche[[#Headers],[2022]],IF(COUNTIF($G90:Klisz_Verbräuche[[#This Row],[2021]],"&gt;0")&gt;0,IF(COUNTIF($G90:Klisz_Verbräuche[[#This Row],[2021]],"&gt;0")&gt;0,Klisz_Verbräuche[[#This Row],[2021]]*(1-$F90)^1, ""), ""),IF($B$14&gt;Klisz_Verbräuche[[#Headers],[2022]],Refsz_Verbräuche[[#This Row],[2022]],"")))</f>
        <v/>
      </c>
      <c r="O90" s="49" t="str">
        <f>IF(Klisz_Verbräuche[[#Headers],[2023]]=$B$14,IF(COUNTIF($G90:Klisz_Verbräuche[[#This Row],[2022]],"&gt;0")&gt;0, AVERAGEIF($G90:Klisz_Verbräuche[[#This Row],[2022]],"&lt;&gt;"), ""),IF($B$14&lt;Klisz_Verbräuche[[#Headers],[2023]],IF(COUNTIF($G90:Klisz_Verbräuche[[#This Row],[2022]],"&gt;0")&gt;0,IF(COUNTIF($G90:Klisz_Verbräuche[[#This Row],[2022]],"&gt;0")&gt;0,Klisz_Verbräuche[[#This Row],[2022]]*(1-$F90)^1, ""), ""),IF($B$14&gt;Klisz_Verbräuche[[#Headers],[2023]],Refsz_Verbräuche[[#This Row],[2023]],"")))</f>
        <v/>
      </c>
      <c r="P90" s="49" t="str">
        <f>IF(Klisz_Verbräuche[[#Headers],[2024]]=$B$14,IF(COUNTIF($G90:Klisz_Verbräuche[[#This Row],[2023]],"&gt;0")&gt;0, AVERAGEIF($G90:Klisz_Verbräuche[[#This Row],[2023]],"&lt;&gt;"), ""),IF($B$14&lt;Klisz_Verbräuche[[#Headers],[2024]],IF(COUNTIF($G90:Klisz_Verbräuche[[#This Row],[2023]],"&gt;0")&gt;0,IF(COUNTIF($G90:Klisz_Verbräuche[[#This Row],[2023]],"&gt;0")&gt;0,Klisz_Verbräuche[[#This Row],[2023]]*(1-$F90)^1, ""), ""),IF($B$14&gt;Klisz_Verbräuche[[#Headers],[2024]],Refsz_Verbräuche[[#This Row],[2024]],"")))</f>
        <v/>
      </c>
      <c r="Q90" s="49" t="str">
        <f>IF(Klisz_Verbräuche[[#Headers],[2025]]=$B$14,IF(COUNTIF($G90:Klisz_Verbräuche[[#This Row],[2024]],"&gt;0")&gt;0, AVERAGEIF($G90:Klisz_Verbräuche[[#This Row],[2024]],"&lt;&gt;"), ""),IF($B$14&lt;Klisz_Verbräuche[[#Headers],[2025]],IF(COUNTIF($G90:Klisz_Verbräuche[[#This Row],[2024]],"&gt;0")&gt;0,IF(COUNTIF($G90:Klisz_Verbräuche[[#This Row],[2024]],"&gt;0")&gt;0,Klisz_Verbräuche[[#This Row],[2024]]*(1-$F90)^1, ""), ""),IF($B$14&gt;Klisz_Verbräuche[[#Headers],[2025]],Refsz_Verbräuche[[#This Row],[2025]],"")))</f>
        <v/>
      </c>
      <c r="R90" s="49" t="str">
        <f>IF(Klisz_Verbräuche[[#Headers],[2026]]=$B$14,IF(COUNTIF($G90:Klisz_Verbräuche[[#This Row],[2025]],"&gt;0")&gt;0, AVERAGEIF($G90:Klisz_Verbräuche[[#This Row],[2025]],"&lt;&gt;"), ""),IF($B$14&lt;Klisz_Verbräuche[[#Headers],[2026]],IF(COUNTIF($G90:Klisz_Verbräuche[[#This Row],[2025]],"&gt;0")&gt;0,IF(COUNTIF($G90:Klisz_Verbräuche[[#This Row],[2025]],"&gt;0")&gt;0,Klisz_Verbräuche[[#This Row],[2025]]*(1-$F90)^1, ""), ""),IF($B$14&gt;Klisz_Verbräuche[[#Headers],[2026]],Refsz_Verbräuche[[#This Row],[2026]],"")))</f>
        <v/>
      </c>
      <c r="S90" s="49" t="str">
        <f>IF(Klisz_Verbräuche[[#Headers],[2027]]=$B$14,IF(COUNTIF($G90:Klisz_Verbräuche[[#This Row],[2026]],"&gt;0")&gt;0, AVERAGEIF($G90:Klisz_Verbräuche[[#This Row],[2026]],"&lt;&gt;"), ""),IF($B$14&lt;Klisz_Verbräuche[[#Headers],[2027]],IF(COUNTIF($G90:Klisz_Verbräuche[[#This Row],[2026]],"&gt;0")&gt;0,IF(COUNTIF($G90:Klisz_Verbräuche[[#This Row],[2026]],"&gt;0")&gt;0,Klisz_Verbräuche[[#This Row],[2026]]*(1-$F90)^1, ""), ""),IF($B$14&gt;Klisz_Verbräuche[[#Headers],[2027]],Refsz_Verbräuche[[#This Row],[2027]],"")))</f>
        <v/>
      </c>
      <c r="T90" s="49" t="str">
        <f>IF(Klisz_Verbräuche[[#Headers],[2028]]=$B$14,IF(COUNTIF($G90:Klisz_Verbräuche[[#This Row],[2027]],"&gt;0")&gt;0, AVERAGEIF($G90:Klisz_Verbräuche[[#This Row],[2027]],"&lt;&gt;"), ""),IF($B$14&lt;Klisz_Verbräuche[[#Headers],[2028]],IF(COUNTIF($G90:Klisz_Verbräuche[[#This Row],[2027]],"&gt;0")&gt;0,IF(COUNTIF($G90:Klisz_Verbräuche[[#This Row],[2027]],"&gt;0")&gt;0,Klisz_Verbräuche[[#This Row],[2027]]*(1-$F90)^1, ""), ""),IF($B$14&gt;Klisz_Verbräuche[[#Headers],[2028]],Refsz_Verbräuche[[#This Row],[2028]],"")))</f>
        <v/>
      </c>
      <c r="U90" s="49" t="str">
        <f>IF(Klisz_Verbräuche[[#Headers],[2029]]=$B$14,IF(COUNTIF($G90:Klisz_Verbräuche[[#This Row],[2028]],"&gt;0")&gt;0, AVERAGEIF($G90:Klisz_Verbräuche[[#This Row],[2028]],"&lt;&gt;"), ""),IF($B$14&lt;Klisz_Verbräuche[[#Headers],[2029]],IF(COUNTIF($G90:Klisz_Verbräuche[[#This Row],[2028]],"&gt;0")&gt;0,IF(COUNTIF($G90:Klisz_Verbräuche[[#This Row],[2028]],"&gt;0")&gt;0,Klisz_Verbräuche[[#This Row],[2028]]*(1-$F90)^1, ""), ""),IF($B$14&gt;Klisz_Verbräuche[[#Headers],[2029]],Refsz_Verbräuche[[#This Row],[2029]],"")))</f>
        <v/>
      </c>
      <c r="V90" s="49" t="str">
        <f>IF(Klisz_Verbräuche[[#Headers],[2030]]=$B$14,IF(COUNTIF($G90:Klisz_Verbräuche[[#This Row],[2029]],"&gt;0")&gt;0, AVERAGEIF($G90:Klisz_Verbräuche[[#This Row],[2029]],"&lt;&gt;"), ""),IF($B$14&lt;Klisz_Verbräuche[[#Headers],[2030]],IF(COUNTIF($G90:Klisz_Verbräuche[[#This Row],[2029]],"&gt;0")&gt;0,IF(COUNTIF($G90:Klisz_Verbräuche[[#This Row],[2029]],"&gt;0")&gt;0,Klisz_Verbräuche[[#This Row],[2029]]*(1-$F90)^1, ""), ""),IF($B$14&gt;Klisz_Verbräuche[[#Headers],[2030]],Refsz_Verbräuche[[#This Row],[2030]],"")))</f>
        <v/>
      </c>
      <c r="W90" s="49" t="str">
        <f>IF(Klisz_Verbräuche[[#Headers],[2035]]=$B$14,IF(COUNTIF($G90:Klisz_Verbräuche[[#This Row],[2030]],"&gt;0")&gt;0, AVERAGEIF($G90:Klisz_Verbräuche[[#This Row],[2030]],"&lt;&gt;"), ""),IF($B$14&lt;Klisz_Verbräuche[[#Headers],[2035]],IF(COUNTIF($G90:Klisz_Verbräuche[[#This Row],[2030]],"&gt;0")&gt;0,IF(COUNTIF($G90:Klisz_Verbräuche[[#This Row],[2030]],"&gt;0")&gt;0,Klisz_Verbräuche[[#This Row],[2030]]*(1-$F90)^5, ""), ""),IF($B$14&gt;Klisz_Verbräuche[[#Headers],[2035]],Refsz_Verbräuche[[#This Row],[2035]],"")))</f>
        <v/>
      </c>
      <c r="X90" s="49" t="str">
        <f>IF(Klisz_Verbräuche[[#Headers],[2040]]=$B$14,IF(COUNTIF($G90:Klisz_Verbräuche[[#This Row],[2035]],"&gt;0")&gt;0, AVERAGEIF($G90:Klisz_Verbräuche[[#This Row],[2035]],"&lt;&gt;"), ""),IF($B$14&lt;Klisz_Verbräuche[[#Headers],[2040]],IF(COUNTIF($G90:Klisz_Verbräuche[[#This Row],[2035]],"&gt;0")&gt;0,IF(COUNTIF($G90:Klisz_Verbräuche[[#This Row],[2035]],"&gt;0")&gt;0,Klisz_Verbräuche[[#This Row],[2035]]*(1-$F90)^5, ""), ""),IF($B$14&gt;Klisz_Verbräuche[[#Headers],[2040]],Refsz_Verbräuche[[#This Row],[2040]],"")))</f>
        <v/>
      </c>
      <c r="Y90" s="49" t="str">
        <f>IF(Klisz_Verbräuche[[#Headers],[2045]]=$B$14,IF(COUNTIF($G90:Klisz_Verbräuche[[#This Row],[2040]],"&gt;0")&gt;0, AVERAGEIF($G90:Klisz_Verbräuche[[#This Row],[2040]],"&lt;&gt;"), ""),IF($B$14&lt;Klisz_Verbräuche[[#Headers],[2045]],IF(COUNTIF($G90:Klisz_Verbräuche[[#This Row],[2040]],"&gt;0")&gt;0,IF(COUNTIF($G90:Klisz_Verbräuche[[#This Row],[2040]],"&gt;0")&gt;0,Klisz_Verbräuche[[#This Row],[2040]]*(1-$F90)^5, ""), ""),IF($B$14&gt;Klisz_Verbräuche[[#Headers],[2045]],Refsz_Verbräuche[[#This Row],[2045]],"")))</f>
        <v/>
      </c>
      <c r="Z90" s="49" t="str">
        <f>IF(Klisz_Verbräuche[[#Headers],[2050]]=$B$14,IF(COUNTIF($G90:Klisz_Verbräuche[[#This Row],[2045]],"&gt;0")&gt;0, AVERAGEIF($G90:Klisz_Verbräuche[[#This Row],[2045]],"&lt;&gt;"), ""),IF($B$14&lt;Klisz_Verbräuche[[#Headers],[2050]],IF(COUNTIF($G90:Klisz_Verbräuche[[#This Row],[2045]],"&gt;0")&gt;0,IF(COUNTIF($G90:Klisz_Verbräuche[[#This Row],[2045]],"&gt;0")&gt;0,Klisz_Verbräuche[[#This Row],[2045]]*(1-$F90)^5, ""), ""),IF($B$14&gt;Klisz_Verbräuche[[#Headers],[2050]],Refsz_Verbräuche[[#This Row],[2050]],"")))</f>
        <v/>
      </c>
      <c r="AA90" s="14"/>
    </row>
    <row r="91" spans="2:27">
      <c r="B91" s="14">
        <v>74</v>
      </c>
      <c r="C91" s="197" t="str">
        <f>Refsz_Verbräuche[[#This Row],[Handlungsfeld]]</f>
        <v>Mobilität 2</v>
      </c>
      <c r="D91" s="19" t="str">
        <f>Refsz_Verbräuche[[#This Row],[Datenpunkt]]</f>
        <v>Pendeln - Fahrrad</v>
      </c>
      <c r="E91" s="26" t="str">
        <f>Refsz_Verbräuche[[#This Row],[Einheit]]</f>
        <v>Fkm</v>
      </c>
      <c r="F91" s="108"/>
      <c r="G91" s="14" t="str">
        <f>IF(ISBLANK(Refsz_Verbräuche[[#This Row],[2015]]),"",Refsz_Verbräuche[[#This Row],[2015]])</f>
        <v/>
      </c>
      <c r="H91" s="14" t="str">
        <f>IF(ISBLANK(Refsz_Verbräuche[[#This Row],[2016]]),"",Refsz_Verbräuche[[#This Row],[2016]])</f>
        <v/>
      </c>
      <c r="I91" s="14" t="str">
        <f>IF(ISBLANK(Refsz_Verbräuche[[#This Row],[2017]]),"",Refsz_Verbräuche[[#This Row],[2017]])</f>
        <v/>
      </c>
      <c r="J91" s="14" t="str">
        <f>IF(ISBLANK(Refsz_Verbräuche[[#This Row],[2018]]),"",Refsz_Verbräuche[[#This Row],[2018]])</f>
        <v/>
      </c>
      <c r="K91" s="14" t="str">
        <f>IF(ISBLANK(Refsz_Verbräuche[[#This Row],[2019]]),"",Refsz_Verbräuche[[#This Row],[2019]])</f>
        <v/>
      </c>
      <c r="L91" s="14" t="str">
        <f>IF(ISBLANK(Refsz_Verbräuche[[#This Row],[2020]]),"",Refsz_Verbräuche[[#This Row],[2020]])</f>
        <v/>
      </c>
      <c r="M91" s="14" t="str">
        <f>IF(ISBLANK(Refsz_Verbräuche[[#This Row],[2021]]),"",Refsz_Verbräuche[[#This Row],[2021]])</f>
        <v/>
      </c>
      <c r="N91" s="49" t="str">
        <f>IF(Klisz_Verbräuche[[#Headers],[2022]]=$B$14,IF(COUNTIF($G91:Klisz_Verbräuche[[#This Row],[2021]],"&gt;0")&gt;0, AVERAGEIF($G91:Klisz_Verbräuche[[#This Row],[2021]],"&lt;&gt;"), ""),IF($B$14&lt;Klisz_Verbräuche[[#Headers],[2022]],IF(COUNTIF($G91:Klisz_Verbräuche[[#This Row],[2021]],"&gt;0")&gt;0,IF(COUNTIF($G91:Klisz_Verbräuche[[#This Row],[2021]],"&gt;0")&gt;0,Klisz_Verbräuche[[#This Row],[2021]]*(1-$F91)^1, ""), ""),IF($B$14&gt;Klisz_Verbräuche[[#Headers],[2022]],Refsz_Verbräuche[[#This Row],[2022]],"")))</f>
        <v/>
      </c>
      <c r="O91" s="49" t="str">
        <f>IF(Klisz_Verbräuche[[#Headers],[2023]]=$B$14,IF(COUNTIF($G91:Klisz_Verbräuche[[#This Row],[2022]],"&gt;0")&gt;0, AVERAGEIF($G91:Klisz_Verbräuche[[#This Row],[2022]],"&lt;&gt;"), ""),IF($B$14&lt;Klisz_Verbräuche[[#Headers],[2023]],IF(COUNTIF($G91:Klisz_Verbräuche[[#This Row],[2022]],"&gt;0")&gt;0,IF(COUNTIF($G91:Klisz_Verbräuche[[#This Row],[2022]],"&gt;0")&gt;0,Klisz_Verbräuche[[#This Row],[2022]]*(1-$F91)^1, ""), ""),IF($B$14&gt;Klisz_Verbräuche[[#Headers],[2023]],Refsz_Verbräuche[[#This Row],[2023]],"")))</f>
        <v/>
      </c>
      <c r="P91" s="49" t="str">
        <f>IF(Klisz_Verbräuche[[#Headers],[2024]]=$B$14,IF(COUNTIF($G91:Klisz_Verbräuche[[#This Row],[2023]],"&gt;0")&gt;0, AVERAGEIF($G91:Klisz_Verbräuche[[#This Row],[2023]],"&lt;&gt;"), ""),IF($B$14&lt;Klisz_Verbräuche[[#Headers],[2024]],IF(COUNTIF($G91:Klisz_Verbräuche[[#This Row],[2023]],"&gt;0")&gt;0,IF(COUNTIF($G91:Klisz_Verbräuche[[#This Row],[2023]],"&gt;0")&gt;0,Klisz_Verbräuche[[#This Row],[2023]]*(1-$F91)^1, ""), ""),IF($B$14&gt;Klisz_Verbräuche[[#Headers],[2024]],Refsz_Verbräuche[[#This Row],[2024]],"")))</f>
        <v/>
      </c>
      <c r="Q91" s="49" t="str">
        <f>IF(Klisz_Verbräuche[[#Headers],[2025]]=$B$14,IF(COUNTIF($G91:Klisz_Verbräuche[[#This Row],[2024]],"&gt;0")&gt;0, AVERAGEIF($G91:Klisz_Verbräuche[[#This Row],[2024]],"&lt;&gt;"), ""),IF($B$14&lt;Klisz_Verbräuche[[#Headers],[2025]],IF(COUNTIF($G91:Klisz_Verbräuche[[#This Row],[2024]],"&gt;0")&gt;0,IF(COUNTIF($G91:Klisz_Verbräuche[[#This Row],[2024]],"&gt;0")&gt;0,Klisz_Verbräuche[[#This Row],[2024]]*(1-$F91)^1, ""), ""),IF($B$14&gt;Klisz_Verbräuche[[#Headers],[2025]],Refsz_Verbräuche[[#This Row],[2025]],"")))</f>
        <v/>
      </c>
      <c r="R91" s="49" t="str">
        <f>IF(Klisz_Verbräuche[[#Headers],[2026]]=$B$14,IF(COUNTIF($G91:Klisz_Verbräuche[[#This Row],[2025]],"&gt;0")&gt;0, AVERAGEIF($G91:Klisz_Verbräuche[[#This Row],[2025]],"&lt;&gt;"), ""),IF($B$14&lt;Klisz_Verbräuche[[#Headers],[2026]],IF(COUNTIF($G91:Klisz_Verbräuche[[#This Row],[2025]],"&gt;0")&gt;0,IF(COUNTIF($G91:Klisz_Verbräuche[[#This Row],[2025]],"&gt;0")&gt;0,Klisz_Verbräuche[[#This Row],[2025]]*(1-$F91)^1, ""), ""),IF($B$14&gt;Klisz_Verbräuche[[#Headers],[2026]],Refsz_Verbräuche[[#This Row],[2026]],"")))</f>
        <v/>
      </c>
      <c r="S91" s="49" t="str">
        <f>IF(Klisz_Verbräuche[[#Headers],[2027]]=$B$14,IF(COUNTIF($G91:Klisz_Verbräuche[[#This Row],[2026]],"&gt;0")&gt;0, AVERAGEIF($G91:Klisz_Verbräuche[[#This Row],[2026]],"&lt;&gt;"), ""),IF($B$14&lt;Klisz_Verbräuche[[#Headers],[2027]],IF(COUNTIF($G91:Klisz_Verbräuche[[#This Row],[2026]],"&gt;0")&gt;0,IF(COUNTIF($G91:Klisz_Verbräuche[[#This Row],[2026]],"&gt;0")&gt;0,Klisz_Verbräuche[[#This Row],[2026]]*(1-$F91)^1, ""), ""),IF($B$14&gt;Klisz_Verbräuche[[#Headers],[2027]],Refsz_Verbräuche[[#This Row],[2027]],"")))</f>
        <v/>
      </c>
      <c r="T91" s="49" t="str">
        <f>IF(Klisz_Verbräuche[[#Headers],[2028]]=$B$14,IF(COUNTIF($G91:Klisz_Verbräuche[[#This Row],[2027]],"&gt;0")&gt;0, AVERAGEIF($G91:Klisz_Verbräuche[[#This Row],[2027]],"&lt;&gt;"), ""),IF($B$14&lt;Klisz_Verbräuche[[#Headers],[2028]],IF(COUNTIF($G91:Klisz_Verbräuche[[#This Row],[2027]],"&gt;0")&gt;0,IF(COUNTIF($G91:Klisz_Verbräuche[[#This Row],[2027]],"&gt;0")&gt;0,Klisz_Verbräuche[[#This Row],[2027]]*(1-$F91)^1, ""), ""),IF($B$14&gt;Klisz_Verbräuche[[#Headers],[2028]],Refsz_Verbräuche[[#This Row],[2028]],"")))</f>
        <v/>
      </c>
      <c r="U91" s="49" t="str">
        <f>IF(Klisz_Verbräuche[[#Headers],[2029]]=$B$14,IF(COUNTIF($G91:Klisz_Verbräuche[[#This Row],[2028]],"&gt;0")&gt;0, AVERAGEIF($G91:Klisz_Verbräuche[[#This Row],[2028]],"&lt;&gt;"), ""),IF($B$14&lt;Klisz_Verbräuche[[#Headers],[2029]],IF(COUNTIF($G91:Klisz_Verbräuche[[#This Row],[2028]],"&gt;0")&gt;0,IF(COUNTIF($G91:Klisz_Verbräuche[[#This Row],[2028]],"&gt;0")&gt;0,Klisz_Verbräuche[[#This Row],[2028]]*(1-$F91)^1, ""), ""),IF($B$14&gt;Klisz_Verbräuche[[#Headers],[2029]],Refsz_Verbräuche[[#This Row],[2029]],"")))</f>
        <v/>
      </c>
      <c r="V91" s="49" t="str">
        <f>IF(Klisz_Verbräuche[[#Headers],[2030]]=$B$14,IF(COUNTIF($G91:Klisz_Verbräuche[[#This Row],[2029]],"&gt;0")&gt;0, AVERAGEIF($G91:Klisz_Verbräuche[[#This Row],[2029]],"&lt;&gt;"), ""),IF($B$14&lt;Klisz_Verbräuche[[#Headers],[2030]],IF(COUNTIF($G91:Klisz_Verbräuche[[#This Row],[2029]],"&gt;0")&gt;0,IF(COUNTIF($G91:Klisz_Verbräuche[[#This Row],[2029]],"&gt;0")&gt;0,Klisz_Verbräuche[[#This Row],[2029]]*(1-$F91)^1, ""), ""),IF($B$14&gt;Klisz_Verbräuche[[#Headers],[2030]],Refsz_Verbräuche[[#This Row],[2030]],"")))</f>
        <v/>
      </c>
      <c r="W91" s="49" t="str">
        <f>IF(Klisz_Verbräuche[[#Headers],[2035]]=$B$14,IF(COUNTIF($G91:Klisz_Verbräuche[[#This Row],[2030]],"&gt;0")&gt;0, AVERAGEIF($G91:Klisz_Verbräuche[[#This Row],[2030]],"&lt;&gt;"), ""),IF($B$14&lt;Klisz_Verbräuche[[#Headers],[2035]],IF(COUNTIF($G91:Klisz_Verbräuche[[#This Row],[2030]],"&gt;0")&gt;0,IF(COUNTIF($G91:Klisz_Verbräuche[[#This Row],[2030]],"&gt;0")&gt;0,Klisz_Verbräuche[[#This Row],[2030]]*(1-$F91)^5, ""), ""),IF($B$14&gt;Klisz_Verbräuche[[#Headers],[2035]],Refsz_Verbräuche[[#This Row],[2035]],"")))</f>
        <v/>
      </c>
      <c r="X91" s="49" t="str">
        <f>IF(Klisz_Verbräuche[[#Headers],[2040]]=$B$14,IF(COUNTIF($G91:Klisz_Verbräuche[[#This Row],[2035]],"&gt;0")&gt;0, AVERAGEIF($G91:Klisz_Verbräuche[[#This Row],[2035]],"&lt;&gt;"), ""),IF($B$14&lt;Klisz_Verbräuche[[#Headers],[2040]],IF(COUNTIF($G91:Klisz_Verbräuche[[#This Row],[2035]],"&gt;0")&gt;0,IF(COUNTIF($G91:Klisz_Verbräuche[[#This Row],[2035]],"&gt;0")&gt;0,Klisz_Verbräuche[[#This Row],[2035]]*(1-$F91)^5, ""), ""),IF($B$14&gt;Klisz_Verbräuche[[#Headers],[2040]],Refsz_Verbräuche[[#This Row],[2040]],"")))</f>
        <v/>
      </c>
      <c r="Y91" s="49" t="str">
        <f>IF(Klisz_Verbräuche[[#Headers],[2045]]=$B$14,IF(COUNTIF($G91:Klisz_Verbräuche[[#This Row],[2040]],"&gt;0")&gt;0, AVERAGEIF($G91:Klisz_Verbräuche[[#This Row],[2040]],"&lt;&gt;"), ""),IF($B$14&lt;Klisz_Verbräuche[[#Headers],[2045]],IF(COUNTIF($G91:Klisz_Verbräuche[[#This Row],[2040]],"&gt;0")&gt;0,IF(COUNTIF($G91:Klisz_Verbräuche[[#This Row],[2040]],"&gt;0")&gt;0,Klisz_Verbräuche[[#This Row],[2040]]*(1-$F91)^5, ""), ""),IF($B$14&gt;Klisz_Verbräuche[[#Headers],[2045]],Refsz_Verbräuche[[#This Row],[2045]],"")))</f>
        <v/>
      </c>
      <c r="Z91" s="49" t="str">
        <f>IF(Klisz_Verbräuche[[#Headers],[2050]]=$B$14,IF(COUNTIF($G91:Klisz_Verbräuche[[#This Row],[2045]],"&gt;0")&gt;0, AVERAGEIF($G91:Klisz_Verbräuche[[#This Row],[2045]],"&lt;&gt;"), ""),IF($B$14&lt;Klisz_Verbräuche[[#Headers],[2050]],IF(COUNTIF($G91:Klisz_Verbräuche[[#This Row],[2045]],"&gt;0")&gt;0,IF(COUNTIF($G91:Klisz_Verbräuche[[#This Row],[2045]],"&gt;0")&gt;0,Klisz_Verbräuche[[#This Row],[2045]]*(1-$F91)^5, ""), ""),IF($B$14&gt;Klisz_Verbräuche[[#Headers],[2050]],Refsz_Verbräuche[[#This Row],[2050]],"")))</f>
        <v/>
      </c>
      <c r="AA91" s="14"/>
    </row>
    <row r="92" spans="2:27">
      <c r="B92" s="14">
        <v>75</v>
      </c>
      <c r="C92" s="197" t="str">
        <f>Refsz_Verbräuche[[#This Row],[Handlungsfeld]]</f>
        <v>Mobilität 2</v>
      </c>
      <c r="D92" s="19" t="str">
        <f>Refsz_Verbräuche[[#This Row],[Datenpunkt]]</f>
        <v>Pendeln - E-Bike</v>
      </c>
      <c r="E92" s="26" t="str">
        <f>Refsz_Verbräuche[[#This Row],[Einheit]]</f>
        <v>Fkm</v>
      </c>
      <c r="F92" s="108"/>
      <c r="G92" s="14" t="str">
        <f>IF(ISBLANK(Refsz_Verbräuche[[#This Row],[2015]]),"",Refsz_Verbräuche[[#This Row],[2015]])</f>
        <v/>
      </c>
      <c r="H92" s="14" t="str">
        <f>IF(ISBLANK(Refsz_Verbräuche[[#This Row],[2016]]),"",Refsz_Verbräuche[[#This Row],[2016]])</f>
        <v/>
      </c>
      <c r="I92" s="14" t="str">
        <f>IF(ISBLANK(Refsz_Verbräuche[[#This Row],[2017]]),"",Refsz_Verbräuche[[#This Row],[2017]])</f>
        <v/>
      </c>
      <c r="J92" s="14" t="str">
        <f>IF(ISBLANK(Refsz_Verbräuche[[#This Row],[2018]]),"",Refsz_Verbräuche[[#This Row],[2018]])</f>
        <v/>
      </c>
      <c r="K92" s="14" t="str">
        <f>IF(ISBLANK(Refsz_Verbräuche[[#This Row],[2019]]),"",Refsz_Verbräuche[[#This Row],[2019]])</f>
        <v/>
      </c>
      <c r="L92" s="14" t="str">
        <f>IF(ISBLANK(Refsz_Verbräuche[[#This Row],[2020]]),"",Refsz_Verbräuche[[#This Row],[2020]])</f>
        <v/>
      </c>
      <c r="M92" s="14" t="str">
        <f>IF(ISBLANK(Refsz_Verbräuche[[#This Row],[2021]]),"",Refsz_Verbräuche[[#This Row],[2021]])</f>
        <v/>
      </c>
      <c r="N92" s="49" t="str">
        <f>IF(Klisz_Verbräuche[[#Headers],[2022]]=$B$14,IF(COUNTIF($G92:Klisz_Verbräuche[[#This Row],[2021]],"&gt;0")&gt;0, AVERAGEIF($G92:Klisz_Verbräuche[[#This Row],[2021]],"&lt;&gt;"), ""),IF($B$14&lt;Klisz_Verbräuche[[#Headers],[2022]],IF(COUNTIF($G92:Klisz_Verbräuche[[#This Row],[2021]],"&gt;0")&gt;0,IF(COUNTIF($G92:Klisz_Verbräuche[[#This Row],[2021]],"&gt;0")&gt;0,Klisz_Verbräuche[[#This Row],[2021]]*(1-$F92)^1, ""), ""),IF($B$14&gt;Klisz_Verbräuche[[#Headers],[2022]],Refsz_Verbräuche[[#This Row],[2022]],"")))</f>
        <v/>
      </c>
      <c r="O92" s="49" t="str">
        <f>IF(Klisz_Verbräuche[[#Headers],[2023]]=$B$14,IF(COUNTIF($G92:Klisz_Verbräuche[[#This Row],[2022]],"&gt;0")&gt;0, AVERAGEIF($G92:Klisz_Verbräuche[[#This Row],[2022]],"&lt;&gt;"), ""),IF($B$14&lt;Klisz_Verbräuche[[#Headers],[2023]],IF(COUNTIF($G92:Klisz_Verbräuche[[#This Row],[2022]],"&gt;0")&gt;0,IF(COUNTIF($G92:Klisz_Verbräuche[[#This Row],[2022]],"&gt;0")&gt;0,Klisz_Verbräuche[[#This Row],[2022]]*(1-$F92)^1, ""), ""),IF($B$14&gt;Klisz_Verbräuche[[#Headers],[2023]],Refsz_Verbräuche[[#This Row],[2023]],"")))</f>
        <v/>
      </c>
      <c r="P92" s="49" t="str">
        <f>IF(Klisz_Verbräuche[[#Headers],[2024]]=$B$14,IF(COUNTIF($G92:Klisz_Verbräuche[[#This Row],[2023]],"&gt;0")&gt;0, AVERAGEIF($G92:Klisz_Verbräuche[[#This Row],[2023]],"&lt;&gt;"), ""),IF($B$14&lt;Klisz_Verbräuche[[#Headers],[2024]],IF(COUNTIF($G92:Klisz_Verbräuche[[#This Row],[2023]],"&gt;0")&gt;0,IF(COUNTIF($G92:Klisz_Verbräuche[[#This Row],[2023]],"&gt;0")&gt;0,Klisz_Verbräuche[[#This Row],[2023]]*(1-$F92)^1, ""), ""),IF($B$14&gt;Klisz_Verbräuche[[#Headers],[2024]],Refsz_Verbräuche[[#This Row],[2024]],"")))</f>
        <v/>
      </c>
      <c r="Q92" s="49" t="str">
        <f>IF(Klisz_Verbräuche[[#Headers],[2025]]=$B$14,IF(COUNTIF($G92:Klisz_Verbräuche[[#This Row],[2024]],"&gt;0")&gt;0, AVERAGEIF($G92:Klisz_Verbräuche[[#This Row],[2024]],"&lt;&gt;"), ""),IF($B$14&lt;Klisz_Verbräuche[[#Headers],[2025]],IF(COUNTIF($G92:Klisz_Verbräuche[[#This Row],[2024]],"&gt;0")&gt;0,IF(COUNTIF($G92:Klisz_Verbräuche[[#This Row],[2024]],"&gt;0")&gt;0,Klisz_Verbräuche[[#This Row],[2024]]*(1-$F92)^1, ""), ""),IF($B$14&gt;Klisz_Verbräuche[[#Headers],[2025]],Refsz_Verbräuche[[#This Row],[2025]],"")))</f>
        <v/>
      </c>
      <c r="R92" s="49" t="str">
        <f>IF(Klisz_Verbräuche[[#Headers],[2026]]=$B$14,IF(COUNTIF($G92:Klisz_Verbräuche[[#This Row],[2025]],"&gt;0")&gt;0, AVERAGEIF($G92:Klisz_Verbräuche[[#This Row],[2025]],"&lt;&gt;"), ""),IF($B$14&lt;Klisz_Verbräuche[[#Headers],[2026]],IF(COUNTIF($G92:Klisz_Verbräuche[[#This Row],[2025]],"&gt;0")&gt;0,IF(COUNTIF($G92:Klisz_Verbräuche[[#This Row],[2025]],"&gt;0")&gt;0,Klisz_Verbräuche[[#This Row],[2025]]*(1-$F92)^1, ""), ""),IF($B$14&gt;Klisz_Verbräuche[[#Headers],[2026]],Refsz_Verbräuche[[#This Row],[2026]],"")))</f>
        <v/>
      </c>
      <c r="S92" s="49" t="str">
        <f>IF(Klisz_Verbräuche[[#Headers],[2027]]=$B$14,IF(COUNTIF($G92:Klisz_Verbräuche[[#This Row],[2026]],"&gt;0")&gt;0, AVERAGEIF($G92:Klisz_Verbräuche[[#This Row],[2026]],"&lt;&gt;"), ""),IF($B$14&lt;Klisz_Verbräuche[[#Headers],[2027]],IF(COUNTIF($G92:Klisz_Verbräuche[[#This Row],[2026]],"&gt;0")&gt;0,IF(COUNTIF($G92:Klisz_Verbräuche[[#This Row],[2026]],"&gt;0")&gt;0,Klisz_Verbräuche[[#This Row],[2026]]*(1-$F92)^1, ""), ""),IF($B$14&gt;Klisz_Verbräuche[[#Headers],[2027]],Refsz_Verbräuche[[#This Row],[2027]],"")))</f>
        <v/>
      </c>
      <c r="T92" s="49" t="str">
        <f>IF(Klisz_Verbräuche[[#Headers],[2028]]=$B$14,IF(COUNTIF($G92:Klisz_Verbräuche[[#This Row],[2027]],"&gt;0")&gt;0, AVERAGEIF($G92:Klisz_Verbräuche[[#This Row],[2027]],"&lt;&gt;"), ""),IF($B$14&lt;Klisz_Verbräuche[[#Headers],[2028]],IF(COUNTIF($G92:Klisz_Verbräuche[[#This Row],[2027]],"&gt;0")&gt;0,IF(COUNTIF($G92:Klisz_Verbräuche[[#This Row],[2027]],"&gt;0")&gt;0,Klisz_Verbräuche[[#This Row],[2027]]*(1-$F92)^1, ""), ""),IF($B$14&gt;Klisz_Verbräuche[[#Headers],[2028]],Refsz_Verbräuche[[#This Row],[2028]],"")))</f>
        <v/>
      </c>
      <c r="U92" s="49" t="str">
        <f>IF(Klisz_Verbräuche[[#Headers],[2029]]=$B$14,IF(COUNTIF($G92:Klisz_Verbräuche[[#This Row],[2028]],"&gt;0")&gt;0, AVERAGEIF($G92:Klisz_Verbräuche[[#This Row],[2028]],"&lt;&gt;"), ""),IF($B$14&lt;Klisz_Verbräuche[[#Headers],[2029]],IF(COUNTIF($G92:Klisz_Verbräuche[[#This Row],[2028]],"&gt;0")&gt;0,IF(COUNTIF($G92:Klisz_Verbräuche[[#This Row],[2028]],"&gt;0")&gt;0,Klisz_Verbräuche[[#This Row],[2028]]*(1-$F92)^1, ""), ""),IF($B$14&gt;Klisz_Verbräuche[[#Headers],[2029]],Refsz_Verbräuche[[#This Row],[2029]],"")))</f>
        <v/>
      </c>
      <c r="V92" s="49" t="str">
        <f>IF(Klisz_Verbräuche[[#Headers],[2030]]=$B$14,IF(COUNTIF($G92:Klisz_Verbräuche[[#This Row],[2029]],"&gt;0")&gt;0, AVERAGEIF($G92:Klisz_Verbräuche[[#This Row],[2029]],"&lt;&gt;"), ""),IF($B$14&lt;Klisz_Verbräuche[[#Headers],[2030]],IF(COUNTIF($G92:Klisz_Verbräuche[[#This Row],[2029]],"&gt;0")&gt;0,IF(COUNTIF($G92:Klisz_Verbräuche[[#This Row],[2029]],"&gt;0")&gt;0,Klisz_Verbräuche[[#This Row],[2029]]*(1-$F92)^1, ""), ""),IF($B$14&gt;Klisz_Verbräuche[[#Headers],[2030]],Refsz_Verbräuche[[#This Row],[2030]],"")))</f>
        <v/>
      </c>
      <c r="W92" s="49" t="str">
        <f>IF(Klisz_Verbräuche[[#Headers],[2035]]=$B$14,IF(COUNTIF($G92:Klisz_Verbräuche[[#This Row],[2030]],"&gt;0")&gt;0, AVERAGEIF($G92:Klisz_Verbräuche[[#This Row],[2030]],"&lt;&gt;"), ""),IF($B$14&lt;Klisz_Verbräuche[[#Headers],[2035]],IF(COUNTIF($G92:Klisz_Verbräuche[[#This Row],[2030]],"&gt;0")&gt;0,IF(COUNTIF($G92:Klisz_Verbräuche[[#This Row],[2030]],"&gt;0")&gt;0,Klisz_Verbräuche[[#This Row],[2030]]*(1-$F92)^5, ""), ""),IF($B$14&gt;Klisz_Verbräuche[[#Headers],[2035]],Refsz_Verbräuche[[#This Row],[2035]],"")))</f>
        <v/>
      </c>
      <c r="X92" s="49" t="str">
        <f>IF(Klisz_Verbräuche[[#Headers],[2040]]=$B$14,IF(COUNTIF($G92:Klisz_Verbräuche[[#This Row],[2035]],"&gt;0")&gt;0, AVERAGEIF($G92:Klisz_Verbräuche[[#This Row],[2035]],"&lt;&gt;"), ""),IF($B$14&lt;Klisz_Verbräuche[[#Headers],[2040]],IF(COUNTIF($G92:Klisz_Verbräuche[[#This Row],[2035]],"&gt;0")&gt;0,IF(COUNTIF($G92:Klisz_Verbräuche[[#This Row],[2035]],"&gt;0")&gt;0,Klisz_Verbräuche[[#This Row],[2035]]*(1-$F92)^5, ""), ""),IF($B$14&gt;Klisz_Verbräuche[[#Headers],[2040]],Refsz_Verbräuche[[#This Row],[2040]],"")))</f>
        <v/>
      </c>
      <c r="Y92" s="49" t="str">
        <f>IF(Klisz_Verbräuche[[#Headers],[2045]]=$B$14,IF(COUNTIF($G92:Klisz_Verbräuche[[#This Row],[2040]],"&gt;0")&gt;0, AVERAGEIF($G92:Klisz_Verbräuche[[#This Row],[2040]],"&lt;&gt;"), ""),IF($B$14&lt;Klisz_Verbräuche[[#Headers],[2045]],IF(COUNTIF($G92:Klisz_Verbräuche[[#This Row],[2040]],"&gt;0")&gt;0,IF(COUNTIF($G92:Klisz_Verbräuche[[#This Row],[2040]],"&gt;0")&gt;0,Klisz_Verbräuche[[#This Row],[2040]]*(1-$F92)^5, ""), ""),IF($B$14&gt;Klisz_Verbräuche[[#Headers],[2045]],Refsz_Verbräuche[[#This Row],[2045]],"")))</f>
        <v/>
      </c>
      <c r="Z92" s="49" t="str">
        <f>IF(Klisz_Verbräuche[[#Headers],[2050]]=$B$14,IF(COUNTIF($G92:Klisz_Verbräuche[[#This Row],[2045]],"&gt;0")&gt;0, AVERAGEIF($G92:Klisz_Verbräuche[[#This Row],[2045]],"&lt;&gt;"), ""),IF($B$14&lt;Klisz_Verbräuche[[#Headers],[2050]],IF(COUNTIF($G92:Klisz_Verbräuche[[#This Row],[2045]],"&gt;0")&gt;0,IF(COUNTIF($G92:Klisz_Verbräuche[[#This Row],[2045]],"&gt;0")&gt;0,Klisz_Verbräuche[[#This Row],[2045]]*(1-$F92)^5, ""), ""),IF($B$14&gt;Klisz_Verbräuche[[#Headers],[2050]],Refsz_Verbräuche[[#This Row],[2050]],"")))</f>
        <v/>
      </c>
      <c r="AA92" s="14"/>
    </row>
    <row r="93" spans="2:27">
      <c r="B93" s="14">
        <v>76</v>
      </c>
      <c r="C93" s="197" t="str">
        <f>Refsz_Verbräuche[[#This Row],[Handlungsfeld]]</f>
        <v>Mobilität 2</v>
      </c>
      <c r="D93" s="19" t="str">
        <f>Refsz_Verbräuche[[#This Row],[Datenpunkt]]</f>
        <v>Pendeln - zu Fuß</v>
      </c>
      <c r="E93" s="26" t="str">
        <f>Refsz_Verbräuche[[#This Row],[Einheit]]</f>
        <v>Pkm</v>
      </c>
      <c r="F93" s="108"/>
      <c r="G93" s="14" t="str">
        <f>IF(ISBLANK(Refsz_Verbräuche[[#This Row],[2015]]),"",Refsz_Verbräuche[[#This Row],[2015]])</f>
        <v/>
      </c>
      <c r="H93" s="14" t="str">
        <f>IF(ISBLANK(Refsz_Verbräuche[[#This Row],[2016]]),"",Refsz_Verbräuche[[#This Row],[2016]])</f>
        <v/>
      </c>
      <c r="I93" s="14" t="str">
        <f>IF(ISBLANK(Refsz_Verbräuche[[#This Row],[2017]]),"",Refsz_Verbräuche[[#This Row],[2017]])</f>
        <v/>
      </c>
      <c r="J93" s="14" t="str">
        <f>IF(ISBLANK(Refsz_Verbräuche[[#This Row],[2018]]),"",Refsz_Verbräuche[[#This Row],[2018]])</f>
        <v/>
      </c>
      <c r="K93" s="14" t="str">
        <f>IF(ISBLANK(Refsz_Verbräuche[[#This Row],[2019]]),"",Refsz_Verbräuche[[#This Row],[2019]])</f>
        <v/>
      </c>
      <c r="L93" s="14" t="str">
        <f>IF(ISBLANK(Refsz_Verbräuche[[#This Row],[2020]]),"",Refsz_Verbräuche[[#This Row],[2020]])</f>
        <v/>
      </c>
      <c r="M93" s="14" t="str">
        <f>IF(ISBLANK(Refsz_Verbräuche[[#This Row],[2021]]),"",Refsz_Verbräuche[[#This Row],[2021]])</f>
        <v/>
      </c>
      <c r="N93" s="49" t="str">
        <f>IF(Klisz_Verbräuche[[#Headers],[2022]]=$B$14,IF(COUNTIF($G93:Klisz_Verbräuche[[#This Row],[2021]],"&gt;0")&gt;0, AVERAGEIF($G93:Klisz_Verbräuche[[#This Row],[2021]],"&lt;&gt;"), ""),IF($B$14&lt;Klisz_Verbräuche[[#Headers],[2022]],IF(COUNTIF($G93:Klisz_Verbräuche[[#This Row],[2021]],"&gt;0")&gt;0,IF(COUNTIF($G93:Klisz_Verbräuche[[#This Row],[2021]],"&gt;0")&gt;0,Klisz_Verbräuche[[#This Row],[2021]]*(1-$F93)^1, ""), ""),IF($B$14&gt;Klisz_Verbräuche[[#Headers],[2022]],Refsz_Verbräuche[[#This Row],[2022]],"")))</f>
        <v/>
      </c>
      <c r="O93" s="49" t="str">
        <f>IF(Klisz_Verbräuche[[#Headers],[2023]]=$B$14,IF(COUNTIF($G93:Klisz_Verbräuche[[#This Row],[2022]],"&gt;0")&gt;0, AVERAGEIF($G93:Klisz_Verbräuche[[#This Row],[2022]],"&lt;&gt;"), ""),IF($B$14&lt;Klisz_Verbräuche[[#Headers],[2023]],IF(COUNTIF($G93:Klisz_Verbräuche[[#This Row],[2022]],"&gt;0")&gt;0,IF(COUNTIF($G93:Klisz_Verbräuche[[#This Row],[2022]],"&gt;0")&gt;0,Klisz_Verbräuche[[#This Row],[2022]]*(1-$F93)^1, ""), ""),IF($B$14&gt;Klisz_Verbräuche[[#Headers],[2023]],Refsz_Verbräuche[[#This Row],[2023]],"")))</f>
        <v/>
      </c>
      <c r="P93" s="49" t="str">
        <f>IF(Klisz_Verbräuche[[#Headers],[2024]]=$B$14,IF(COUNTIF($G93:Klisz_Verbräuche[[#This Row],[2023]],"&gt;0")&gt;0, AVERAGEIF($G93:Klisz_Verbräuche[[#This Row],[2023]],"&lt;&gt;"), ""),IF($B$14&lt;Klisz_Verbräuche[[#Headers],[2024]],IF(COUNTIF($G93:Klisz_Verbräuche[[#This Row],[2023]],"&gt;0")&gt;0,IF(COUNTIF($G93:Klisz_Verbräuche[[#This Row],[2023]],"&gt;0")&gt;0,Klisz_Verbräuche[[#This Row],[2023]]*(1-$F93)^1, ""), ""),IF($B$14&gt;Klisz_Verbräuche[[#Headers],[2024]],Refsz_Verbräuche[[#This Row],[2024]],"")))</f>
        <v/>
      </c>
      <c r="Q93" s="49" t="str">
        <f>IF(Klisz_Verbräuche[[#Headers],[2025]]=$B$14,IF(COUNTIF($G93:Klisz_Verbräuche[[#This Row],[2024]],"&gt;0")&gt;0, AVERAGEIF($G93:Klisz_Verbräuche[[#This Row],[2024]],"&lt;&gt;"), ""),IF($B$14&lt;Klisz_Verbräuche[[#Headers],[2025]],IF(COUNTIF($G93:Klisz_Verbräuche[[#This Row],[2024]],"&gt;0")&gt;0,IF(COUNTIF($G93:Klisz_Verbräuche[[#This Row],[2024]],"&gt;0")&gt;0,Klisz_Verbräuche[[#This Row],[2024]]*(1-$F93)^1, ""), ""),IF($B$14&gt;Klisz_Verbräuche[[#Headers],[2025]],Refsz_Verbräuche[[#This Row],[2025]],"")))</f>
        <v/>
      </c>
      <c r="R93" s="49" t="str">
        <f>IF(Klisz_Verbräuche[[#Headers],[2026]]=$B$14,IF(COUNTIF($G93:Klisz_Verbräuche[[#This Row],[2025]],"&gt;0")&gt;0, AVERAGEIF($G93:Klisz_Verbräuche[[#This Row],[2025]],"&lt;&gt;"), ""),IF($B$14&lt;Klisz_Verbräuche[[#Headers],[2026]],IF(COUNTIF($G93:Klisz_Verbräuche[[#This Row],[2025]],"&gt;0")&gt;0,IF(COUNTIF($G93:Klisz_Verbräuche[[#This Row],[2025]],"&gt;0")&gt;0,Klisz_Verbräuche[[#This Row],[2025]]*(1-$F93)^1, ""), ""),IF($B$14&gt;Klisz_Verbräuche[[#Headers],[2026]],Refsz_Verbräuche[[#This Row],[2026]],"")))</f>
        <v/>
      </c>
      <c r="S93" s="49" t="str">
        <f>IF(Klisz_Verbräuche[[#Headers],[2027]]=$B$14,IF(COUNTIF($G93:Klisz_Verbräuche[[#This Row],[2026]],"&gt;0")&gt;0, AVERAGEIF($G93:Klisz_Verbräuche[[#This Row],[2026]],"&lt;&gt;"), ""),IF($B$14&lt;Klisz_Verbräuche[[#Headers],[2027]],IF(COUNTIF($G93:Klisz_Verbräuche[[#This Row],[2026]],"&gt;0")&gt;0,IF(COUNTIF($G93:Klisz_Verbräuche[[#This Row],[2026]],"&gt;0")&gt;0,Klisz_Verbräuche[[#This Row],[2026]]*(1-$F93)^1, ""), ""),IF($B$14&gt;Klisz_Verbräuche[[#Headers],[2027]],Refsz_Verbräuche[[#This Row],[2027]],"")))</f>
        <v/>
      </c>
      <c r="T93" s="49" t="str">
        <f>IF(Klisz_Verbräuche[[#Headers],[2028]]=$B$14,IF(COUNTIF($G93:Klisz_Verbräuche[[#This Row],[2027]],"&gt;0")&gt;0, AVERAGEIF($G93:Klisz_Verbräuche[[#This Row],[2027]],"&lt;&gt;"), ""),IF($B$14&lt;Klisz_Verbräuche[[#Headers],[2028]],IF(COUNTIF($G93:Klisz_Verbräuche[[#This Row],[2027]],"&gt;0")&gt;0,IF(COUNTIF($G93:Klisz_Verbräuche[[#This Row],[2027]],"&gt;0")&gt;0,Klisz_Verbräuche[[#This Row],[2027]]*(1-$F93)^1, ""), ""),IF($B$14&gt;Klisz_Verbräuche[[#Headers],[2028]],Refsz_Verbräuche[[#This Row],[2028]],"")))</f>
        <v/>
      </c>
      <c r="U93" s="49" t="str">
        <f>IF(Klisz_Verbräuche[[#Headers],[2029]]=$B$14,IF(COUNTIF($G93:Klisz_Verbräuche[[#This Row],[2028]],"&gt;0")&gt;0, AVERAGEIF($G93:Klisz_Verbräuche[[#This Row],[2028]],"&lt;&gt;"), ""),IF($B$14&lt;Klisz_Verbräuche[[#Headers],[2029]],IF(COUNTIF($G93:Klisz_Verbräuche[[#This Row],[2028]],"&gt;0")&gt;0,IF(COUNTIF($G93:Klisz_Verbräuche[[#This Row],[2028]],"&gt;0")&gt;0,Klisz_Verbräuche[[#This Row],[2028]]*(1-$F93)^1, ""), ""),IF($B$14&gt;Klisz_Verbräuche[[#Headers],[2029]],Refsz_Verbräuche[[#This Row],[2029]],"")))</f>
        <v/>
      </c>
      <c r="V93" s="49" t="str">
        <f>IF(Klisz_Verbräuche[[#Headers],[2030]]=$B$14,IF(COUNTIF($G93:Klisz_Verbräuche[[#This Row],[2029]],"&gt;0")&gt;0, AVERAGEIF($G93:Klisz_Verbräuche[[#This Row],[2029]],"&lt;&gt;"), ""),IF($B$14&lt;Klisz_Verbräuche[[#Headers],[2030]],IF(COUNTIF($G93:Klisz_Verbräuche[[#This Row],[2029]],"&gt;0")&gt;0,IF(COUNTIF($G93:Klisz_Verbräuche[[#This Row],[2029]],"&gt;0")&gt;0,Klisz_Verbräuche[[#This Row],[2029]]*(1-$F93)^1, ""), ""),IF($B$14&gt;Klisz_Verbräuche[[#Headers],[2030]],Refsz_Verbräuche[[#This Row],[2030]],"")))</f>
        <v/>
      </c>
      <c r="W93" s="49" t="str">
        <f>IF(Klisz_Verbräuche[[#Headers],[2035]]=$B$14,IF(COUNTIF($G93:Klisz_Verbräuche[[#This Row],[2030]],"&gt;0")&gt;0, AVERAGEIF($G93:Klisz_Verbräuche[[#This Row],[2030]],"&lt;&gt;"), ""),IF($B$14&lt;Klisz_Verbräuche[[#Headers],[2035]],IF(COUNTIF($G93:Klisz_Verbräuche[[#This Row],[2030]],"&gt;0")&gt;0,IF(COUNTIF($G93:Klisz_Verbräuche[[#This Row],[2030]],"&gt;0")&gt;0,Klisz_Verbräuche[[#This Row],[2030]]*(1-$F93)^5, ""), ""),IF($B$14&gt;Klisz_Verbräuche[[#Headers],[2035]],Refsz_Verbräuche[[#This Row],[2035]],"")))</f>
        <v/>
      </c>
      <c r="X93" s="49" t="str">
        <f>IF(Klisz_Verbräuche[[#Headers],[2040]]=$B$14,IF(COUNTIF($G93:Klisz_Verbräuche[[#This Row],[2035]],"&gt;0")&gt;0, AVERAGEIF($G93:Klisz_Verbräuche[[#This Row],[2035]],"&lt;&gt;"), ""),IF($B$14&lt;Klisz_Verbräuche[[#Headers],[2040]],IF(COUNTIF($G93:Klisz_Verbräuche[[#This Row],[2035]],"&gt;0")&gt;0,IF(COUNTIF($G93:Klisz_Verbräuche[[#This Row],[2035]],"&gt;0")&gt;0,Klisz_Verbräuche[[#This Row],[2035]]*(1-$F93)^5, ""), ""),IF($B$14&gt;Klisz_Verbräuche[[#Headers],[2040]],Refsz_Verbräuche[[#This Row],[2040]],"")))</f>
        <v/>
      </c>
      <c r="Y93" s="49" t="str">
        <f>IF(Klisz_Verbräuche[[#Headers],[2045]]=$B$14,IF(COUNTIF($G93:Klisz_Verbräuche[[#This Row],[2040]],"&gt;0")&gt;0, AVERAGEIF($G93:Klisz_Verbräuche[[#This Row],[2040]],"&lt;&gt;"), ""),IF($B$14&lt;Klisz_Verbräuche[[#Headers],[2045]],IF(COUNTIF($G93:Klisz_Verbräuche[[#This Row],[2040]],"&gt;0")&gt;0,IF(COUNTIF($G93:Klisz_Verbräuche[[#This Row],[2040]],"&gt;0")&gt;0,Klisz_Verbräuche[[#This Row],[2040]]*(1-$F93)^5, ""), ""),IF($B$14&gt;Klisz_Verbräuche[[#Headers],[2045]],Refsz_Verbräuche[[#This Row],[2045]],"")))</f>
        <v/>
      </c>
      <c r="Z93" s="49" t="str">
        <f>IF(Klisz_Verbräuche[[#Headers],[2050]]=$B$14,IF(COUNTIF($G93:Klisz_Verbräuche[[#This Row],[2045]],"&gt;0")&gt;0, AVERAGEIF($G93:Klisz_Verbräuche[[#This Row],[2045]],"&lt;&gt;"), ""),IF($B$14&lt;Klisz_Verbräuche[[#Headers],[2050]],IF(COUNTIF($G93:Klisz_Verbräuche[[#This Row],[2045]],"&gt;0")&gt;0,IF(COUNTIF($G93:Klisz_Verbräuche[[#This Row],[2045]],"&gt;0")&gt;0,Klisz_Verbräuche[[#This Row],[2045]]*(1-$F93)^5, ""), ""),IF($B$14&gt;Klisz_Verbräuche[[#Headers],[2050]],Refsz_Verbräuche[[#This Row],[2050]],"")))</f>
        <v/>
      </c>
      <c r="AA93" s="14"/>
    </row>
    <row r="94" spans="2:27">
      <c r="B94" s="14">
        <v>77</v>
      </c>
      <c r="C94" s="197">
        <f>Refsz_Verbräuche[[#This Row],[Handlungsfeld]]</f>
        <v>0</v>
      </c>
      <c r="D94" s="19">
        <f>Refsz_Verbräuche[[#This Row],[Datenpunkt]]</f>
        <v>0</v>
      </c>
      <c r="E94" s="26">
        <f>Refsz_Verbräuche[[#This Row],[Einheit]]</f>
        <v>0</v>
      </c>
      <c r="F94" s="108"/>
      <c r="G94" s="14" t="str">
        <f>IF(ISBLANK(Refsz_Verbräuche[[#This Row],[2015]]),"",Refsz_Verbräuche[[#This Row],[2015]])</f>
        <v/>
      </c>
      <c r="H94" s="14" t="str">
        <f>IF(ISBLANK(Refsz_Verbräuche[[#This Row],[2016]]),"",Refsz_Verbräuche[[#This Row],[2016]])</f>
        <v/>
      </c>
      <c r="I94" s="14" t="str">
        <f>IF(ISBLANK(Refsz_Verbräuche[[#This Row],[2017]]),"",Refsz_Verbräuche[[#This Row],[2017]])</f>
        <v/>
      </c>
      <c r="J94" s="14" t="str">
        <f>IF(ISBLANK(Refsz_Verbräuche[[#This Row],[2018]]),"",Refsz_Verbräuche[[#This Row],[2018]])</f>
        <v/>
      </c>
      <c r="K94" s="14" t="str">
        <f>IF(ISBLANK(Refsz_Verbräuche[[#This Row],[2019]]),"",Refsz_Verbräuche[[#This Row],[2019]])</f>
        <v/>
      </c>
      <c r="L94" s="14" t="str">
        <f>IF(ISBLANK(Refsz_Verbräuche[[#This Row],[2020]]),"",Refsz_Verbräuche[[#This Row],[2020]])</f>
        <v/>
      </c>
      <c r="M94" s="14" t="str">
        <f>IF(ISBLANK(Refsz_Verbräuche[[#This Row],[2021]]),"",Refsz_Verbräuche[[#This Row],[2021]])</f>
        <v/>
      </c>
      <c r="N94" s="49" t="str">
        <f>IF(Klisz_Verbräuche[[#Headers],[2022]]=$B$14,IF(COUNTIF($G94:Klisz_Verbräuche[[#This Row],[2021]],"&gt;0")&gt;0, AVERAGEIF($G94:Klisz_Verbräuche[[#This Row],[2021]],"&lt;&gt;"), ""),IF($B$14&lt;Klisz_Verbräuche[[#Headers],[2022]],IF(COUNTIF($G94:Klisz_Verbräuche[[#This Row],[2021]],"&gt;0")&gt;0,IF(COUNTIF($G94:Klisz_Verbräuche[[#This Row],[2021]],"&gt;0")&gt;0,Klisz_Verbräuche[[#This Row],[2021]]*(1-$F94)^1, ""), ""),IF($B$14&gt;Klisz_Verbräuche[[#Headers],[2022]],Refsz_Verbräuche[[#This Row],[2022]],"")))</f>
        <v/>
      </c>
      <c r="O94" s="49" t="str">
        <f>IF(Klisz_Verbräuche[[#Headers],[2023]]=$B$14,IF(COUNTIF($G94:Klisz_Verbräuche[[#This Row],[2022]],"&gt;0")&gt;0, AVERAGEIF($G94:Klisz_Verbräuche[[#This Row],[2022]],"&lt;&gt;"), ""),IF($B$14&lt;Klisz_Verbräuche[[#Headers],[2023]],IF(COUNTIF($G94:Klisz_Verbräuche[[#This Row],[2022]],"&gt;0")&gt;0,IF(COUNTIF($G94:Klisz_Verbräuche[[#This Row],[2022]],"&gt;0")&gt;0,Klisz_Verbräuche[[#This Row],[2022]]*(1-$F94)^1, ""), ""),IF($B$14&gt;Klisz_Verbräuche[[#Headers],[2023]],Refsz_Verbräuche[[#This Row],[2023]],"")))</f>
        <v/>
      </c>
      <c r="P94" s="49" t="str">
        <f>IF(Klisz_Verbräuche[[#Headers],[2024]]=$B$14,IF(COUNTIF($G94:Klisz_Verbräuche[[#This Row],[2023]],"&gt;0")&gt;0, AVERAGEIF($G94:Klisz_Verbräuche[[#This Row],[2023]],"&lt;&gt;"), ""),IF($B$14&lt;Klisz_Verbräuche[[#Headers],[2024]],IF(COUNTIF($G94:Klisz_Verbräuche[[#This Row],[2023]],"&gt;0")&gt;0,IF(COUNTIF($G94:Klisz_Verbräuche[[#This Row],[2023]],"&gt;0")&gt;0,Klisz_Verbräuche[[#This Row],[2023]]*(1-$F94)^1, ""), ""),IF($B$14&gt;Klisz_Verbräuche[[#Headers],[2024]],Refsz_Verbräuche[[#This Row],[2024]],"")))</f>
        <v/>
      </c>
      <c r="Q94" s="49" t="str">
        <f>IF(Klisz_Verbräuche[[#Headers],[2025]]=$B$14,IF(COUNTIF($G94:Klisz_Verbräuche[[#This Row],[2024]],"&gt;0")&gt;0, AVERAGEIF($G94:Klisz_Verbräuche[[#This Row],[2024]],"&lt;&gt;"), ""),IF($B$14&lt;Klisz_Verbräuche[[#Headers],[2025]],IF(COUNTIF($G94:Klisz_Verbräuche[[#This Row],[2024]],"&gt;0")&gt;0,IF(COUNTIF($G94:Klisz_Verbräuche[[#This Row],[2024]],"&gt;0")&gt;0,Klisz_Verbräuche[[#This Row],[2024]]*(1-$F94)^1, ""), ""),IF($B$14&gt;Klisz_Verbräuche[[#Headers],[2025]],Refsz_Verbräuche[[#This Row],[2025]],"")))</f>
        <v/>
      </c>
      <c r="R94" s="49" t="str">
        <f>IF(Klisz_Verbräuche[[#Headers],[2026]]=$B$14,IF(COUNTIF($G94:Klisz_Verbräuche[[#This Row],[2025]],"&gt;0")&gt;0, AVERAGEIF($G94:Klisz_Verbräuche[[#This Row],[2025]],"&lt;&gt;"), ""),IF($B$14&lt;Klisz_Verbräuche[[#Headers],[2026]],IF(COUNTIF($G94:Klisz_Verbräuche[[#This Row],[2025]],"&gt;0")&gt;0,IF(COUNTIF($G94:Klisz_Verbräuche[[#This Row],[2025]],"&gt;0")&gt;0,Klisz_Verbräuche[[#This Row],[2025]]*(1-$F94)^1, ""), ""),IF($B$14&gt;Klisz_Verbräuche[[#Headers],[2026]],Refsz_Verbräuche[[#This Row],[2026]],"")))</f>
        <v/>
      </c>
      <c r="S94" s="49" t="str">
        <f>IF(Klisz_Verbräuche[[#Headers],[2027]]=$B$14,IF(COUNTIF($G94:Klisz_Verbräuche[[#This Row],[2026]],"&gt;0")&gt;0, AVERAGEIF($G94:Klisz_Verbräuche[[#This Row],[2026]],"&lt;&gt;"), ""),IF($B$14&lt;Klisz_Verbräuche[[#Headers],[2027]],IF(COUNTIF($G94:Klisz_Verbräuche[[#This Row],[2026]],"&gt;0")&gt;0,IF(COUNTIF($G94:Klisz_Verbräuche[[#This Row],[2026]],"&gt;0")&gt;0,Klisz_Verbräuche[[#This Row],[2026]]*(1-$F94)^1, ""), ""),IF($B$14&gt;Klisz_Verbräuche[[#Headers],[2027]],Refsz_Verbräuche[[#This Row],[2027]],"")))</f>
        <v/>
      </c>
      <c r="T94" s="49" t="str">
        <f>IF(Klisz_Verbräuche[[#Headers],[2028]]=$B$14,IF(COUNTIF($G94:Klisz_Verbräuche[[#This Row],[2027]],"&gt;0")&gt;0, AVERAGEIF($G94:Klisz_Verbräuche[[#This Row],[2027]],"&lt;&gt;"), ""),IF($B$14&lt;Klisz_Verbräuche[[#Headers],[2028]],IF(COUNTIF($G94:Klisz_Verbräuche[[#This Row],[2027]],"&gt;0")&gt;0,IF(COUNTIF($G94:Klisz_Verbräuche[[#This Row],[2027]],"&gt;0")&gt;0,Klisz_Verbräuche[[#This Row],[2027]]*(1-$F94)^1, ""), ""),IF($B$14&gt;Klisz_Verbräuche[[#Headers],[2028]],Refsz_Verbräuche[[#This Row],[2028]],"")))</f>
        <v/>
      </c>
      <c r="U94" s="49" t="str">
        <f>IF(Klisz_Verbräuche[[#Headers],[2029]]=$B$14,IF(COUNTIF($G94:Klisz_Verbräuche[[#This Row],[2028]],"&gt;0")&gt;0, AVERAGEIF($G94:Klisz_Verbräuche[[#This Row],[2028]],"&lt;&gt;"), ""),IF($B$14&lt;Klisz_Verbräuche[[#Headers],[2029]],IF(COUNTIF($G94:Klisz_Verbräuche[[#This Row],[2028]],"&gt;0")&gt;0,IF(COUNTIF($G94:Klisz_Verbräuche[[#This Row],[2028]],"&gt;0")&gt;0,Klisz_Verbräuche[[#This Row],[2028]]*(1-$F94)^1, ""), ""),IF($B$14&gt;Klisz_Verbräuche[[#Headers],[2029]],Refsz_Verbräuche[[#This Row],[2029]],"")))</f>
        <v/>
      </c>
      <c r="V94" s="49" t="str">
        <f>IF(Klisz_Verbräuche[[#Headers],[2030]]=$B$14,IF(COUNTIF($G94:Klisz_Verbräuche[[#This Row],[2029]],"&gt;0")&gt;0, AVERAGEIF($G94:Klisz_Verbräuche[[#This Row],[2029]],"&lt;&gt;"), ""),IF($B$14&lt;Klisz_Verbräuche[[#Headers],[2030]],IF(COUNTIF($G94:Klisz_Verbräuche[[#This Row],[2029]],"&gt;0")&gt;0,IF(COUNTIF($G94:Klisz_Verbräuche[[#This Row],[2029]],"&gt;0")&gt;0,Klisz_Verbräuche[[#This Row],[2029]]*(1-$F94)^1, ""), ""),IF($B$14&gt;Klisz_Verbräuche[[#Headers],[2030]],Refsz_Verbräuche[[#This Row],[2030]],"")))</f>
        <v/>
      </c>
      <c r="W94" s="49" t="str">
        <f>IF(Klisz_Verbräuche[[#Headers],[2035]]=$B$14,IF(COUNTIF($G94:Klisz_Verbräuche[[#This Row],[2030]],"&gt;0")&gt;0, AVERAGEIF($G94:Klisz_Verbräuche[[#This Row],[2030]],"&lt;&gt;"), ""),IF($B$14&lt;Klisz_Verbräuche[[#Headers],[2035]],IF(COUNTIF($G94:Klisz_Verbräuche[[#This Row],[2030]],"&gt;0")&gt;0,IF(COUNTIF($G94:Klisz_Verbräuche[[#This Row],[2030]],"&gt;0")&gt;0,Klisz_Verbräuche[[#This Row],[2030]]*(1-$F94)^5, ""), ""),IF($B$14&gt;Klisz_Verbräuche[[#Headers],[2035]],Refsz_Verbräuche[[#This Row],[2035]],"")))</f>
        <v/>
      </c>
      <c r="X94" s="49" t="str">
        <f>IF(Klisz_Verbräuche[[#Headers],[2040]]=$B$14,IF(COUNTIF($G94:Klisz_Verbräuche[[#This Row],[2035]],"&gt;0")&gt;0, AVERAGEIF($G94:Klisz_Verbräuche[[#This Row],[2035]],"&lt;&gt;"), ""),IF($B$14&lt;Klisz_Verbräuche[[#Headers],[2040]],IF(COUNTIF($G94:Klisz_Verbräuche[[#This Row],[2035]],"&gt;0")&gt;0,IF(COUNTIF($G94:Klisz_Verbräuche[[#This Row],[2035]],"&gt;0")&gt;0,Klisz_Verbräuche[[#This Row],[2035]]*(1-$F94)^5, ""), ""),IF($B$14&gt;Klisz_Verbräuche[[#Headers],[2040]],Refsz_Verbräuche[[#This Row],[2040]],"")))</f>
        <v/>
      </c>
      <c r="Y94" s="49" t="str">
        <f>IF(Klisz_Verbräuche[[#Headers],[2045]]=$B$14,IF(COUNTIF($G94:Klisz_Verbräuche[[#This Row],[2040]],"&gt;0")&gt;0, AVERAGEIF($G94:Klisz_Verbräuche[[#This Row],[2040]],"&lt;&gt;"), ""),IF($B$14&lt;Klisz_Verbräuche[[#Headers],[2045]],IF(COUNTIF($G94:Klisz_Verbräuche[[#This Row],[2040]],"&gt;0")&gt;0,IF(COUNTIF($G94:Klisz_Verbräuche[[#This Row],[2040]],"&gt;0")&gt;0,Klisz_Verbräuche[[#This Row],[2040]]*(1-$F94)^5, ""), ""),IF($B$14&gt;Klisz_Verbräuche[[#Headers],[2045]],Refsz_Verbräuche[[#This Row],[2045]],"")))</f>
        <v/>
      </c>
      <c r="Z94" s="49" t="str">
        <f>IF(Klisz_Verbräuche[[#Headers],[2050]]=$B$14,IF(COUNTIF($G94:Klisz_Verbräuche[[#This Row],[2045]],"&gt;0")&gt;0, AVERAGEIF($G94:Klisz_Verbräuche[[#This Row],[2045]],"&lt;&gt;"), ""),IF($B$14&lt;Klisz_Verbräuche[[#Headers],[2050]],IF(COUNTIF($G94:Klisz_Verbräuche[[#This Row],[2045]],"&gt;0")&gt;0,IF(COUNTIF($G94:Klisz_Verbräuche[[#This Row],[2045]],"&gt;0")&gt;0,Klisz_Verbräuche[[#This Row],[2045]]*(1-$F94)^5, ""), ""),IF($B$14&gt;Klisz_Verbräuche[[#Headers],[2050]],Refsz_Verbräuche[[#This Row],[2050]],"")))</f>
        <v/>
      </c>
      <c r="AA94" s="14"/>
    </row>
    <row r="95" spans="2:27">
      <c r="B95" s="14">
        <v>78</v>
      </c>
      <c r="C95" s="197" t="str">
        <f>Refsz_Verbräuche[[#This Row],[Handlungsfeld]]</f>
        <v>Mobilität 2</v>
      </c>
      <c r="D95" s="19" t="str">
        <f>Refsz_Verbräuche[[#This Row],[Datenpunkt]]</f>
        <v>Studierendenreisen (Incoming) - Flugreisen</v>
      </c>
      <c r="E95" s="26" t="str">
        <f>Refsz_Verbräuche[[#This Row],[Einheit]]</f>
        <v>Pkm</v>
      </c>
      <c r="F95" s="108"/>
      <c r="G95" s="14" t="str">
        <f>IF(ISBLANK(Refsz_Verbräuche[[#This Row],[2015]]),"",Refsz_Verbräuche[[#This Row],[2015]])</f>
        <v/>
      </c>
      <c r="H95" s="14" t="str">
        <f>IF(ISBLANK(Refsz_Verbräuche[[#This Row],[2016]]),"",Refsz_Verbräuche[[#This Row],[2016]])</f>
        <v/>
      </c>
      <c r="I95" s="14" t="str">
        <f>IF(ISBLANK(Refsz_Verbräuche[[#This Row],[2017]]),"",Refsz_Verbräuche[[#This Row],[2017]])</f>
        <v/>
      </c>
      <c r="J95" s="14" t="str">
        <f>IF(ISBLANK(Refsz_Verbräuche[[#This Row],[2018]]),"",Refsz_Verbräuche[[#This Row],[2018]])</f>
        <v/>
      </c>
      <c r="K95" s="14" t="str">
        <f>IF(ISBLANK(Refsz_Verbräuche[[#This Row],[2019]]),"",Refsz_Verbräuche[[#This Row],[2019]])</f>
        <v/>
      </c>
      <c r="L95" s="14" t="str">
        <f>IF(ISBLANK(Refsz_Verbräuche[[#This Row],[2020]]),"",Refsz_Verbräuche[[#This Row],[2020]])</f>
        <v/>
      </c>
      <c r="M95" s="14" t="str">
        <f>IF(ISBLANK(Refsz_Verbräuche[[#This Row],[2021]]),"",Refsz_Verbräuche[[#This Row],[2021]])</f>
        <v/>
      </c>
      <c r="N95" s="49" t="str">
        <f>IF(Klisz_Verbräuche[[#Headers],[2022]]=$B$14,IF(COUNTIF($G95:Klisz_Verbräuche[[#This Row],[2021]],"&gt;0")&gt;0, AVERAGEIF($G95:Klisz_Verbräuche[[#This Row],[2021]],"&lt;&gt;"), ""),IF($B$14&lt;Klisz_Verbräuche[[#Headers],[2022]],IF(COUNTIF($G95:Klisz_Verbräuche[[#This Row],[2021]],"&gt;0")&gt;0,IF(COUNTIF($G95:Klisz_Verbräuche[[#This Row],[2021]],"&gt;0")&gt;0,Klisz_Verbräuche[[#This Row],[2021]]*(1-$F95)^1, ""), ""),IF($B$14&gt;Klisz_Verbräuche[[#Headers],[2022]],Refsz_Verbräuche[[#This Row],[2022]],"")))</f>
        <v/>
      </c>
      <c r="O95" s="49" t="str">
        <f>IF(Klisz_Verbräuche[[#Headers],[2023]]=$B$14,IF(COUNTIF($G95:Klisz_Verbräuche[[#This Row],[2022]],"&gt;0")&gt;0, AVERAGEIF($G95:Klisz_Verbräuche[[#This Row],[2022]],"&lt;&gt;"), ""),IF($B$14&lt;Klisz_Verbräuche[[#Headers],[2023]],IF(COUNTIF($G95:Klisz_Verbräuche[[#This Row],[2022]],"&gt;0")&gt;0,IF(COUNTIF($G95:Klisz_Verbräuche[[#This Row],[2022]],"&gt;0")&gt;0,Klisz_Verbräuche[[#This Row],[2022]]*(1-$F95)^1, ""), ""),IF($B$14&gt;Klisz_Verbräuche[[#Headers],[2023]],Refsz_Verbräuche[[#This Row],[2023]],"")))</f>
        <v/>
      </c>
      <c r="P95" s="49" t="str">
        <f>IF(Klisz_Verbräuche[[#Headers],[2024]]=$B$14,IF(COUNTIF($G95:Klisz_Verbräuche[[#This Row],[2023]],"&gt;0")&gt;0, AVERAGEIF($G95:Klisz_Verbräuche[[#This Row],[2023]],"&lt;&gt;"), ""),IF($B$14&lt;Klisz_Verbräuche[[#Headers],[2024]],IF(COUNTIF($G95:Klisz_Verbräuche[[#This Row],[2023]],"&gt;0")&gt;0,IF(COUNTIF($G95:Klisz_Verbräuche[[#This Row],[2023]],"&gt;0")&gt;0,Klisz_Verbräuche[[#This Row],[2023]]*(1-$F95)^1, ""), ""),IF($B$14&gt;Klisz_Verbräuche[[#Headers],[2024]],Refsz_Verbräuche[[#This Row],[2024]],"")))</f>
        <v/>
      </c>
      <c r="Q95" s="49" t="str">
        <f>IF(Klisz_Verbräuche[[#Headers],[2025]]=$B$14,IF(COUNTIF($G95:Klisz_Verbräuche[[#This Row],[2024]],"&gt;0")&gt;0, AVERAGEIF($G95:Klisz_Verbräuche[[#This Row],[2024]],"&lt;&gt;"), ""),IF($B$14&lt;Klisz_Verbräuche[[#Headers],[2025]],IF(COUNTIF($G95:Klisz_Verbräuche[[#This Row],[2024]],"&gt;0")&gt;0,IF(COUNTIF($G95:Klisz_Verbräuche[[#This Row],[2024]],"&gt;0")&gt;0,Klisz_Verbräuche[[#This Row],[2024]]*(1-$F95)^1, ""), ""),IF($B$14&gt;Klisz_Verbräuche[[#Headers],[2025]],Refsz_Verbräuche[[#This Row],[2025]],"")))</f>
        <v/>
      </c>
      <c r="R95" s="49" t="str">
        <f>IF(Klisz_Verbräuche[[#Headers],[2026]]=$B$14,IF(COUNTIF($G95:Klisz_Verbräuche[[#This Row],[2025]],"&gt;0")&gt;0, AVERAGEIF($G95:Klisz_Verbräuche[[#This Row],[2025]],"&lt;&gt;"), ""),IF($B$14&lt;Klisz_Verbräuche[[#Headers],[2026]],IF(COUNTIF($G95:Klisz_Verbräuche[[#This Row],[2025]],"&gt;0")&gt;0,IF(COUNTIF($G95:Klisz_Verbräuche[[#This Row],[2025]],"&gt;0")&gt;0,Klisz_Verbräuche[[#This Row],[2025]]*(1-$F95)^1, ""), ""),IF($B$14&gt;Klisz_Verbräuche[[#Headers],[2026]],Refsz_Verbräuche[[#This Row],[2026]],"")))</f>
        <v/>
      </c>
      <c r="S95" s="49" t="str">
        <f>IF(Klisz_Verbräuche[[#Headers],[2027]]=$B$14,IF(COUNTIF($G95:Klisz_Verbräuche[[#This Row],[2026]],"&gt;0")&gt;0, AVERAGEIF($G95:Klisz_Verbräuche[[#This Row],[2026]],"&lt;&gt;"), ""),IF($B$14&lt;Klisz_Verbräuche[[#Headers],[2027]],IF(COUNTIF($G95:Klisz_Verbräuche[[#This Row],[2026]],"&gt;0")&gt;0,IF(COUNTIF($G95:Klisz_Verbräuche[[#This Row],[2026]],"&gt;0")&gt;0,Klisz_Verbräuche[[#This Row],[2026]]*(1-$F95)^1, ""), ""),IF($B$14&gt;Klisz_Verbräuche[[#Headers],[2027]],Refsz_Verbräuche[[#This Row],[2027]],"")))</f>
        <v/>
      </c>
      <c r="T95" s="49" t="str">
        <f>IF(Klisz_Verbräuche[[#Headers],[2028]]=$B$14,IF(COUNTIF($G95:Klisz_Verbräuche[[#This Row],[2027]],"&gt;0")&gt;0, AVERAGEIF($G95:Klisz_Verbräuche[[#This Row],[2027]],"&lt;&gt;"), ""),IF($B$14&lt;Klisz_Verbräuche[[#Headers],[2028]],IF(COUNTIF($G95:Klisz_Verbräuche[[#This Row],[2027]],"&gt;0")&gt;0,IF(COUNTIF($G95:Klisz_Verbräuche[[#This Row],[2027]],"&gt;0")&gt;0,Klisz_Verbräuche[[#This Row],[2027]]*(1-$F95)^1, ""), ""),IF($B$14&gt;Klisz_Verbräuche[[#Headers],[2028]],Refsz_Verbräuche[[#This Row],[2028]],"")))</f>
        <v/>
      </c>
      <c r="U95" s="49" t="str">
        <f>IF(Klisz_Verbräuche[[#Headers],[2029]]=$B$14,IF(COUNTIF($G95:Klisz_Verbräuche[[#This Row],[2028]],"&gt;0")&gt;0, AVERAGEIF($G95:Klisz_Verbräuche[[#This Row],[2028]],"&lt;&gt;"), ""),IF($B$14&lt;Klisz_Verbräuche[[#Headers],[2029]],IF(COUNTIF($G95:Klisz_Verbräuche[[#This Row],[2028]],"&gt;0")&gt;0,IF(COUNTIF($G95:Klisz_Verbräuche[[#This Row],[2028]],"&gt;0")&gt;0,Klisz_Verbräuche[[#This Row],[2028]]*(1-$F95)^1, ""), ""),IF($B$14&gt;Klisz_Verbräuche[[#Headers],[2029]],Refsz_Verbräuche[[#This Row],[2029]],"")))</f>
        <v/>
      </c>
      <c r="V95" s="49" t="str">
        <f>IF(Klisz_Verbräuche[[#Headers],[2030]]=$B$14,IF(COUNTIF($G95:Klisz_Verbräuche[[#This Row],[2029]],"&gt;0")&gt;0, AVERAGEIF($G95:Klisz_Verbräuche[[#This Row],[2029]],"&lt;&gt;"), ""),IF($B$14&lt;Klisz_Verbräuche[[#Headers],[2030]],IF(COUNTIF($G95:Klisz_Verbräuche[[#This Row],[2029]],"&gt;0")&gt;0,IF(COUNTIF($G95:Klisz_Verbräuche[[#This Row],[2029]],"&gt;0")&gt;0,Klisz_Verbräuche[[#This Row],[2029]]*(1-$F95)^1, ""), ""),IF($B$14&gt;Klisz_Verbräuche[[#Headers],[2030]],Refsz_Verbräuche[[#This Row],[2030]],"")))</f>
        <v/>
      </c>
      <c r="W95" s="49" t="str">
        <f>IF(Klisz_Verbräuche[[#Headers],[2035]]=$B$14,IF(COUNTIF($G95:Klisz_Verbräuche[[#This Row],[2030]],"&gt;0")&gt;0, AVERAGEIF($G95:Klisz_Verbräuche[[#This Row],[2030]],"&lt;&gt;"), ""),IF($B$14&lt;Klisz_Verbräuche[[#Headers],[2035]],IF(COUNTIF($G95:Klisz_Verbräuche[[#This Row],[2030]],"&gt;0")&gt;0,IF(COUNTIF($G95:Klisz_Verbräuche[[#This Row],[2030]],"&gt;0")&gt;0,Klisz_Verbräuche[[#This Row],[2030]]*(1-$F95)^5, ""), ""),IF($B$14&gt;Klisz_Verbräuche[[#Headers],[2035]],Refsz_Verbräuche[[#This Row],[2035]],"")))</f>
        <v/>
      </c>
      <c r="X95" s="49" t="str">
        <f>IF(Klisz_Verbräuche[[#Headers],[2040]]=$B$14,IF(COUNTIF($G95:Klisz_Verbräuche[[#This Row],[2035]],"&gt;0")&gt;0, AVERAGEIF($G95:Klisz_Verbräuche[[#This Row],[2035]],"&lt;&gt;"), ""),IF($B$14&lt;Klisz_Verbräuche[[#Headers],[2040]],IF(COUNTIF($G95:Klisz_Verbräuche[[#This Row],[2035]],"&gt;0")&gt;0,IF(COUNTIF($G95:Klisz_Verbräuche[[#This Row],[2035]],"&gt;0")&gt;0,Klisz_Verbräuche[[#This Row],[2035]]*(1-$F95)^5, ""), ""),IF($B$14&gt;Klisz_Verbräuche[[#Headers],[2040]],Refsz_Verbräuche[[#This Row],[2040]],"")))</f>
        <v/>
      </c>
      <c r="Y95" s="49" t="str">
        <f>IF(Klisz_Verbräuche[[#Headers],[2045]]=$B$14,IF(COUNTIF($G95:Klisz_Verbräuche[[#This Row],[2040]],"&gt;0")&gt;0, AVERAGEIF($G95:Klisz_Verbräuche[[#This Row],[2040]],"&lt;&gt;"), ""),IF($B$14&lt;Klisz_Verbräuche[[#Headers],[2045]],IF(COUNTIF($G95:Klisz_Verbräuche[[#This Row],[2040]],"&gt;0")&gt;0,IF(COUNTIF($G95:Klisz_Verbräuche[[#This Row],[2040]],"&gt;0")&gt;0,Klisz_Verbräuche[[#This Row],[2040]]*(1-$F95)^5, ""), ""),IF($B$14&gt;Klisz_Verbräuche[[#Headers],[2045]],Refsz_Verbräuche[[#This Row],[2045]],"")))</f>
        <v/>
      </c>
      <c r="Z95" s="49" t="str">
        <f>IF(Klisz_Verbräuche[[#Headers],[2050]]=$B$14,IF(COUNTIF($G95:Klisz_Verbräuche[[#This Row],[2045]],"&gt;0")&gt;0, AVERAGEIF($G95:Klisz_Verbräuche[[#This Row],[2045]],"&lt;&gt;"), ""),IF($B$14&lt;Klisz_Verbräuche[[#Headers],[2050]],IF(COUNTIF($G95:Klisz_Verbräuche[[#This Row],[2045]],"&gt;0")&gt;0,IF(COUNTIF($G95:Klisz_Verbräuche[[#This Row],[2045]],"&gt;0")&gt;0,Klisz_Verbräuche[[#This Row],[2045]]*(1-$F95)^5, ""), ""),IF($B$14&gt;Klisz_Verbräuche[[#Headers],[2050]],Refsz_Verbräuche[[#This Row],[2050]],"")))</f>
        <v/>
      </c>
      <c r="AA95" s="14"/>
    </row>
    <row r="96" spans="2:27">
      <c r="B96" s="14">
        <v>79</v>
      </c>
      <c r="C96" s="197" t="str">
        <f>Refsz_Verbräuche[[#This Row],[Handlungsfeld]]</f>
        <v>Mobilität 2</v>
      </c>
      <c r="D96" s="19" t="str">
        <f>Refsz_Verbräuche[[#This Row],[Datenpunkt]]</f>
        <v>Studierendenreisen (Incoming) - Eisenbahn (Nahverkehr)</v>
      </c>
      <c r="E96" s="26" t="str">
        <f>Refsz_Verbräuche[[#This Row],[Einheit]]</f>
        <v>Pkm</v>
      </c>
      <c r="F96" s="108"/>
      <c r="G96" s="14" t="str">
        <f>IF(ISBLANK(Refsz_Verbräuche[[#This Row],[2015]]),"",Refsz_Verbräuche[[#This Row],[2015]])</f>
        <v/>
      </c>
      <c r="H96" s="14" t="str">
        <f>IF(ISBLANK(Refsz_Verbräuche[[#This Row],[2016]]),"",Refsz_Verbräuche[[#This Row],[2016]])</f>
        <v/>
      </c>
      <c r="I96" s="14" t="str">
        <f>IF(ISBLANK(Refsz_Verbräuche[[#This Row],[2017]]),"",Refsz_Verbräuche[[#This Row],[2017]])</f>
        <v/>
      </c>
      <c r="J96" s="14" t="str">
        <f>IF(ISBLANK(Refsz_Verbräuche[[#This Row],[2018]]),"",Refsz_Verbräuche[[#This Row],[2018]])</f>
        <v/>
      </c>
      <c r="K96" s="14" t="str">
        <f>IF(ISBLANK(Refsz_Verbräuche[[#This Row],[2019]]),"",Refsz_Verbräuche[[#This Row],[2019]])</f>
        <v/>
      </c>
      <c r="L96" s="14" t="str">
        <f>IF(ISBLANK(Refsz_Verbräuche[[#This Row],[2020]]),"",Refsz_Verbräuche[[#This Row],[2020]])</f>
        <v/>
      </c>
      <c r="M96" s="14" t="str">
        <f>IF(ISBLANK(Refsz_Verbräuche[[#This Row],[2021]]),"",Refsz_Verbräuche[[#This Row],[2021]])</f>
        <v/>
      </c>
      <c r="N96" s="49" t="str">
        <f>IF(Klisz_Verbräuche[[#Headers],[2022]]=$B$14,IF(COUNTIF($G96:Klisz_Verbräuche[[#This Row],[2021]],"&gt;0")&gt;0, AVERAGEIF($G96:Klisz_Verbräuche[[#This Row],[2021]],"&lt;&gt;"), ""),IF($B$14&lt;Klisz_Verbräuche[[#Headers],[2022]],IF(COUNTIF($G96:Klisz_Verbräuche[[#This Row],[2021]],"&gt;0")&gt;0,IF(COUNTIF($G96:Klisz_Verbräuche[[#This Row],[2021]],"&gt;0")&gt;0,Klisz_Verbräuche[[#This Row],[2021]]*(1-$F96)^1, ""), ""),IF($B$14&gt;Klisz_Verbräuche[[#Headers],[2022]],Refsz_Verbräuche[[#This Row],[2022]],"")))</f>
        <v/>
      </c>
      <c r="O96" s="49" t="str">
        <f>IF(Klisz_Verbräuche[[#Headers],[2023]]=$B$14,IF(COUNTIF($G96:Klisz_Verbräuche[[#This Row],[2022]],"&gt;0")&gt;0, AVERAGEIF($G96:Klisz_Verbräuche[[#This Row],[2022]],"&lt;&gt;"), ""),IF($B$14&lt;Klisz_Verbräuche[[#Headers],[2023]],IF(COUNTIF($G96:Klisz_Verbräuche[[#This Row],[2022]],"&gt;0")&gt;0,IF(COUNTIF($G96:Klisz_Verbräuche[[#This Row],[2022]],"&gt;0")&gt;0,Klisz_Verbräuche[[#This Row],[2022]]*(1-$F96)^1, ""), ""),IF($B$14&gt;Klisz_Verbräuche[[#Headers],[2023]],Refsz_Verbräuche[[#This Row],[2023]],"")))</f>
        <v/>
      </c>
      <c r="P96" s="49" t="str">
        <f>IF(Klisz_Verbräuche[[#Headers],[2024]]=$B$14,IF(COUNTIF($G96:Klisz_Verbräuche[[#This Row],[2023]],"&gt;0")&gt;0, AVERAGEIF($G96:Klisz_Verbräuche[[#This Row],[2023]],"&lt;&gt;"), ""),IF($B$14&lt;Klisz_Verbräuche[[#Headers],[2024]],IF(COUNTIF($G96:Klisz_Verbräuche[[#This Row],[2023]],"&gt;0")&gt;0,IF(COUNTIF($G96:Klisz_Verbräuche[[#This Row],[2023]],"&gt;0")&gt;0,Klisz_Verbräuche[[#This Row],[2023]]*(1-$F96)^1, ""), ""),IF($B$14&gt;Klisz_Verbräuche[[#Headers],[2024]],Refsz_Verbräuche[[#This Row],[2024]],"")))</f>
        <v/>
      </c>
      <c r="Q96" s="49" t="str">
        <f>IF(Klisz_Verbräuche[[#Headers],[2025]]=$B$14,IF(COUNTIF($G96:Klisz_Verbräuche[[#This Row],[2024]],"&gt;0")&gt;0, AVERAGEIF($G96:Klisz_Verbräuche[[#This Row],[2024]],"&lt;&gt;"), ""),IF($B$14&lt;Klisz_Verbräuche[[#Headers],[2025]],IF(COUNTIF($G96:Klisz_Verbräuche[[#This Row],[2024]],"&gt;0")&gt;0,IF(COUNTIF($G96:Klisz_Verbräuche[[#This Row],[2024]],"&gt;0")&gt;0,Klisz_Verbräuche[[#This Row],[2024]]*(1-$F96)^1, ""), ""),IF($B$14&gt;Klisz_Verbräuche[[#Headers],[2025]],Refsz_Verbräuche[[#This Row],[2025]],"")))</f>
        <v/>
      </c>
      <c r="R96" s="49" t="str">
        <f>IF(Klisz_Verbräuche[[#Headers],[2026]]=$B$14,IF(COUNTIF($G96:Klisz_Verbräuche[[#This Row],[2025]],"&gt;0")&gt;0, AVERAGEIF($G96:Klisz_Verbräuche[[#This Row],[2025]],"&lt;&gt;"), ""),IF($B$14&lt;Klisz_Verbräuche[[#Headers],[2026]],IF(COUNTIF($G96:Klisz_Verbräuche[[#This Row],[2025]],"&gt;0")&gt;0,IF(COUNTIF($G96:Klisz_Verbräuche[[#This Row],[2025]],"&gt;0")&gt;0,Klisz_Verbräuche[[#This Row],[2025]]*(1-$F96)^1, ""), ""),IF($B$14&gt;Klisz_Verbräuche[[#Headers],[2026]],Refsz_Verbräuche[[#This Row],[2026]],"")))</f>
        <v/>
      </c>
      <c r="S96" s="49" t="str">
        <f>IF(Klisz_Verbräuche[[#Headers],[2027]]=$B$14,IF(COUNTIF($G96:Klisz_Verbräuche[[#This Row],[2026]],"&gt;0")&gt;0, AVERAGEIF($G96:Klisz_Verbräuche[[#This Row],[2026]],"&lt;&gt;"), ""),IF($B$14&lt;Klisz_Verbräuche[[#Headers],[2027]],IF(COUNTIF($G96:Klisz_Verbräuche[[#This Row],[2026]],"&gt;0")&gt;0,IF(COUNTIF($G96:Klisz_Verbräuche[[#This Row],[2026]],"&gt;0")&gt;0,Klisz_Verbräuche[[#This Row],[2026]]*(1-$F96)^1, ""), ""),IF($B$14&gt;Klisz_Verbräuche[[#Headers],[2027]],Refsz_Verbräuche[[#This Row],[2027]],"")))</f>
        <v/>
      </c>
      <c r="T96" s="49" t="str">
        <f>IF(Klisz_Verbräuche[[#Headers],[2028]]=$B$14,IF(COUNTIF($G96:Klisz_Verbräuche[[#This Row],[2027]],"&gt;0")&gt;0, AVERAGEIF($G96:Klisz_Verbräuche[[#This Row],[2027]],"&lt;&gt;"), ""),IF($B$14&lt;Klisz_Verbräuche[[#Headers],[2028]],IF(COUNTIF($G96:Klisz_Verbräuche[[#This Row],[2027]],"&gt;0")&gt;0,IF(COUNTIF($G96:Klisz_Verbräuche[[#This Row],[2027]],"&gt;0")&gt;0,Klisz_Verbräuche[[#This Row],[2027]]*(1-$F96)^1, ""), ""),IF($B$14&gt;Klisz_Verbräuche[[#Headers],[2028]],Refsz_Verbräuche[[#This Row],[2028]],"")))</f>
        <v/>
      </c>
      <c r="U96" s="49" t="str">
        <f>IF(Klisz_Verbräuche[[#Headers],[2029]]=$B$14,IF(COUNTIF($G96:Klisz_Verbräuche[[#This Row],[2028]],"&gt;0")&gt;0, AVERAGEIF($G96:Klisz_Verbräuche[[#This Row],[2028]],"&lt;&gt;"), ""),IF($B$14&lt;Klisz_Verbräuche[[#Headers],[2029]],IF(COUNTIF($G96:Klisz_Verbräuche[[#This Row],[2028]],"&gt;0")&gt;0,IF(COUNTIF($G96:Klisz_Verbräuche[[#This Row],[2028]],"&gt;0")&gt;0,Klisz_Verbräuche[[#This Row],[2028]]*(1-$F96)^1, ""), ""),IF($B$14&gt;Klisz_Verbräuche[[#Headers],[2029]],Refsz_Verbräuche[[#This Row],[2029]],"")))</f>
        <v/>
      </c>
      <c r="V96" s="49" t="str">
        <f>IF(Klisz_Verbräuche[[#Headers],[2030]]=$B$14,IF(COUNTIF($G96:Klisz_Verbräuche[[#This Row],[2029]],"&gt;0")&gt;0, AVERAGEIF($G96:Klisz_Verbräuche[[#This Row],[2029]],"&lt;&gt;"), ""),IF($B$14&lt;Klisz_Verbräuche[[#Headers],[2030]],IF(COUNTIF($G96:Klisz_Verbräuche[[#This Row],[2029]],"&gt;0")&gt;0,IF(COUNTIF($G96:Klisz_Verbräuche[[#This Row],[2029]],"&gt;0")&gt;0,Klisz_Verbräuche[[#This Row],[2029]]*(1-$F96)^1, ""), ""),IF($B$14&gt;Klisz_Verbräuche[[#Headers],[2030]],Refsz_Verbräuche[[#This Row],[2030]],"")))</f>
        <v/>
      </c>
      <c r="W96" s="49" t="str">
        <f>IF(Klisz_Verbräuche[[#Headers],[2035]]=$B$14,IF(COUNTIF($G96:Klisz_Verbräuche[[#This Row],[2030]],"&gt;0")&gt;0, AVERAGEIF($G96:Klisz_Verbräuche[[#This Row],[2030]],"&lt;&gt;"), ""),IF($B$14&lt;Klisz_Verbräuche[[#Headers],[2035]],IF(COUNTIF($G96:Klisz_Verbräuche[[#This Row],[2030]],"&gt;0")&gt;0,IF(COUNTIF($G96:Klisz_Verbräuche[[#This Row],[2030]],"&gt;0")&gt;0,Klisz_Verbräuche[[#This Row],[2030]]*(1-$F96)^5, ""), ""),IF($B$14&gt;Klisz_Verbräuche[[#Headers],[2035]],Refsz_Verbräuche[[#This Row],[2035]],"")))</f>
        <v/>
      </c>
      <c r="X96" s="49" t="str">
        <f>IF(Klisz_Verbräuche[[#Headers],[2040]]=$B$14,IF(COUNTIF($G96:Klisz_Verbräuche[[#This Row],[2035]],"&gt;0")&gt;0, AVERAGEIF($G96:Klisz_Verbräuche[[#This Row],[2035]],"&lt;&gt;"), ""),IF($B$14&lt;Klisz_Verbräuche[[#Headers],[2040]],IF(COUNTIF($G96:Klisz_Verbräuche[[#This Row],[2035]],"&gt;0")&gt;0,IF(COUNTIF($G96:Klisz_Verbräuche[[#This Row],[2035]],"&gt;0")&gt;0,Klisz_Verbräuche[[#This Row],[2035]]*(1-$F96)^5, ""), ""),IF($B$14&gt;Klisz_Verbräuche[[#Headers],[2040]],Refsz_Verbräuche[[#This Row],[2040]],"")))</f>
        <v/>
      </c>
      <c r="Y96" s="49" t="str">
        <f>IF(Klisz_Verbräuche[[#Headers],[2045]]=$B$14,IF(COUNTIF($G96:Klisz_Verbräuche[[#This Row],[2040]],"&gt;0")&gt;0, AVERAGEIF($G96:Klisz_Verbräuche[[#This Row],[2040]],"&lt;&gt;"), ""),IF($B$14&lt;Klisz_Verbräuche[[#Headers],[2045]],IF(COUNTIF($G96:Klisz_Verbräuche[[#This Row],[2040]],"&gt;0")&gt;0,IF(COUNTIF($G96:Klisz_Verbräuche[[#This Row],[2040]],"&gt;0")&gt;0,Klisz_Verbräuche[[#This Row],[2040]]*(1-$F96)^5, ""), ""),IF($B$14&gt;Klisz_Verbräuche[[#Headers],[2045]],Refsz_Verbräuche[[#This Row],[2045]],"")))</f>
        <v/>
      </c>
      <c r="Z96" s="49" t="str">
        <f>IF(Klisz_Verbräuche[[#Headers],[2050]]=$B$14,IF(COUNTIF($G96:Klisz_Verbräuche[[#This Row],[2045]],"&gt;0")&gt;0, AVERAGEIF($G96:Klisz_Verbräuche[[#This Row],[2045]],"&lt;&gt;"), ""),IF($B$14&lt;Klisz_Verbräuche[[#Headers],[2050]],IF(COUNTIF($G96:Klisz_Verbräuche[[#This Row],[2045]],"&gt;0")&gt;0,IF(COUNTIF($G96:Klisz_Verbräuche[[#This Row],[2045]],"&gt;0")&gt;0,Klisz_Verbräuche[[#This Row],[2045]]*(1-$F96)^5, ""), ""),IF($B$14&gt;Klisz_Verbräuche[[#Headers],[2050]],Refsz_Verbräuche[[#This Row],[2050]],"")))</f>
        <v/>
      </c>
      <c r="AA96" s="14"/>
    </row>
    <row r="97" spans="2:27">
      <c r="B97" s="14">
        <v>80</v>
      </c>
      <c r="C97" s="197" t="str">
        <f>Refsz_Verbräuche[[#This Row],[Handlungsfeld]]</f>
        <v>Mobilität 2</v>
      </c>
      <c r="D97" s="19" t="str">
        <f>Refsz_Verbräuche[[#This Row],[Datenpunkt]]</f>
        <v>Studierendenreisen (Incoming) - Privater PKW (alle Antriebsarten)</v>
      </c>
      <c r="E97" s="26" t="str">
        <f>Refsz_Verbräuche[[#This Row],[Einheit]]</f>
        <v>Fkm</v>
      </c>
      <c r="F97" s="108"/>
      <c r="G97" s="14" t="str">
        <f>IF(ISBLANK(Refsz_Verbräuche[[#This Row],[2015]]),"",Refsz_Verbräuche[[#This Row],[2015]])</f>
        <v/>
      </c>
      <c r="H97" s="14" t="str">
        <f>IF(ISBLANK(Refsz_Verbräuche[[#This Row],[2016]]),"",Refsz_Verbräuche[[#This Row],[2016]])</f>
        <v/>
      </c>
      <c r="I97" s="14" t="str">
        <f>IF(ISBLANK(Refsz_Verbräuche[[#This Row],[2017]]),"",Refsz_Verbräuche[[#This Row],[2017]])</f>
        <v/>
      </c>
      <c r="J97" s="14" t="str">
        <f>IF(ISBLANK(Refsz_Verbräuche[[#This Row],[2018]]),"",Refsz_Verbräuche[[#This Row],[2018]])</f>
        <v/>
      </c>
      <c r="K97" s="14" t="str">
        <f>IF(ISBLANK(Refsz_Verbräuche[[#This Row],[2019]]),"",Refsz_Verbräuche[[#This Row],[2019]])</f>
        <v/>
      </c>
      <c r="L97" s="14" t="str">
        <f>IF(ISBLANK(Refsz_Verbräuche[[#This Row],[2020]]),"",Refsz_Verbräuche[[#This Row],[2020]])</f>
        <v/>
      </c>
      <c r="M97" s="14" t="str">
        <f>IF(ISBLANK(Refsz_Verbräuche[[#This Row],[2021]]),"",Refsz_Verbräuche[[#This Row],[2021]])</f>
        <v/>
      </c>
      <c r="N97" s="49" t="str">
        <f>IF(Klisz_Verbräuche[[#Headers],[2022]]=$B$14,IF(COUNTIF($G97:Klisz_Verbräuche[[#This Row],[2021]],"&gt;0")&gt;0, AVERAGEIF($G97:Klisz_Verbräuche[[#This Row],[2021]],"&lt;&gt;"), ""),IF($B$14&lt;Klisz_Verbräuche[[#Headers],[2022]],IF(COUNTIF($G97:Klisz_Verbräuche[[#This Row],[2021]],"&gt;0")&gt;0,IF(COUNTIF($G97:Klisz_Verbräuche[[#This Row],[2021]],"&gt;0")&gt;0,Klisz_Verbräuche[[#This Row],[2021]]*(1-$F97)^1, ""), ""),IF($B$14&gt;Klisz_Verbräuche[[#Headers],[2022]],Refsz_Verbräuche[[#This Row],[2022]],"")))</f>
        <v/>
      </c>
      <c r="O97" s="49" t="str">
        <f>IF(Klisz_Verbräuche[[#Headers],[2023]]=$B$14,IF(COUNTIF($G97:Klisz_Verbräuche[[#This Row],[2022]],"&gt;0")&gt;0, AVERAGEIF($G97:Klisz_Verbräuche[[#This Row],[2022]],"&lt;&gt;"), ""),IF($B$14&lt;Klisz_Verbräuche[[#Headers],[2023]],IF(COUNTIF($G97:Klisz_Verbräuche[[#This Row],[2022]],"&gt;0")&gt;0,IF(COUNTIF($G97:Klisz_Verbräuche[[#This Row],[2022]],"&gt;0")&gt;0,Klisz_Verbräuche[[#This Row],[2022]]*(1-$F97)^1, ""), ""),IF($B$14&gt;Klisz_Verbräuche[[#Headers],[2023]],Refsz_Verbräuche[[#This Row],[2023]],"")))</f>
        <v/>
      </c>
      <c r="P97" s="49" t="str">
        <f>IF(Klisz_Verbräuche[[#Headers],[2024]]=$B$14,IF(COUNTIF($G97:Klisz_Verbräuche[[#This Row],[2023]],"&gt;0")&gt;0, AVERAGEIF($G97:Klisz_Verbräuche[[#This Row],[2023]],"&lt;&gt;"), ""),IF($B$14&lt;Klisz_Verbräuche[[#Headers],[2024]],IF(COUNTIF($G97:Klisz_Verbräuche[[#This Row],[2023]],"&gt;0")&gt;0,IF(COUNTIF($G97:Klisz_Verbräuche[[#This Row],[2023]],"&gt;0")&gt;0,Klisz_Verbräuche[[#This Row],[2023]]*(1-$F97)^1, ""), ""),IF($B$14&gt;Klisz_Verbräuche[[#Headers],[2024]],Refsz_Verbräuche[[#This Row],[2024]],"")))</f>
        <v/>
      </c>
      <c r="Q97" s="49" t="str">
        <f>IF(Klisz_Verbräuche[[#Headers],[2025]]=$B$14,IF(COUNTIF($G97:Klisz_Verbräuche[[#This Row],[2024]],"&gt;0")&gt;0, AVERAGEIF($G97:Klisz_Verbräuche[[#This Row],[2024]],"&lt;&gt;"), ""),IF($B$14&lt;Klisz_Verbräuche[[#Headers],[2025]],IF(COUNTIF($G97:Klisz_Verbräuche[[#This Row],[2024]],"&gt;0")&gt;0,IF(COUNTIF($G97:Klisz_Verbräuche[[#This Row],[2024]],"&gt;0")&gt;0,Klisz_Verbräuche[[#This Row],[2024]]*(1-$F97)^1, ""), ""),IF($B$14&gt;Klisz_Verbräuche[[#Headers],[2025]],Refsz_Verbräuche[[#This Row],[2025]],"")))</f>
        <v/>
      </c>
      <c r="R97" s="49" t="str">
        <f>IF(Klisz_Verbräuche[[#Headers],[2026]]=$B$14,IF(COUNTIF($G97:Klisz_Verbräuche[[#This Row],[2025]],"&gt;0")&gt;0, AVERAGEIF($G97:Klisz_Verbräuche[[#This Row],[2025]],"&lt;&gt;"), ""),IF($B$14&lt;Klisz_Verbräuche[[#Headers],[2026]],IF(COUNTIF($G97:Klisz_Verbräuche[[#This Row],[2025]],"&gt;0")&gt;0,IF(COUNTIF($G97:Klisz_Verbräuche[[#This Row],[2025]],"&gt;0")&gt;0,Klisz_Verbräuche[[#This Row],[2025]]*(1-$F97)^1, ""), ""),IF($B$14&gt;Klisz_Verbräuche[[#Headers],[2026]],Refsz_Verbräuche[[#This Row],[2026]],"")))</f>
        <v/>
      </c>
      <c r="S97" s="49" t="str">
        <f>IF(Klisz_Verbräuche[[#Headers],[2027]]=$B$14,IF(COUNTIF($G97:Klisz_Verbräuche[[#This Row],[2026]],"&gt;0")&gt;0, AVERAGEIF($G97:Klisz_Verbräuche[[#This Row],[2026]],"&lt;&gt;"), ""),IF($B$14&lt;Klisz_Verbräuche[[#Headers],[2027]],IF(COUNTIF($G97:Klisz_Verbräuche[[#This Row],[2026]],"&gt;0")&gt;0,IF(COUNTIF($G97:Klisz_Verbräuche[[#This Row],[2026]],"&gt;0")&gt;0,Klisz_Verbräuche[[#This Row],[2026]]*(1-$F97)^1, ""), ""),IF($B$14&gt;Klisz_Verbräuche[[#Headers],[2027]],Refsz_Verbräuche[[#This Row],[2027]],"")))</f>
        <v/>
      </c>
      <c r="T97" s="49" t="str">
        <f>IF(Klisz_Verbräuche[[#Headers],[2028]]=$B$14,IF(COUNTIF($G97:Klisz_Verbräuche[[#This Row],[2027]],"&gt;0")&gt;0, AVERAGEIF($G97:Klisz_Verbräuche[[#This Row],[2027]],"&lt;&gt;"), ""),IF($B$14&lt;Klisz_Verbräuche[[#Headers],[2028]],IF(COUNTIF($G97:Klisz_Verbräuche[[#This Row],[2027]],"&gt;0")&gt;0,IF(COUNTIF($G97:Klisz_Verbräuche[[#This Row],[2027]],"&gt;0")&gt;0,Klisz_Verbräuche[[#This Row],[2027]]*(1-$F97)^1, ""), ""),IF($B$14&gt;Klisz_Verbräuche[[#Headers],[2028]],Refsz_Verbräuche[[#This Row],[2028]],"")))</f>
        <v/>
      </c>
      <c r="U97" s="49" t="str">
        <f>IF(Klisz_Verbräuche[[#Headers],[2029]]=$B$14,IF(COUNTIF($G97:Klisz_Verbräuche[[#This Row],[2028]],"&gt;0")&gt;0, AVERAGEIF($G97:Klisz_Verbräuche[[#This Row],[2028]],"&lt;&gt;"), ""),IF($B$14&lt;Klisz_Verbräuche[[#Headers],[2029]],IF(COUNTIF($G97:Klisz_Verbräuche[[#This Row],[2028]],"&gt;0")&gt;0,IF(COUNTIF($G97:Klisz_Verbräuche[[#This Row],[2028]],"&gt;0")&gt;0,Klisz_Verbräuche[[#This Row],[2028]]*(1-$F97)^1, ""), ""),IF($B$14&gt;Klisz_Verbräuche[[#Headers],[2029]],Refsz_Verbräuche[[#This Row],[2029]],"")))</f>
        <v/>
      </c>
      <c r="V97" s="49" t="str">
        <f>IF(Klisz_Verbräuche[[#Headers],[2030]]=$B$14,IF(COUNTIF($G97:Klisz_Verbräuche[[#This Row],[2029]],"&gt;0")&gt;0, AVERAGEIF($G97:Klisz_Verbräuche[[#This Row],[2029]],"&lt;&gt;"), ""),IF($B$14&lt;Klisz_Verbräuche[[#Headers],[2030]],IF(COUNTIF($G97:Klisz_Verbräuche[[#This Row],[2029]],"&gt;0")&gt;0,IF(COUNTIF($G97:Klisz_Verbräuche[[#This Row],[2029]],"&gt;0")&gt;0,Klisz_Verbräuche[[#This Row],[2029]]*(1-$F97)^1, ""), ""),IF($B$14&gt;Klisz_Verbräuche[[#Headers],[2030]],Refsz_Verbräuche[[#This Row],[2030]],"")))</f>
        <v/>
      </c>
      <c r="W97" s="49" t="str">
        <f>IF(Klisz_Verbräuche[[#Headers],[2035]]=$B$14,IF(COUNTIF($G97:Klisz_Verbräuche[[#This Row],[2030]],"&gt;0")&gt;0, AVERAGEIF($G97:Klisz_Verbräuche[[#This Row],[2030]],"&lt;&gt;"), ""),IF($B$14&lt;Klisz_Verbräuche[[#Headers],[2035]],IF(COUNTIF($G97:Klisz_Verbräuche[[#This Row],[2030]],"&gt;0")&gt;0,IF(COUNTIF($G97:Klisz_Verbräuche[[#This Row],[2030]],"&gt;0")&gt;0,Klisz_Verbräuche[[#This Row],[2030]]*(1-$F97)^5, ""), ""),IF($B$14&gt;Klisz_Verbräuche[[#Headers],[2035]],Refsz_Verbräuche[[#This Row],[2035]],"")))</f>
        <v/>
      </c>
      <c r="X97" s="49" t="str">
        <f>IF(Klisz_Verbräuche[[#Headers],[2040]]=$B$14,IF(COUNTIF($G97:Klisz_Verbräuche[[#This Row],[2035]],"&gt;0")&gt;0, AVERAGEIF($G97:Klisz_Verbräuche[[#This Row],[2035]],"&lt;&gt;"), ""),IF($B$14&lt;Klisz_Verbräuche[[#Headers],[2040]],IF(COUNTIF($G97:Klisz_Verbräuche[[#This Row],[2035]],"&gt;0")&gt;0,IF(COUNTIF($G97:Klisz_Verbräuche[[#This Row],[2035]],"&gt;0")&gt;0,Klisz_Verbräuche[[#This Row],[2035]]*(1-$F97)^5, ""), ""),IF($B$14&gt;Klisz_Verbräuche[[#Headers],[2040]],Refsz_Verbräuche[[#This Row],[2040]],"")))</f>
        <v/>
      </c>
      <c r="Y97" s="49" t="str">
        <f>IF(Klisz_Verbräuche[[#Headers],[2045]]=$B$14,IF(COUNTIF($G97:Klisz_Verbräuche[[#This Row],[2040]],"&gt;0")&gt;0, AVERAGEIF($G97:Klisz_Verbräuche[[#This Row],[2040]],"&lt;&gt;"), ""),IF($B$14&lt;Klisz_Verbräuche[[#Headers],[2045]],IF(COUNTIF($G97:Klisz_Verbräuche[[#This Row],[2040]],"&gt;0")&gt;0,IF(COUNTIF($G97:Klisz_Verbräuche[[#This Row],[2040]],"&gt;0")&gt;0,Klisz_Verbräuche[[#This Row],[2040]]*(1-$F97)^5, ""), ""),IF($B$14&gt;Klisz_Verbräuche[[#Headers],[2045]],Refsz_Verbräuche[[#This Row],[2045]],"")))</f>
        <v/>
      </c>
      <c r="Z97" s="49" t="str">
        <f>IF(Klisz_Verbräuche[[#Headers],[2050]]=$B$14,IF(COUNTIF($G97:Klisz_Verbräuche[[#This Row],[2045]],"&gt;0")&gt;0, AVERAGEIF($G97:Klisz_Verbräuche[[#This Row],[2045]],"&lt;&gt;"), ""),IF($B$14&lt;Klisz_Verbräuche[[#Headers],[2050]],IF(COUNTIF($G97:Klisz_Verbräuche[[#This Row],[2045]],"&gt;0")&gt;0,IF(COUNTIF($G97:Klisz_Verbräuche[[#This Row],[2045]],"&gt;0")&gt;0,Klisz_Verbräuche[[#This Row],[2045]]*(1-$F97)^5, ""), ""),IF($B$14&gt;Klisz_Verbräuche[[#Headers],[2050]],Refsz_Verbräuche[[#This Row],[2050]],"")))</f>
        <v/>
      </c>
      <c r="AA97" s="14"/>
    </row>
    <row r="98" spans="2:27">
      <c r="B98" s="14">
        <v>81</v>
      </c>
      <c r="C98" s="197">
        <f>Refsz_Verbräuche[[#This Row],[Handlungsfeld]]</f>
        <v>0</v>
      </c>
      <c r="D98" s="19">
        <f>Refsz_Verbräuche[[#This Row],[Datenpunkt]]</f>
        <v>0</v>
      </c>
      <c r="E98" s="26">
        <f>Refsz_Verbräuche[[#This Row],[Einheit]]</f>
        <v>0</v>
      </c>
      <c r="F98" s="108"/>
      <c r="G98" s="14" t="str">
        <f>IF(ISBLANK(Refsz_Verbräuche[[#This Row],[2015]]),"",Refsz_Verbräuche[[#This Row],[2015]])</f>
        <v/>
      </c>
      <c r="H98" s="14" t="str">
        <f>IF(ISBLANK(Refsz_Verbräuche[[#This Row],[2016]]),"",Refsz_Verbräuche[[#This Row],[2016]])</f>
        <v/>
      </c>
      <c r="I98" s="14" t="str">
        <f>IF(ISBLANK(Refsz_Verbräuche[[#This Row],[2017]]),"",Refsz_Verbräuche[[#This Row],[2017]])</f>
        <v/>
      </c>
      <c r="J98" s="14" t="str">
        <f>IF(ISBLANK(Refsz_Verbräuche[[#This Row],[2018]]),"",Refsz_Verbräuche[[#This Row],[2018]])</f>
        <v/>
      </c>
      <c r="K98" s="14" t="str">
        <f>IF(ISBLANK(Refsz_Verbräuche[[#This Row],[2019]]),"",Refsz_Verbräuche[[#This Row],[2019]])</f>
        <v/>
      </c>
      <c r="L98" s="14" t="str">
        <f>IF(ISBLANK(Refsz_Verbräuche[[#This Row],[2020]]),"",Refsz_Verbräuche[[#This Row],[2020]])</f>
        <v/>
      </c>
      <c r="M98" s="14" t="str">
        <f>IF(ISBLANK(Refsz_Verbräuche[[#This Row],[2021]]),"",Refsz_Verbräuche[[#This Row],[2021]])</f>
        <v/>
      </c>
      <c r="N98" s="49" t="str">
        <f>IF(Klisz_Verbräuche[[#Headers],[2022]]=$B$14,IF(COUNTIF($G98:Klisz_Verbräuche[[#This Row],[2021]],"&gt;0")&gt;0, AVERAGEIF($G98:Klisz_Verbräuche[[#This Row],[2021]],"&lt;&gt;"), ""),IF($B$14&lt;Klisz_Verbräuche[[#Headers],[2022]],IF(COUNTIF($G98:Klisz_Verbräuche[[#This Row],[2021]],"&gt;0")&gt;0,IF(COUNTIF($G98:Klisz_Verbräuche[[#This Row],[2021]],"&gt;0")&gt;0,Klisz_Verbräuche[[#This Row],[2021]]*(1-$F98)^1, ""), ""),IF($B$14&gt;Klisz_Verbräuche[[#Headers],[2022]],Refsz_Verbräuche[[#This Row],[2022]],"")))</f>
        <v/>
      </c>
      <c r="O98" s="49" t="str">
        <f>IF(Klisz_Verbräuche[[#Headers],[2023]]=$B$14,IF(COUNTIF($G98:Klisz_Verbräuche[[#This Row],[2022]],"&gt;0")&gt;0, AVERAGEIF($G98:Klisz_Verbräuche[[#This Row],[2022]],"&lt;&gt;"), ""),IF($B$14&lt;Klisz_Verbräuche[[#Headers],[2023]],IF(COUNTIF($G98:Klisz_Verbräuche[[#This Row],[2022]],"&gt;0")&gt;0,IF(COUNTIF($G98:Klisz_Verbräuche[[#This Row],[2022]],"&gt;0")&gt;0,Klisz_Verbräuche[[#This Row],[2022]]*(1-$F98)^1, ""), ""),IF($B$14&gt;Klisz_Verbräuche[[#Headers],[2023]],Refsz_Verbräuche[[#This Row],[2023]],"")))</f>
        <v/>
      </c>
      <c r="P98" s="49" t="str">
        <f>IF(Klisz_Verbräuche[[#Headers],[2024]]=$B$14,IF(COUNTIF($G98:Klisz_Verbräuche[[#This Row],[2023]],"&gt;0")&gt;0, AVERAGEIF($G98:Klisz_Verbräuche[[#This Row],[2023]],"&lt;&gt;"), ""),IF($B$14&lt;Klisz_Verbräuche[[#Headers],[2024]],IF(COUNTIF($G98:Klisz_Verbräuche[[#This Row],[2023]],"&gt;0")&gt;0,IF(COUNTIF($G98:Klisz_Verbräuche[[#This Row],[2023]],"&gt;0")&gt;0,Klisz_Verbräuche[[#This Row],[2023]]*(1-$F98)^1, ""), ""),IF($B$14&gt;Klisz_Verbräuche[[#Headers],[2024]],Refsz_Verbräuche[[#This Row],[2024]],"")))</f>
        <v/>
      </c>
      <c r="Q98" s="49" t="str">
        <f>IF(Klisz_Verbräuche[[#Headers],[2025]]=$B$14,IF(COUNTIF($G98:Klisz_Verbräuche[[#This Row],[2024]],"&gt;0")&gt;0, AVERAGEIF($G98:Klisz_Verbräuche[[#This Row],[2024]],"&lt;&gt;"), ""),IF($B$14&lt;Klisz_Verbräuche[[#Headers],[2025]],IF(COUNTIF($G98:Klisz_Verbräuche[[#This Row],[2024]],"&gt;0")&gt;0,IF(COUNTIF($G98:Klisz_Verbräuche[[#This Row],[2024]],"&gt;0")&gt;0,Klisz_Verbräuche[[#This Row],[2024]]*(1-$F98)^1, ""), ""),IF($B$14&gt;Klisz_Verbräuche[[#Headers],[2025]],Refsz_Verbräuche[[#This Row],[2025]],"")))</f>
        <v/>
      </c>
      <c r="R98" s="49" t="str">
        <f>IF(Klisz_Verbräuche[[#Headers],[2026]]=$B$14,IF(COUNTIF($G98:Klisz_Verbräuche[[#This Row],[2025]],"&gt;0")&gt;0, AVERAGEIF($G98:Klisz_Verbräuche[[#This Row],[2025]],"&lt;&gt;"), ""),IF($B$14&lt;Klisz_Verbräuche[[#Headers],[2026]],IF(COUNTIF($G98:Klisz_Verbräuche[[#This Row],[2025]],"&gt;0")&gt;0,IF(COUNTIF($G98:Klisz_Verbräuche[[#This Row],[2025]],"&gt;0")&gt;0,Klisz_Verbräuche[[#This Row],[2025]]*(1-$F98)^1, ""), ""),IF($B$14&gt;Klisz_Verbräuche[[#Headers],[2026]],Refsz_Verbräuche[[#This Row],[2026]],"")))</f>
        <v/>
      </c>
      <c r="S98" s="49" t="str">
        <f>IF(Klisz_Verbräuche[[#Headers],[2027]]=$B$14,IF(COUNTIF($G98:Klisz_Verbräuche[[#This Row],[2026]],"&gt;0")&gt;0, AVERAGEIF($G98:Klisz_Verbräuche[[#This Row],[2026]],"&lt;&gt;"), ""),IF($B$14&lt;Klisz_Verbräuche[[#Headers],[2027]],IF(COUNTIF($G98:Klisz_Verbräuche[[#This Row],[2026]],"&gt;0")&gt;0,IF(COUNTIF($G98:Klisz_Verbräuche[[#This Row],[2026]],"&gt;0")&gt;0,Klisz_Verbräuche[[#This Row],[2026]]*(1-$F98)^1, ""), ""),IF($B$14&gt;Klisz_Verbräuche[[#Headers],[2027]],Refsz_Verbräuche[[#This Row],[2027]],"")))</f>
        <v/>
      </c>
      <c r="T98" s="49" t="str">
        <f>IF(Klisz_Verbräuche[[#Headers],[2028]]=$B$14,IF(COUNTIF($G98:Klisz_Verbräuche[[#This Row],[2027]],"&gt;0")&gt;0, AVERAGEIF($G98:Klisz_Verbräuche[[#This Row],[2027]],"&lt;&gt;"), ""),IF($B$14&lt;Klisz_Verbräuche[[#Headers],[2028]],IF(COUNTIF($G98:Klisz_Verbräuche[[#This Row],[2027]],"&gt;0")&gt;0,IF(COUNTIF($G98:Klisz_Verbräuche[[#This Row],[2027]],"&gt;0")&gt;0,Klisz_Verbräuche[[#This Row],[2027]]*(1-$F98)^1, ""), ""),IF($B$14&gt;Klisz_Verbräuche[[#Headers],[2028]],Refsz_Verbräuche[[#This Row],[2028]],"")))</f>
        <v/>
      </c>
      <c r="U98" s="49" t="str">
        <f>IF(Klisz_Verbräuche[[#Headers],[2029]]=$B$14,IF(COUNTIF($G98:Klisz_Verbräuche[[#This Row],[2028]],"&gt;0")&gt;0, AVERAGEIF($G98:Klisz_Verbräuche[[#This Row],[2028]],"&lt;&gt;"), ""),IF($B$14&lt;Klisz_Verbräuche[[#Headers],[2029]],IF(COUNTIF($G98:Klisz_Verbräuche[[#This Row],[2028]],"&gt;0")&gt;0,IF(COUNTIF($G98:Klisz_Verbräuche[[#This Row],[2028]],"&gt;0")&gt;0,Klisz_Verbräuche[[#This Row],[2028]]*(1-$F98)^1, ""), ""),IF($B$14&gt;Klisz_Verbräuche[[#Headers],[2029]],Refsz_Verbräuche[[#This Row],[2029]],"")))</f>
        <v/>
      </c>
      <c r="V98" s="49" t="str">
        <f>IF(Klisz_Verbräuche[[#Headers],[2030]]=$B$14,IF(COUNTIF($G98:Klisz_Verbräuche[[#This Row],[2029]],"&gt;0")&gt;0, AVERAGEIF($G98:Klisz_Verbräuche[[#This Row],[2029]],"&lt;&gt;"), ""),IF($B$14&lt;Klisz_Verbräuche[[#Headers],[2030]],IF(COUNTIF($G98:Klisz_Verbräuche[[#This Row],[2029]],"&gt;0")&gt;0,IF(COUNTIF($G98:Klisz_Verbräuche[[#This Row],[2029]],"&gt;0")&gt;0,Klisz_Verbräuche[[#This Row],[2029]]*(1-$F98)^1, ""), ""),IF($B$14&gt;Klisz_Verbräuche[[#Headers],[2030]],Refsz_Verbräuche[[#This Row],[2030]],"")))</f>
        <v/>
      </c>
      <c r="W98" s="49" t="str">
        <f>IF(Klisz_Verbräuche[[#Headers],[2035]]=$B$14,IF(COUNTIF($G98:Klisz_Verbräuche[[#This Row],[2030]],"&gt;0")&gt;0, AVERAGEIF($G98:Klisz_Verbräuche[[#This Row],[2030]],"&lt;&gt;"), ""),IF($B$14&lt;Klisz_Verbräuche[[#Headers],[2035]],IF(COUNTIF($G98:Klisz_Verbräuche[[#This Row],[2030]],"&gt;0")&gt;0,IF(COUNTIF($G98:Klisz_Verbräuche[[#This Row],[2030]],"&gt;0")&gt;0,Klisz_Verbräuche[[#This Row],[2030]]*(1-$F98)^5, ""), ""),IF($B$14&gt;Klisz_Verbräuche[[#Headers],[2035]],Refsz_Verbräuche[[#This Row],[2035]],"")))</f>
        <v/>
      </c>
      <c r="X98" s="49" t="str">
        <f>IF(Klisz_Verbräuche[[#Headers],[2040]]=$B$14,IF(COUNTIF($G98:Klisz_Verbräuche[[#This Row],[2035]],"&gt;0")&gt;0, AVERAGEIF($G98:Klisz_Verbräuche[[#This Row],[2035]],"&lt;&gt;"), ""),IF($B$14&lt;Klisz_Verbräuche[[#Headers],[2040]],IF(COUNTIF($G98:Klisz_Verbräuche[[#This Row],[2035]],"&gt;0")&gt;0,IF(COUNTIF($G98:Klisz_Verbräuche[[#This Row],[2035]],"&gt;0")&gt;0,Klisz_Verbräuche[[#This Row],[2035]]*(1-$F98)^5, ""), ""),IF($B$14&gt;Klisz_Verbräuche[[#Headers],[2040]],Refsz_Verbräuche[[#This Row],[2040]],"")))</f>
        <v/>
      </c>
      <c r="Y98" s="49" t="str">
        <f>IF(Klisz_Verbräuche[[#Headers],[2045]]=$B$14,IF(COUNTIF($G98:Klisz_Verbräuche[[#This Row],[2040]],"&gt;0")&gt;0, AVERAGEIF($G98:Klisz_Verbräuche[[#This Row],[2040]],"&lt;&gt;"), ""),IF($B$14&lt;Klisz_Verbräuche[[#Headers],[2045]],IF(COUNTIF($G98:Klisz_Verbräuche[[#This Row],[2040]],"&gt;0")&gt;0,IF(COUNTIF($G98:Klisz_Verbräuche[[#This Row],[2040]],"&gt;0")&gt;0,Klisz_Verbräuche[[#This Row],[2040]]*(1-$F98)^5, ""), ""),IF($B$14&gt;Klisz_Verbräuche[[#Headers],[2045]],Refsz_Verbräuche[[#This Row],[2045]],"")))</f>
        <v/>
      </c>
      <c r="Z98" s="49" t="str">
        <f>IF(Klisz_Verbräuche[[#Headers],[2050]]=$B$14,IF(COUNTIF($G98:Klisz_Verbräuche[[#This Row],[2045]],"&gt;0")&gt;0, AVERAGEIF($G98:Klisz_Verbräuche[[#This Row],[2045]],"&lt;&gt;"), ""),IF($B$14&lt;Klisz_Verbräuche[[#Headers],[2050]],IF(COUNTIF($G98:Klisz_Verbräuche[[#This Row],[2045]],"&gt;0")&gt;0,IF(COUNTIF($G98:Klisz_Verbräuche[[#This Row],[2045]],"&gt;0")&gt;0,Klisz_Verbräuche[[#This Row],[2045]]*(1-$F98)^5, ""), ""),IF($B$14&gt;Klisz_Verbräuche[[#Headers],[2050]],Refsz_Verbräuche[[#This Row],[2050]],"")))</f>
        <v/>
      </c>
      <c r="AA98" s="14"/>
    </row>
    <row r="99" spans="2:27">
      <c r="B99" s="14">
        <v>82</v>
      </c>
      <c r="C99" s="197" t="str">
        <f>Refsz_Verbräuche[[#This Row],[Handlungsfeld]]</f>
        <v>Mobilität 2</v>
      </c>
      <c r="D99" s="19" t="str">
        <f>Refsz_Verbräuche[[#This Row],[Datenpunkt]]</f>
        <v>An- und Abreise von Gästen - Flugreisen</v>
      </c>
      <c r="E99" s="26" t="str">
        <f>Refsz_Verbräuche[[#This Row],[Einheit]]</f>
        <v>Pkm</v>
      </c>
      <c r="F99" s="108"/>
      <c r="G99" s="14" t="str">
        <f>IF(ISBLANK(Refsz_Verbräuche[[#This Row],[2015]]),"",Refsz_Verbräuche[[#This Row],[2015]])</f>
        <v/>
      </c>
      <c r="H99" s="14" t="str">
        <f>IF(ISBLANK(Refsz_Verbräuche[[#This Row],[2016]]),"",Refsz_Verbräuche[[#This Row],[2016]])</f>
        <v/>
      </c>
      <c r="I99" s="14" t="str">
        <f>IF(ISBLANK(Refsz_Verbräuche[[#This Row],[2017]]),"",Refsz_Verbräuche[[#This Row],[2017]])</f>
        <v/>
      </c>
      <c r="J99" s="14" t="str">
        <f>IF(ISBLANK(Refsz_Verbräuche[[#This Row],[2018]]),"",Refsz_Verbräuche[[#This Row],[2018]])</f>
        <v/>
      </c>
      <c r="K99" s="14" t="str">
        <f>IF(ISBLANK(Refsz_Verbräuche[[#This Row],[2019]]),"",Refsz_Verbräuche[[#This Row],[2019]])</f>
        <v/>
      </c>
      <c r="L99" s="14" t="str">
        <f>IF(ISBLANK(Refsz_Verbräuche[[#This Row],[2020]]),"",Refsz_Verbräuche[[#This Row],[2020]])</f>
        <v/>
      </c>
      <c r="M99" s="14" t="str">
        <f>IF(ISBLANK(Refsz_Verbräuche[[#This Row],[2021]]),"",Refsz_Verbräuche[[#This Row],[2021]])</f>
        <v/>
      </c>
      <c r="N99" s="49" t="str">
        <f>IF(Klisz_Verbräuche[[#Headers],[2022]]=$B$14,IF(COUNTIF($G99:Klisz_Verbräuche[[#This Row],[2021]],"&gt;0")&gt;0, AVERAGEIF($G99:Klisz_Verbräuche[[#This Row],[2021]],"&lt;&gt;"), ""),IF($B$14&lt;Klisz_Verbräuche[[#Headers],[2022]],IF(COUNTIF($G99:Klisz_Verbräuche[[#This Row],[2021]],"&gt;0")&gt;0,IF(COUNTIF($G99:Klisz_Verbräuche[[#This Row],[2021]],"&gt;0")&gt;0,Klisz_Verbräuche[[#This Row],[2021]]*(1-$F99)^1, ""), ""),IF($B$14&gt;Klisz_Verbräuche[[#Headers],[2022]],Refsz_Verbräuche[[#This Row],[2022]],"")))</f>
        <v/>
      </c>
      <c r="O99" s="49" t="str">
        <f>IF(Klisz_Verbräuche[[#Headers],[2023]]=$B$14,IF(COUNTIF($G99:Klisz_Verbräuche[[#This Row],[2022]],"&gt;0")&gt;0, AVERAGEIF($G99:Klisz_Verbräuche[[#This Row],[2022]],"&lt;&gt;"), ""),IF($B$14&lt;Klisz_Verbräuche[[#Headers],[2023]],IF(COUNTIF($G99:Klisz_Verbräuche[[#This Row],[2022]],"&gt;0")&gt;0,IF(COUNTIF($G99:Klisz_Verbräuche[[#This Row],[2022]],"&gt;0")&gt;0,Klisz_Verbräuche[[#This Row],[2022]]*(1-$F99)^1, ""), ""),IF($B$14&gt;Klisz_Verbräuche[[#Headers],[2023]],Refsz_Verbräuche[[#This Row],[2023]],"")))</f>
        <v/>
      </c>
      <c r="P99" s="49" t="str">
        <f>IF(Klisz_Verbräuche[[#Headers],[2024]]=$B$14,IF(COUNTIF($G99:Klisz_Verbräuche[[#This Row],[2023]],"&gt;0")&gt;0, AVERAGEIF($G99:Klisz_Verbräuche[[#This Row],[2023]],"&lt;&gt;"), ""),IF($B$14&lt;Klisz_Verbräuche[[#Headers],[2024]],IF(COUNTIF($G99:Klisz_Verbräuche[[#This Row],[2023]],"&gt;0")&gt;0,IF(COUNTIF($G99:Klisz_Verbräuche[[#This Row],[2023]],"&gt;0")&gt;0,Klisz_Verbräuche[[#This Row],[2023]]*(1-$F99)^1, ""), ""),IF($B$14&gt;Klisz_Verbräuche[[#Headers],[2024]],Refsz_Verbräuche[[#This Row],[2024]],"")))</f>
        <v/>
      </c>
      <c r="Q99" s="49" t="str">
        <f>IF(Klisz_Verbräuche[[#Headers],[2025]]=$B$14,IF(COUNTIF($G99:Klisz_Verbräuche[[#This Row],[2024]],"&gt;0")&gt;0, AVERAGEIF($G99:Klisz_Verbräuche[[#This Row],[2024]],"&lt;&gt;"), ""),IF($B$14&lt;Klisz_Verbräuche[[#Headers],[2025]],IF(COUNTIF($G99:Klisz_Verbräuche[[#This Row],[2024]],"&gt;0")&gt;0,IF(COUNTIF($G99:Klisz_Verbräuche[[#This Row],[2024]],"&gt;0")&gt;0,Klisz_Verbräuche[[#This Row],[2024]]*(1-$F99)^1, ""), ""),IF($B$14&gt;Klisz_Verbräuche[[#Headers],[2025]],Refsz_Verbräuche[[#This Row],[2025]],"")))</f>
        <v/>
      </c>
      <c r="R99" s="49" t="str">
        <f>IF(Klisz_Verbräuche[[#Headers],[2026]]=$B$14,IF(COUNTIF($G99:Klisz_Verbräuche[[#This Row],[2025]],"&gt;0")&gt;0, AVERAGEIF($G99:Klisz_Verbräuche[[#This Row],[2025]],"&lt;&gt;"), ""),IF($B$14&lt;Klisz_Verbräuche[[#Headers],[2026]],IF(COUNTIF($G99:Klisz_Verbräuche[[#This Row],[2025]],"&gt;0")&gt;0,IF(COUNTIF($G99:Klisz_Verbräuche[[#This Row],[2025]],"&gt;0")&gt;0,Klisz_Verbräuche[[#This Row],[2025]]*(1-$F99)^1, ""), ""),IF($B$14&gt;Klisz_Verbräuche[[#Headers],[2026]],Refsz_Verbräuche[[#This Row],[2026]],"")))</f>
        <v/>
      </c>
      <c r="S99" s="49" t="str">
        <f>IF(Klisz_Verbräuche[[#Headers],[2027]]=$B$14,IF(COUNTIF($G99:Klisz_Verbräuche[[#This Row],[2026]],"&gt;0")&gt;0, AVERAGEIF($G99:Klisz_Verbräuche[[#This Row],[2026]],"&lt;&gt;"), ""),IF($B$14&lt;Klisz_Verbräuche[[#Headers],[2027]],IF(COUNTIF($G99:Klisz_Verbräuche[[#This Row],[2026]],"&gt;0")&gt;0,IF(COUNTIF($G99:Klisz_Verbräuche[[#This Row],[2026]],"&gt;0")&gt;0,Klisz_Verbräuche[[#This Row],[2026]]*(1-$F99)^1, ""), ""),IF($B$14&gt;Klisz_Verbräuche[[#Headers],[2027]],Refsz_Verbräuche[[#This Row],[2027]],"")))</f>
        <v/>
      </c>
      <c r="T99" s="49" t="str">
        <f>IF(Klisz_Verbräuche[[#Headers],[2028]]=$B$14,IF(COUNTIF($G99:Klisz_Verbräuche[[#This Row],[2027]],"&gt;0")&gt;0, AVERAGEIF($G99:Klisz_Verbräuche[[#This Row],[2027]],"&lt;&gt;"), ""),IF($B$14&lt;Klisz_Verbräuche[[#Headers],[2028]],IF(COUNTIF($G99:Klisz_Verbräuche[[#This Row],[2027]],"&gt;0")&gt;0,IF(COUNTIF($G99:Klisz_Verbräuche[[#This Row],[2027]],"&gt;0")&gt;0,Klisz_Verbräuche[[#This Row],[2027]]*(1-$F99)^1, ""), ""),IF($B$14&gt;Klisz_Verbräuche[[#Headers],[2028]],Refsz_Verbräuche[[#This Row],[2028]],"")))</f>
        <v/>
      </c>
      <c r="U99" s="49" t="str">
        <f>IF(Klisz_Verbräuche[[#Headers],[2029]]=$B$14,IF(COUNTIF($G99:Klisz_Verbräuche[[#This Row],[2028]],"&gt;0")&gt;0, AVERAGEIF($G99:Klisz_Verbräuche[[#This Row],[2028]],"&lt;&gt;"), ""),IF($B$14&lt;Klisz_Verbräuche[[#Headers],[2029]],IF(COUNTIF($G99:Klisz_Verbräuche[[#This Row],[2028]],"&gt;0")&gt;0,IF(COUNTIF($G99:Klisz_Verbräuche[[#This Row],[2028]],"&gt;0")&gt;0,Klisz_Verbräuche[[#This Row],[2028]]*(1-$F99)^1, ""), ""),IF($B$14&gt;Klisz_Verbräuche[[#Headers],[2029]],Refsz_Verbräuche[[#This Row],[2029]],"")))</f>
        <v/>
      </c>
      <c r="V99" s="49" t="str">
        <f>IF(Klisz_Verbräuche[[#Headers],[2030]]=$B$14,IF(COUNTIF($G99:Klisz_Verbräuche[[#This Row],[2029]],"&gt;0")&gt;0, AVERAGEIF($G99:Klisz_Verbräuche[[#This Row],[2029]],"&lt;&gt;"), ""),IF($B$14&lt;Klisz_Verbräuche[[#Headers],[2030]],IF(COUNTIF($G99:Klisz_Verbräuche[[#This Row],[2029]],"&gt;0")&gt;0,IF(COUNTIF($G99:Klisz_Verbräuche[[#This Row],[2029]],"&gt;0")&gt;0,Klisz_Verbräuche[[#This Row],[2029]]*(1-$F99)^1, ""), ""),IF($B$14&gt;Klisz_Verbräuche[[#Headers],[2030]],Refsz_Verbräuche[[#This Row],[2030]],"")))</f>
        <v/>
      </c>
      <c r="W99" s="49" t="str">
        <f>IF(Klisz_Verbräuche[[#Headers],[2035]]=$B$14,IF(COUNTIF($G99:Klisz_Verbräuche[[#This Row],[2030]],"&gt;0")&gt;0, AVERAGEIF($G99:Klisz_Verbräuche[[#This Row],[2030]],"&lt;&gt;"), ""),IF($B$14&lt;Klisz_Verbräuche[[#Headers],[2035]],IF(COUNTIF($G99:Klisz_Verbräuche[[#This Row],[2030]],"&gt;0")&gt;0,IF(COUNTIF($G99:Klisz_Verbräuche[[#This Row],[2030]],"&gt;0")&gt;0,Klisz_Verbräuche[[#This Row],[2030]]*(1-$F99)^5, ""), ""),IF($B$14&gt;Klisz_Verbräuche[[#Headers],[2035]],Refsz_Verbräuche[[#This Row],[2035]],"")))</f>
        <v/>
      </c>
      <c r="X99" s="49" t="str">
        <f>IF(Klisz_Verbräuche[[#Headers],[2040]]=$B$14,IF(COUNTIF($G99:Klisz_Verbräuche[[#This Row],[2035]],"&gt;0")&gt;0, AVERAGEIF($G99:Klisz_Verbräuche[[#This Row],[2035]],"&lt;&gt;"), ""),IF($B$14&lt;Klisz_Verbräuche[[#Headers],[2040]],IF(COUNTIF($G99:Klisz_Verbräuche[[#This Row],[2035]],"&gt;0")&gt;0,IF(COUNTIF($G99:Klisz_Verbräuche[[#This Row],[2035]],"&gt;0")&gt;0,Klisz_Verbräuche[[#This Row],[2035]]*(1-$F99)^5, ""), ""),IF($B$14&gt;Klisz_Verbräuche[[#Headers],[2040]],Refsz_Verbräuche[[#This Row],[2040]],"")))</f>
        <v/>
      </c>
      <c r="Y99" s="49" t="str">
        <f>IF(Klisz_Verbräuche[[#Headers],[2045]]=$B$14,IF(COUNTIF($G99:Klisz_Verbräuche[[#This Row],[2040]],"&gt;0")&gt;0, AVERAGEIF($G99:Klisz_Verbräuche[[#This Row],[2040]],"&lt;&gt;"), ""),IF($B$14&lt;Klisz_Verbräuche[[#Headers],[2045]],IF(COUNTIF($G99:Klisz_Verbräuche[[#This Row],[2040]],"&gt;0")&gt;0,IF(COUNTIF($G99:Klisz_Verbräuche[[#This Row],[2040]],"&gt;0")&gt;0,Klisz_Verbräuche[[#This Row],[2040]]*(1-$F99)^5, ""), ""),IF($B$14&gt;Klisz_Verbräuche[[#Headers],[2045]],Refsz_Verbräuche[[#This Row],[2045]],"")))</f>
        <v/>
      </c>
      <c r="Z99" s="49" t="str">
        <f>IF(Klisz_Verbräuche[[#Headers],[2050]]=$B$14,IF(COUNTIF($G99:Klisz_Verbräuche[[#This Row],[2045]],"&gt;0")&gt;0, AVERAGEIF($G99:Klisz_Verbräuche[[#This Row],[2045]],"&lt;&gt;"), ""),IF($B$14&lt;Klisz_Verbräuche[[#Headers],[2050]],IF(COUNTIF($G99:Klisz_Verbräuche[[#This Row],[2045]],"&gt;0")&gt;0,IF(COUNTIF($G99:Klisz_Verbräuche[[#This Row],[2045]],"&gt;0")&gt;0,Klisz_Verbräuche[[#This Row],[2045]]*(1-$F99)^5, ""), ""),IF($B$14&gt;Klisz_Verbräuche[[#Headers],[2050]],Refsz_Verbräuche[[#This Row],[2050]],"")))</f>
        <v/>
      </c>
      <c r="AA99" s="14"/>
    </row>
    <row r="100" spans="2:27">
      <c r="B100" s="14">
        <v>83</v>
      </c>
      <c r="C100" s="197" t="str">
        <f>Refsz_Verbräuche[[#This Row],[Handlungsfeld]]</f>
        <v>Mobilität 2</v>
      </c>
      <c r="D100" s="19" t="str">
        <f>Refsz_Verbräuche[[#This Row],[Datenpunkt]]</f>
        <v>An- und Abreise von Gästen - Eisenbahn (Nahverkehr)</v>
      </c>
      <c r="E100" s="26" t="str">
        <f>Refsz_Verbräuche[[#This Row],[Einheit]]</f>
        <v>Pkm</v>
      </c>
      <c r="F100" s="108"/>
      <c r="G100" s="14" t="str">
        <f>IF(ISBLANK(Refsz_Verbräuche[[#This Row],[2015]]),"",Refsz_Verbräuche[[#This Row],[2015]])</f>
        <v/>
      </c>
      <c r="H100" s="14" t="str">
        <f>IF(ISBLANK(Refsz_Verbräuche[[#This Row],[2016]]),"",Refsz_Verbräuche[[#This Row],[2016]])</f>
        <v/>
      </c>
      <c r="I100" s="14" t="str">
        <f>IF(ISBLANK(Refsz_Verbräuche[[#This Row],[2017]]),"",Refsz_Verbräuche[[#This Row],[2017]])</f>
        <v/>
      </c>
      <c r="J100" s="14" t="str">
        <f>IF(ISBLANK(Refsz_Verbräuche[[#This Row],[2018]]),"",Refsz_Verbräuche[[#This Row],[2018]])</f>
        <v/>
      </c>
      <c r="K100" s="14" t="str">
        <f>IF(ISBLANK(Refsz_Verbräuche[[#This Row],[2019]]),"",Refsz_Verbräuche[[#This Row],[2019]])</f>
        <v/>
      </c>
      <c r="L100" s="14" t="str">
        <f>IF(ISBLANK(Refsz_Verbräuche[[#This Row],[2020]]),"",Refsz_Verbräuche[[#This Row],[2020]])</f>
        <v/>
      </c>
      <c r="M100" s="14" t="str">
        <f>IF(ISBLANK(Refsz_Verbräuche[[#This Row],[2021]]),"",Refsz_Verbräuche[[#This Row],[2021]])</f>
        <v/>
      </c>
      <c r="N100" s="49" t="str">
        <f>IF(Klisz_Verbräuche[[#Headers],[2022]]=$B$14,IF(COUNTIF($G100:Klisz_Verbräuche[[#This Row],[2021]],"&gt;0")&gt;0, AVERAGEIF($G100:Klisz_Verbräuche[[#This Row],[2021]],"&lt;&gt;"), ""),IF($B$14&lt;Klisz_Verbräuche[[#Headers],[2022]],IF(COUNTIF($G100:Klisz_Verbräuche[[#This Row],[2021]],"&gt;0")&gt;0,IF(COUNTIF($G100:Klisz_Verbräuche[[#This Row],[2021]],"&gt;0")&gt;0,Klisz_Verbräuche[[#This Row],[2021]]*(1-$F100)^1, ""), ""),IF($B$14&gt;Klisz_Verbräuche[[#Headers],[2022]],Refsz_Verbräuche[[#This Row],[2022]],"")))</f>
        <v/>
      </c>
      <c r="O100" s="49" t="str">
        <f>IF(Klisz_Verbräuche[[#Headers],[2023]]=$B$14,IF(COUNTIF($G100:Klisz_Verbräuche[[#This Row],[2022]],"&gt;0")&gt;0, AVERAGEIF($G100:Klisz_Verbräuche[[#This Row],[2022]],"&lt;&gt;"), ""),IF($B$14&lt;Klisz_Verbräuche[[#Headers],[2023]],IF(COUNTIF($G100:Klisz_Verbräuche[[#This Row],[2022]],"&gt;0")&gt;0,IF(COUNTIF($G100:Klisz_Verbräuche[[#This Row],[2022]],"&gt;0")&gt;0,Klisz_Verbräuche[[#This Row],[2022]]*(1-$F100)^1, ""), ""),IF($B$14&gt;Klisz_Verbräuche[[#Headers],[2023]],Refsz_Verbräuche[[#This Row],[2023]],"")))</f>
        <v/>
      </c>
      <c r="P100" s="49" t="str">
        <f>IF(Klisz_Verbräuche[[#Headers],[2024]]=$B$14,IF(COUNTIF($G100:Klisz_Verbräuche[[#This Row],[2023]],"&gt;0")&gt;0, AVERAGEIF($G100:Klisz_Verbräuche[[#This Row],[2023]],"&lt;&gt;"), ""),IF($B$14&lt;Klisz_Verbräuche[[#Headers],[2024]],IF(COUNTIF($G100:Klisz_Verbräuche[[#This Row],[2023]],"&gt;0")&gt;0,IF(COUNTIF($G100:Klisz_Verbräuche[[#This Row],[2023]],"&gt;0")&gt;0,Klisz_Verbräuche[[#This Row],[2023]]*(1-$F100)^1, ""), ""),IF($B$14&gt;Klisz_Verbräuche[[#Headers],[2024]],Refsz_Verbräuche[[#This Row],[2024]],"")))</f>
        <v/>
      </c>
      <c r="Q100" s="49" t="str">
        <f>IF(Klisz_Verbräuche[[#Headers],[2025]]=$B$14,IF(COUNTIF($G100:Klisz_Verbräuche[[#This Row],[2024]],"&gt;0")&gt;0, AVERAGEIF($G100:Klisz_Verbräuche[[#This Row],[2024]],"&lt;&gt;"), ""),IF($B$14&lt;Klisz_Verbräuche[[#Headers],[2025]],IF(COUNTIF($G100:Klisz_Verbräuche[[#This Row],[2024]],"&gt;0")&gt;0,IF(COUNTIF($G100:Klisz_Verbräuche[[#This Row],[2024]],"&gt;0")&gt;0,Klisz_Verbräuche[[#This Row],[2024]]*(1-$F100)^1, ""), ""),IF($B$14&gt;Klisz_Verbräuche[[#Headers],[2025]],Refsz_Verbräuche[[#This Row],[2025]],"")))</f>
        <v/>
      </c>
      <c r="R100" s="49" t="str">
        <f>IF(Klisz_Verbräuche[[#Headers],[2026]]=$B$14,IF(COUNTIF($G100:Klisz_Verbräuche[[#This Row],[2025]],"&gt;0")&gt;0, AVERAGEIF($G100:Klisz_Verbräuche[[#This Row],[2025]],"&lt;&gt;"), ""),IF($B$14&lt;Klisz_Verbräuche[[#Headers],[2026]],IF(COUNTIF($G100:Klisz_Verbräuche[[#This Row],[2025]],"&gt;0")&gt;0,IF(COUNTIF($G100:Klisz_Verbräuche[[#This Row],[2025]],"&gt;0")&gt;0,Klisz_Verbräuche[[#This Row],[2025]]*(1-$F100)^1, ""), ""),IF($B$14&gt;Klisz_Verbräuche[[#Headers],[2026]],Refsz_Verbräuche[[#This Row],[2026]],"")))</f>
        <v/>
      </c>
      <c r="S100" s="49" t="str">
        <f>IF(Klisz_Verbräuche[[#Headers],[2027]]=$B$14,IF(COUNTIF($G100:Klisz_Verbräuche[[#This Row],[2026]],"&gt;0")&gt;0, AVERAGEIF($G100:Klisz_Verbräuche[[#This Row],[2026]],"&lt;&gt;"), ""),IF($B$14&lt;Klisz_Verbräuche[[#Headers],[2027]],IF(COUNTIF($G100:Klisz_Verbräuche[[#This Row],[2026]],"&gt;0")&gt;0,IF(COUNTIF($G100:Klisz_Verbräuche[[#This Row],[2026]],"&gt;0")&gt;0,Klisz_Verbräuche[[#This Row],[2026]]*(1-$F100)^1, ""), ""),IF($B$14&gt;Klisz_Verbräuche[[#Headers],[2027]],Refsz_Verbräuche[[#This Row],[2027]],"")))</f>
        <v/>
      </c>
      <c r="T100" s="49" t="str">
        <f>IF(Klisz_Verbräuche[[#Headers],[2028]]=$B$14,IF(COUNTIF($G100:Klisz_Verbräuche[[#This Row],[2027]],"&gt;0")&gt;0, AVERAGEIF($G100:Klisz_Verbräuche[[#This Row],[2027]],"&lt;&gt;"), ""),IF($B$14&lt;Klisz_Verbräuche[[#Headers],[2028]],IF(COUNTIF($G100:Klisz_Verbräuche[[#This Row],[2027]],"&gt;0")&gt;0,IF(COUNTIF($G100:Klisz_Verbräuche[[#This Row],[2027]],"&gt;0")&gt;0,Klisz_Verbräuche[[#This Row],[2027]]*(1-$F100)^1, ""), ""),IF($B$14&gt;Klisz_Verbräuche[[#Headers],[2028]],Refsz_Verbräuche[[#This Row],[2028]],"")))</f>
        <v/>
      </c>
      <c r="U100" s="49" t="str">
        <f>IF(Klisz_Verbräuche[[#Headers],[2029]]=$B$14,IF(COUNTIF($G100:Klisz_Verbräuche[[#This Row],[2028]],"&gt;0")&gt;0, AVERAGEIF($G100:Klisz_Verbräuche[[#This Row],[2028]],"&lt;&gt;"), ""),IF($B$14&lt;Klisz_Verbräuche[[#Headers],[2029]],IF(COUNTIF($G100:Klisz_Verbräuche[[#This Row],[2028]],"&gt;0")&gt;0,IF(COUNTIF($G100:Klisz_Verbräuche[[#This Row],[2028]],"&gt;0")&gt;0,Klisz_Verbräuche[[#This Row],[2028]]*(1-$F100)^1, ""), ""),IF($B$14&gt;Klisz_Verbräuche[[#Headers],[2029]],Refsz_Verbräuche[[#This Row],[2029]],"")))</f>
        <v/>
      </c>
      <c r="V100" s="49" t="str">
        <f>IF(Klisz_Verbräuche[[#Headers],[2030]]=$B$14,IF(COUNTIF($G100:Klisz_Verbräuche[[#This Row],[2029]],"&gt;0")&gt;0, AVERAGEIF($G100:Klisz_Verbräuche[[#This Row],[2029]],"&lt;&gt;"), ""),IF($B$14&lt;Klisz_Verbräuche[[#Headers],[2030]],IF(COUNTIF($G100:Klisz_Verbräuche[[#This Row],[2029]],"&gt;0")&gt;0,IF(COUNTIF($G100:Klisz_Verbräuche[[#This Row],[2029]],"&gt;0")&gt;0,Klisz_Verbräuche[[#This Row],[2029]]*(1-$F100)^1, ""), ""),IF($B$14&gt;Klisz_Verbräuche[[#Headers],[2030]],Refsz_Verbräuche[[#This Row],[2030]],"")))</f>
        <v/>
      </c>
      <c r="W100" s="49" t="str">
        <f>IF(Klisz_Verbräuche[[#Headers],[2035]]=$B$14,IF(COUNTIF($G100:Klisz_Verbräuche[[#This Row],[2030]],"&gt;0")&gt;0, AVERAGEIF($G100:Klisz_Verbräuche[[#This Row],[2030]],"&lt;&gt;"), ""),IF($B$14&lt;Klisz_Verbräuche[[#Headers],[2035]],IF(COUNTIF($G100:Klisz_Verbräuche[[#This Row],[2030]],"&gt;0")&gt;0,IF(COUNTIF($G100:Klisz_Verbräuche[[#This Row],[2030]],"&gt;0")&gt;0,Klisz_Verbräuche[[#This Row],[2030]]*(1-$F100)^5, ""), ""),IF($B$14&gt;Klisz_Verbräuche[[#Headers],[2035]],Refsz_Verbräuche[[#This Row],[2035]],"")))</f>
        <v/>
      </c>
      <c r="X100" s="49" t="str">
        <f>IF(Klisz_Verbräuche[[#Headers],[2040]]=$B$14,IF(COUNTIF($G100:Klisz_Verbräuche[[#This Row],[2035]],"&gt;0")&gt;0, AVERAGEIF($G100:Klisz_Verbräuche[[#This Row],[2035]],"&lt;&gt;"), ""),IF($B$14&lt;Klisz_Verbräuche[[#Headers],[2040]],IF(COUNTIF($G100:Klisz_Verbräuche[[#This Row],[2035]],"&gt;0")&gt;0,IF(COUNTIF($G100:Klisz_Verbräuche[[#This Row],[2035]],"&gt;0")&gt;0,Klisz_Verbräuche[[#This Row],[2035]]*(1-$F100)^5, ""), ""),IF($B$14&gt;Klisz_Verbräuche[[#Headers],[2040]],Refsz_Verbräuche[[#This Row],[2040]],"")))</f>
        <v/>
      </c>
      <c r="Y100" s="49" t="str">
        <f>IF(Klisz_Verbräuche[[#Headers],[2045]]=$B$14,IF(COUNTIF($G100:Klisz_Verbräuche[[#This Row],[2040]],"&gt;0")&gt;0, AVERAGEIF($G100:Klisz_Verbräuche[[#This Row],[2040]],"&lt;&gt;"), ""),IF($B$14&lt;Klisz_Verbräuche[[#Headers],[2045]],IF(COUNTIF($G100:Klisz_Verbräuche[[#This Row],[2040]],"&gt;0")&gt;0,IF(COUNTIF($G100:Klisz_Verbräuche[[#This Row],[2040]],"&gt;0")&gt;0,Klisz_Verbräuche[[#This Row],[2040]]*(1-$F100)^5, ""), ""),IF($B$14&gt;Klisz_Verbräuche[[#Headers],[2045]],Refsz_Verbräuche[[#This Row],[2045]],"")))</f>
        <v/>
      </c>
      <c r="Z100" s="49" t="str">
        <f>IF(Klisz_Verbräuche[[#Headers],[2050]]=$B$14,IF(COUNTIF($G100:Klisz_Verbräuche[[#This Row],[2045]],"&gt;0")&gt;0, AVERAGEIF($G100:Klisz_Verbräuche[[#This Row],[2045]],"&lt;&gt;"), ""),IF($B$14&lt;Klisz_Verbräuche[[#Headers],[2050]],IF(COUNTIF($G100:Klisz_Verbräuche[[#This Row],[2045]],"&gt;0")&gt;0,IF(COUNTIF($G100:Klisz_Verbräuche[[#This Row],[2045]],"&gt;0")&gt;0,Klisz_Verbräuche[[#This Row],[2045]]*(1-$F100)^5, ""), ""),IF($B$14&gt;Klisz_Verbräuche[[#Headers],[2050]],Refsz_Verbräuche[[#This Row],[2050]],"")))</f>
        <v/>
      </c>
      <c r="AA100" s="14"/>
    </row>
    <row r="101" spans="2:27">
      <c r="B101" s="14">
        <v>84</v>
      </c>
      <c r="C101" s="197" t="str">
        <f>Refsz_Verbräuche[[#This Row],[Handlungsfeld]]</f>
        <v>Mobilität 2</v>
      </c>
      <c r="D101" s="19" t="str">
        <f>Refsz_Verbräuche[[#This Row],[Datenpunkt]]</f>
        <v>An- und Abreise von Gästen - Privater PKW (alle Antriebsarten)</v>
      </c>
      <c r="E101" s="26" t="str">
        <f>Refsz_Verbräuche[[#This Row],[Einheit]]</f>
        <v>Fkm</v>
      </c>
      <c r="F101" s="108"/>
      <c r="G101" s="14" t="str">
        <f>IF(ISBLANK(Refsz_Verbräuche[[#This Row],[2015]]),"",Refsz_Verbräuche[[#This Row],[2015]])</f>
        <v/>
      </c>
      <c r="H101" s="14" t="str">
        <f>IF(ISBLANK(Refsz_Verbräuche[[#This Row],[2016]]),"",Refsz_Verbräuche[[#This Row],[2016]])</f>
        <v/>
      </c>
      <c r="I101" s="14" t="str">
        <f>IF(ISBLANK(Refsz_Verbräuche[[#This Row],[2017]]),"",Refsz_Verbräuche[[#This Row],[2017]])</f>
        <v/>
      </c>
      <c r="J101" s="14" t="str">
        <f>IF(ISBLANK(Refsz_Verbräuche[[#This Row],[2018]]),"",Refsz_Verbräuche[[#This Row],[2018]])</f>
        <v/>
      </c>
      <c r="K101" s="14" t="str">
        <f>IF(ISBLANK(Refsz_Verbräuche[[#This Row],[2019]]),"",Refsz_Verbräuche[[#This Row],[2019]])</f>
        <v/>
      </c>
      <c r="L101" s="14" t="str">
        <f>IF(ISBLANK(Refsz_Verbräuche[[#This Row],[2020]]),"",Refsz_Verbräuche[[#This Row],[2020]])</f>
        <v/>
      </c>
      <c r="M101" s="14" t="str">
        <f>IF(ISBLANK(Refsz_Verbräuche[[#This Row],[2021]]),"",Refsz_Verbräuche[[#This Row],[2021]])</f>
        <v/>
      </c>
      <c r="N101" s="49" t="str">
        <f>IF(Klisz_Verbräuche[[#Headers],[2022]]=$B$14,IF(COUNTIF($G101:Klisz_Verbräuche[[#This Row],[2021]],"&gt;0")&gt;0, AVERAGEIF($G101:Klisz_Verbräuche[[#This Row],[2021]],"&lt;&gt;"), ""),IF($B$14&lt;Klisz_Verbräuche[[#Headers],[2022]],IF(COUNTIF($G101:Klisz_Verbräuche[[#This Row],[2021]],"&gt;0")&gt;0,IF(COUNTIF($G101:Klisz_Verbräuche[[#This Row],[2021]],"&gt;0")&gt;0,Klisz_Verbräuche[[#This Row],[2021]]*(1-$F101)^1, ""), ""),IF($B$14&gt;Klisz_Verbräuche[[#Headers],[2022]],Refsz_Verbräuche[[#This Row],[2022]],"")))</f>
        <v/>
      </c>
      <c r="O101" s="49" t="str">
        <f>IF(Klisz_Verbräuche[[#Headers],[2023]]=$B$14,IF(COUNTIF($G101:Klisz_Verbräuche[[#This Row],[2022]],"&gt;0")&gt;0, AVERAGEIF($G101:Klisz_Verbräuche[[#This Row],[2022]],"&lt;&gt;"), ""),IF($B$14&lt;Klisz_Verbräuche[[#Headers],[2023]],IF(COUNTIF($G101:Klisz_Verbräuche[[#This Row],[2022]],"&gt;0")&gt;0,IF(COUNTIF($G101:Klisz_Verbräuche[[#This Row],[2022]],"&gt;0")&gt;0,Klisz_Verbräuche[[#This Row],[2022]]*(1-$F101)^1, ""), ""),IF($B$14&gt;Klisz_Verbräuche[[#Headers],[2023]],Refsz_Verbräuche[[#This Row],[2023]],"")))</f>
        <v/>
      </c>
      <c r="P101" s="49" t="str">
        <f>IF(Klisz_Verbräuche[[#Headers],[2024]]=$B$14,IF(COUNTIF($G101:Klisz_Verbräuche[[#This Row],[2023]],"&gt;0")&gt;0, AVERAGEIF($G101:Klisz_Verbräuche[[#This Row],[2023]],"&lt;&gt;"), ""),IF($B$14&lt;Klisz_Verbräuche[[#Headers],[2024]],IF(COUNTIF($G101:Klisz_Verbräuche[[#This Row],[2023]],"&gt;0")&gt;0,IF(COUNTIF($G101:Klisz_Verbräuche[[#This Row],[2023]],"&gt;0")&gt;0,Klisz_Verbräuche[[#This Row],[2023]]*(1-$F101)^1, ""), ""),IF($B$14&gt;Klisz_Verbräuche[[#Headers],[2024]],Refsz_Verbräuche[[#This Row],[2024]],"")))</f>
        <v/>
      </c>
      <c r="Q101" s="49" t="str">
        <f>IF(Klisz_Verbräuche[[#Headers],[2025]]=$B$14,IF(COUNTIF($G101:Klisz_Verbräuche[[#This Row],[2024]],"&gt;0")&gt;0, AVERAGEIF($G101:Klisz_Verbräuche[[#This Row],[2024]],"&lt;&gt;"), ""),IF($B$14&lt;Klisz_Verbräuche[[#Headers],[2025]],IF(COUNTIF($G101:Klisz_Verbräuche[[#This Row],[2024]],"&gt;0")&gt;0,IF(COUNTIF($G101:Klisz_Verbräuche[[#This Row],[2024]],"&gt;0")&gt;0,Klisz_Verbräuche[[#This Row],[2024]]*(1-$F101)^1, ""), ""),IF($B$14&gt;Klisz_Verbräuche[[#Headers],[2025]],Refsz_Verbräuche[[#This Row],[2025]],"")))</f>
        <v/>
      </c>
      <c r="R101" s="49" t="str">
        <f>IF(Klisz_Verbräuche[[#Headers],[2026]]=$B$14,IF(COUNTIF($G101:Klisz_Verbräuche[[#This Row],[2025]],"&gt;0")&gt;0, AVERAGEIF($G101:Klisz_Verbräuche[[#This Row],[2025]],"&lt;&gt;"), ""),IF($B$14&lt;Klisz_Verbräuche[[#Headers],[2026]],IF(COUNTIF($G101:Klisz_Verbräuche[[#This Row],[2025]],"&gt;0")&gt;0,IF(COUNTIF($G101:Klisz_Verbräuche[[#This Row],[2025]],"&gt;0")&gt;0,Klisz_Verbräuche[[#This Row],[2025]]*(1-$F101)^1, ""), ""),IF($B$14&gt;Klisz_Verbräuche[[#Headers],[2026]],Refsz_Verbräuche[[#This Row],[2026]],"")))</f>
        <v/>
      </c>
      <c r="S101" s="49" t="str">
        <f>IF(Klisz_Verbräuche[[#Headers],[2027]]=$B$14,IF(COUNTIF($G101:Klisz_Verbräuche[[#This Row],[2026]],"&gt;0")&gt;0, AVERAGEIF($G101:Klisz_Verbräuche[[#This Row],[2026]],"&lt;&gt;"), ""),IF($B$14&lt;Klisz_Verbräuche[[#Headers],[2027]],IF(COUNTIF($G101:Klisz_Verbräuche[[#This Row],[2026]],"&gt;0")&gt;0,IF(COUNTIF($G101:Klisz_Verbräuche[[#This Row],[2026]],"&gt;0")&gt;0,Klisz_Verbräuche[[#This Row],[2026]]*(1-$F101)^1, ""), ""),IF($B$14&gt;Klisz_Verbräuche[[#Headers],[2027]],Refsz_Verbräuche[[#This Row],[2027]],"")))</f>
        <v/>
      </c>
      <c r="T101" s="49" t="str">
        <f>IF(Klisz_Verbräuche[[#Headers],[2028]]=$B$14,IF(COUNTIF($G101:Klisz_Verbräuche[[#This Row],[2027]],"&gt;0")&gt;0, AVERAGEIF($G101:Klisz_Verbräuche[[#This Row],[2027]],"&lt;&gt;"), ""),IF($B$14&lt;Klisz_Verbräuche[[#Headers],[2028]],IF(COUNTIF($G101:Klisz_Verbräuche[[#This Row],[2027]],"&gt;0")&gt;0,IF(COUNTIF($G101:Klisz_Verbräuche[[#This Row],[2027]],"&gt;0")&gt;0,Klisz_Verbräuche[[#This Row],[2027]]*(1-$F101)^1, ""), ""),IF($B$14&gt;Klisz_Verbräuche[[#Headers],[2028]],Refsz_Verbräuche[[#This Row],[2028]],"")))</f>
        <v/>
      </c>
      <c r="U101" s="49" t="str">
        <f>IF(Klisz_Verbräuche[[#Headers],[2029]]=$B$14,IF(COUNTIF($G101:Klisz_Verbräuche[[#This Row],[2028]],"&gt;0")&gt;0, AVERAGEIF($G101:Klisz_Verbräuche[[#This Row],[2028]],"&lt;&gt;"), ""),IF($B$14&lt;Klisz_Verbräuche[[#Headers],[2029]],IF(COUNTIF($G101:Klisz_Verbräuche[[#This Row],[2028]],"&gt;0")&gt;0,IF(COUNTIF($G101:Klisz_Verbräuche[[#This Row],[2028]],"&gt;0")&gt;0,Klisz_Verbräuche[[#This Row],[2028]]*(1-$F101)^1, ""), ""),IF($B$14&gt;Klisz_Verbräuche[[#Headers],[2029]],Refsz_Verbräuche[[#This Row],[2029]],"")))</f>
        <v/>
      </c>
      <c r="V101" s="49" t="str">
        <f>IF(Klisz_Verbräuche[[#Headers],[2030]]=$B$14,IF(COUNTIF($G101:Klisz_Verbräuche[[#This Row],[2029]],"&gt;0")&gt;0, AVERAGEIF($G101:Klisz_Verbräuche[[#This Row],[2029]],"&lt;&gt;"), ""),IF($B$14&lt;Klisz_Verbräuche[[#Headers],[2030]],IF(COUNTIF($G101:Klisz_Verbräuche[[#This Row],[2029]],"&gt;0")&gt;0,IF(COUNTIF($G101:Klisz_Verbräuche[[#This Row],[2029]],"&gt;0")&gt;0,Klisz_Verbräuche[[#This Row],[2029]]*(1-$F101)^1, ""), ""),IF($B$14&gt;Klisz_Verbräuche[[#Headers],[2030]],Refsz_Verbräuche[[#This Row],[2030]],"")))</f>
        <v/>
      </c>
      <c r="W101" s="49" t="str">
        <f>IF(Klisz_Verbräuche[[#Headers],[2035]]=$B$14,IF(COUNTIF($G101:Klisz_Verbräuche[[#This Row],[2030]],"&gt;0")&gt;0, AVERAGEIF($G101:Klisz_Verbräuche[[#This Row],[2030]],"&lt;&gt;"), ""),IF($B$14&lt;Klisz_Verbräuche[[#Headers],[2035]],IF(COUNTIF($G101:Klisz_Verbräuche[[#This Row],[2030]],"&gt;0")&gt;0,IF(COUNTIF($G101:Klisz_Verbräuche[[#This Row],[2030]],"&gt;0")&gt;0,Klisz_Verbräuche[[#This Row],[2030]]*(1-$F101)^5, ""), ""),IF($B$14&gt;Klisz_Verbräuche[[#Headers],[2035]],Refsz_Verbräuche[[#This Row],[2035]],"")))</f>
        <v/>
      </c>
      <c r="X101" s="49" t="str">
        <f>IF(Klisz_Verbräuche[[#Headers],[2040]]=$B$14,IF(COUNTIF($G101:Klisz_Verbräuche[[#This Row],[2035]],"&gt;0")&gt;0, AVERAGEIF($G101:Klisz_Verbräuche[[#This Row],[2035]],"&lt;&gt;"), ""),IF($B$14&lt;Klisz_Verbräuche[[#Headers],[2040]],IF(COUNTIF($G101:Klisz_Verbräuche[[#This Row],[2035]],"&gt;0")&gt;0,IF(COUNTIF($G101:Klisz_Verbräuche[[#This Row],[2035]],"&gt;0")&gt;0,Klisz_Verbräuche[[#This Row],[2035]]*(1-$F101)^5, ""), ""),IF($B$14&gt;Klisz_Verbräuche[[#Headers],[2040]],Refsz_Verbräuche[[#This Row],[2040]],"")))</f>
        <v/>
      </c>
      <c r="Y101" s="49" t="str">
        <f>IF(Klisz_Verbräuche[[#Headers],[2045]]=$B$14,IF(COUNTIF($G101:Klisz_Verbräuche[[#This Row],[2040]],"&gt;0")&gt;0, AVERAGEIF($G101:Klisz_Verbräuche[[#This Row],[2040]],"&lt;&gt;"), ""),IF($B$14&lt;Klisz_Verbräuche[[#Headers],[2045]],IF(COUNTIF($G101:Klisz_Verbräuche[[#This Row],[2040]],"&gt;0")&gt;0,IF(COUNTIF($G101:Klisz_Verbräuche[[#This Row],[2040]],"&gt;0")&gt;0,Klisz_Verbräuche[[#This Row],[2040]]*(1-$F101)^5, ""), ""),IF($B$14&gt;Klisz_Verbräuche[[#Headers],[2045]],Refsz_Verbräuche[[#This Row],[2045]],"")))</f>
        <v/>
      </c>
      <c r="Z101" s="49" t="str">
        <f>IF(Klisz_Verbräuche[[#Headers],[2050]]=$B$14,IF(COUNTIF($G101:Klisz_Verbräuche[[#This Row],[2045]],"&gt;0")&gt;0, AVERAGEIF($G101:Klisz_Verbräuche[[#This Row],[2045]],"&lt;&gt;"), ""),IF($B$14&lt;Klisz_Verbräuche[[#Headers],[2050]],IF(COUNTIF($G101:Klisz_Verbräuche[[#This Row],[2045]],"&gt;0")&gt;0,IF(COUNTIF($G101:Klisz_Verbräuche[[#This Row],[2045]],"&gt;0")&gt;0,Klisz_Verbräuche[[#This Row],[2045]]*(1-$F101)^5, ""), ""),IF($B$14&gt;Klisz_Verbräuche[[#Headers],[2050]],Refsz_Verbräuche[[#This Row],[2050]],"")))</f>
        <v/>
      </c>
      <c r="AA101" s="14"/>
    </row>
    <row r="102" spans="2:27">
      <c r="B102" s="14">
        <v>85</v>
      </c>
      <c r="C102" s="197">
        <f>Refsz_Verbräuche[[#This Row],[Handlungsfeld]]</f>
        <v>0</v>
      </c>
      <c r="D102" s="19">
        <f>Refsz_Verbräuche[[#This Row],[Datenpunkt]]</f>
        <v>0</v>
      </c>
      <c r="E102" s="26">
        <f>Refsz_Verbräuche[[#This Row],[Einheit]]</f>
        <v>0</v>
      </c>
      <c r="F102" s="108"/>
      <c r="G102" s="14" t="str">
        <f>IF(ISBLANK(Refsz_Verbräuche[[#This Row],[2015]]),"",Refsz_Verbräuche[[#This Row],[2015]])</f>
        <v/>
      </c>
      <c r="H102" s="14" t="str">
        <f>IF(ISBLANK(Refsz_Verbräuche[[#This Row],[2016]]),"",Refsz_Verbräuche[[#This Row],[2016]])</f>
        <v/>
      </c>
      <c r="I102" s="14" t="str">
        <f>IF(ISBLANK(Refsz_Verbräuche[[#This Row],[2017]]),"",Refsz_Verbräuche[[#This Row],[2017]])</f>
        <v/>
      </c>
      <c r="J102" s="14" t="str">
        <f>IF(ISBLANK(Refsz_Verbräuche[[#This Row],[2018]]),"",Refsz_Verbräuche[[#This Row],[2018]])</f>
        <v/>
      </c>
      <c r="K102" s="14" t="str">
        <f>IF(ISBLANK(Refsz_Verbräuche[[#This Row],[2019]]),"",Refsz_Verbräuche[[#This Row],[2019]])</f>
        <v/>
      </c>
      <c r="L102" s="14" t="str">
        <f>IF(ISBLANK(Refsz_Verbräuche[[#This Row],[2020]]),"",Refsz_Verbräuche[[#This Row],[2020]])</f>
        <v/>
      </c>
      <c r="M102" s="14" t="str">
        <f>IF(ISBLANK(Refsz_Verbräuche[[#This Row],[2021]]),"",Refsz_Verbräuche[[#This Row],[2021]])</f>
        <v/>
      </c>
      <c r="N102" s="49" t="str">
        <f>IF(Klisz_Verbräuche[[#Headers],[2022]]=$B$14,IF(COUNTIF($G102:Klisz_Verbräuche[[#This Row],[2021]],"&gt;0")&gt;0, AVERAGEIF($G102:Klisz_Verbräuche[[#This Row],[2021]],"&lt;&gt;"), ""),IF($B$14&lt;Klisz_Verbräuche[[#Headers],[2022]],IF(COUNTIF($G102:Klisz_Verbräuche[[#This Row],[2021]],"&gt;0")&gt;0,IF(COUNTIF($G102:Klisz_Verbräuche[[#This Row],[2021]],"&gt;0")&gt;0,Klisz_Verbräuche[[#This Row],[2021]]*(1-$F102)^1, ""), ""),IF($B$14&gt;Klisz_Verbräuche[[#Headers],[2022]],Refsz_Verbräuche[[#This Row],[2022]],"")))</f>
        <v/>
      </c>
      <c r="O102" s="49" t="str">
        <f>IF(Klisz_Verbräuche[[#Headers],[2023]]=$B$14,IF(COUNTIF($G102:Klisz_Verbräuche[[#This Row],[2022]],"&gt;0")&gt;0, AVERAGEIF($G102:Klisz_Verbräuche[[#This Row],[2022]],"&lt;&gt;"), ""),IF($B$14&lt;Klisz_Verbräuche[[#Headers],[2023]],IF(COUNTIF($G102:Klisz_Verbräuche[[#This Row],[2022]],"&gt;0")&gt;0,IF(COUNTIF($G102:Klisz_Verbräuche[[#This Row],[2022]],"&gt;0")&gt;0,Klisz_Verbräuche[[#This Row],[2022]]*(1-$F102)^1, ""), ""),IF($B$14&gt;Klisz_Verbräuche[[#Headers],[2023]],Refsz_Verbräuche[[#This Row],[2023]],"")))</f>
        <v/>
      </c>
      <c r="P102" s="49" t="str">
        <f>IF(Klisz_Verbräuche[[#Headers],[2024]]=$B$14,IF(COUNTIF($G102:Klisz_Verbräuche[[#This Row],[2023]],"&gt;0")&gt;0, AVERAGEIF($G102:Klisz_Verbräuche[[#This Row],[2023]],"&lt;&gt;"), ""),IF($B$14&lt;Klisz_Verbräuche[[#Headers],[2024]],IF(COUNTIF($G102:Klisz_Verbräuche[[#This Row],[2023]],"&gt;0")&gt;0,IF(COUNTIF($G102:Klisz_Verbräuche[[#This Row],[2023]],"&gt;0")&gt;0,Klisz_Verbräuche[[#This Row],[2023]]*(1-$F102)^1, ""), ""),IF($B$14&gt;Klisz_Verbräuche[[#Headers],[2024]],Refsz_Verbräuche[[#This Row],[2024]],"")))</f>
        <v/>
      </c>
      <c r="Q102" s="49" t="str">
        <f>IF(Klisz_Verbräuche[[#Headers],[2025]]=$B$14,IF(COUNTIF($G102:Klisz_Verbräuche[[#This Row],[2024]],"&gt;0")&gt;0, AVERAGEIF($G102:Klisz_Verbräuche[[#This Row],[2024]],"&lt;&gt;"), ""),IF($B$14&lt;Klisz_Verbräuche[[#Headers],[2025]],IF(COUNTIF($G102:Klisz_Verbräuche[[#This Row],[2024]],"&gt;0")&gt;0,IF(COUNTIF($G102:Klisz_Verbräuche[[#This Row],[2024]],"&gt;0")&gt;0,Klisz_Verbräuche[[#This Row],[2024]]*(1-$F102)^1, ""), ""),IF($B$14&gt;Klisz_Verbräuche[[#Headers],[2025]],Refsz_Verbräuche[[#This Row],[2025]],"")))</f>
        <v/>
      </c>
      <c r="R102" s="49" t="str">
        <f>IF(Klisz_Verbräuche[[#Headers],[2026]]=$B$14,IF(COUNTIF($G102:Klisz_Verbräuche[[#This Row],[2025]],"&gt;0")&gt;0, AVERAGEIF($G102:Klisz_Verbräuche[[#This Row],[2025]],"&lt;&gt;"), ""),IF($B$14&lt;Klisz_Verbräuche[[#Headers],[2026]],IF(COUNTIF($G102:Klisz_Verbräuche[[#This Row],[2025]],"&gt;0")&gt;0,IF(COUNTIF($G102:Klisz_Verbräuche[[#This Row],[2025]],"&gt;0")&gt;0,Klisz_Verbräuche[[#This Row],[2025]]*(1-$F102)^1, ""), ""),IF($B$14&gt;Klisz_Verbräuche[[#Headers],[2026]],Refsz_Verbräuche[[#This Row],[2026]],"")))</f>
        <v/>
      </c>
      <c r="S102" s="49" t="str">
        <f>IF(Klisz_Verbräuche[[#Headers],[2027]]=$B$14,IF(COUNTIF($G102:Klisz_Verbräuche[[#This Row],[2026]],"&gt;0")&gt;0, AVERAGEIF($G102:Klisz_Verbräuche[[#This Row],[2026]],"&lt;&gt;"), ""),IF($B$14&lt;Klisz_Verbräuche[[#Headers],[2027]],IF(COUNTIF($G102:Klisz_Verbräuche[[#This Row],[2026]],"&gt;0")&gt;0,IF(COUNTIF($G102:Klisz_Verbräuche[[#This Row],[2026]],"&gt;0")&gt;0,Klisz_Verbräuche[[#This Row],[2026]]*(1-$F102)^1, ""), ""),IF($B$14&gt;Klisz_Verbräuche[[#Headers],[2027]],Refsz_Verbräuche[[#This Row],[2027]],"")))</f>
        <v/>
      </c>
      <c r="T102" s="49" t="str">
        <f>IF(Klisz_Verbräuche[[#Headers],[2028]]=$B$14,IF(COUNTIF($G102:Klisz_Verbräuche[[#This Row],[2027]],"&gt;0")&gt;0, AVERAGEIF($G102:Klisz_Verbräuche[[#This Row],[2027]],"&lt;&gt;"), ""),IF($B$14&lt;Klisz_Verbräuche[[#Headers],[2028]],IF(COUNTIF($G102:Klisz_Verbräuche[[#This Row],[2027]],"&gt;0")&gt;0,IF(COUNTIF($G102:Klisz_Verbräuche[[#This Row],[2027]],"&gt;0")&gt;0,Klisz_Verbräuche[[#This Row],[2027]]*(1-$F102)^1, ""), ""),IF($B$14&gt;Klisz_Verbräuche[[#Headers],[2028]],Refsz_Verbräuche[[#This Row],[2028]],"")))</f>
        <v/>
      </c>
      <c r="U102" s="49" t="str">
        <f>IF(Klisz_Verbräuche[[#Headers],[2029]]=$B$14,IF(COUNTIF($G102:Klisz_Verbräuche[[#This Row],[2028]],"&gt;0")&gt;0, AVERAGEIF($G102:Klisz_Verbräuche[[#This Row],[2028]],"&lt;&gt;"), ""),IF($B$14&lt;Klisz_Verbräuche[[#Headers],[2029]],IF(COUNTIF($G102:Klisz_Verbräuche[[#This Row],[2028]],"&gt;0")&gt;0,IF(COUNTIF($G102:Klisz_Verbräuche[[#This Row],[2028]],"&gt;0")&gt;0,Klisz_Verbräuche[[#This Row],[2028]]*(1-$F102)^1, ""), ""),IF($B$14&gt;Klisz_Verbräuche[[#Headers],[2029]],Refsz_Verbräuche[[#This Row],[2029]],"")))</f>
        <v/>
      </c>
      <c r="V102" s="49" t="str">
        <f>IF(Klisz_Verbräuche[[#Headers],[2030]]=$B$14,IF(COUNTIF($G102:Klisz_Verbräuche[[#This Row],[2029]],"&gt;0")&gt;0, AVERAGEIF($G102:Klisz_Verbräuche[[#This Row],[2029]],"&lt;&gt;"), ""),IF($B$14&lt;Klisz_Verbräuche[[#Headers],[2030]],IF(COUNTIF($G102:Klisz_Verbräuche[[#This Row],[2029]],"&gt;0")&gt;0,IF(COUNTIF($G102:Klisz_Verbräuche[[#This Row],[2029]],"&gt;0")&gt;0,Klisz_Verbräuche[[#This Row],[2029]]*(1-$F102)^1, ""), ""),IF($B$14&gt;Klisz_Verbräuche[[#Headers],[2030]],Refsz_Verbräuche[[#This Row],[2030]],"")))</f>
        <v/>
      </c>
      <c r="W102" s="49" t="str">
        <f>IF(Klisz_Verbräuche[[#Headers],[2035]]=$B$14,IF(COUNTIF($G102:Klisz_Verbräuche[[#This Row],[2030]],"&gt;0")&gt;0, AVERAGEIF($G102:Klisz_Verbräuche[[#This Row],[2030]],"&lt;&gt;"), ""),IF($B$14&lt;Klisz_Verbräuche[[#Headers],[2035]],IF(COUNTIF($G102:Klisz_Verbräuche[[#This Row],[2030]],"&gt;0")&gt;0,IF(COUNTIF($G102:Klisz_Verbräuche[[#This Row],[2030]],"&gt;0")&gt;0,Klisz_Verbräuche[[#This Row],[2030]]*(1-$F102)^5, ""), ""),IF($B$14&gt;Klisz_Verbräuche[[#Headers],[2035]],Refsz_Verbräuche[[#This Row],[2035]],"")))</f>
        <v/>
      </c>
      <c r="X102" s="49" t="str">
        <f>IF(Klisz_Verbräuche[[#Headers],[2040]]=$B$14,IF(COUNTIF($G102:Klisz_Verbräuche[[#This Row],[2035]],"&gt;0")&gt;0, AVERAGEIF($G102:Klisz_Verbräuche[[#This Row],[2035]],"&lt;&gt;"), ""),IF($B$14&lt;Klisz_Verbräuche[[#Headers],[2040]],IF(COUNTIF($G102:Klisz_Verbräuche[[#This Row],[2035]],"&gt;0")&gt;0,IF(COUNTIF($G102:Klisz_Verbräuche[[#This Row],[2035]],"&gt;0")&gt;0,Klisz_Verbräuche[[#This Row],[2035]]*(1-$F102)^5, ""), ""),IF($B$14&gt;Klisz_Verbräuche[[#Headers],[2040]],Refsz_Verbräuche[[#This Row],[2040]],"")))</f>
        <v/>
      </c>
      <c r="Y102" s="49" t="str">
        <f>IF(Klisz_Verbräuche[[#Headers],[2045]]=$B$14,IF(COUNTIF($G102:Klisz_Verbräuche[[#This Row],[2040]],"&gt;0")&gt;0, AVERAGEIF($G102:Klisz_Verbräuche[[#This Row],[2040]],"&lt;&gt;"), ""),IF($B$14&lt;Klisz_Verbräuche[[#Headers],[2045]],IF(COUNTIF($G102:Klisz_Verbräuche[[#This Row],[2040]],"&gt;0")&gt;0,IF(COUNTIF($G102:Klisz_Verbräuche[[#This Row],[2040]],"&gt;0")&gt;0,Klisz_Verbräuche[[#This Row],[2040]]*(1-$F102)^5, ""), ""),IF($B$14&gt;Klisz_Verbräuche[[#Headers],[2045]],Refsz_Verbräuche[[#This Row],[2045]],"")))</f>
        <v/>
      </c>
      <c r="Z102" s="49" t="str">
        <f>IF(Klisz_Verbräuche[[#Headers],[2050]]=$B$14,IF(COUNTIF($G102:Klisz_Verbräuche[[#This Row],[2045]],"&gt;0")&gt;0, AVERAGEIF($G102:Klisz_Verbräuche[[#This Row],[2045]],"&lt;&gt;"), ""),IF($B$14&lt;Klisz_Verbräuche[[#Headers],[2050]],IF(COUNTIF($G102:Klisz_Verbräuche[[#This Row],[2045]],"&gt;0")&gt;0,IF(COUNTIF($G102:Klisz_Verbräuche[[#This Row],[2045]],"&gt;0")&gt;0,Klisz_Verbräuche[[#This Row],[2045]]*(1-$F102)^5, ""), ""),IF($B$14&gt;Klisz_Verbräuche[[#Headers],[2050]],Refsz_Verbräuche[[#This Row],[2050]],"")))</f>
        <v/>
      </c>
      <c r="AA102" s="14"/>
    </row>
    <row r="103" spans="2:27">
      <c r="B103" s="14">
        <v>86</v>
      </c>
      <c r="C103" s="197" t="str">
        <f>Refsz_Verbräuche[[#This Row],[Handlungsfeld]]</f>
        <v>Wasser</v>
      </c>
      <c r="D103" s="19" t="str">
        <f>Refsz_Verbräuche[[#This Row],[Datenpunkt]]</f>
        <v>Abwasser</v>
      </c>
      <c r="E103" s="26" t="str">
        <f>Refsz_Verbräuche[[#This Row],[Einheit]]</f>
        <v>l</v>
      </c>
      <c r="F103" s="108"/>
      <c r="G103" s="14" t="str">
        <f>IF(ISBLANK(Refsz_Verbräuche[[#This Row],[2015]]),"",Refsz_Verbräuche[[#This Row],[2015]])</f>
        <v/>
      </c>
      <c r="H103" s="14" t="str">
        <f>IF(ISBLANK(Refsz_Verbräuche[[#This Row],[2016]]),"",Refsz_Verbräuche[[#This Row],[2016]])</f>
        <v/>
      </c>
      <c r="I103" s="14" t="str">
        <f>IF(ISBLANK(Refsz_Verbräuche[[#This Row],[2017]]),"",Refsz_Verbräuche[[#This Row],[2017]])</f>
        <v/>
      </c>
      <c r="J103" s="14" t="str">
        <f>IF(ISBLANK(Refsz_Verbräuche[[#This Row],[2018]]),"",Refsz_Verbräuche[[#This Row],[2018]])</f>
        <v/>
      </c>
      <c r="K103" s="14" t="str">
        <f>IF(ISBLANK(Refsz_Verbräuche[[#This Row],[2019]]),"",Refsz_Verbräuche[[#This Row],[2019]])</f>
        <v/>
      </c>
      <c r="L103" s="14" t="str">
        <f>IF(ISBLANK(Refsz_Verbräuche[[#This Row],[2020]]),"",Refsz_Verbräuche[[#This Row],[2020]])</f>
        <v/>
      </c>
      <c r="M103" s="14" t="str">
        <f>IF(ISBLANK(Refsz_Verbräuche[[#This Row],[2021]]),"",Refsz_Verbräuche[[#This Row],[2021]])</f>
        <v/>
      </c>
      <c r="N103" s="49" t="str">
        <f>IF(Klisz_Verbräuche[[#Headers],[2022]]=$B$14,IF(COUNTIF($G103:Klisz_Verbräuche[[#This Row],[2021]],"&gt;0")&gt;0, AVERAGEIF($G103:Klisz_Verbräuche[[#This Row],[2021]],"&lt;&gt;"), ""),IF($B$14&lt;Klisz_Verbräuche[[#Headers],[2022]],IF(COUNTIF($G103:Klisz_Verbräuche[[#This Row],[2021]],"&gt;0")&gt;0,IF(COUNTIF($G103:Klisz_Verbräuche[[#This Row],[2021]],"&gt;0")&gt;0,Klisz_Verbräuche[[#This Row],[2021]]*(1-$F103)^1, ""), ""),IF($B$14&gt;Klisz_Verbräuche[[#Headers],[2022]],Refsz_Verbräuche[[#This Row],[2022]],"")))</f>
        <v/>
      </c>
      <c r="O103" s="49" t="str">
        <f>IF(Klisz_Verbräuche[[#Headers],[2023]]=$B$14,IF(COUNTIF($G103:Klisz_Verbräuche[[#This Row],[2022]],"&gt;0")&gt;0, AVERAGEIF($G103:Klisz_Verbräuche[[#This Row],[2022]],"&lt;&gt;"), ""),IF($B$14&lt;Klisz_Verbräuche[[#Headers],[2023]],IF(COUNTIF($G103:Klisz_Verbräuche[[#This Row],[2022]],"&gt;0")&gt;0,IF(COUNTIF($G103:Klisz_Verbräuche[[#This Row],[2022]],"&gt;0")&gt;0,Klisz_Verbräuche[[#This Row],[2022]]*(1-$F103)^1, ""), ""),IF($B$14&gt;Klisz_Verbräuche[[#Headers],[2023]],Refsz_Verbräuche[[#This Row],[2023]],"")))</f>
        <v/>
      </c>
      <c r="P103" s="49" t="str">
        <f>IF(Klisz_Verbräuche[[#Headers],[2024]]=$B$14,IF(COUNTIF($G103:Klisz_Verbräuche[[#This Row],[2023]],"&gt;0")&gt;0, AVERAGEIF($G103:Klisz_Verbräuche[[#This Row],[2023]],"&lt;&gt;"), ""),IF($B$14&lt;Klisz_Verbräuche[[#Headers],[2024]],IF(COUNTIF($G103:Klisz_Verbräuche[[#This Row],[2023]],"&gt;0")&gt;0,IF(COUNTIF($G103:Klisz_Verbräuche[[#This Row],[2023]],"&gt;0")&gt;0,Klisz_Verbräuche[[#This Row],[2023]]*(1-$F103)^1, ""), ""),IF($B$14&gt;Klisz_Verbräuche[[#Headers],[2024]],Refsz_Verbräuche[[#This Row],[2024]],"")))</f>
        <v/>
      </c>
      <c r="Q103" s="49" t="str">
        <f>IF(Klisz_Verbräuche[[#Headers],[2025]]=$B$14,IF(COUNTIF($G103:Klisz_Verbräuche[[#This Row],[2024]],"&gt;0")&gt;0, AVERAGEIF($G103:Klisz_Verbräuche[[#This Row],[2024]],"&lt;&gt;"), ""),IF($B$14&lt;Klisz_Verbräuche[[#Headers],[2025]],IF(COUNTIF($G103:Klisz_Verbräuche[[#This Row],[2024]],"&gt;0")&gt;0,IF(COUNTIF($G103:Klisz_Verbräuche[[#This Row],[2024]],"&gt;0")&gt;0,Klisz_Verbräuche[[#This Row],[2024]]*(1-$F103)^1, ""), ""),IF($B$14&gt;Klisz_Verbräuche[[#Headers],[2025]],Refsz_Verbräuche[[#This Row],[2025]],"")))</f>
        <v/>
      </c>
      <c r="R103" s="49" t="str">
        <f>IF(Klisz_Verbräuche[[#Headers],[2026]]=$B$14,IF(COUNTIF($G103:Klisz_Verbräuche[[#This Row],[2025]],"&gt;0")&gt;0, AVERAGEIF($G103:Klisz_Verbräuche[[#This Row],[2025]],"&lt;&gt;"), ""),IF($B$14&lt;Klisz_Verbräuche[[#Headers],[2026]],IF(COUNTIF($G103:Klisz_Verbräuche[[#This Row],[2025]],"&gt;0")&gt;0,IF(COUNTIF($G103:Klisz_Verbräuche[[#This Row],[2025]],"&gt;0")&gt;0,Klisz_Verbräuche[[#This Row],[2025]]*(1-$F103)^1, ""), ""),IF($B$14&gt;Klisz_Verbräuche[[#Headers],[2026]],Refsz_Verbräuche[[#This Row],[2026]],"")))</f>
        <v/>
      </c>
      <c r="S103" s="49" t="str">
        <f>IF(Klisz_Verbräuche[[#Headers],[2027]]=$B$14,IF(COUNTIF($G103:Klisz_Verbräuche[[#This Row],[2026]],"&gt;0")&gt;0, AVERAGEIF($G103:Klisz_Verbräuche[[#This Row],[2026]],"&lt;&gt;"), ""),IF($B$14&lt;Klisz_Verbräuche[[#Headers],[2027]],IF(COUNTIF($G103:Klisz_Verbräuche[[#This Row],[2026]],"&gt;0")&gt;0,IF(COUNTIF($G103:Klisz_Verbräuche[[#This Row],[2026]],"&gt;0")&gt;0,Klisz_Verbräuche[[#This Row],[2026]]*(1-$F103)^1, ""), ""),IF($B$14&gt;Klisz_Verbräuche[[#Headers],[2027]],Refsz_Verbräuche[[#This Row],[2027]],"")))</f>
        <v/>
      </c>
      <c r="T103" s="49" t="str">
        <f>IF(Klisz_Verbräuche[[#Headers],[2028]]=$B$14,IF(COUNTIF($G103:Klisz_Verbräuche[[#This Row],[2027]],"&gt;0")&gt;0, AVERAGEIF($G103:Klisz_Verbräuche[[#This Row],[2027]],"&lt;&gt;"), ""),IF($B$14&lt;Klisz_Verbräuche[[#Headers],[2028]],IF(COUNTIF($G103:Klisz_Verbräuche[[#This Row],[2027]],"&gt;0")&gt;0,IF(COUNTIF($G103:Klisz_Verbräuche[[#This Row],[2027]],"&gt;0")&gt;0,Klisz_Verbräuche[[#This Row],[2027]]*(1-$F103)^1, ""), ""),IF($B$14&gt;Klisz_Verbräuche[[#Headers],[2028]],Refsz_Verbräuche[[#This Row],[2028]],"")))</f>
        <v/>
      </c>
      <c r="U103" s="49" t="str">
        <f>IF(Klisz_Verbräuche[[#Headers],[2029]]=$B$14,IF(COUNTIF($G103:Klisz_Verbräuche[[#This Row],[2028]],"&gt;0")&gt;0, AVERAGEIF($G103:Klisz_Verbräuche[[#This Row],[2028]],"&lt;&gt;"), ""),IF($B$14&lt;Klisz_Verbräuche[[#Headers],[2029]],IF(COUNTIF($G103:Klisz_Verbräuche[[#This Row],[2028]],"&gt;0")&gt;0,IF(COUNTIF($G103:Klisz_Verbräuche[[#This Row],[2028]],"&gt;0")&gt;0,Klisz_Verbräuche[[#This Row],[2028]]*(1-$F103)^1, ""), ""),IF($B$14&gt;Klisz_Verbräuche[[#Headers],[2029]],Refsz_Verbräuche[[#This Row],[2029]],"")))</f>
        <v/>
      </c>
      <c r="V103" s="49" t="str">
        <f>IF(Klisz_Verbräuche[[#Headers],[2030]]=$B$14,IF(COUNTIF($G103:Klisz_Verbräuche[[#This Row],[2029]],"&gt;0")&gt;0, AVERAGEIF($G103:Klisz_Verbräuche[[#This Row],[2029]],"&lt;&gt;"), ""),IF($B$14&lt;Klisz_Verbräuche[[#Headers],[2030]],IF(COUNTIF($G103:Klisz_Verbräuche[[#This Row],[2029]],"&gt;0")&gt;0,IF(COUNTIF($G103:Klisz_Verbräuche[[#This Row],[2029]],"&gt;0")&gt;0,Klisz_Verbräuche[[#This Row],[2029]]*(1-$F103)^1, ""), ""),IF($B$14&gt;Klisz_Verbräuche[[#Headers],[2030]],Refsz_Verbräuche[[#This Row],[2030]],"")))</f>
        <v/>
      </c>
      <c r="W103" s="49" t="str">
        <f>IF(Klisz_Verbräuche[[#Headers],[2035]]=$B$14,IF(COUNTIF($G103:Klisz_Verbräuche[[#This Row],[2030]],"&gt;0")&gt;0, AVERAGEIF($G103:Klisz_Verbräuche[[#This Row],[2030]],"&lt;&gt;"), ""),IF($B$14&lt;Klisz_Verbräuche[[#Headers],[2035]],IF(COUNTIF($G103:Klisz_Verbräuche[[#This Row],[2030]],"&gt;0")&gt;0,IF(COUNTIF($G103:Klisz_Verbräuche[[#This Row],[2030]],"&gt;0")&gt;0,Klisz_Verbräuche[[#This Row],[2030]]*(1-$F103)^5, ""), ""),IF($B$14&gt;Klisz_Verbräuche[[#Headers],[2035]],Refsz_Verbräuche[[#This Row],[2035]],"")))</f>
        <v/>
      </c>
      <c r="X103" s="49" t="str">
        <f>IF(Klisz_Verbräuche[[#Headers],[2040]]=$B$14,IF(COUNTIF($G103:Klisz_Verbräuche[[#This Row],[2035]],"&gt;0")&gt;0, AVERAGEIF($G103:Klisz_Verbräuche[[#This Row],[2035]],"&lt;&gt;"), ""),IF($B$14&lt;Klisz_Verbräuche[[#Headers],[2040]],IF(COUNTIF($G103:Klisz_Verbräuche[[#This Row],[2035]],"&gt;0")&gt;0,IF(COUNTIF($G103:Klisz_Verbräuche[[#This Row],[2035]],"&gt;0")&gt;0,Klisz_Verbräuche[[#This Row],[2035]]*(1-$F103)^5, ""), ""),IF($B$14&gt;Klisz_Verbräuche[[#Headers],[2040]],Refsz_Verbräuche[[#This Row],[2040]],"")))</f>
        <v/>
      </c>
      <c r="Y103" s="49" t="str">
        <f>IF(Klisz_Verbräuche[[#Headers],[2045]]=$B$14,IF(COUNTIF($G103:Klisz_Verbräuche[[#This Row],[2040]],"&gt;0")&gt;0, AVERAGEIF($G103:Klisz_Verbräuche[[#This Row],[2040]],"&lt;&gt;"), ""),IF($B$14&lt;Klisz_Verbräuche[[#Headers],[2045]],IF(COUNTIF($G103:Klisz_Verbräuche[[#This Row],[2040]],"&gt;0")&gt;0,IF(COUNTIF($G103:Klisz_Verbräuche[[#This Row],[2040]],"&gt;0")&gt;0,Klisz_Verbräuche[[#This Row],[2040]]*(1-$F103)^5, ""), ""),IF($B$14&gt;Klisz_Verbräuche[[#Headers],[2045]],Refsz_Verbräuche[[#This Row],[2045]],"")))</f>
        <v/>
      </c>
      <c r="Z103" s="49" t="str">
        <f>IF(Klisz_Verbräuche[[#Headers],[2050]]=$B$14,IF(COUNTIF($G103:Klisz_Verbräuche[[#This Row],[2045]],"&gt;0")&gt;0, AVERAGEIF($G103:Klisz_Verbräuche[[#This Row],[2045]],"&lt;&gt;"), ""),IF($B$14&lt;Klisz_Verbräuche[[#Headers],[2050]],IF(COUNTIF($G103:Klisz_Verbräuche[[#This Row],[2045]],"&gt;0")&gt;0,IF(COUNTIF($G103:Klisz_Verbräuche[[#This Row],[2045]],"&gt;0")&gt;0,Klisz_Verbräuche[[#This Row],[2045]]*(1-$F103)^5, ""), ""),IF($B$14&gt;Klisz_Verbräuche[[#Headers],[2050]],Refsz_Verbräuche[[#This Row],[2050]],"")))</f>
        <v/>
      </c>
      <c r="AA103" s="14"/>
    </row>
    <row r="104" spans="2:27">
      <c r="B104" s="14">
        <v>87</v>
      </c>
      <c r="C104" s="197" t="str">
        <f>Refsz_Verbräuche[[#This Row],[Handlungsfeld]]</f>
        <v>Wasser</v>
      </c>
      <c r="D104" s="19" t="str">
        <f>Refsz_Verbräuche[[#This Row],[Datenpunkt]]</f>
        <v>Trinkwasser</v>
      </c>
      <c r="E104" s="26" t="str">
        <f>Refsz_Verbräuche[[#This Row],[Einheit]]</f>
        <v>l</v>
      </c>
      <c r="F104" s="108"/>
      <c r="G104" s="14" t="str">
        <f>IF(ISBLANK(Refsz_Verbräuche[[#This Row],[2015]]),"",Refsz_Verbräuche[[#This Row],[2015]])</f>
        <v/>
      </c>
      <c r="H104" s="14" t="str">
        <f>IF(ISBLANK(Refsz_Verbräuche[[#This Row],[2016]]),"",Refsz_Verbräuche[[#This Row],[2016]])</f>
        <v/>
      </c>
      <c r="I104" s="14" t="str">
        <f>IF(ISBLANK(Refsz_Verbräuche[[#This Row],[2017]]),"",Refsz_Verbräuche[[#This Row],[2017]])</f>
        <v/>
      </c>
      <c r="J104" s="14" t="str">
        <f>IF(ISBLANK(Refsz_Verbräuche[[#This Row],[2018]]),"",Refsz_Verbräuche[[#This Row],[2018]])</f>
        <v/>
      </c>
      <c r="K104" s="14" t="str">
        <f>IF(ISBLANK(Refsz_Verbräuche[[#This Row],[2019]]),"",Refsz_Verbräuche[[#This Row],[2019]])</f>
        <v/>
      </c>
      <c r="L104" s="14" t="str">
        <f>IF(ISBLANK(Refsz_Verbräuche[[#This Row],[2020]]),"",Refsz_Verbräuche[[#This Row],[2020]])</f>
        <v/>
      </c>
      <c r="M104" s="14" t="str">
        <f>IF(ISBLANK(Refsz_Verbräuche[[#This Row],[2021]]),"",Refsz_Verbräuche[[#This Row],[2021]])</f>
        <v/>
      </c>
      <c r="N104" s="49" t="str">
        <f>IF(Klisz_Verbräuche[[#Headers],[2022]]=$B$14,IF(COUNTIF($G104:Klisz_Verbräuche[[#This Row],[2021]],"&gt;0")&gt;0, AVERAGEIF($G104:Klisz_Verbräuche[[#This Row],[2021]],"&lt;&gt;"), ""),IF($B$14&lt;Klisz_Verbräuche[[#Headers],[2022]],IF(COUNTIF($G104:Klisz_Verbräuche[[#This Row],[2021]],"&gt;0")&gt;0,IF(COUNTIF($G104:Klisz_Verbräuche[[#This Row],[2021]],"&gt;0")&gt;0,Klisz_Verbräuche[[#This Row],[2021]]*(1-$F104)^1, ""), ""),IF($B$14&gt;Klisz_Verbräuche[[#Headers],[2022]],Refsz_Verbräuche[[#This Row],[2022]],"")))</f>
        <v/>
      </c>
      <c r="O104" s="49" t="str">
        <f>IF(Klisz_Verbräuche[[#Headers],[2023]]=$B$14,IF(COUNTIF($G104:Klisz_Verbräuche[[#This Row],[2022]],"&gt;0")&gt;0, AVERAGEIF($G104:Klisz_Verbräuche[[#This Row],[2022]],"&lt;&gt;"), ""),IF($B$14&lt;Klisz_Verbräuche[[#Headers],[2023]],IF(COUNTIF($G104:Klisz_Verbräuche[[#This Row],[2022]],"&gt;0")&gt;0,IF(COUNTIF($G104:Klisz_Verbräuche[[#This Row],[2022]],"&gt;0")&gt;0,Klisz_Verbräuche[[#This Row],[2022]]*(1-$F104)^1, ""), ""),IF($B$14&gt;Klisz_Verbräuche[[#Headers],[2023]],Refsz_Verbräuche[[#This Row],[2023]],"")))</f>
        <v/>
      </c>
      <c r="P104" s="49" t="str">
        <f>IF(Klisz_Verbräuche[[#Headers],[2024]]=$B$14,IF(COUNTIF($G104:Klisz_Verbräuche[[#This Row],[2023]],"&gt;0")&gt;0, AVERAGEIF($G104:Klisz_Verbräuche[[#This Row],[2023]],"&lt;&gt;"), ""),IF($B$14&lt;Klisz_Verbräuche[[#Headers],[2024]],IF(COUNTIF($G104:Klisz_Verbräuche[[#This Row],[2023]],"&gt;0")&gt;0,IF(COUNTIF($G104:Klisz_Verbräuche[[#This Row],[2023]],"&gt;0")&gt;0,Klisz_Verbräuche[[#This Row],[2023]]*(1-$F104)^1, ""), ""),IF($B$14&gt;Klisz_Verbräuche[[#Headers],[2024]],Refsz_Verbräuche[[#This Row],[2024]],"")))</f>
        <v/>
      </c>
      <c r="Q104" s="49" t="str">
        <f>IF(Klisz_Verbräuche[[#Headers],[2025]]=$B$14,IF(COUNTIF($G104:Klisz_Verbräuche[[#This Row],[2024]],"&gt;0")&gt;0, AVERAGEIF($G104:Klisz_Verbräuche[[#This Row],[2024]],"&lt;&gt;"), ""),IF($B$14&lt;Klisz_Verbräuche[[#Headers],[2025]],IF(COUNTIF($G104:Klisz_Verbräuche[[#This Row],[2024]],"&gt;0")&gt;0,IF(COUNTIF($G104:Klisz_Verbräuche[[#This Row],[2024]],"&gt;0")&gt;0,Klisz_Verbräuche[[#This Row],[2024]]*(1-$F104)^1, ""), ""),IF($B$14&gt;Klisz_Verbräuche[[#Headers],[2025]],Refsz_Verbräuche[[#This Row],[2025]],"")))</f>
        <v/>
      </c>
      <c r="R104" s="49" t="str">
        <f>IF(Klisz_Verbräuche[[#Headers],[2026]]=$B$14,IF(COUNTIF($G104:Klisz_Verbräuche[[#This Row],[2025]],"&gt;0")&gt;0, AVERAGEIF($G104:Klisz_Verbräuche[[#This Row],[2025]],"&lt;&gt;"), ""),IF($B$14&lt;Klisz_Verbräuche[[#Headers],[2026]],IF(COUNTIF($G104:Klisz_Verbräuche[[#This Row],[2025]],"&gt;0")&gt;0,IF(COUNTIF($G104:Klisz_Verbräuche[[#This Row],[2025]],"&gt;0")&gt;0,Klisz_Verbräuche[[#This Row],[2025]]*(1-$F104)^1, ""), ""),IF($B$14&gt;Klisz_Verbräuche[[#Headers],[2026]],Refsz_Verbräuche[[#This Row],[2026]],"")))</f>
        <v/>
      </c>
      <c r="S104" s="49" t="str">
        <f>IF(Klisz_Verbräuche[[#Headers],[2027]]=$B$14,IF(COUNTIF($G104:Klisz_Verbräuche[[#This Row],[2026]],"&gt;0")&gt;0, AVERAGEIF($G104:Klisz_Verbräuche[[#This Row],[2026]],"&lt;&gt;"), ""),IF($B$14&lt;Klisz_Verbräuche[[#Headers],[2027]],IF(COUNTIF($G104:Klisz_Verbräuche[[#This Row],[2026]],"&gt;0")&gt;0,IF(COUNTIF($G104:Klisz_Verbräuche[[#This Row],[2026]],"&gt;0")&gt;0,Klisz_Verbräuche[[#This Row],[2026]]*(1-$F104)^1, ""), ""),IF($B$14&gt;Klisz_Verbräuche[[#Headers],[2027]],Refsz_Verbräuche[[#This Row],[2027]],"")))</f>
        <v/>
      </c>
      <c r="T104" s="49" t="str">
        <f>IF(Klisz_Verbräuche[[#Headers],[2028]]=$B$14,IF(COUNTIF($G104:Klisz_Verbräuche[[#This Row],[2027]],"&gt;0")&gt;0, AVERAGEIF($G104:Klisz_Verbräuche[[#This Row],[2027]],"&lt;&gt;"), ""),IF($B$14&lt;Klisz_Verbräuche[[#Headers],[2028]],IF(COUNTIF($G104:Klisz_Verbräuche[[#This Row],[2027]],"&gt;0")&gt;0,IF(COUNTIF($G104:Klisz_Verbräuche[[#This Row],[2027]],"&gt;0")&gt;0,Klisz_Verbräuche[[#This Row],[2027]]*(1-$F104)^1, ""), ""),IF($B$14&gt;Klisz_Verbräuche[[#Headers],[2028]],Refsz_Verbräuche[[#This Row],[2028]],"")))</f>
        <v/>
      </c>
      <c r="U104" s="49" t="str">
        <f>IF(Klisz_Verbräuche[[#Headers],[2029]]=$B$14,IF(COUNTIF($G104:Klisz_Verbräuche[[#This Row],[2028]],"&gt;0")&gt;0, AVERAGEIF($G104:Klisz_Verbräuche[[#This Row],[2028]],"&lt;&gt;"), ""),IF($B$14&lt;Klisz_Verbräuche[[#Headers],[2029]],IF(COUNTIF($G104:Klisz_Verbräuche[[#This Row],[2028]],"&gt;0")&gt;0,IF(COUNTIF($G104:Klisz_Verbräuche[[#This Row],[2028]],"&gt;0")&gt;0,Klisz_Verbräuche[[#This Row],[2028]]*(1-$F104)^1, ""), ""),IF($B$14&gt;Klisz_Verbräuche[[#Headers],[2029]],Refsz_Verbräuche[[#This Row],[2029]],"")))</f>
        <v/>
      </c>
      <c r="V104" s="49" t="str">
        <f>IF(Klisz_Verbräuche[[#Headers],[2030]]=$B$14,IF(COUNTIF($G104:Klisz_Verbräuche[[#This Row],[2029]],"&gt;0")&gt;0, AVERAGEIF($G104:Klisz_Verbräuche[[#This Row],[2029]],"&lt;&gt;"), ""),IF($B$14&lt;Klisz_Verbräuche[[#Headers],[2030]],IF(COUNTIF($G104:Klisz_Verbräuche[[#This Row],[2029]],"&gt;0")&gt;0,IF(COUNTIF($G104:Klisz_Verbräuche[[#This Row],[2029]],"&gt;0")&gt;0,Klisz_Verbräuche[[#This Row],[2029]]*(1-$F104)^1, ""), ""),IF($B$14&gt;Klisz_Verbräuche[[#Headers],[2030]],Refsz_Verbräuche[[#This Row],[2030]],"")))</f>
        <v/>
      </c>
      <c r="W104" s="49" t="str">
        <f>IF(Klisz_Verbräuche[[#Headers],[2035]]=$B$14,IF(COUNTIF($G104:Klisz_Verbräuche[[#This Row],[2030]],"&gt;0")&gt;0, AVERAGEIF($G104:Klisz_Verbräuche[[#This Row],[2030]],"&lt;&gt;"), ""),IF($B$14&lt;Klisz_Verbräuche[[#Headers],[2035]],IF(COUNTIF($G104:Klisz_Verbräuche[[#This Row],[2030]],"&gt;0")&gt;0,IF(COUNTIF($G104:Klisz_Verbräuche[[#This Row],[2030]],"&gt;0")&gt;0,Klisz_Verbräuche[[#This Row],[2030]]*(1-$F104)^5, ""), ""),IF($B$14&gt;Klisz_Verbräuche[[#Headers],[2035]],Refsz_Verbräuche[[#This Row],[2035]],"")))</f>
        <v/>
      </c>
      <c r="X104" s="49" t="str">
        <f>IF(Klisz_Verbräuche[[#Headers],[2040]]=$B$14,IF(COUNTIF($G104:Klisz_Verbräuche[[#This Row],[2035]],"&gt;0")&gt;0, AVERAGEIF($G104:Klisz_Verbräuche[[#This Row],[2035]],"&lt;&gt;"), ""),IF($B$14&lt;Klisz_Verbräuche[[#Headers],[2040]],IF(COUNTIF($G104:Klisz_Verbräuche[[#This Row],[2035]],"&gt;0")&gt;0,IF(COUNTIF($G104:Klisz_Verbräuche[[#This Row],[2035]],"&gt;0")&gt;0,Klisz_Verbräuche[[#This Row],[2035]]*(1-$F104)^5, ""), ""),IF($B$14&gt;Klisz_Verbräuche[[#Headers],[2040]],Refsz_Verbräuche[[#This Row],[2040]],"")))</f>
        <v/>
      </c>
      <c r="Y104" s="49" t="str">
        <f>IF(Klisz_Verbräuche[[#Headers],[2045]]=$B$14,IF(COUNTIF($G104:Klisz_Verbräuche[[#This Row],[2040]],"&gt;0")&gt;0, AVERAGEIF($G104:Klisz_Verbräuche[[#This Row],[2040]],"&lt;&gt;"), ""),IF($B$14&lt;Klisz_Verbräuche[[#Headers],[2045]],IF(COUNTIF($G104:Klisz_Verbräuche[[#This Row],[2040]],"&gt;0")&gt;0,IF(COUNTIF($G104:Klisz_Verbräuche[[#This Row],[2040]],"&gt;0")&gt;0,Klisz_Verbräuche[[#This Row],[2040]]*(1-$F104)^5, ""), ""),IF($B$14&gt;Klisz_Verbräuche[[#Headers],[2045]],Refsz_Verbräuche[[#This Row],[2045]],"")))</f>
        <v/>
      </c>
      <c r="Z104" s="49" t="str">
        <f>IF(Klisz_Verbräuche[[#Headers],[2050]]=$B$14,IF(COUNTIF($G104:Klisz_Verbräuche[[#This Row],[2045]],"&gt;0")&gt;0, AVERAGEIF($G104:Klisz_Verbräuche[[#This Row],[2045]],"&lt;&gt;"), ""),IF($B$14&lt;Klisz_Verbräuche[[#Headers],[2050]],IF(COUNTIF($G104:Klisz_Verbräuche[[#This Row],[2045]],"&gt;0")&gt;0,IF(COUNTIF($G104:Klisz_Verbräuche[[#This Row],[2045]],"&gt;0")&gt;0,Klisz_Verbräuche[[#This Row],[2045]]*(1-$F104)^5, ""), ""),IF($B$14&gt;Klisz_Verbräuche[[#Headers],[2050]],Refsz_Verbräuche[[#This Row],[2050]],"")))</f>
        <v/>
      </c>
      <c r="AA104" s="14"/>
    </row>
    <row r="105" spans="2:27">
      <c r="B105" s="14">
        <v>88</v>
      </c>
      <c r="C105" s="197">
        <f>Refsz_Verbräuche[[#This Row],[Handlungsfeld]]</f>
        <v>0</v>
      </c>
      <c r="D105" s="19">
        <f>Refsz_Verbräuche[[#This Row],[Datenpunkt]]</f>
        <v>0</v>
      </c>
      <c r="E105" s="26">
        <f>Refsz_Verbräuche[[#This Row],[Einheit]]</f>
        <v>0</v>
      </c>
      <c r="F105" s="108"/>
      <c r="G105" s="14" t="str">
        <f>IF(ISBLANK(Refsz_Verbräuche[[#This Row],[2015]]),"",Refsz_Verbräuche[[#This Row],[2015]])</f>
        <v/>
      </c>
      <c r="H105" s="14" t="str">
        <f>IF(ISBLANK(Refsz_Verbräuche[[#This Row],[2016]]),"",Refsz_Verbräuche[[#This Row],[2016]])</f>
        <v/>
      </c>
      <c r="I105" s="14" t="str">
        <f>IF(ISBLANK(Refsz_Verbräuche[[#This Row],[2017]]),"",Refsz_Verbräuche[[#This Row],[2017]])</f>
        <v/>
      </c>
      <c r="J105" s="14" t="str">
        <f>IF(ISBLANK(Refsz_Verbräuche[[#This Row],[2018]]),"",Refsz_Verbräuche[[#This Row],[2018]])</f>
        <v/>
      </c>
      <c r="K105" s="14" t="str">
        <f>IF(ISBLANK(Refsz_Verbräuche[[#This Row],[2019]]),"",Refsz_Verbräuche[[#This Row],[2019]])</f>
        <v/>
      </c>
      <c r="L105" s="14" t="str">
        <f>IF(ISBLANK(Refsz_Verbräuche[[#This Row],[2020]]),"",Refsz_Verbräuche[[#This Row],[2020]])</f>
        <v/>
      </c>
      <c r="M105" s="14" t="str">
        <f>IF(ISBLANK(Refsz_Verbräuche[[#This Row],[2021]]),"",Refsz_Verbräuche[[#This Row],[2021]])</f>
        <v/>
      </c>
      <c r="N105" s="49" t="str">
        <f>IF(Klisz_Verbräuche[[#Headers],[2022]]=$B$14,IF(COUNTIF($G105:Klisz_Verbräuche[[#This Row],[2021]],"&gt;0")&gt;0, AVERAGEIF($G105:Klisz_Verbräuche[[#This Row],[2021]],"&lt;&gt;"), ""),IF($B$14&lt;Klisz_Verbräuche[[#Headers],[2022]],IF(COUNTIF($G105:Klisz_Verbräuche[[#This Row],[2021]],"&gt;0")&gt;0,IF(COUNTIF($G105:Klisz_Verbräuche[[#This Row],[2021]],"&gt;0")&gt;0,Klisz_Verbräuche[[#This Row],[2021]]*(1-$F105)^1, ""), ""),IF($B$14&gt;Klisz_Verbräuche[[#Headers],[2022]],Refsz_Verbräuche[[#This Row],[2022]],"")))</f>
        <v/>
      </c>
      <c r="O105" s="49" t="str">
        <f>IF(Klisz_Verbräuche[[#Headers],[2023]]=$B$14,IF(COUNTIF($G105:Klisz_Verbräuche[[#This Row],[2022]],"&gt;0")&gt;0, AVERAGEIF($G105:Klisz_Verbräuche[[#This Row],[2022]],"&lt;&gt;"), ""),IF($B$14&lt;Klisz_Verbräuche[[#Headers],[2023]],IF(COUNTIF($G105:Klisz_Verbräuche[[#This Row],[2022]],"&gt;0")&gt;0,IF(COUNTIF($G105:Klisz_Verbräuche[[#This Row],[2022]],"&gt;0")&gt;0,Klisz_Verbräuche[[#This Row],[2022]]*(1-$F105)^1, ""), ""),IF($B$14&gt;Klisz_Verbräuche[[#Headers],[2023]],Refsz_Verbräuche[[#This Row],[2023]],"")))</f>
        <v/>
      </c>
      <c r="P105" s="49" t="str">
        <f>IF(Klisz_Verbräuche[[#Headers],[2024]]=$B$14,IF(COUNTIF($G105:Klisz_Verbräuche[[#This Row],[2023]],"&gt;0")&gt;0, AVERAGEIF($G105:Klisz_Verbräuche[[#This Row],[2023]],"&lt;&gt;"), ""),IF($B$14&lt;Klisz_Verbräuche[[#Headers],[2024]],IF(COUNTIF($G105:Klisz_Verbräuche[[#This Row],[2023]],"&gt;0")&gt;0,IF(COUNTIF($G105:Klisz_Verbräuche[[#This Row],[2023]],"&gt;0")&gt;0,Klisz_Verbräuche[[#This Row],[2023]]*(1-$F105)^1, ""), ""),IF($B$14&gt;Klisz_Verbräuche[[#Headers],[2024]],Refsz_Verbräuche[[#This Row],[2024]],"")))</f>
        <v/>
      </c>
      <c r="Q105" s="49" t="str">
        <f>IF(Klisz_Verbräuche[[#Headers],[2025]]=$B$14,IF(COUNTIF($G105:Klisz_Verbräuche[[#This Row],[2024]],"&gt;0")&gt;0, AVERAGEIF($G105:Klisz_Verbräuche[[#This Row],[2024]],"&lt;&gt;"), ""),IF($B$14&lt;Klisz_Verbräuche[[#Headers],[2025]],IF(COUNTIF($G105:Klisz_Verbräuche[[#This Row],[2024]],"&gt;0")&gt;0,IF(COUNTIF($G105:Klisz_Verbräuche[[#This Row],[2024]],"&gt;0")&gt;0,Klisz_Verbräuche[[#This Row],[2024]]*(1-$F105)^1, ""), ""),IF($B$14&gt;Klisz_Verbräuche[[#Headers],[2025]],Refsz_Verbräuche[[#This Row],[2025]],"")))</f>
        <v/>
      </c>
      <c r="R105" s="49" t="str">
        <f>IF(Klisz_Verbräuche[[#Headers],[2026]]=$B$14,IF(COUNTIF($G105:Klisz_Verbräuche[[#This Row],[2025]],"&gt;0")&gt;0, AVERAGEIF($G105:Klisz_Verbräuche[[#This Row],[2025]],"&lt;&gt;"), ""),IF($B$14&lt;Klisz_Verbräuche[[#Headers],[2026]],IF(COUNTIF($G105:Klisz_Verbräuche[[#This Row],[2025]],"&gt;0")&gt;0,IF(COUNTIF($G105:Klisz_Verbräuche[[#This Row],[2025]],"&gt;0")&gt;0,Klisz_Verbräuche[[#This Row],[2025]]*(1-$F105)^1, ""), ""),IF($B$14&gt;Klisz_Verbräuche[[#Headers],[2026]],Refsz_Verbräuche[[#This Row],[2026]],"")))</f>
        <v/>
      </c>
      <c r="S105" s="49" t="str">
        <f>IF(Klisz_Verbräuche[[#Headers],[2027]]=$B$14,IF(COUNTIF($G105:Klisz_Verbräuche[[#This Row],[2026]],"&gt;0")&gt;0, AVERAGEIF($G105:Klisz_Verbräuche[[#This Row],[2026]],"&lt;&gt;"), ""),IF($B$14&lt;Klisz_Verbräuche[[#Headers],[2027]],IF(COUNTIF($G105:Klisz_Verbräuche[[#This Row],[2026]],"&gt;0")&gt;0,IF(COUNTIF($G105:Klisz_Verbräuche[[#This Row],[2026]],"&gt;0")&gt;0,Klisz_Verbräuche[[#This Row],[2026]]*(1-$F105)^1, ""), ""),IF($B$14&gt;Klisz_Verbräuche[[#Headers],[2027]],Refsz_Verbräuche[[#This Row],[2027]],"")))</f>
        <v/>
      </c>
      <c r="T105" s="49" t="str">
        <f>IF(Klisz_Verbräuche[[#Headers],[2028]]=$B$14,IF(COUNTIF($G105:Klisz_Verbräuche[[#This Row],[2027]],"&gt;0")&gt;0, AVERAGEIF($G105:Klisz_Verbräuche[[#This Row],[2027]],"&lt;&gt;"), ""),IF($B$14&lt;Klisz_Verbräuche[[#Headers],[2028]],IF(COUNTIF($G105:Klisz_Verbräuche[[#This Row],[2027]],"&gt;0")&gt;0,IF(COUNTIF($G105:Klisz_Verbräuche[[#This Row],[2027]],"&gt;0")&gt;0,Klisz_Verbräuche[[#This Row],[2027]]*(1-$F105)^1, ""), ""),IF($B$14&gt;Klisz_Verbräuche[[#Headers],[2028]],Refsz_Verbräuche[[#This Row],[2028]],"")))</f>
        <v/>
      </c>
      <c r="U105" s="49" t="str">
        <f>IF(Klisz_Verbräuche[[#Headers],[2029]]=$B$14,IF(COUNTIF($G105:Klisz_Verbräuche[[#This Row],[2028]],"&gt;0")&gt;0, AVERAGEIF($G105:Klisz_Verbräuche[[#This Row],[2028]],"&lt;&gt;"), ""),IF($B$14&lt;Klisz_Verbräuche[[#Headers],[2029]],IF(COUNTIF($G105:Klisz_Verbräuche[[#This Row],[2028]],"&gt;0")&gt;0,IF(COUNTIF($G105:Klisz_Verbräuche[[#This Row],[2028]],"&gt;0")&gt;0,Klisz_Verbräuche[[#This Row],[2028]]*(1-$F105)^1, ""), ""),IF($B$14&gt;Klisz_Verbräuche[[#Headers],[2029]],Refsz_Verbräuche[[#This Row],[2029]],"")))</f>
        <v/>
      </c>
      <c r="V105" s="49" t="str">
        <f>IF(Klisz_Verbräuche[[#Headers],[2030]]=$B$14,IF(COUNTIF($G105:Klisz_Verbräuche[[#This Row],[2029]],"&gt;0")&gt;0, AVERAGEIF($G105:Klisz_Verbräuche[[#This Row],[2029]],"&lt;&gt;"), ""),IF($B$14&lt;Klisz_Verbräuche[[#Headers],[2030]],IF(COUNTIF($G105:Klisz_Verbräuche[[#This Row],[2029]],"&gt;0")&gt;0,IF(COUNTIF($G105:Klisz_Verbräuche[[#This Row],[2029]],"&gt;0")&gt;0,Klisz_Verbräuche[[#This Row],[2029]]*(1-$F105)^1, ""), ""),IF($B$14&gt;Klisz_Verbräuche[[#Headers],[2030]],Refsz_Verbräuche[[#This Row],[2030]],"")))</f>
        <v/>
      </c>
      <c r="W105" s="49" t="str">
        <f>IF(Klisz_Verbräuche[[#Headers],[2035]]=$B$14,IF(COUNTIF($G105:Klisz_Verbräuche[[#This Row],[2030]],"&gt;0")&gt;0, AVERAGEIF($G105:Klisz_Verbräuche[[#This Row],[2030]],"&lt;&gt;"), ""),IF($B$14&lt;Klisz_Verbräuche[[#Headers],[2035]],IF(COUNTIF($G105:Klisz_Verbräuche[[#This Row],[2030]],"&gt;0")&gt;0,IF(COUNTIF($G105:Klisz_Verbräuche[[#This Row],[2030]],"&gt;0")&gt;0,Klisz_Verbräuche[[#This Row],[2030]]*(1-$F105)^5, ""), ""),IF($B$14&gt;Klisz_Verbräuche[[#Headers],[2035]],Refsz_Verbräuche[[#This Row],[2035]],"")))</f>
        <v/>
      </c>
      <c r="X105" s="49" t="str">
        <f>IF(Klisz_Verbräuche[[#Headers],[2040]]=$B$14,IF(COUNTIF($G105:Klisz_Verbräuche[[#This Row],[2035]],"&gt;0")&gt;0, AVERAGEIF($G105:Klisz_Verbräuche[[#This Row],[2035]],"&lt;&gt;"), ""),IF($B$14&lt;Klisz_Verbräuche[[#Headers],[2040]],IF(COUNTIF($G105:Klisz_Verbräuche[[#This Row],[2035]],"&gt;0")&gt;0,IF(COUNTIF($G105:Klisz_Verbräuche[[#This Row],[2035]],"&gt;0")&gt;0,Klisz_Verbräuche[[#This Row],[2035]]*(1-$F105)^5, ""), ""),IF($B$14&gt;Klisz_Verbräuche[[#Headers],[2040]],Refsz_Verbräuche[[#This Row],[2040]],"")))</f>
        <v/>
      </c>
      <c r="Y105" s="49" t="str">
        <f>IF(Klisz_Verbräuche[[#Headers],[2045]]=$B$14,IF(COUNTIF($G105:Klisz_Verbräuche[[#This Row],[2040]],"&gt;0")&gt;0, AVERAGEIF($G105:Klisz_Verbräuche[[#This Row],[2040]],"&lt;&gt;"), ""),IF($B$14&lt;Klisz_Verbräuche[[#Headers],[2045]],IF(COUNTIF($G105:Klisz_Verbräuche[[#This Row],[2040]],"&gt;0")&gt;0,IF(COUNTIF($G105:Klisz_Verbräuche[[#This Row],[2040]],"&gt;0")&gt;0,Klisz_Verbräuche[[#This Row],[2040]]*(1-$F105)^5, ""), ""),IF($B$14&gt;Klisz_Verbräuche[[#Headers],[2045]],Refsz_Verbräuche[[#This Row],[2045]],"")))</f>
        <v/>
      </c>
      <c r="Z105" s="49" t="str">
        <f>IF(Klisz_Verbräuche[[#Headers],[2050]]=$B$14,IF(COUNTIF($G105:Klisz_Verbräuche[[#This Row],[2045]],"&gt;0")&gt;0, AVERAGEIF($G105:Klisz_Verbräuche[[#This Row],[2045]],"&lt;&gt;"), ""),IF($B$14&lt;Klisz_Verbräuche[[#Headers],[2050]],IF(COUNTIF($G105:Klisz_Verbräuche[[#This Row],[2045]],"&gt;0")&gt;0,IF(COUNTIF($G105:Klisz_Verbräuche[[#This Row],[2045]],"&gt;0")&gt;0,Klisz_Verbräuche[[#This Row],[2045]]*(1-$F105)^5, ""), ""),IF($B$14&gt;Klisz_Verbräuche[[#Headers],[2050]],Refsz_Verbräuche[[#This Row],[2050]],"")))</f>
        <v/>
      </c>
      <c r="AA105" s="14"/>
    </row>
    <row r="106" spans="2:27">
      <c r="B106" s="14">
        <v>89</v>
      </c>
      <c r="C106" s="197" t="str">
        <f>Refsz_Verbräuche[[#This Row],[Handlungsfeld]]</f>
        <v>Waren und Dienstleistungen</v>
      </c>
      <c r="D106" s="19" t="str">
        <f>Refsz_Verbräuche[[#This Row],[Datenpunkt]]</f>
        <v>Recyclingpapier</v>
      </c>
      <c r="E106" s="26" t="str">
        <f>Refsz_Verbräuche[[#This Row],[Einheit]]</f>
        <v>kg</v>
      </c>
      <c r="F106" s="108"/>
      <c r="G106" s="14" t="str">
        <f>IF(ISBLANK(Refsz_Verbräuche[[#This Row],[2015]]),"",Refsz_Verbräuche[[#This Row],[2015]])</f>
        <v/>
      </c>
      <c r="H106" s="14" t="str">
        <f>IF(ISBLANK(Refsz_Verbräuche[[#This Row],[2016]]),"",Refsz_Verbräuche[[#This Row],[2016]])</f>
        <v/>
      </c>
      <c r="I106" s="14" t="str">
        <f>IF(ISBLANK(Refsz_Verbräuche[[#This Row],[2017]]),"",Refsz_Verbräuche[[#This Row],[2017]])</f>
        <v/>
      </c>
      <c r="J106" s="14" t="str">
        <f>IF(ISBLANK(Refsz_Verbräuche[[#This Row],[2018]]),"",Refsz_Verbräuche[[#This Row],[2018]])</f>
        <v/>
      </c>
      <c r="K106" s="14" t="str">
        <f>IF(ISBLANK(Refsz_Verbräuche[[#This Row],[2019]]),"",Refsz_Verbräuche[[#This Row],[2019]])</f>
        <v/>
      </c>
      <c r="L106" s="14" t="str">
        <f>IF(ISBLANK(Refsz_Verbräuche[[#This Row],[2020]]),"",Refsz_Verbräuche[[#This Row],[2020]])</f>
        <v/>
      </c>
      <c r="M106" s="14" t="str">
        <f>IF(ISBLANK(Refsz_Verbräuche[[#This Row],[2021]]),"",Refsz_Verbräuche[[#This Row],[2021]])</f>
        <v/>
      </c>
      <c r="N106" s="49" t="str">
        <f>IF(Klisz_Verbräuche[[#Headers],[2022]]=$B$14,IF(COUNTIF($G106:Klisz_Verbräuche[[#This Row],[2021]],"&gt;0")&gt;0, AVERAGEIF($G106:Klisz_Verbräuche[[#This Row],[2021]],"&lt;&gt;"), ""),IF($B$14&lt;Klisz_Verbräuche[[#Headers],[2022]],IF(COUNTIF($G106:Klisz_Verbräuche[[#This Row],[2021]],"&gt;0")&gt;0,IF(COUNTIF($G106:Klisz_Verbräuche[[#This Row],[2021]],"&gt;0")&gt;0,Klisz_Verbräuche[[#This Row],[2021]]*(1-$F106)^1, ""), ""),IF($B$14&gt;Klisz_Verbräuche[[#Headers],[2022]],Refsz_Verbräuche[[#This Row],[2022]],"")))</f>
        <v/>
      </c>
      <c r="O106" s="49" t="str">
        <f>IF(Klisz_Verbräuche[[#Headers],[2023]]=$B$14,IF(COUNTIF($G106:Klisz_Verbräuche[[#This Row],[2022]],"&gt;0")&gt;0, AVERAGEIF($G106:Klisz_Verbräuche[[#This Row],[2022]],"&lt;&gt;"), ""),IF($B$14&lt;Klisz_Verbräuche[[#Headers],[2023]],IF(COUNTIF($G106:Klisz_Verbräuche[[#This Row],[2022]],"&gt;0")&gt;0,IF(COUNTIF($G106:Klisz_Verbräuche[[#This Row],[2022]],"&gt;0")&gt;0,Klisz_Verbräuche[[#This Row],[2022]]*(1-$F106)^1, ""), ""),IF($B$14&gt;Klisz_Verbräuche[[#Headers],[2023]],Refsz_Verbräuche[[#This Row],[2023]],"")))</f>
        <v/>
      </c>
      <c r="P106" s="49" t="str">
        <f>IF(Klisz_Verbräuche[[#Headers],[2024]]=$B$14,IF(COUNTIF($G106:Klisz_Verbräuche[[#This Row],[2023]],"&gt;0")&gt;0, AVERAGEIF($G106:Klisz_Verbräuche[[#This Row],[2023]],"&lt;&gt;"), ""),IF($B$14&lt;Klisz_Verbräuche[[#Headers],[2024]],IF(COUNTIF($G106:Klisz_Verbräuche[[#This Row],[2023]],"&gt;0")&gt;0,IF(COUNTIF($G106:Klisz_Verbräuche[[#This Row],[2023]],"&gt;0")&gt;0,Klisz_Verbräuche[[#This Row],[2023]]*(1-$F106)^1, ""), ""),IF($B$14&gt;Klisz_Verbräuche[[#Headers],[2024]],Refsz_Verbräuche[[#This Row],[2024]],"")))</f>
        <v/>
      </c>
      <c r="Q106" s="49" t="str">
        <f>IF(Klisz_Verbräuche[[#Headers],[2025]]=$B$14,IF(COUNTIF($G106:Klisz_Verbräuche[[#This Row],[2024]],"&gt;0")&gt;0, AVERAGEIF($G106:Klisz_Verbräuche[[#This Row],[2024]],"&lt;&gt;"), ""),IF($B$14&lt;Klisz_Verbräuche[[#Headers],[2025]],IF(COUNTIF($G106:Klisz_Verbräuche[[#This Row],[2024]],"&gt;0")&gt;0,IF(COUNTIF($G106:Klisz_Verbräuche[[#This Row],[2024]],"&gt;0")&gt;0,Klisz_Verbräuche[[#This Row],[2024]]*(1-$F106)^1, ""), ""),IF($B$14&gt;Klisz_Verbräuche[[#Headers],[2025]],Refsz_Verbräuche[[#This Row],[2025]],"")))</f>
        <v/>
      </c>
      <c r="R106" s="49" t="str">
        <f>IF(Klisz_Verbräuche[[#Headers],[2026]]=$B$14,IF(COUNTIF($G106:Klisz_Verbräuche[[#This Row],[2025]],"&gt;0")&gt;0, AVERAGEIF($G106:Klisz_Verbräuche[[#This Row],[2025]],"&lt;&gt;"), ""),IF($B$14&lt;Klisz_Verbräuche[[#Headers],[2026]],IF(COUNTIF($G106:Klisz_Verbräuche[[#This Row],[2025]],"&gt;0")&gt;0,IF(COUNTIF($G106:Klisz_Verbräuche[[#This Row],[2025]],"&gt;0")&gt;0,Klisz_Verbräuche[[#This Row],[2025]]*(1-$F106)^1, ""), ""),IF($B$14&gt;Klisz_Verbräuche[[#Headers],[2026]],Refsz_Verbräuche[[#This Row],[2026]],"")))</f>
        <v/>
      </c>
      <c r="S106" s="49" t="str">
        <f>IF(Klisz_Verbräuche[[#Headers],[2027]]=$B$14,IF(COUNTIF($G106:Klisz_Verbräuche[[#This Row],[2026]],"&gt;0")&gt;0, AVERAGEIF($G106:Klisz_Verbräuche[[#This Row],[2026]],"&lt;&gt;"), ""),IF($B$14&lt;Klisz_Verbräuche[[#Headers],[2027]],IF(COUNTIF($G106:Klisz_Verbräuche[[#This Row],[2026]],"&gt;0")&gt;0,IF(COUNTIF($G106:Klisz_Verbräuche[[#This Row],[2026]],"&gt;0")&gt;0,Klisz_Verbräuche[[#This Row],[2026]]*(1-$F106)^1, ""), ""),IF($B$14&gt;Klisz_Verbräuche[[#Headers],[2027]],Refsz_Verbräuche[[#This Row],[2027]],"")))</f>
        <v/>
      </c>
      <c r="T106" s="49" t="str">
        <f>IF(Klisz_Verbräuche[[#Headers],[2028]]=$B$14,IF(COUNTIF($G106:Klisz_Verbräuche[[#This Row],[2027]],"&gt;0")&gt;0, AVERAGEIF($G106:Klisz_Verbräuche[[#This Row],[2027]],"&lt;&gt;"), ""),IF($B$14&lt;Klisz_Verbräuche[[#Headers],[2028]],IF(COUNTIF($G106:Klisz_Verbräuche[[#This Row],[2027]],"&gt;0")&gt;0,IF(COUNTIF($G106:Klisz_Verbräuche[[#This Row],[2027]],"&gt;0")&gt;0,Klisz_Verbräuche[[#This Row],[2027]]*(1-$F106)^1, ""), ""),IF($B$14&gt;Klisz_Verbräuche[[#Headers],[2028]],Refsz_Verbräuche[[#This Row],[2028]],"")))</f>
        <v/>
      </c>
      <c r="U106" s="49" t="str">
        <f>IF(Klisz_Verbräuche[[#Headers],[2029]]=$B$14,IF(COUNTIF($G106:Klisz_Verbräuche[[#This Row],[2028]],"&gt;0")&gt;0, AVERAGEIF($G106:Klisz_Verbräuche[[#This Row],[2028]],"&lt;&gt;"), ""),IF($B$14&lt;Klisz_Verbräuche[[#Headers],[2029]],IF(COUNTIF($G106:Klisz_Verbräuche[[#This Row],[2028]],"&gt;0")&gt;0,IF(COUNTIF($G106:Klisz_Verbräuche[[#This Row],[2028]],"&gt;0")&gt;0,Klisz_Verbräuche[[#This Row],[2028]]*(1-$F106)^1, ""), ""),IF($B$14&gt;Klisz_Verbräuche[[#Headers],[2029]],Refsz_Verbräuche[[#This Row],[2029]],"")))</f>
        <v/>
      </c>
      <c r="V106" s="49" t="str">
        <f>IF(Klisz_Verbräuche[[#Headers],[2030]]=$B$14,IF(COUNTIF($G106:Klisz_Verbräuche[[#This Row],[2029]],"&gt;0")&gt;0, AVERAGEIF($G106:Klisz_Verbräuche[[#This Row],[2029]],"&lt;&gt;"), ""),IF($B$14&lt;Klisz_Verbräuche[[#Headers],[2030]],IF(COUNTIF($G106:Klisz_Verbräuche[[#This Row],[2029]],"&gt;0")&gt;0,IF(COUNTIF($G106:Klisz_Verbräuche[[#This Row],[2029]],"&gt;0")&gt;0,Klisz_Verbräuche[[#This Row],[2029]]*(1-$F106)^1, ""), ""),IF($B$14&gt;Klisz_Verbräuche[[#Headers],[2030]],Refsz_Verbräuche[[#This Row],[2030]],"")))</f>
        <v/>
      </c>
      <c r="W106" s="49" t="str">
        <f>IF(Klisz_Verbräuche[[#Headers],[2035]]=$B$14,IF(COUNTIF($G106:Klisz_Verbräuche[[#This Row],[2030]],"&gt;0")&gt;0, AVERAGEIF($G106:Klisz_Verbräuche[[#This Row],[2030]],"&lt;&gt;"), ""),IF($B$14&lt;Klisz_Verbräuche[[#Headers],[2035]],IF(COUNTIF($G106:Klisz_Verbräuche[[#This Row],[2030]],"&gt;0")&gt;0,IF(COUNTIF($G106:Klisz_Verbräuche[[#This Row],[2030]],"&gt;0")&gt;0,Klisz_Verbräuche[[#This Row],[2030]]*(1-$F106)^5, ""), ""),IF($B$14&gt;Klisz_Verbräuche[[#Headers],[2035]],Refsz_Verbräuche[[#This Row],[2035]],"")))</f>
        <v/>
      </c>
      <c r="X106" s="49" t="str">
        <f>IF(Klisz_Verbräuche[[#Headers],[2040]]=$B$14,IF(COUNTIF($G106:Klisz_Verbräuche[[#This Row],[2035]],"&gt;0")&gt;0, AVERAGEIF($G106:Klisz_Verbräuche[[#This Row],[2035]],"&lt;&gt;"), ""),IF($B$14&lt;Klisz_Verbräuche[[#Headers],[2040]],IF(COUNTIF($G106:Klisz_Verbräuche[[#This Row],[2035]],"&gt;0")&gt;0,IF(COUNTIF($G106:Klisz_Verbräuche[[#This Row],[2035]],"&gt;0")&gt;0,Klisz_Verbräuche[[#This Row],[2035]]*(1-$F106)^5, ""), ""),IF($B$14&gt;Klisz_Verbräuche[[#Headers],[2040]],Refsz_Verbräuche[[#This Row],[2040]],"")))</f>
        <v/>
      </c>
      <c r="Y106" s="49" t="str">
        <f>IF(Klisz_Verbräuche[[#Headers],[2045]]=$B$14,IF(COUNTIF($G106:Klisz_Verbräuche[[#This Row],[2040]],"&gt;0")&gt;0, AVERAGEIF($G106:Klisz_Verbräuche[[#This Row],[2040]],"&lt;&gt;"), ""),IF($B$14&lt;Klisz_Verbräuche[[#Headers],[2045]],IF(COUNTIF($G106:Klisz_Verbräuche[[#This Row],[2040]],"&gt;0")&gt;0,IF(COUNTIF($G106:Klisz_Verbräuche[[#This Row],[2040]],"&gt;0")&gt;0,Klisz_Verbräuche[[#This Row],[2040]]*(1-$F106)^5, ""), ""),IF($B$14&gt;Klisz_Verbräuche[[#Headers],[2045]],Refsz_Verbräuche[[#This Row],[2045]],"")))</f>
        <v/>
      </c>
      <c r="Z106" s="49" t="str">
        <f>IF(Klisz_Verbräuche[[#Headers],[2050]]=$B$14,IF(COUNTIF($G106:Klisz_Verbräuche[[#This Row],[2045]],"&gt;0")&gt;0, AVERAGEIF($G106:Klisz_Verbräuche[[#This Row],[2045]],"&lt;&gt;"), ""),IF($B$14&lt;Klisz_Verbräuche[[#Headers],[2050]],IF(COUNTIF($G106:Klisz_Verbräuche[[#This Row],[2045]],"&gt;0")&gt;0,IF(COUNTIF($G106:Klisz_Verbräuche[[#This Row],[2045]],"&gt;0")&gt;0,Klisz_Verbräuche[[#This Row],[2045]]*(1-$F106)^5, ""), ""),IF($B$14&gt;Klisz_Verbräuche[[#Headers],[2050]],Refsz_Verbräuche[[#This Row],[2050]],"")))</f>
        <v/>
      </c>
      <c r="AA106" s="14"/>
    </row>
    <row r="107" spans="2:27">
      <c r="B107" s="14">
        <v>90</v>
      </c>
      <c r="C107" s="197" t="str">
        <f>Refsz_Verbräuche[[#This Row],[Handlungsfeld]]</f>
        <v>Waren und Dienstleistungen</v>
      </c>
      <c r="D107" s="19" t="str">
        <f>Refsz_Verbräuche[[#This Row],[Datenpunkt]]</f>
        <v>Frischfaserpapier</v>
      </c>
      <c r="E107" s="26" t="str">
        <f>Refsz_Verbräuche[[#This Row],[Einheit]]</f>
        <v>kg</v>
      </c>
      <c r="F107" s="108"/>
      <c r="G107" s="14" t="str">
        <f>IF(ISBLANK(Refsz_Verbräuche[[#This Row],[2015]]),"",Refsz_Verbräuche[[#This Row],[2015]])</f>
        <v/>
      </c>
      <c r="H107" s="14" t="str">
        <f>IF(ISBLANK(Refsz_Verbräuche[[#This Row],[2016]]),"",Refsz_Verbräuche[[#This Row],[2016]])</f>
        <v/>
      </c>
      <c r="I107" s="14" t="str">
        <f>IF(ISBLANK(Refsz_Verbräuche[[#This Row],[2017]]),"",Refsz_Verbräuche[[#This Row],[2017]])</f>
        <v/>
      </c>
      <c r="J107" s="14" t="str">
        <f>IF(ISBLANK(Refsz_Verbräuche[[#This Row],[2018]]),"",Refsz_Verbräuche[[#This Row],[2018]])</f>
        <v/>
      </c>
      <c r="K107" s="14" t="str">
        <f>IF(ISBLANK(Refsz_Verbräuche[[#This Row],[2019]]),"",Refsz_Verbräuche[[#This Row],[2019]])</f>
        <v/>
      </c>
      <c r="L107" s="14" t="str">
        <f>IF(ISBLANK(Refsz_Verbräuche[[#This Row],[2020]]),"",Refsz_Verbräuche[[#This Row],[2020]])</f>
        <v/>
      </c>
      <c r="M107" s="14" t="str">
        <f>IF(ISBLANK(Refsz_Verbräuche[[#This Row],[2021]]),"",Refsz_Verbräuche[[#This Row],[2021]])</f>
        <v/>
      </c>
      <c r="N107" s="49" t="str">
        <f>IF(Klisz_Verbräuche[[#Headers],[2022]]=$B$14,IF(COUNTIF($G107:Klisz_Verbräuche[[#This Row],[2021]],"&gt;0")&gt;0, AVERAGEIF($G107:Klisz_Verbräuche[[#This Row],[2021]],"&lt;&gt;"), ""),IF($B$14&lt;Klisz_Verbräuche[[#Headers],[2022]],IF(COUNTIF($G107:Klisz_Verbräuche[[#This Row],[2021]],"&gt;0")&gt;0,IF(COUNTIF($G107:Klisz_Verbräuche[[#This Row],[2021]],"&gt;0")&gt;0,Klisz_Verbräuche[[#This Row],[2021]]*(1-$F107)^1, ""), ""),IF($B$14&gt;Klisz_Verbräuche[[#Headers],[2022]],Refsz_Verbräuche[[#This Row],[2022]],"")))</f>
        <v/>
      </c>
      <c r="O107" s="49" t="str">
        <f>IF(Klisz_Verbräuche[[#Headers],[2023]]=$B$14,IF(COUNTIF($G107:Klisz_Verbräuche[[#This Row],[2022]],"&gt;0")&gt;0, AVERAGEIF($G107:Klisz_Verbräuche[[#This Row],[2022]],"&lt;&gt;"), ""),IF($B$14&lt;Klisz_Verbräuche[[#Headers],[2023]],IF(COUNTIF($G107:Klisz_Verbräuche[[#This Row],[2022]],"&gt;0")&gt;0,IF(COUNTIF($G107:Klisz_Verbräuche[[#This Row],[2022]],"&gt;0")&gt;0,Klisz_Verbräuche[[#This Row],[2022]]*(1-$F107)^1, ""), ""),IF($B$14&gt;Klisz_Verbräuche[[#Headers],[2023]],Refsz_Verbräuche[[#This Row],[2023]],"")))</f>
        <v/>
      </c>
      <c r="P107" s="49" t="str">
        <f>IF(Klisz_Verbräuche[[#Headers],[2024]]=$B$14,IF(COUNTIF($G107:Klisz_Verbräuche[[#This Row],[2023]],"&gt;0")&gt;0, AVERAGEIF($G107:Klisz_Verbräuche[[#This Row],[2023]],"&lt;&gt;"), ""),IF($B$14&lt;Klisz_Verbräuche[[#Headers],[2024]],IF(COUNTIF($G107:Klisz_Verbräuche[[#This Row],[2023]],"&gt;0")&gt;0,IF(COUNTIF($G107:Klisz_Verbräuche[[#This Row],[2023]],"&gt;0")&gt;0,Klisz_Verbräuche[[#This Row],[2023]]*(1-$F107)^1, ""), ""),IF($B$14&gt;Klisz_Verbräuche[[#Headers],[2024]],Refsz_Verbräuche[[#This Row],[2024]],"")))</f>
        <v/>
      </c>
      <c r="Q107" s="49" t="str">
        <f>IF(Klisz_Verbräuche[[#Headers],[2025]]=$B$14,IF(COUNTIF($G107:Klisz_Verbräuche[[#This Row],[2024]],"&gt;0")&gt;0, AVERAGEIF($G107:Klisz_Verbräuche[[#This Row],[2024]],"&lt;&gt;"), ""),IF($B$14&lt;Klisz_Verbräuche[[#Headers],[2025]],IF(COUNTIF($G107:Klisz_Verbräuche[[#This Row],[2024]],"&gt;0")&gt;0,IF(COUNTIF($G107:Klisz_Verbräuche[[#This Row],[2024]],"&gt;0")&gt;0,Klisz_Verbräuche[[#This Row],[2024]]*(1-$F107)^1, ""), ""),IF($B$14&gt;Klisz_Verbräuche[[#Headers],[2025]],Refsz_Verbräuche[[#This Row],[2025]],"")))</f>
        <v/>
      </c>
      <c r="R107" s="49" t="str">
        <f>IF(Klisz_Verbräuche[[#Headers],[2026]]=$B$14,IF(COUNTIF($G107:Klisz_Verbräuche[[#This Row],[2025]],"&gt;0")&gt;0, AVERAGEIF($G107:Klisz_Verbräuche[[#This Row],[2025]],"&lt;&gt;"), ""),IF($B$14&lt;Klisz_Verbräuche[[#Headers],[2026]],IF(COUNTIF($G107:Klisz_Verbräuche[[#This Row],[2025]],"&gt;0")&gt;0,IF(COUNTIF($G107:Klisz_Verbräuche[[#This Row],[2025]],"&gt;0")&gt;0,Klisz_Verbräuche[[#This Row],[2025]]*(1-$F107)^1, ""), ""),IF($B$14&gt;Klisz_Verbräuche[[#Headers],[2026]],Refsz_Verbräuche[[#This Row],[2026]],"")))</f>
        <v/>
      </c>
      <c r="S107" s="49" t="str">
        <f>IF(Klisz_Verbräuche[[#Headers],[2027]]=$B$14,IF(COUNTIF($G107:Klisz_Verbräuche[[#This Row],[2026]],"&gt;0")&gt;0, AVERAGEIF($G107:Klisz_Verbräuche[[#This Row],[2026]],"&lt;&gt;"), ""),IF($B$14&lt;Klisz_Verbräuche[[#Headers],[2027]],IF(COUNTIF($G107:Klisz_Verbräuche[[#This Row],[2026]],"&gt;0")&gt;0,IF(COUNTIF($G107:Klisz_Verbräuche[[#This Row],[2026]],"&gt;0")&gt;0,Klisz_Verbräuche[[#This Row],[2026]]*(1-$F107)^1, ""), ""),IF($B$14&gt;Klisz_Verbräuche[[#Headers],[2027]],Refsz_Verbräuche[[#This Row],[2027]],"")))</f>
        <v/>
      </c>
      <c r="T107" s="49" t="str">
        <f>IF(Klisz_Verbräuche[[#Headers],[2028]]=$B$14,IF(COUNTIF($G107:Klisz_Verbräuche[[#This Row],[2027]],"&gt;0")&gt;0, AVERAGEIF($G107:Klisz_Verbräuche[[#This Row],[2027]],"&lt;&gt;"), ""),IF($B$14&lt;Klisz_Verbräuche[[#Headers],[2028]],IF(COUNTIF($G107:Klisz_Verbräuche[[#This Row],[2027]],"&gt;0")&gt;0,IF(COUNTIF($G107:Klisz_Verbräuche[[#This Row],[2027]],"&gt;0")&gt;0,Klisz_Verbräuche[[#This Row],[2027]]*(1-$F107)^1, ""), ""),IF($B$14&gt;Klisz_Verbräuche[[#Headers],[2028]],Refsz_Verbräuche[[#This Row],[2028]],"")))</f>
        <v/>
      </c>
      <c r="U107" s="49" t="str">
        <f>IF(Klisz_Verbräuche[[#Headers],[2029]]=$B$14,IF(COUNTIF($G107:Klisz_Verbräuche[[#This Row],[2028]],"&gt;0")&gt;0, AVERAGEIF($G107:Klisz_Verbräuche[[#This Row],[2028]],"&lt;&gt;"), ""),IF($B$14&lt;Klisz_Verbräuche[[#Headers],[2029]],IF(COUNTIF($G107:Klisz_Verbräuche[[#This Row],[2028]],"&gt;0")&gt;0,IF(COUNTIF($G107:Klisz_Verbräuche[[#This Row],[2028]],"&gt;0")&gt;0,Klisz_Verbräuche[[#This Row],[2028]]*(1-$F107)^1, ""), ""),IF($B$14&gt;Klisz_Verbräuche[[#Headers],[2029]],Refsz_Verbräuche[[#This Row],[2029]],"")))</f>
        <v/>
      </c>
      <c r="V107" s="49" t="str">
        <f>IF(Klisz_Verbräuche[[#Headers],[2030]]=$B$14,IF(COUNTIF($G107:Klisz_Verbräuche[[#This Row],[2029]],"&gt;0")&gt;0, AVERAGEIF($G107:Klisz_Verbräuche[[#This Row],[2029]],"&lt;&gt;"), ""),IF($B$14&lt;Klisz_Verbräuche[[#Headers],[2030]],IF(COUNTIF($G107:Klisz_Verbräuche[[#This Row],[2029]],"&gt;0")&gt;0,IF(COUNTIF($G107:Klisz_Verbräuche[[#This Row],[2029]],"&gt;0")&gt;0,Klisz_Verbräuche[[#This Row],[2029]]*(1-$F107)^1, ""), ""),IF($B$14&gt;Klisz_Verbräuche[[#Headers],[2030]],Refsz_Verbräuche[[#This Row],[2030]],"")))</f>
        <v/>
      </c>
      <c r="W107" s="49" t="str">
        <f>IF(Klisz_Verbräuche[[#Headers],[2035]]=$B$14,IF(COUNTIF($G107:Klisz_Verbräuche[[#This Row],[2030]],"&gt;0")&gt;0, AVERAGEIF($G107:Klisz_Verbräuche[[#This Row],[2030]],"&lt;&gt;"), ""),IF($B$14&lt;Klisz_Verbräuche[[#Headers],[2035]],IF(COUNTIF($G107:Klisz_Verbräuche[[#This Row],[2030]],"&gt;0")&gt;0,IF(COUNTIF($G107:Klisz_Verbräuche[[#This Row],[2030]],"&gt;0")&gt;0,Klisz_Verbräuche[[#This Row],[2030]]*(1-$F107)^5, ""), ""),IF($B$14&gt;Klisz_Verbräuche[[#Headers],[2035]],Refsz_Verbräuche[[#This Row],[2035]],"")))</f>
        <v/>
      </c>
      <c r="X107" s="49" t="str">
        <f>IF(Klisz_Verbräuche[[#Headers],[2040]]=$B$14,IF(COUNTIF($G107:Klisz_Verbräuche[[#This Row],[2035]],"&gt;0")&gt;0, AVERAGEIF($G107:Klisz_Verbräuche[[#This Row],[2035]],"&lt;&gt;"), ""),IF($B$14&lt;Klisz_Verbräuche[[#Headers],[2040]],IF(COUNTIF($G107:Klisz_Verbräuche[[#This Row],[2035]],"&gt;0")&gt;0,IF(COUNTIF($G107:Klisz_Verbräuche[[#This Row],[2035]],"&gt;0")&gt;0,Klisz_Verbräuche[[#This Row],[2035]]*(1-$F107)^5, ""), ""),IF($B$14&gt;Klisz_Verbräuche[[#Headers],[2040]],Refsz_Verbräuche[[#This Row],[2040]],"")))</f>
        <v/>
      </c>
      <c r="Y107" s="49" t="str">
        <f>IF(Klisz_Verbräuche[[#Headers],[2045]]=$B$14,IF(COUNTIF($G107:Klisz_Verbräuche[[#This Row],[2040]],"&gt;0")&gt;0, AVERAGEIF($G107:Klisz_Verbräuche[[#This Row],[2040]],"&lt;&gt;"), ""),IF($B$14&lt;Klisz_Verbräuche[[#Headers],[2045]],IF(COUNTIF($G107:Klisz_Verbräuche[[#This Row],[2040]],"&gt;0")&gt;0,IF(COUNTIF($G107:Klisz_Verbräuche[[#This Row],[2040]],"&gt;0")&gt;0,Klisz_Verbräuche[[#This Row],[2040]]*(1-$F107)^5, ""), ""),IF($B$14&gt;Klisz_Verbräuche[[#Headers],[2045]],Refsz_Verbräuche[[#This Row],[2045]],"")))</f>
        <v/>
      </c>
      <c r="Z107" s="49" t="str">
        <f>IF(Klisz_Verbräuche[[#Headers],[2050]]=$B$14,IF(COUNTIF($G107:Klisz_Verbräuche[[#This Row],[2045]],"&gt;0")&gt;0, AVERAGEIF($G107:Klisz_Verbräuche[[#This Row],[2045]],"&lt;&gt;"), ""),IF($B$14&lt;Klisz_Verbräuche[[#Headers],[2050]],IF(COUNTIF($G107:Klisz_Verbräuche[[#This Row],[2045]],"&gt;0")&gt;0,IF(COUNTIF($G107:Klisz_Verbräuche[[#This Row],[2045]],"&gt;0")&gt;0,Klisz_Verbräuche[[#This Row],[2045]]*(1-$F107)^5, ""), ""),IF($B$14&gt;Klisz_Verbräuche[[#Headers],[2050]],Refsz_Verbräuche[[#This Row],[2050]],"")))</f>
        <v/>
      </c>
      <c r="AA107" s="14"/>
    </row>
    <row r="108" spans="2:27">
      <c r="B108" s="14">
        <v>91</v>
      </c>
      <c r="C108" s="197" t="str">
        <f>Refsz_Verbräuche[[#This Row],[Handlungsfeld]]</f>
        <v>Waren und Dienstleistungen</v>
      </c>
      <c r="D108" s="19" t="str">
        <f>Refsz_Verbräuche[[#This Row],[Datenpunkt]]</f>
        <v>Toilettenpapier (Recycling)</v>
      </c>
      <c r="E108" s="26" t="str">
        <f>Refsz_Verbräuche[[#This Row],[Einheit]]</f>
        <v>t</v>
      </c>
      <c r="F108" s="108"/>
      <c r="G108" s="14" t="str">
        <f>IF(ISBLANK(Refsz_Verbräuche[[#This Row],[2015]]),"",Refsz_Verbräuche[[#This Row],[2015]])</f>
        <v/>
      </c>
      <c r="H108" s="14" t="str">
        <f>IF(ISBLANK(Refsz_Verbräuche[[#This Row],[2016]]),"",Refsz_Verbräuche[[#This Row],[2016]])</f>
        <v/>
      </c>
      <c r="I108" s="14" t="str">
        <f>IF(ISBLANK(Refsz_Verbräuche[[#This Row],[2017]]),"",Refsz_Verbräuche[[#This Row],[2017]])</f>
        <v/>
      </c>
      <c r="J108" s="14" t="str">
        <f>IF(ISBLANK(Refsz_Verbräuche[[#This Row],[2018]]),"",Refsz_Verbräuche[[#This Row],[2018]])</f>
        <v/>
      </c>
      <c r="K108" s="14" t="str">
        <f>IF(ISBLANK(Refsz_Verbräuche[[#This Row],[2019]]),"",Refsz_Verbräuche[[#This Row],[2019]])</f>
        <v/>
      </c>
      <c r="L108" s="14" t="str">
        <f>IF(ISBLANK(Refsz_Verbräuche[[#This Row],[2020]]),"",Refsz_Verbräuche[[#This Row],[2020]])</f>
        <v/>
      </c>
      <c r="M108" s="14" t="str">
        <f>IF(ISBLANK(Refsz_Verbräuche[[#This Row],[2021]]),"",Refsz_Verbräuche[[#This Row],[2021]])</f>
        <v/>
      </c>
      <c r="N108" s="49" t="str">
        <f>IF(Klisz_Verbräuche[[#Headers],[2022]]=$B$14,IF(COUNTIF($G108:Klisz_Verbräuche[[#This Row],[2021]],"&gt;0")&gt;0, AVERAGEIF($G108:Klisz_Verbräuche[[#This Row],[2021]],"&lt;&gt;"), ""),IF($B$14&lt;Klisz_Verbräuche[[#Headers],[2022]],IF(COUNTIF($G108:Klisz_Verbräuche[[#This Row],[2021]],"&gt;0")&gt;0,IF(COUNTIF($G108:Klisz_Verbräuche[[#This Row],[2021]],"&gt;0")&gt;0,Klisz_Verbräuche[[#This Row],[2021]]*(1-$F108)^1, ""), ""),IF($B$14&gt;Klisz_Verbräuche[[#Headers],[2022]],Refsz_Verbräuche[[#This Row],[2022]],"")))</f>
        <v/>
      </c>
      <c r="O108" s="49" t="str">
        <f>IF(Klisz_Verbräuche[[#Headers],[2023]]=$B$14,IF(COUNTIF($G108:Klisz_Verbräuche[[#This Row],[2022]],"&gt;0")&gt;0, AVERAGEIF($G108:Klisz_Verbräuche[[#This Row],[2022]],"&lt;&gt;"), ""),IF($B$14&lt;Klisz_Verbräuche[[#Headers],[2023]],IF(COUNTIF($G108:Klisz_Verbräuche[[#This Row],[2022]],"&gt;0")&gt;0,IF(COUNTIF($G108:Klisz_Verbräuche[[#This Row],[2022]],"&gt;0")&gt;0,Klisz_Verbräuche[[#This Row],[2022]]*(1-$F108)^1, ""), ""),IF($B$14&gt;Klisz_Verbräuche[[#Headers],[2023]],Refsz_Verbräuche[[#This Row],[2023]],"")))</f>
        <v/>
      </c>
      <c r="P108" s="49" t="str">
        <f>IF(Klisz_Verbräuche[[#Headers],[2024]]=$B$14,IF(COUNTIF($G108:Klisz_Verbräuche[[#This Row],[2023]],"&gt;0")&gt;0, AVERAGEIF($G108:Klisz_Verbräuche[[#This Row],[2023]],"&lt;&gt;"), ""),IF($B$14&lt;Klisz_Verbräuche[[#Headers],[2024]],IF(COUNTIF($G108:Klisz_Verbräuche[[#This Row],[2023]],"&gt;0")&gt;0,IF(COUNTIF($G108:Klisz_Verbräuche[[#This Row],[2023]],"&gt;0")&gt;0,Klisz_Verbräuche[[#This Row],[2023]]*(1-$F108)^1, ""), ""),IF($B$14&gt;Klisz_Verbräuche[[#Headers],[2024]],Refsz_Verbräuche[[#This Row],[2024]],"")))</f>
        <v/>
      </c>
      <c r="Q108" s="49" t="str">
        <f>IF(Klisz_Verbräuche[[#Headers],[2025]]=$B$14,IF(COUNTIF($G108:Klisz_Verbräuche[[#This Row],[2024]],"&gt;0")&gt;0, AVERAGEIF($G108:Klisz_Verbräuche[[#This Row],[2024]],"&lt;&gt;"), ""),IF($B$14&lt;Klisz_Verbräuche[[#Headers],[2025]],IF(COUNTIF($G108:Klisz_Verbräuche[[#This Row],[2024]],"&gt;0")&gt;0,IF(COUNTIF($G108:Klisz_Verbräuche[[#This Row],[2024]],"&gt;0")&gt;0,Klisz_Verbräuche[[#This Row],[2024]]*(1-$F108)^1, ""), ""),IF($B$14&gt;Klisz_Verbräuche[[#Headers],[2025]],Refsz_Verbräuche[[#This Row],[2025]],"")))</f>
        <v/>
      </c>
      <c r="R108" s="49" t="str">
        <f>IF(Klisz_Verbräuche[[#Headers],[2026]]=$B$14,IF(COUNTIF($G108:Klisz_Verbräuche[[#This Row],[2025]],"&gt;0")&gt;0, AVERAGEIF($G108:Klisz_Verbräuche[[#This Row],[2025]],"&lt;&gt;"), ""),IF($B$14&lt;Klisz_Verbräuche[[#Headers],[2026]],IF(COUNTIF($G108:Klisz_Verbräuche[[#This Row],[2025]],"&gt;0")&gt;0,IF(COUNTIF($G108:Klisz_Verbräuche[[#This Row],[2025]],"&gt;0")&gt;0,Klisz_Verbräuche[[#This Row],[2025]]*(1-$F108)^1, ""), ""),IF($B$14&gt;Klisz_Verbräuche[[#Headers],[2026]],Refsz_Verbräuche[[#This Row],[2026]],"")))</f>
        <v/>
      </c>
      <c r="S108" s="49" t="str">
        <f>IF(Klisz_Verbräuche[[#Headers],[2027]]=$B$14,IF(COUNTIF($G108:Klisz_Verbräuche[[#This Row],[2026]],"&gt;0")&gt;0, AVERAGEIF($G108:Klisz_Verbräuche[[#This Row],[2026]],"&lt;&gt;"), ""),IF($B$14&lt;Klisz_Verbräuche[[#Headers],[2027]],IF(COUNTIF($G108:Klisz_Verbräuche[[#This Row],[2026]],"&gt;0")&gt;0,IF(COUNTIF($G108:Klisz_Verbräuche[[#This Row],[2026]],"&gt;0")&gt;0,Klisz_Verbräuche[[#This Row],[2026]]*(1-$F108)^1, ""), ""),IF($B$14&gt;Klisz_Verbräuche[[#Headers],[2027]],Refsz_Verbräuche[[#This Row],[2027]],"")))</f>
        <v/>
      </c>
      <c r="T108" s="49" t="str">
        <f>IF(Klisz_Verbräuche[[#Headers],[2028]]=$B$14,IF(COUNTIF($G108:Klisz_Verbräuche[[#This Row],[2027]],"&gt;0")&gt;0, AVERAGEIF($G108:Klisz_Verbräuche[[#This Row],[2027]],"&lt;&gt;"), ""),IF($B$14&lt;Klisz_Verbräuche[[#Headers],[2028]],IF(COUNTIF($G108:Klisz_Verbräuche[[#This Row],[2027]],"&gt;0")&gt;0,IF(COUNTIF($G108:Klisz_Verbräuche[[#This Row],[2027]],"&gt;0")&gt;0,Klisz_Verbräuche[[#This Row],[2027]]*(1-$F108)^1, ""), ""),IF($B$14&gt;Klisz_Verbräuche[[#Headers],[2028]],Refsz_Verbräuche[[#This Row],[2028]],"")))</f>
        <v/>
      </c>
      <c r="U108" s="49" t="str">
        <f>IF(Klisz_Verbräuche[[#Headers],[2029]]=$B$14,IF(COUNTIF($G108:Klisz_Verbräuche[[#This Row],[2028]],"&gt;0")&gt;0, AVERAGEIF($G108:Klisz_Verbräuche[[#This Row],[2028]],"&lt;&gt;"), ""),IF($B$14&lt;Klisz_Verbräuche[[#Headers],[2029]],IF(COUNTIF($G108:Klisz_Verbräuche[[#This Row],[2028]],"&gt;0")&gt;0,IF(COUNTIF($G108:Klisz_Verbräuche[[#This Row],[2028]],"&gt;0")&gt;0,Klisz_Verbräuche[[#This Row],[2028]]*(1-$F108)^1, ""), ""),IF($B$14&gt;Klisz_Verbräuche[[#Headers],[2029]],Refsz_Verbräuche[[#This Row],[2029]],"")))</f>
        <v/>
      </c>
      <c r="V108" s="49" t="str">
        <f>IF(Klisz_Verbräuche[[#Headers],[2030]]=$B$14,IF(COUNTIF($G108:Klisz_Verbräuche[[#This Row],[2029]],"&gt;0")&gt;0, AVERAGEIF($G108:Klisz_Verbräuche[[#This Row],[2029]],"&lt;&gt;"), ""),IF($B$14&lt;Klisz_Verbräuche[[#Headers],[2030]],IF(COUNTIF($G108:Klisz_Verbräuche[[#This Row],[2029]],"&gt;0")&gt;0,IF(COUNTIF($G108:Klisz_Verbräuche[[#This Row],[2029]],"&gt;0")&gt;0,Klisz_Verbräuche[[#This Row],[2029]]*(1-$F108)^1, ""), ""),IF($B$14&gt;Klisz_Verbräuche[[#Headers],[2030]],Refsz_Verbräuche[[#This Row],[2030]],"")))</f>
        <v/>
      </c>
      <c r="W108" s="49" t="str">
        <f>IF(Klisz_Verbräuche[[#Headers],[2035]]=$B$14,IF(COUNTIF($G108:Klisz_Verbräuche[[#This Row],[2030]],"&gt;0")&gt;0, AVERAGEIF($G108:Klisz_Verbräuche[[#This Row],[2030]],"&lt;&gt;"), ""),IF($B$14&lt;Klisz_Verbräuche[[#Headers],[2035]],IF(COUNTIF($G108:Klisz_Verbräuche[[#This Row],[2030]],"&gt;0")&gt;0,IF(COUNTIF($G108:Klisz_Verbräuche[[#This Row],[2030]],"&gt;0")&gt;0,Klisz_Verbräuche[[#This Row],[2030]]*(1-$F108)^5, ""), ""),IF($B$14&gt;Klisz_Verbräuche[[#Headers],[2035]],Refsz_Verbräuche[[#This Row],[2035]],"")))</f>
        <v/>
      </c>
      <c r="X108" s="49" t="str">
        <f>IF(Klisz_Verbräuche[[#Headers],[2040]]=$B$14,IF(COUNTIF($G108:Klisz_Verbräuche[[#This Row],[2035]],"&gt;0")&gt;0, AVERAGEIF($G108:Klisz_Verbräuche[[#This Row],[2035]],"&lt;&gt;"), ""),IF($B$14&lt;Klisz_Verbräuche[[#Headers],[2040]],IF(COUNTIF($G108:Klisz_Verbräuche[[#This Row],[2035]],"&gt;0")&gt;0,IF(COUNTIF($G108:Klisz_Verbräuche[[#This Row],[2035]],"&gt;0")&gt;0,Klisz_Verbräuche[[#This Row],[2035]]*(1-$F108)^5, ""), ""),IF($B$14&gt;Klisz_Verbräuche[[#Headers],[2040]],Refsz_Verbräuche[[#This Row],[2040]],"")))</f>
        <v/>
      </c>
      <c r="Y108" s="49" t="str">
        <f>IF(Klisz_Verbräuche[[#Headers],[2045]]=$B$14,IF(COUNTIF($G108:Klisz_Verbräuche[[#This Row],[2040]],"&gt;0")&gt;0, AVERAGEIF($G108:Klisz_Verbräuche[[#This Row],[2040]],"&lt;&gt;"), ""),IF($B$14&lt;Klisz_Verbräuche[[#Headers],[2045]],IF(COUNTIF($G108:Klisz_Verbräuche[[#This Row],[2040]],"&gt;0")&gt;0,IF(COUNTIF($G108:Klisz_Verbräuche[[#This Row],[2040]],"&gt;0")&gt;0,Klisz_Verbräuche[[#This Row],[2040]]*(1-$F108)^5, ""), ""),IF($B$14&gt;Klisz_Verbräuche[[#Headers],[2045]],Refsz_Verbräuche[[#This Row],[2045]],"")))</f>
        <v/>
      </c>
      <c r="Z108" s="49" t="str">
        <f>IF(Klisz_Verbräuche[[#Headers],[2050]]=$B$14,IF(COUNTIF($G108:Klisz_Verbräuche[[#This Row],[2045]],"&gt;0")&gt;0, AVERAGEIF($G108:Klisz_Verbräuche[[#This Row],[2045]],"&lt;&gt;"), ""),IF($B$14&lt;Klisz_Verbräuche[[#Headers],[2050]],IF(COUNTIF($G108:Klisz_Verbräuche[[#This Row],[2045]],"&gt;0")&gt;0,IF(COUNTIF($G108:Klisz_Verbräuche[[#This Row],[2045]],"&gt;0")&gt;0,Klisz_Verbräuche[[#This Row],[2045]]*(1-$F108)^5, ""), ""),IF($B$14&gt;Klisz_Verbräuche[[#Headers],[2050]],Refsz_Verbräuche[[#This Row],[2050]],"")))</f>
        <v/>
      </c>
      <c r="AA108" s="14"/>
    </row>
    <row r="109" spans="2:27">
      <c r="B109" s="14">
        <v>92</v>
      </c>
      <c r="C109" s="197" t="str">
        <f>Refsz_Verbräuche[[#This Row],[Handlungsfeld]]</f>
        <v>Waren und Dienstleistungen</v>
      </c>
      <c r="D109" s="19" t="str">
        <f>Refsz_Verbräuche[[#This Row],[Datenpunkt]]</f>
        <v>Papierhandtücher (Recycling)</v>
      </c>
      <c r="E109" s="26" t="str">
        <f>Refsz_Verbräuche[[#This Row],[Einheit]]</f>
        <v>t</v>
      </c>
      <c r="F109" s="108"/>
      <c r="G109" s="14" t="str">
        <f>IF(ISBLANK(Refsz_Verbräuche[[#This Row],[2015]]),"",Refsz_Verbräuche[[#This Row],[2015]])</f>
        <v/>
      </c>
      <c r="H109" s="14" t="str">
        <f>IF(ISBLANK(Refsz_Verbräuche[[#This Row],[2016]]),"",Refsz_Verbräuche[[#This Row],[2016]])</f>
        <v/>
      </c>
      <c r="I109" s="14" t="str">
        <f>IF(ISBLANK(Refsz_Verbräuche[[#This Row],[2017]]),"",Refsz_Verbräuche[[#This Row],[2017]])</f>
        <v/>
      </c>
      <c r="J109" s="14" t="str">
        <f>IF(ISBLANK(Refsz_Verbräuche[[#This Row],[2018]]),"",Refsz_Verbräuche[[#This Row],[2018]])</f>
        <v/>
      </c>
      <c r="K109" s="14" t="str">
        <f>IF(ISBLANK(Refsz_Verbräuche[[#This Row],[2019]]),"",Refsz_Verbräuche[[#This Row],[2019]])</f>
        <v/>
      </c>
      <c r="L109" s="14" t="str">
        <f>IF(ISBLANK(Refsz_Verbräuche[[#This Row],[2020]]),"",Refsz_Verbräuche[[#This Row],[2020]])</f>
        <v/>
      </c>
      <c r="M109" s="14" t="str">
        <f>IF(ISBLANK(Refsz_Verbräuche[[#This Row],[2021]]),"",Refsz_Verbräuche[[#This Row],[2021]])</f>
        <v/>
      </c>
      <c r="N109" s="49" t="str">
        <f>IF(Klisz_Verbräuche[[#Headers],[2022]]=$B$14,IF(COUNTIF($G109:Klisz_Verbräuche[[#This Row],[2021]],"&gt;0")&gt;0, AVERAGEIF($G109:Klisz_Verbräuche[[#This Row],[2021]],"&lt;&gt;"), ""),IF($B$14&lt;Klisz_Verbräuche[[#Headers],[2022]],IF(COUNTIF($G109:Klisz_Verbräuche[[#This Row],[2021]],"&gt;0")&gt;0,IF(COUNTIF($G109:Klisz_Verbräuche[[#This Row],[2021]],"&gt;0")&gt;0,Klisz_Verbräuche[[#This Row],[2021]]*(1-$F109)^1, ""), ""),IF($B$14&gt;Klisz_Verbräuche[[#Headers],[2022]],Refsz_Verbräuche[[#This Row],[2022]],"")))</f>
        <v/>
      </c>
      <c r="O109" s="49" t="str">
        <f>IF(Klisz_Verbräuche[[#Headers],[2023]]=$B$14,IF(COUNTIF($G109:Klisz_Verbräuche[[#This Row],[2022]],"&gt;0")&gt;0, AVERAGEIF($G109:Klisz_Verbräuche[[#This Row],[2022]],"&lt;&gt;"), ""),IF($B$14&lt;Klisz_Verbräuche[[#Headers],[2023]],IF(COUNTIF($G109:Klisz_Verbräuche[[#This Row],[2022]],"&gt;0")&gt;0,IF(COUNTIF($G109:Klisz_Verbräuche[[#This Row],[2022]],"&gt;0")&gt;0,Klisz_Verbräuche[[#This Row],[2022]]*(1-$F109)^1, ""), ""),IF($B$14&gt;Klisz_Verbräuche[[#Headers],[2023]],Refsz_Verbräuche[[#This Row],[2023]],"")))</f>
        <v/>
      </c>
      <c r="P109" s="49" t="str">
        <f>IF(Klisz_Verbräuche[[#Headers],[2024]]=$B$14,IF(COUNTIF($G109:Klisz_Verbräuche[[#This Row],[2023]],"&gt;0")&gt;0, AVERAGEIF($G109:Klisz_Verbräuche[[#This Row],[2023]],"&lt;&gt;"), ""),IF($B$14&lt;Klisz_Verbräuche[[#Headers],[2024]],IF(COUNTIF($G109:Klisz_Verbräuche[[#This Row],[2023]],"&gt;0")&gt;0,IF(COUNTIF($G109:Klisz_Verbräuche[[#This Row],[2023]],"&gt;0")&gt;0,Klisz_Verbräuche[[#This Row],[2023]]*(1-$F109)^1, ""), ""),IF($B$14&gt;Klisz_Verbräuche[[#Headers],[2024]],Refsz_Verbräuche[[#This Row],[2024]],"")))</f>
        <v/>
      </c>
      <c r="Q109" s="49" t="str">
        <f>IF(Klisz_Verbräuche[[#Headers],[2025]]=$B$14,IF(COUNTIF($G109:Klisz_Verbräuche[[#This Row],[2024]],"&gt;0")&gt;0, AVERAGEIF($G109:Klisz_Verbräuche[[#This Row],[2024]],"&lt;&gt;"), ""),IF($B$14&lt;Klisz_Verbräuche[[#Headers],[2025]],IF(COUNTIF($G109:Klisz_Verbräuche[[#This Row],[2024]],"&gt;0")&gt;0,IF(COUNTIF($G109:Klisz_Verbräuche[[#This Row],[2024]],"&gt;0")&gt;0,Klisz_Verbräuche[[#This Row],[2024]]*(1-$F109)^1, ""), ""),IF($B$14&gt;Klisz_Verbräuche[[#Headers],[2025]],Refsz_Verbräuche[[#This Row],[2025]],"")))</f>
        <v/>
      </c>
      <c r="R109" s="49" t="str">
        <f>IF(Klisz_Verbräuche[[#Headers],[2026]]=$B$14,IF(COUNTIF($G109:Klisz_Verbräuche[[#This Row],[2025]],"&gt;0")&gt;0, AVERAGEIF($G109:Klisz_Verbräuche[[#This Row],[2025]],"&lt;&gt;"), ""),IF($B$14&lt;Klisz_Verbräuche[[#Headers],[2026]],IF(COUNTIF($G109:Klisz_Verbräuche[[#This Row],[2025]],"&gt;0")&gt;0,IF(COUNTIF($G109:Klisz_Verbräuche[[#This Row],[2025]],"&gt;0")&gt;0,Klisz_Verbräuche[[#This Row],[2025]]*(1-$F109)^1, ""), ""),IF($B$14&gt;Klisz_Verbräuche[[#Headers],[2026]],Refsz_Verbräuche[[#This Row],[2026]],"")))</f>
        <v/>
      </c>
      <c r="S109" s="49" t="str">
        <f>IF(Klisz_Verbräuche[[#Headers],[2027]]=$B$14,IF(COUNTIF($G109:Klisz_Verbräuche[[#This Row],[2026]],"&gt;0")&gt;0, AVERAGEIF($G109:Klisz_Verbräuche[[#This Row],[2026]],"&lt;&gt;"), ""),IF($B$14&lt;Klisz_Verbräuche[[#Headers],[2027]],IF(COUNTIF($G109:Klisz_Verbräuche[[#This Row],[2026]],"&gt;0")&gt;0,IF(COUNTIF($G109:Klisz_Verbräuche[[#This Row],[2026]],"&gt;0")&gt;0,Klisz_Verbräuche[[#This Row],[2026]]*(1-$F109)^1, ""), ""),IF($B$14&gt;Klisz_Verbräuche[[#Headers],[2027]],Refsz_Verbräuche[[#This Row],[2027]],"")))</f>
        <v/>
      </c>
      <c r="T109" s="49" t="str">
        <f>IF(Klisz_Verbräuche[[#Headers],[2028]]=$B$14,IF(COUNTIF($G109:Klisz_Verbräuche[[#This Row],[2027]],"&gt;0")&gt;0, AVERAGEIF($G109:Klisz_Verbräuche[[#This Row],[2027]],"&lt;&gt;"), ""),IF($B$14&lt;Klisz_Verbräuche[[#Headers],[2028]],IF(COUNTIF($G109:Klisz_Verbräuche[[#This Row],[2027]],"&gt;0")&gt;0,IF(COUNTIF($G109:Klisz_Verbräuche[[#This Row],[2027]],"&gt;0")&gt;0,Klisz_Verbräuche[[#This Row],[2027]]*(1-$F109)^1, ""), ""),IF($B$14&gt;Klisz_Verbräuche[[#Headers],[2028]],Refsz_Verbräuche[[#This Row],[2028]],"")))</f>
        <v/>
      </c>
      <c r="U109" s="49" t="str">
        <f>IF(Klisz_Verbräuche[[#Headers],[2029]]=$B$14,IF(COUNTIF($G109:Klisz_Verbräuche[[#This Row],[2028]],"&gt;0")&gt;0, AVERAGEIF($G109:Klisz_Verbräuche[[#This Row],[2028]],"&lt;&gt;"), ""),IF($B$14&lt;Klisz_Verbräuche[[#Headers],[2029]],IF(COUNTIF($G109:Klisz_Verbräuche[[#This Row],[2028]],"&gt;0")&gt;0,IF(COUNTIF($G109:Klisz_Verbräuche[[#This Row],[2028]],"&gt;0")&gt;0,Klisz_Verbräuche[[#This Row],[2028]]*(1-$F109)^1, ""), ""),IF($B$14&gt;Klisz_Verbräuche[[#Headers],[2029]],Refsz_Verbräuche[[#This Row],[2029]],"")))</f>
        <v/>
      </c>
      <c r="V109" s="49" t="str">
        <f>IF(Klisz_Verbräuche[[#Headers],[2030]]=$B$14,IF(COUNTIF($G109:Klisz_Verbräuche[[#This Row],[2029]],"&gt;0")&gt;0, AVERAGEIF($G109:Klisz_Verbräuche[[#This Row],[2029]],"&lt;&gt;"), ""),IF($B$14&lt;Klisz_Verbräuche[[#Headers],[2030]],IF(COUNTIF($G109:Klisz_Verbräuche[[#This Row],[2029]],"&gt;0")&gt;0,IF(COUNTIF($G109:Klisz_Verbräuche[[#This Row],[2029]],"&gt;0")&gt;0,Klisz_Verbräuche[[#This Row],[2029]]*(1-$F109)^1, ""), ""),IF($B$14&gt;Klisz_Verbräuche[[#Headers],[2030]],Refsz_Verbräuche[[#This Row],[2030]],"")))</f>
        <v/>
      </c>
      <c r="W109" s="49" t="str">
        <f>IF(Klisz_Verbräuche[[#Headers],[2035]]=$B$14,IF(COUNTIF($G109:Klisz_Verbräuche[[#This Row],[2030]],"&gt;0")&gt;0, AVERAGEIF($G109:Klisz_Verbräuche[[#This Row],[2030]],"&lt;&gt;"), ""),IF($B$14&lt;Klisz_Verbräuche[[#Headers],[2035]],IF(COUNTIF($G109:Klisz_Verbräuche[[#This Row],[2030]],"&gt;0")&gt;0,IF(COUNTIF($G109:Klisz_Verbräuche[[#This Row],[2030]],"&gt;0")&gt;0,Klisz_Verbräuche[[#This Row],[2030]]*(1-$F109)^5, ""), ""),IF($B$14&gt;Klisz_Verbräuche[[#Headers],[2035]],Refsz_Verbräuche[[#This Row],[2035]],"")))</f>
        <v/>
      </c>
      <c r="X109" s="49" t="str">
        <f>IF(Klisz_Verbräuche[[#Headers],[2040]]=$B$14,IF(COUNTIF($G109:Klisz_Verbräuche[[#This Row],[2035]],"&gt;0")&gt;0, AVERAGEIF($G109:Klisz_Verbräuche[[#This Row],[2035]],"&lt;&gt;"), ""),IF($B$14&lt;Klisz_Verbräuche[[#Headers],[2040]],IF(COUNTIF($G109:Klisz_Verbräuche[[#This Row],[2035]],"&gt;0")&gt;0,IF(COUNTIF($G109:Klisz_Verbräuche[[#This Row],[2035]],"&gt;0")&gt;0,Klisz_Verbräuche[[#This Row],[2035]]*(1-$F109)^5, ""), ""),IF($B$14&gt;Klisz_Verbräuche[[#Headers],[2040]],Refsz_Verbräuche[[#This Row],[2040]],"")))</f>
        <v/>
      </c>
      <c r="Y109" s="49" t="str">
        <f>IF(Klisz_Verbräuche[[#Headers],[2045]]=$B$14,IF(COUNTIF($G109:Klisz_Verbräuche[[#This Row],[2040]],"&gt;0")&gt;0, AVERAGEIF($G109:Klisz_Verbräuche[[#This Row],[2040]],"&lt;&gt;"), ""),IF($B$14&lt;Klisz_Verbräuche[[#Headers],[2045]],IF(COUNTIF($G109:Klisz_Verbräuche[[#This Row],[2040]],"&gt;0")&gt;0,IF(COUNTIF($G109:Klisz_Verbräuche[[#This Row],[2040]],"&gt;0")&gt;0,Klisz_Verbräuche[[#This Row],[2040]]*(1-$F109)^5, ""), ""),IF($B$14&gt;Klisz_Verbräuche[[#Headers],[2045]],Refsz_Verbräuche[[#This Row],[2045]],"")))</f>
        <v/>
      </c>
      <c r="Z109" s="49" t="str">
        <f>IF(Klisz_Verbräuche[[#Headers],[2050]]=$B$14,IF(COUNTIF($G109:Klisz_Verbräuche[[#This Row],[2045]],"&gt;0")&gt;0, AVERAGEIF($G109:Klisz_Verbräuche[[#This Row],[2045]],"&lt;&gt;"), ""),IF($B$14&lt;Klisz_Verbräuche[[#Headers],[2050]],IF(COUNTIF($G109:Klisz_Verbräuche[[#This Row],[2045]],"&gt;0")&gt;0,IF(COUNTIF($G109:Klisz_Verbräuche[[#This Row],[2045]],"&gt;0")&gt;0,Klisz_Verbräuche[[#This Row],[2045]]*(1-$F109)^5, ""), ""),IF($B$14&gt;Klisz_Verbräuche[[#Headers],[2050]],Refsz_Verbräuche[[#This Row],[2050]],"")))</f>
        <v/>
      </c>
      <c r="AA109" s="14"/>
    </row>
    <row r="110" spans="2:27">
      <c r="B110" s="14">
        <v>93</v>
      </c>
      <c r="C110" s="197">
        <f>Refsz_Verbräuche[[#This Row],[Handlungsfeld]]</f>
        <v>0</v>
      </c>
      <c r="D110" s="19">
        <f>Refsz_Verbräuche[[#This Row],[Datenpunkt]]</f>
        <v>0</v>
      </c>
      <c r="E110" s="26">
        <f>Refsz_Verbräuche[[#This Row],[Einheit]]</f>
        <v>0</v>
      </c>
      <c r="F110" s="108"/>
      <c r="G110" s="14" t="str">
        <f>IF(ISBLANK(Refsz_Verbräuche[[#This Row],[2015]]),"",Refsz_Verbräuche[[#This Row],[2015]])</f>
        <v/>
      </c>
      <c r="H110" s="14" t="str">
        <f>IF(ISBLANK(Refsz_Verbräuche[[#This Row],[2016]]),"",Refsz_Verbräuche[[#This Row],[2016]])</f>
        <v/>
      </c>
      <c r="I110" s="14" t="str">
        <f>IF(ISBLANK(Refsz_Verbräuche[[#This Row],[2017]]),"",Refsz_Verbräuche[[#This Row],[2017]])</f>
        <v/>
      </c>
      <c r="J110" s="14" t="str">
        <f>IF(ISBLANK(Refsz_Verbräuche[[#This Row],[2018]]),"",Refsz_Verbräuche[[#This Row],[2018]])</f>
        <v/>
      </c>
      <c r="K110" s="14" t="str">
        <f>IF(ISBLANK(Refsz_Verbräuche[[#This Row],[2019]]),"",Refsz_Verbräuche[[#This Row],[2019]])</f>
        <v/>
      </c>
      <c r="L110" s="14" t="str">
        <f>IF(ISBLANK(Refsz_Verbräuche[[#This Row],[2020]]),"",Refsz_Verbräuche[[#This Row],[2020]])</f>
        <v/>
      </c>
      <c r="M110" s="14" t="str">
        <f>IF(ISBLANK(Refsz_Verbräuche[[#This Row],[2021]]),"",Refsz_Verbräuche[[#This Row],[2021]])</f>
        <v/>
      </c>
      <c r="N110" s="49" t="str">
        <f>IF(Klisz_Verbräuche[[#Headers],[2022]]=$B$14,IF(COUNTIF($G110:Klisz_Verbräuche[[#This Row],[2021]],"&gt;0")&gt;0, AVERAGEIF($G110:Klisz_Verbräuche[[#This Row],[2021]],"&lt;&gt;"), ""),IF($B$14&lt;Klisz_Verbräuche[[#Headers],[2022]],IF(COUNTIF($G110:Klisz_Verbräuche[[#This Row],[2021]],"&gt;0")&gt;0,IF(COUNTIF($G110:Klisz_Verbräuche[[#This Row],[2021]],"&gt;0")&gt;0,Klisz_Verbräuche[[#This Row],[2021]]*(1-$F110)^1, ""), ""),IF($B$14&gt;Klisz_Verbräuche[[#Headers],[2022]],Refsz_Verbräuche[[#This Row],[2022]],"")))</f>
        <v/>
      </c>
      <c r="O110" s="49" t="str">
        <f>IF(Klisz_Verbräuche[[#Headers],[2023]]=$B$14,IF(COUNTIF($G110:Klisz_Verbräuche[[#This Row],[2022]],"&gt;0")&gt;0, AVERAGEIF($G110:Klisz_Verbräuche[[#This Row],[2022]],"&lt;&gt;"), ""),IF($B$14&lt;Klisz_Verbräuche[[#Headers],[2023]],IF(COUNTIF($G110:Klisz_Verbräuche[[#This Row],[2022]],"&gt;0")&gt;0,IF(COUNTIF($G110:Klisz_Verbräuche[[#This Row],[2022]],"&gt;0")&gt;0,Klisz_Verbräuche[[#This Row],[2022]]*(1-$F110)^1, ""), ""),IF($B$14&gt;Klisz_Verbräuche[[#Headers],[2023]],Refsz_Verbräuche[[#This Row],[2023]],"")))</f>
        <v/>
      </c>
      <c r="P110" s="49" t="str">
        <f>IF(Klisz_Verbräuche[[#Headers],[2024]]=$B$14,IF(COUNTIF($G110:Klisz_Verbräuche[[#This Row],[2023]],"&gt;0")&gt;0, AVERAGEIF($G110:Klisz_Verbräuche[[#This Row],[2023]],"&lt;&gt;"), ""),IF($B$14&lt;Klisz_Verbräuche[[#Headers],[2024]],IF(COUNTIF($G110:Klisz_Verbräuche[[#This Row],[2023]],"&gt;0")&gt;0,IF(COUNTIF($G110:Klisz_Verbräuche[[#This Row],[2023]],"&gt;0")&gt;0,Klisz_Verbräuche[[#This Row],[2023]]*(1-$F110)^1, ""), ""),IF($B$14&gt;Klisz_Verbräuche[[#Headers],[2024]],Refsz_Verbräuche[[#This Row],[2024]],"")))</f>
        <v/>
      </c>
      <c r="Q110" s="49" t="str">
        <f>IF(Klisz_Verbräuche[[#Headers],[2025]]=$B$14,IF(COUNTIF($G110:Klisz_Verbräuche[[#This Row],[2024]],"&gt;0")&gt;0, AVERAGEIF($G110:Klisz_Verbräuche[[#This Row],[2024]],"&lt;&gt;"), ""),IF($B$14&lt;Klisz_Verbräuche[[#Headers],[2025]],IF(COUNTIF($G110:Klisz_Verbräuche[[#This Row],[2024]],"&gt;0")&gt;0,IF(COUNTIF($G110:Klisz_Verbräuche[[#This Row],[2024]],"&gt;0")&gt;0,Klisz_Verbräuche[[#This Row],[2024]]*(1-$F110)^1, ""), ""),IF($B$14&gt;Klisz_Verbräuche[[#Headers],[2025]],Refsz_Verbräuche[[#This Row],[2025]],"")))</f>
        <v/>
      </c>
      <c r="R110" s="49" t="str">
        <f>IF(Klisz_Verbräuche[[#Headers],[2026]]=$B$14,IF(COUNTIF($G110:Klisz_Verbräuche[[#This Row],[2025]],"&gt;0")&gt;0, AVERAGEIF($G110:Klisz_Verbräuche[[#This Row],[2025]],"&lt;&gt;"), ""),IF($B$14&lt;Klisz_Verbräuche[[#Headers],[2026]],IF(COUNTIF($G110:Klisz_Verbräuche[[#This Row],[2025]],"&gt;0")&gt;0,IF(COUNTIF($G110:Klisz_Verbräuche[[#This Row],[2025]],"&gt;0")&gt;0,Klisz_Verbräuche[[#This Row],[2025]]*(1-$F110)^1, ""), ""),IF($B$14&gt;Klisz_Verbräuche[[#Headers],[2026]],Refsz_Verbräuche[[#This Row],[2026]],"")))</f>
        <v/>
      </c>
      <c r="S110" s="49" t="str">
        <f>IF(Klisz_Verbräuche[[#Headers],[2027]]=$B$14,IF(COUNTIF($G110:Klisz_Verbräuche[[#This Row],[2026]],"&gt;0")&gt;0, AVERAGEIF($G110:Klisz_Verbräuche[[#This Row],[2026]],"&lt;&gt;"), ""),IF($B$14&lt;Klisz_Verbräuche[[#Headers],[2027]],IF(COUNTIF($G110:Klisz_Verbräuche[[#This Row],[2026]],"&gt;0")&gt;0,IF(COUNTIF($G110:Klisz_Verbräuche[[#This Row],[2026]],"&gt;0")&gt;0,Klisz_Verbräuche[[#This Row],[2026]]*(1-$F110)^1, ""), ""),IF($B$14&gt;Klisz_Verbräuche[[#Headers],[2027]],Refsz_Verbräuche[[#This Row],[2027]],"")))</f>
        <v/>
      </c>
      <c r="T110" s="49" t="str">
        <f>IF(Klisz_Verbräuche[[#Headers],[2028]]=$B$14,IF(COUNTIF($G110:Klisz_Verbräuche[[#This Row],[2027]],"&gt;0")&gt;0, AVERAGEIF($G110:Klisz_Verbräuche[[#This Row],[2027]],"&lt;&gt;"), ""),IF($B$14&lt;Klisz_Verbräuche[[#Headers],[2028]],IF(COUNTIF($G110:Klisz_Verbräuche[[#This Row],[2027]],"&gt;0")&gt;0,IF(COUNTIF($G110:Klisz_Verbräuche[[#This Row],[2027]],"&gt;0")&gt;0,Klisz_Verbräuche[[#This Row],[2027]]*(1-$F110)^1, ""), ""),IF($B$14&gt;Klisz_Verbräuche[[#Headers],[2028]],Refsz_Verbräuche[[#This Row],[2028]],"")))</f>
        <v/>
      </c>
      <c r="U110" s="49" t="str">
        <f>IF(Klisz_Verbräuche[[#Headers],[2029]]=$B$14,IF(COUNTIF($G110:Klisz_Verbräuche[[#This Row],[2028]],"&gt;0")&gt;0, AVERAGEIF($G110:Klisz_Verbräuche[[#This Row],[2028]],"&lt;&gt;"), ""),IF($B$14&lt;Klisz_Verbräuche[[#Headers],[2029]],IF(COUNTIF($G110:Klisz_Verbräuche[[#This Row],[2028]],"&gt;0")&gt;0,IF(COUNTIF($G110:Klisz_Verbräuche[[#This Row],[2028]],"&gt;0")&gt;0,Klisz_Verbräuche[[#This Row],[2028]]*(1-$F110)^1, ""), ""),IF($B$14&gt;Klisz_Verbräuche[[#Headers],[2029]],Refsz_Verbräuche[[#This Row],[2029]],"")))</f>
        <v/>
      </c>
      <c r="V110" s="49" t="str">
        <f>IF(Klisz_Verbräuche[[#Headers],[2030]]=$B$14,IF(COUNTIF($G110:Klisz_Verbräuche[[#This Row],[2029]],"&gt;0")&gt;0, AVERAGEIF($G110:Klisz_Verbräuche[[#This Row],[2029]],"&lt;&gt;"), ""),IF($B$14&lt;Klisz_Verbräuche[[#Headers],[2030]],IF(COUNTIF($G110:Klisz_Verbräuche[[#This Row],[2029]],"&gt;0")&gt;0,IF(COUNTIF($G110:Klisz_Verbräuche[[#This Row],[2029]],"&gt;0")&gt;0,Klisz_Verbräuche[[#This Row],[2029]]*(1-$F110)^1, ""), ""),IF($B$14&gt;Klisz_Verbräuche[[#Headers],[2030]],Refsz_Verbräuche[[#This Row],[2030]],"")))</f>
        <v/>
      </c>
      <c r="W110" s="49" t="str">
        <f>IF(Klisz_Verbräuche[[#Headers],[2035]]=$B$14,IF(COUNTIF($G110:Klisz_Verbräuche[[#This Row],[2030]],"&gt;0")&gt;0, AVERAGEIF($G110:Klisz_Verbräuche[[#This Row],[2030]],"&lt;&gt;"), ""),IF($B$14&lt;Klisz_Verbräuche[[#Headers],[2035]],IF(COUNTIF($G110:Klisz_Verbräuche[[#This Row],[2030]],"&gt;0")&gt;0,IF(COUNTIF($G110:Klisz_Verbräuche[[#This Row],[2030]],"&gt;0")&gt;0,Klisz_Verbräuche[[#This Row],[2030]]*(1-$F110)^5, ""), ""),IF($B$14&gt;Klisz_Verbräuche[[#Headers],[2035]],Refsz_Verbräuche[[#This Row],[2035]],"")))</f>
        <v/>
      </c>
      <c r="X110" s="49" t="str">
        <f>IF(Klisz_Verbräuche[[#Headers],[2040]]=$B$14,IF(COUNTIF($G110:Klisz_Verbräuche[[#This Row],[2035]],"&gt;0")&gt;0, AVERAGEIF($G110:Klisz_Verbräuche[[#This Row],[2035]],"&lt;&gt;"), ""),IF($B$14&lt;Klisz_Verbräuche[[#Headers],[2040]],IF(COUNTIF($G110:Klisz_Verbräuche[[#This Row],[2035]],"&gt;0")&gt;0,IF(COUNTIF($G110:Klisz_Verbräuche[[#This Row],[2035]],"&gt;0")&gt;0,Klisz_Verbräuche[[#This Row],[2035]]*(1-$F110)^5, ""), ""),IF($B$14&gt;Klisz_Verbräuche[[#Headers],[2040]],Refsz_Verbräuche[[#This Row],[2040]],"")))</f>
        <v/>
      </c>
      <c r="Y110" s="49" t="str">
        <f>IF(Klisz_Verbräuche[[#Headers],[2045]]=$B$14,IF(COUNTIF($G110:Klisz_Verbräuche[[#This Row],[2040]],"&gt;0")&gt;0, AVERAGEIF($G110:Klisz_Verbräuche[[#This Row],[2040]],"&lt;&gt;"), ""),IF($B$14&lt;Klisz_Verbräuche[[#Headers],[2045]],IF(COUNTIF($G110:Klisz_Verbräuche[[#This Row],[2040]],"&gt;0")&gt;0,IF(COUNTIF($G110:Klisz_Verbräuche[[#This Row],[2040]],"&gt;0")&gt;0,Klisz_Verbräuche[[#This Row],[2040]]*(1-$F110)^5, ""), ""),IF($B$14&gt;Klisz_Verbräuche[[#Headers],[2045]],Refsz_Verbräuche[[#This Row],[2045]],"")))</f>
        <v/>
      </c>
      <c r="Z110" s="49" t="str">
        <f>IF(Klisz_Verbräuche[[#Headers],[2050]]=$B$14,IF(COUNTIF($G110:Klisz_Verbräuche[[#This Row],[2045]],"&gt;0")&gt;0, AVERAGEIF($G110:Klisz_Verbräuche[[#This Row],[2045]],"&lt;&gt;"), ""),IF($B$14&lt;Klisz_Verbräuche[[#Headers],[2050]],IF(COUNTIF($G110:Klisz_Verbräuche[[#This Row],[2045]],"&gt;0")&gt;0,IF(COUNTIF($G110:Klisz_Verbräuche[[#This Row],[2045]],"&gt;0")&gt;0,Klisz_Verbräuche[[#This Row],[2045]]*(1-$F110)^5, ""), ""),IF($B$14&gt;Klisz_Verbräuche[[#Headers],[2050]],Refsz_Verbräuche[[#This Row],[2050]],"")))</f>
        <v/>
      </c>
      <c r="AA110" s="14"/>
    </row>
    <row r="111" spans="2:27">
      <c r="B111" s="14">
        <v>94</v>
      </c>
      <c r="C111" s="197" t="str">
        <f>Refsz_Verbräuche[[#This Row],[Handlungsfeld]]</f>
        <v>Waren und Dienstleistungen</v>
      </c>
      <c r="D111" s="19" t="str">
        <f>Refsz_Verbräuche[[#This Row],[Datenpunkt]]</f>
        <v>Outgesourcte Leistungen des Rechenzentrums</v>
      </c>
      <c r="E111" s="26" t="str">
        <f>Refsz_Verbräuche[[#This Row],[Einheit]]</f>
        <v>GByte</v>
      </c>
      <c r="F111" s="108"/>
      <c r="G111" s="14" t="str">
        <f>IF(ISBLANK(Refsz_Verbräuche[[#This Row],[2015]]),"",Refsz_Verbräuche[[#This Row],[2015]])</f>
        <v/>
      </c>
      <c r="H111" s="14" t="str">
        <f>IF(ISBLANK(Refsz_Verbräuche[[#This Row],[2016]]),"",Refsz_Verbräuche[[#This Row],[2016]])</f>
        <v/>
      </c>
      <c r="I111" s="14" t="str">
        <f>IF(ISBLANK(Refsz_Verbräuche[[#This Row],[2017]]),"",Refsz_Verbräuche[[#This Row],[2017]])</f>
        <v/>
      </c>
      <c r="J111" s="14" t="str">
        <f>IF(ISBLANK(Refsz_Verbräuche[[#This Row],[2018]]),"",Refsz_Verbräuche[[#This Row],[2018]])</f>
        <v/>
      </c>
      <c r="K111" s="14" t="str">
        <f>IF(ISBLANK(Refsz_Verbräuche[[#This Row],[2019]]),"",Refsz_Verbräuche[[#This Row],[2019]])</f>
        <v/>
      </c>
      <c r="L111" s="14" t="str">
        <f>IF(ISBLANK(Refsz_Verbräuche[[#This Row],[2020]]),"",Refsz_Verbräuche[[#This Row],[2020]])</f>
        <v/>
      </c>
      <c r="M111" s="14" t="str">
        <f>IF(ISBLANK(Refsz_Verbräuche[[#This Row],[2021]]),"",Refsz_Verbräuche[[#This Row],[2021]])</f>
        <v/>
      </c>
      <c r="N111" s="49" t="str">
        <f>IF(Klisz_Verbräuche[[#Headers],[2022]]=$B$14,IF(COUNTIF($G111:Klisz_Verbräuche[[#This Row],[2021]],"&gt;0")&gt;0, AVERAGEIF($G111:Klisz_Verbräuche[[#This Row],[2021]],"&lt;&gt;"), ""),IF($B$14&lt;Klisz_Verbräuche[[#Headers],[2022]],IF(COUNTIF($G111:Klisz_Verbräuche[[#This Row],[2021]],"&gt;0")&gt;0,IF(COUNTIF($G111:Klisz_Verbräuche[[#This Row],[2021]],"&gt;0")&gt;0,Klisz_Verbräuche[[#This Row],[2021]]*(1-$F111)^1, ""), ""),IF($B$14&gt;Klisz_Verbräuche[[#Headers],[2022]],Refsz_Verbräuche[[#This Row],[2022]],"")))</f>
        <v/>
      </c>
      <c r="O111" s="49" t="str">
        <f>IF(Klisz_Verbräuche[[#Headers],[2023]]=$B$14,IF(COUNTIF($G111:Klisz_Verbräuche[[#This Row],[2022]],"&gt;0")&gt;0, AVERAGEIF($G111:Klisz_Verbräuche[[#This Row],[2022]],"&lt;&gt;"), ""),IF($B$14&lt;Klisz_Verbräuche[[#Headers],[2023]],IF(COUNTIF($G111:Klisz_Verbräuche[[#This Row],[2022]],"&gt;0")&gt;0,IF(COUNTIF($G111:Klisz_Verbräuche[[#This Row],[2022]],"&gt;0")&gt;0,Klisz_Verbräuche[[#This Row],[2022]]*(1-$F111)^1, ""), ""),IF($B$14&gt;Klisz_Verbräuche[[#Headers],[2023]],Refsz_Verbräuche[[#This Row],[2023]],"")))</f>
        <v/>
      </c>
      <c r="P111" s="49" t="str">
        <f>IF(Klisz_Verbräuche[[#Headers],[2024]]=$B$14,IF(COUNTIF($G111:Klisz_Verbräuche[[#This Row],[2023]],"&gt;0")&gt;0, AVERAGEIF($G111:Klisz_Verbräuche[[#This Row],[2023]],"&lt;&gt;"), ""),IF($B$14&lt;Klisz_Verbräuche[[#Headers],[2024]],IF(COUNTIF($G111:Klisz_Verbräuche[[#This Row],[2023]],"&gt;0")&gt;0,IF(COUNTIF($G111:Klisz_Verbräuche[[#This Row],[2023]],"&gt;0")&gt;0,Klisz_Verbräuche[[#This Row],[2023]]*(1-$F111)^1, ""), ""),IF($B$14&gt;Klisz_Verbräuche[[#Headers],[2024]],Refsz_Verbräuche[[#This Row],[2024]],"")))</f>
        <v/>
      </c>
      <c r="Q111" s="49" t="str">
        <f>IF(Klisz_Verbräuche[[#Headers],[2025]]=$B$14,IF(COUNTIF($G111:Klisz_Verbräuche[[#This Row],[2024]],"&gt;0")&gt;0, AVERAGEIF($G111:Klisz_Verbräuche[[#This Row],[2024]],"&lt;&gt;"), ""),IF($B$14&lt;Klisz_Verbräuche[[#Headers],[2025]],IF(COUNTIF($G111:Klisz_Verbräuche[[#This Row],[2024]],"&gt;0")&gt;0,IF(COUNTIF($G111:Klisz_Verbräuche[[#This Row],[2024]],"&gt;0")&gt;0,Klisz_Verbräuche[[#This Row],[2024]]*(1-$F111)^1, ""), ""),IF($B$14&gt;Klisz_Verbräuche[[#Headers],[2025]],Refsz_Verbräuche[[#This Row],[2025]],"")))</f>
        <v/>
      </c>
      <c r="R111" s="49" t="str">
        <f>IF(Klisz_Verbräuche[[#Headers],[2026]]=$B$14,IF(COUNTIF($G111:Klisz_Verbräuche[[#This Row],[2025]],"&gt;0")&gt;0, AVERAGEIF($G111:Klisz_Verbräuche[[#This Row],[2025]],"&lt;&gt;"), ""),IF($B$14&lt;Klisz_Verbräuche[[#Headers],[2026]],IF(COUNTIF($G111:Klisz_Verbräuche[[#This Row],[2025]],"&gt;0")&gt;0,IF(COUNTIF($G111:Klisz_Verbräuche[[#This Row],[2025]],"&gt;0")&gt;0,Klisz_Verbräuche[[#This Row],[2025]]*(1-$F111)^1, ""), ""),IF($B$14&gt;Klisz_Verbräuche[[#Headers],[2026]],Refsz_Verbräuche[[#This Row],[2026]],"")))</f>
        <v/>
      </c>
      <c r="S111" s="49" t="str">
        <f>IF(Klisz_Verbräuche[[#Headers],[2027]]=$B$14,IF(COUNTIF($G111:Klisz_Verbräuche[[#This Row],[2026]],"&gt;0")&gt;0, AVERAGEIF($G111:Klisz_Verbräuche[[#This Row],[2026]],"&lt;&gt;"), ""),IF($B$14&lt;Klisz_Verbräuche[[#Headers],[2027]],IF(COUNTIF($G111:Klisz_Verbräuche[[#This Row],[2026]],"&gt;0")&gt;0,IF(COUNTIF($G111:Klisz_Verbräuche[[#This Row],[2026]],"&gt;0")&gt;0,Klisz_Verbräuche[[#This Row],[2026]]*(1-$F111)^1, ""), ""),IF($B$14&gt;Klisz_Verbräuche[[#Headers],[2027]],Refsz_Verbräuche[[#This Row],[2027]],"")))</f>
        <v/>
      </c>
      <c r="T111" s="49" t="str">
        <f>IF(Klisz_Verbräuche[[#Headers],[2028]]=$B$14,IF(COUNTIF($G111:Klisz_Verbräuche[[#This Row],[2027]],"&gt;0")&gt;0, AVERAGEIF($G111:Klisz_Verbräuche[[#This Row],[2027]],"&lt;&gt;"), ""),IF($B$14&lt;Klisz_Verbräuche[[#Headers],[2028]],IF(COUNTIF($G111:Klisz_Verbräuche[[#This Row],[2027]],"&gt;0")&gt;0,IF(COUNTIF($G111:Klisz_Verbräuche[[#This Row],[2027]],"&gt;0")&gt;0,Klisz_Verbräuche[[#This Row],[2027]]*(1-$F111)^1, ""), ""),IF($B$14&gt;Klisz_Verbräuche[[#Headers],[2028]],Refsz_Verbräuche[[#This Row],[2028]],"")))</f>
        <v/>
      </c>
      <c r="U111" s="49" t="str">
        <f>IF(Klisz_Verbräuche[[#Headers],[2029]]=$B$14,IF(COUNTIF($G111:Klisz_Verbräuche[[#This Row],[2028]],"&gt;0")&gt;0, AVERAGEIF($G111:Klisz_Verbräuche[[#This Row],[2028]],"&lt;&gt;"), ""),IF($B$14&lt;Klisz_Verbräuche[[#Headers],[2029]],IF(COUNTIF($G111:Klisz_Verbräuche[[#This Row],[2028]],"&gt;0")&gt;0,IF(COUNTIF($G111:Klisz_Verbräuche[[#This Row],[2028]],"&gt;0")&gt;0,Klisz_Verbräuche[[#This Row],[2028]]*(1-$F111)^1, ""), ""),IF($B$14&gt;Klisz_Verbräuche[[#Headers],[2029]],Refsz_Verbräuche[[#This Row],[2029]],"")))</f>
        <v/>
      </c>
      <c r="V111" s="49" t="str">
        <f>IF(Klisz_Verbräuche[[#Headers],[2030]]=$B$14,IF(COUNTIF($G111:Klisz_Verbräuche[[#This Row],[2029]],"&gt;0")&gt;0, AVERAGEIF($G111:Klisz_Verbräuche[[#This Row],[2029]],"&lt;&gt;"), ""),IF($B$14&lt;Klisz_Verbräuche[[#Headers],[2030]],IF(COUNTIF($G111:Klisz_Verbräuche[[#This Row],[2029]],"&gt;0")&gt;0,IF(COUNTIF($G111:Klisz_Verbräuche[[#This Row],[2029]],"&gt;0")&gt;0,Klisz_Verbräuche[[#This Row],[2029]]*(1-$F111)^1, ""), ""),IF($B$14&gt;Klisz_Verbräuche[[#Headers],[2030]],Refsz_Verbräuche[[#This Row],[2030]],"")))</f>
        <v/>
      </c>
      <c r="W111" s="49" t="str">
        <f>IF(Klisz_Verbräuche[[#Headers],[2035]]=$B$14,IF(COUNTIF($G111:Klisz_Verbräuche[[#This Row],[2030]],"&gt;0")&gt;0, AVERAGEIF($G111:Klisz_Verbräuche[[#This Row],[2030]],"&lt;&gt;"), ""),IF($B$14&lt;Klisz_Verbräuche[[#Headers],[2035]],IF(COUNTIF($G111:Klisz_Verbräuche[[#This Row],[2030]],"&gt;0")&gt;0,IF(COUNTIF($G111:Klisz_Verbräuche[[#This Row],[2030]],"&gt;0")&gt;0,Klisz_Verbräuche[[#This Row],[2030]]*(1-$F111)^5, ""), ""),IF($B$14&gt;Klisz_Verbräuche[[#Headers],[2035]],Refsz_Verbräuche[[#This Row],[2035]],"")))</f>
        <v/>
      </c>
      <c r="X111" s="49" t="str">
        <f>IF(Klisz_Verbräuche[[#Headers],[2040]]=$B$14,IF(COUNTIF($G111:Klisz_Verbräuche[[#This Row],[2035]],"&gt;0")&gt;0, AVERAGEIF($G111:Klisz_Verbräuche[[#This Row],[2035]],"&lt;&gt;"), ""),IF($B$14&lt;Klisz_Verbräuche[[#Headers],[2040]],IF(COUNTIF($G111:Klisz_Verbräuche[[#This Row],[2035]],"&gt;0")&gt;0,IF(COUNTIF($G111:Klisz_Verbräuche[[#This Row],[2035]],"&gt;0")&gt;0,Klisz_Verbräuche[[#This Row],[2035]]*(1-$F111)^5, ""), ""),IF($B$14&gt;Klisz_Verbräuche[[#Headers],[2040]],Refsz_Verbräuche[[#This Row],[2040]],"")))</f>
        <v/>
      </c>
      <c r="Y111" s="49" t="str">
        <f>IF(Klisz_Verbräuche[[#Headers],[2045]]=$B$14,IF(COUNTIF($G111:Klisz_Verbräuche[[#This Row],[2040]],"&gt;0")&gt;0, AVERAGEIF($G111:Klisz_Verbräuche[[#This Row],[2040]],"&lt;&gt;"), ""),IF($B$14&lt;Klisz_Verbräuche[[#Headers],[2045]],IF(COUNTIF($G111:Klisz_Verbräuche[[#This Row],[2040]],"&gt;0")&gt;0,IF(COUNTIF($G111:Klisz_Verbräuche[[#This Row],[2040]],"&gt;0")&gt;0,Klisz_Verbräuche[[#This Row],[2040]]*(1-$F111)^5, ""), ""),IF($B$14&gt;Klisz_Verbräuche[[#Headers],[2045]],Refsz_Verbräuche[[#This Row],[2045]],"")))</f>
        <v/>
      </c>
      <c r="Z111" s="49" t="str">
        <f>IF(Klisz_Verbräuche[[#Headers],[2050]]=$B$14,IF(COUNTIF($G111:Klisz_Verbräuche[[#This Row],[2045]],"&gt;0")&gt;0, AVERAGEIF($G111:Klisz_Verbräuche[[#This Row],[2045]],"&lt;&gt;"), ""),IF($B$14&lt;Klisz_Verbräuche[[#Headers],[2050]],IF(COUNTIF($G111:Klisz_Verbräuche[[#This Row],[2045]],"&gt;0")&gt;0,IF(COUNTIF($G111:Klisz_Verbräuche[[#This Row],[2045]],"&gt;0")&gt;0,Klisz_Verbräuche[[#This Row],[2045]]*(1-$F111)^5, ""), ""),IF($B$14&gt;Klisz_Verbräuche[[#Headers],[2050]],Refsz_Verbräuche[[#This Row],[2050]],"")))</f>
        <v/>
      </c>
      <c r="AA111" s="14"/>
    </row>
    <row r="112" spans="2:27">
      <c r="B112" s="14">
        <v>95</v>
      </c>
      <c r="C112" s="197" t="str">
        <f>Refsz_Verbräuche[[#This Row],[Handlungsfeld]]</f>
        <v>Waren und Dienstleistungen</v>
      </c>
      <c r="D112" s="19" t="str">
        <f>Refsz_Verbräuche[[#This Row],[Datenpunkt]]</f>
        <v>Beamer</v>
      </c>
      <c r="E112" s="26" t="str">
        <f>Refsz_Verbräuche[[#This Row],[Einheit]]</f>
        <v>Stk</v>
      </c>
      <c r="F112" s="108"/>
      <c r="G112" s="14" t="str">
        <f>IF(ISBLANK(Refsz_Verbräuche[[#This Row],[2015]]),"",Refsz_Verbräuche[[#This Row],[2015]])</f>
        <v/>
      </c>
      <c r="H112" s="14" t="str">
        <f>IF(ISBLANK(Refsz_Verbräuche[[#This Row],[2016]]),"",Refsz_Verbräuche[[#This Row],[2016]])</f>
        <v/>
      </c>
      <c r="I112" s="14" t="str">
        <f>IF(ISBLANK(Refsz_Verbräuche[[#This Row],[2017]]),"",Refsz_Verbräuche[[#This Row],[2017]])</f>
        <v/>
      </c>
      <c r="J112" s="14" t="str">
        <f>IF(ISBLANK(Refsz_Verbräuche[[#This Row],[2018]]),"",Refsz_Verbräuche[[#This Row],[2018]])</f>
        <v/>
      </c>
      <c r="K112" s="14" t="str">
        <f>IF(ISBLANK(Refsz_Verbräuche[[#This Row],[2019]]),"",Refsz_Verbräuche[[#This Row],[2019]])</f>
        <v/>
      </c>
      <c r="L112" s="14" t="str">
        <f>IF(ISBLANK(Refsz_Verbräuche[[#This Row],[2020]]),"",Refsz_Verbräuche[[#This Row],[2020]])</f>
        <v/>
      </c>
      <c r="M112" s="14" t="str">
        <f>IF(ISBLANK(Refsz_Verbräuche[[#This Row],[2021]]),"",Refsz_Verbräuche[[#This Row],[2021]])</f>
        <v/>
      </c>
      <c r="N112" s="49" t="str">
        <f>IF(Klisz_Verbräuche[[#Headers],[2022]]=$B$14,IF(COUNTIF($G112:Klisz_Verbräuche[[#This Row],[2021]],"&gt;0")&gt;0, AVERAGEIF($G112:Klisz_Verbräuche[[#This Row],[2021]],"&lt;&gt;"), ""),IF($B$14&lt;Klisz_Verbräuche[[#Headers],[2022]],IF(COUNTIF($G112:Klisz_Verbräuche[[#This Row],[2021]],"&gt;0")&gt;0,IF(COUNTIF($G112:Klisz_Verbräuche[[#This Row],[2021]],"&gt;0")&gt;0,Klisz_Verbräuche[[#This Row],[2021]]*(1-$F112)^1, ""), ""),IF($B$14&gt;Klisz_Verbräuche[[#Headers],[2022]],Refsz_Verbräuche[[#This Row],[2022]],"")))</f>
        <v/>
      </c>
      <c r="O112" s="49" t="str">
        <f>IF(Klisz_Verbräuche[[#Headers],[2023]]=$B$14,IF(COUNTIF($G112:Klisz_Verbräuche[[#This Row],[2022]],"&gt;0")&gt;0, AVERAGEIF($G112:Klisz_Verbräuche[[#This Row],[2022]],"&lt;&gt;"), ""),IF($B$14&lt;Klisz_Verbräuche[[#Headers],[2023]],IF(COUNTIF($G112:Klisz_Verbräuche[[#This Row],[2022]],"&gt;0")&gt;0,IF(COUNTIF($G112:Klisz_Verbräuche[[#This Row],[2022]],"&gt;0")&gt;0,Klisz_Verbräuche[[#This Row],[2022]]*(1-$F112)^1, ""), ""),IF($B$14&gt;Klisz_Verbräuche[[#Headers],[2023]],Refsz_Verbräuche[[#This Row],[2023]],"")))</f>
        <v/>
      </c>
      <c r="P112" s="49" t="str">
        <f>IF(Klisz_Verbräuche[[#Headers],[2024]]=$B$14,IF(COUNTIF($G112:Klisz_Verbräuche[[#This Row],[2023]],"&gt;0")&gt;0, AVERAGEIF($G112:Klisz_Verbräuche[[#This Row],[2023]],"&lt;&gt;"), ""),IF($B$14&lt;Klisz_Verbräuche[[#Headers],[2024]],IF(COUNTIF($G112:Klisz_Verbräuche[[#This Row],[2023]],"&gt;0")&gt;0,IF(COUNTIF($G112:Klisz_Verbräuche[[#This Row],[2023]],"&gt;0")&gt;0,Klisz_Verbräuche[[#This Row],[2023]]*(1-$F112)^1, ""), ""),IF($B$14&gt;Klisz_Verbräuche[[#Headers],[2024]],Refsz_Verbräuche[[#This Row],[2024]],"")))</f>
        <v/>
      </c>
      <c r="Q112" s="49" t="str">
        <f>IF(Klisz_Verbräuche[[#Headers],[2025]]=$B$14,IF(COUNTIF($G112:Klisz_Verbräuche[[#This Row],[2024]],"&gt;0")&gt;0, AVERAGEIF($G112:Klisz_Verbräuche[[#This Row],[2024]],"&lt;&gt;"), ""),IF($B$14&lt;Klisz_Verbräuche[[#Headers],[2025]],IF(COUNTIF($G112:Klisz_Verbräuche[[#This Row],[2024]],"&gt;0")&gt;0,IF(COUNTIF($G112:Klisz_Verbräuche[[#This Row],[2024]],"&gt;0")&gt;0,Klisz_Verbräuche[[#This Row],[2024]]*(1-$F112)^1, ""), ""),IF($B$14&gt;Klisz_Verbräuche[[#Headers],[2025]],Refsz_Verbräuche[[#This Row],[2025]],"")))</f>
        <v/>
      </c>
      <c r="R112" s="49" t="str">
        <f>IF(Klisz_Verbräuche[[#Headers],[2026]]=$B$14,IF(COUNTIF($G112:Klisz_Verbräuche[[#This Row],[2025]],"&gt;0")&gt;0, AVERAGEIF($G112:Klisz_Verbräuche[[#This Row],[2025]],"&lt;&gt;"), ""),IF($B$14&lt;Klisz_Verbräuche[[#Headers],[2026]],IF(COUNTIF($G112:Klisz_Verbräuche[[#This Row],[2025]],"&gt;0")&gt;0,IF(COUNTIF($G112:Klisz_Verbräuche[[#This Row],[2025]],"&gt;0")&gt;0,Klisz_Verbräuche[[#This Row],[2025]]*(1-$F112)^1, ""), ""),IF($B$14&gt;Klisz_Verbräuche[[#Headers],[2026]],Refsz_Verbräuche[[#This Row],[2026]],"")))</f>
        <v/>
      </c>
      <c r="S112" s="49" t="str">
        <f>IF(Klisz_Verbräuche[[#Headers],[2027]]=$B$14,IF(COUNTIF($G112:Klisz_Verbräuche[[#This Row],[2026]],"&gt;0")&gt;0, AVERAGEIF($G112:Klisz_Verbräuche[[#This Row],[2026]],"&lt;&gt;"), ""),IF($B$14&lt;Klisz_Verbräuche[[#Headers],[2027]],IF(COUNTIF($G112:Klisz_Verbräuche[[#This Row],[2026]],"&gt;0")&gt;0,IF(COUNTIF($G112:Klisz_Verbräuche[[#This Row],[2026]],"&gt;0")&gt;0,Klisz_Verbräuche[[#This Row],[2026]]*(1-$F112)^1, ""), ""),IF($B$14&gt;Klisz_Verbräuche[[#Headers],[2027]],Refsz_Verbräuche[[#This Row],[2027]],"")))</f>
        <v/>
      </c>
      <c r="T112" s="49" t="str">
        <f>IF(Klisz_Verbräuche[[#Headers],[2028]]=$B$14,IF(COUNTIF($G112:Klisz_Verbräuche[[#This Row],[2027]],"&gt;0")&gt;0, AVERAGEIF($G112:Klisz_Verbräuche[[#This Row],[2027]],"&lt;&gt;"), ""),IF($B$14&lt;Klisz_Verbräuche[[#Headers],[2028]],IF(COUNTIF($G112:Klisz_Verbräuche[[#This Row],[2027]],"&gt;0")&gt;0,IF(COUNTIF($G112:Klisz_Verbräuche[[#This Row],[2027]],"&gt;0")&gt;0,Klisz_Verbräuche[[#This Row],[2027]]*(1-$F112)^1, ""), ""),IF($B$14&gt;Klisz_Verbräuche[[#Headers],[2028]],Refsz_Verbräuche[[#This Row],[2028]],"")))</f>
        <v/>
      </c>
      <c r="U112" s="49" t="str">
        <f>IF(Klisz_Verbräuche[[#Headers],[2029]]=$B$14,IF(COUNTIF($G112:Klisz_Verbräuche[[#This Row],[2028]],"&gt;0")&gt;0, AVERAGEIF($G112:Klisz_Verbräuche[[#This Row],[2028]],"&lt;&gt;"), ""),IF($B$14&lt;Klisz_Verbräuche[[#Headers],[2029]],IF(COUNTIF($G112:Klisz_Verbräuche[[#This Row],[2028]],"&gt;0")&gt;0,IF(COUNTIF($G112:Klisz_Verbräuche[[#This Row],[2028]],"&gt;0")&gt;0,Klisz_Verbräuche[[#This Row],[2028]]*(1-$F112)^1, ""), ""),IF($B$14&gt;Klisz_Verbräuche[[#Headers],[2029]],Refsz_Verbräuche[[#This Row],[2029]],"")))</f>
        <v/>
      </c>
      <c r="V112" s="49" t="str">
        <f>IF(Klisz_Verbräuche[[#Headers],[2030]]=$B$14,IF(COUNTIF($G112:Klisz_Verbräuche[[#This Row],[2029]],"&gt;0")&gt;0, AVERAGEIF($G112:Klisz_Verbräuche[[#This Row],[2029]],"&lt;&gt;"), ""),IF($B$14&lt;Klisz_Verbräuche[[#Headers],[2030]],IF(COUNTIF($G112:Klisz_Verbräuche[[#This Row],[2029]],"&gt;0")&gt;0,IF(COUNTIF($G112:Klisz_Verbräuche[[#This Row],[2029]],"&gt;0")&gt;0,Klisz_Verbräuche[[#This Row],[2029]]*(1-$F112)^1, ""), ""),IF($B$14&gt;Klisz_Verbräuche[[#Headers],[2030]],Refsz_Verbräuche[[#This Row],[2030]],"")))</f>
        <v/>
      </c>
      <c r="W112" s="49" t="str">
        <f>IF(Klisz_Verbräuche[[#Headers],[2035]]=$B$14,IF(COUNTIF($G112:Klisz_Verbräuche[[#This Row],[2030]],"&gt;0")&gt;0, AVERAGEIF($G112:Klisz_Verbräuche[[#This Row],[2030]],"&lt;&gt;"), ""),IF($B$14&lt;Klisz_Verbräuche[[#Headers],[2035]],IF(COUNTIF($G112:Klisz_Verbräuche[[#This Row],[2030]],"&gt;0")&gt;0,IF(COUNTIF($G112:Klisz_Verbräuche[[#This Row],[2030]],"&gt;0")&gt;0,Klisz_Verbräuche[[#This Row],[2030]]*(1-$F112)^5, ""), ""),IF($B$14&gt;Klisz_Verbräuche[[#Headers],[2035]],Refsz_Verbräuche[[#This Row],[2035]],"")))</f>
        <v/>
      </c>
      <c r="X112" s="49" t="str">
        <f>IF(Klisz_Verbräuche[[#Headers],[2040]]=$B$14,IF(COUNTIF($G112:Klisz_Verbräuche[[#This Row],[2035]],"&gt;0")&gt;0, AVERAGEIF($G112:Klisz_Verbräuche[[#This Row],[2035]],"&lt;&gt;"), ""),IF($B$14&lt;Klisz_Verbräuche[[#Headers],[2040]],IF(COUNTIF($G112:Klisz_Verbräuche[[#This Row],[2035]],"&gt;0")&gt;0,IF(COUNTIF($G112:Klisz_Verbräuche[[#This Row],[2035]],"&gt;0")&gt;0,Klisz_Verbräuche[[#This Row],[2035]]*(1-$F112)^5, ""), ""),IF($B$14&gt;Klisz_Verbräuche[[#Headers],[2040]],Refsz_Verbräuche[[#This Row],[2040]],"")))</f>
        <v/>
      </c>
      <c r="Y112" s="49" t="str">
        <f>IF(Klisz_Verbräuche[[#Headers],[2045]]=$B$14,IF(COUNTIF($G112:Klisz_Verbräuche[[#This Row],[2040]],"&gt;0")&gt;0, AVERAGEIF($G112:Klisz_Verbräuche[[#This Row],[2040]],"&lt;&gt;"), ""),IF($B$14&lt;Klisz_Verbräuche[[#Headers],[2045]],IF(COUNTIF($G112:Klisz_Verbräuche[[#This Row],[2040]],"&gt;0")&gt;0,IF(COUNTIF($G112:Klisz_Verbräuche[[#This Row],[2040]],"&gt;0")&gt;0,Klisz_Verbräuche[[#This Row],[2040]]*(1-$F112)^5, ""), ""),IF($B$14&gt;Klisz_Verbräuche[[#Headers],[2045]],Refsz_Verbräuche[[#This Row],[2045]],"")))</f>
        <v/>
      </c>
      <c r="Z112" s="49" t="str">
        <f>IF(Klisz_Verbräuche[[#Headers],[2050]]=$B$14,IF(COUNTIF($G112:Klisz_Verbräuche[[#This Row],[2045]],"&gt;0")&gt;0, AVERAGEIF($G112:Klisz_Verbräuche[[#This Row],[2045]],"&lt;&gt;"), ""),IF($B$14&lt;Klisz_Verbräuche[[#Headers],[2050]],IF(COUNTIF($G112:Klisz_Verbräuche[[#This Row],[2045]],"&gt;0")&gt;0,IF(COUNTIF($G112:Klisz_Verbräuche[[#This Row],[2045]],"&gt;0")&gt;0,Klisz_Verbräuche[[#This Row],[2045]]*(1-$F112)^5, ""), ""),IF($B$14&gt;Klisz_Verbräuche[[#Headers],[2050]],Refsz_Verbräuche[[#This Row],[2050]],"")))</f>
        <v/>
      </c>
      <c r="AA112" s="14"/>
    </row>
    <row r="113" spans="2:27">
      <c r="B113" s="14">
        <v>96</v>
      </c>
      <c r="C113" s="197" t="str">
        <f>Refsz_Verbräuche[[#This Row],[Handlungsfeld]]</f>
        <v>Waren und Dienstleistungen</v>
      </c>
      <c r="D113" s="19" t="str">
        <f>Refsz_Verbräuche[[#This Row],[Datenpunkt]]</f>
        <v>Notebook/Laptop</v>
      </c>
      <c r="E113" s="26" t="str">
        <f>Refsz_Verbräuche[[#This Row],[Einheit]]</f>
        <v>Stk</v>
      </c>
      <c r="F113" s="108"/>
      <c r="G113" s="14" t="str">
        <f>IF(ISBLANK(Refsz_Verbräuche[[#This Row],[2015]]),"",Refsz_Verbräuche[[#This Row],[2015]])</f>
        <v/>
      </c>
      <c r="H113" s="14" t="str">
        <f>IF(ISBLANK(Refsz_Verbräuche[[#This Row],[2016]]),"",Refsz_Verbräuche[[#This Row],[2016]])</f>
        <v/>
      </c>
      <c r="I113" s="14" t="str">
        <f>IF(ISBLANK(Refsz_Verbräuche[[#This Row],[2017]]),"",Refsz_Verbräuche[[#This Row],[2017]])</f>
        <v/>
      </c>
      <c r="J113" s="14" t="str">
        <f>IF(ISBLANK(Refsz_Verbräuche[[#This Row],[2018]]),"",Refsz_Verbräuche[[#This Row],[2018]])</f>
        <v/>
      </c>
      <c r="K113" s="14" t="str">
        <f>IF(ISBLANK(Refsz_Verbräuche[[#This Row],[2019]]),"",Refsz_Verbräuche[[#This Row],[2019]])</f>
        <v/>
      </c>
      <c r="L113" s="14" t="str">
        <f>IF(ISBLANK(Refsz_Verbräuche[[#This Row],[2020]]),"",Refsz_Verbräuche[[#This Row],[2020]])</f>
        <v/>
      </c>
      <c r="M113" s="14" t="str">
        <f>IF(ISBLANK(Refsz_Verbräuche[[#This Row],[2021]]),"",Refsz_Verbräuche[[#This Row],[2021]])</f>
        <v/>
      </c>
      <c r="N113" s="49" t="str">
        <f>IF(Klisz_Verbräuche[[#Headers],[2022]]=$B$14,IF(COUNTIF($G113:Klisz_Verbräuche[[#This Row],[2021]],"&gt;0")&gt;0, AVERAGEIF($G113:Klisz_Verbräuche[[#This Row],[2021]],"&lt;&gt;"), ""),IF($B$14&lt;Klisz_Verbräuche[[#Headers],[2022]],IF(COUNTIF($G113:Klisz_Verbräuche[[#This Row],[2021]],"&gt;0")&gt;0,IF(COUNTIF($G113:Klisz_Verbräuche[[#This Row],[2021]],"&gt;0")&gt;0,Klisz_Verbräuche[[#This Row],[2021]]*(1-$F113)^1, ""), ""),IF($B$14&gt;Klisz_Verbräuche[[#Headers],[2022]],Refsz_Verbräuche[[#This Row],[2022]],"")))</f>
        <v/>
      </c>
      <c r="O113" s="49" t="str">
        <f>IF(Klisz_Verbräuche[[#Headers],[2023]]=$B$14,IF(COUNTIF($G113:Klisz_Verbräuche[[#This Row],[2022]],"&gt;0")&gt;0, AVERAGEIF($G113:Klisz_Verbräuche[[#This Row],[2022]],"&lt;&gt;"), ""),IF($B$14&lt;Klisz_Verbräuche[[#Headers],[2023]],IF(COUNTIF($G113:Klisz_Verbräuche[[#This Row],[2022]],"&gt;0")&gt;0,IF(COUNTIF($G113:Klisz_Verbräuche[[#This Row],[2022]],"&gt;0")&gt;0,Klisz_Verbräuche[[#This Row],[2022]]*(1-$F113)^1, ""), ""),IF($B$14&gt;Klisz_Verbräuche[[#Headers],[2023]],Refsz_Verbräuche[[#This Row],[2023]],"")))</f>
        <v/>
      </c>
      <c r="P113" s="49" t="str">
        <f>IF(Klisz_Verbräuche[[#Headers],[2024]]=$B$14,IF(COUNTIF($G113:Klisz_Verbräuche[[#This Row],[2023]],"&gt;0")&gt;0, AVERAGEIF($G113:Klisz_Verbräuche[[#This Row],[2023]],"&lt;&gt;"), ""),IF($B$14&lt;Klisz_Verbräuche[[#Headers],[2024]],IF(COUNTIF($G113:Klisz_Verbräuche[[#This Row],[2023]],"&gt;0")&gt;0,IF(COUNTIF($G113:Klisz_Verbräuche[[#This Row],[2023]],"&gt;0")&gt;0,Klisz_Verbräuche[[#This Row],[2023]]*(1-$F113)^1, ""), ""),IF($B$14&gt;Klisz_Verbräuche[[#Headers],[2024]],Refsz_Verbräuche[[#This Row],[2024]],"")))</f>
        <v/>
      </c>
      <c r="Q113" s="49" t="str">
        <f>IF(Klisz_Verbräuche[[#Headers],[2025]]=$B$14,IF(COUNTIF($G113:Klisz_Verbräuche[[#This Row],[2024]],"&gt;0")&gt;0, AVERAGEIF($G113:Klisz_Verbräuche[[#This Row],[2024]],"&lt;&gt;"), ""),IF($B$14&lt;Klisz_Verbräuche[[#Headers],[2025]],IF(COUNTIF($G113:Klisz_Verbräuche[[#This Row],[2024]],"&gt;0")&gt;0,IF(COUNTIF($G113:Klisz_Verbräuche[[#This Row],[2024]],"&gt;0")&gt;0,Klisz_Verbräuche[[#This Row],[2024]]*(1-$F113)^1, ""), ""),IF($B$14&gt;Klisz_Verbräuche[[#Headers],[2025]],Refsz_Verbräuche[[#This Row],[2025]],"")))</f>
        <v/>
      </c>
      <c r="R113" s="49" t="str">
        <f>IF(Klisz_Verbräuche[[#Headers],[2026]]=$B$14,IF(COUNTIF($G113:Klisz_Verbräuche[[#This Row],[2025]],"&gt;0")&gt;0, AVERAGEIF($G113:Klisz_Verbräuche[[#This Row],[2025]],"&lt;&gt;"), ""),IF($B$14&lt;Klisz_Verbräuche[[#Headers],[2026]],IF(COUNTIF($G113:Klisz_Verbräuche[[#This Row],[2025]],"&gt;0")&gt;0,IF(COUNTIF($G113:Klisz_Verbräuche[[#This Row],[2025]],"&gt;0")&gt;0,Klisz_Verbräuche[[#This Row],[2025]]*(1-$F113)^1, ""), ""),IF($B$14&gt;Klisz_Verbräuche[[#Headers],[2026]],Refsz_Verbräuche[[#This Row],[2026]],"")))</f>
        <v/>
      </c>
      <c r="S113" s="49" t="str">
        <f>IF(Klisz_Verbräuche[[#Headers],[2027]]=$B$14,IF(COUNTIF($G113:Klisz_Verbräuche[[#This Row],[2026]],"&gt;0")&gt;0, AVERAGEIF($G113:Klisz_Verbräuche[[#This Row],[2026]],"&lt;&gt;"), ""),IF($B$14&lt;Klisz_Verbräuche[[#Headers],[2027]],IF(COUNTIF($G113:Klisz_Verbräuche[[#This Row],[2026]],"&gt;0")&gt;0,IF(COUNTIF($G113:Klisz_Verbräuche[[#This Row],[2026]],"&gt;0")&gt;0,Klisz_Verbräuche[[#This Row],[2026]]*(1-$F113)^1, ""), ""),IF($B$14&gt;Klisz_Verbräuche[[#Headers],[2027]],Refsz_Verbräuche[[#This Row],[2027]],"")))</f>
        <v/>
      </c>
      <c r="T113" s="49" t="str">
        <f>IF(Klisz_Verbräuche[[#Headers],[2028]]=$B$14,IF(COUNTIF($G113:Klisz_Verbräuche[[#This Row],[2027]],"&gt;0")&gt;0, AVERAGEIF($G113:Klisz_Verbräuche[[#This Row],[2027]],"&lt;&gt;"), ""),IF($B$14&lt;Klisz_Verbräuche[[#Headers],[2028]],IF(COUNTIF($G113:Klisz_Verbräuche[[#This Row],[2027]],"&gt;0")&gt;0,IF(COUNTIF($G113:Klisz_Verbräuche[[#This Row],[2027]],"&gt;0")&gt;0,Klisz_Verbräuche[[#This Row],[2027]]*(1-$F113)^1, ""), ""),IF($B$14&gt;Klisz_Verbräuche[[#Headers],[2028]],Refsz_Verbräuche[[#This Row],[2028]],"")))</f>
        <v/>
      </c>
      <c r="U113" s="49" t="str">
        <f>IF(Klisz_Verbräuche[[#Headers],[2029]]=$B$14,IF(COUNTIF($G113:Klisz_Verbräuche[[#This Row],[2028]],"&gt;0")&gt;0, AVERAGEIF($G113:Klisz_Verbräuche[[#This Row],[2028]],"&lt;&gt;"), ""),IF($B$14&lt;Klisz_Verbräuche[[#Headers],[2029]],IF(COUNTIF($G113:Klisz_Verbräuche[[#This Row],[2028]],"&gt;0")&gt;0,IF(COUNTIF($G113:Klisz_Verbräuche[[#This Row],[2028]],"&gt;0")&gt;0,Klisz_Verbräuche[[#This Row],[2028]]*(1-$F113)^1, ""), ""),IF($B$14&gt;Klisz_Verbräuche[[#Headers],[2029]],Refsz_Verbräuche[[#This Row],[2029]],"")))</f>
        <v/>
      </c>
      <c r="V113" s="49" t="str">
        <f>IF(Klisz_Verbräuche[[#Headers],[2030]]=$B$14,IF(COUNTIF($G113:Klisz_Verbräuche[[#This Row],[2029]],"&gt;0")&gt;0, AVERAGEIF($G113:Klisz_Verbräuche[[#This Row],[2029]],"&lt;&gt;"), ""),IF($B$14&lt;Klisz_Verbräuche[[#Headers],[2030]],IF(COUNTIF($G113:Klisz_Verbräuche[[#This Row],[2029]],"&gt;0")&gt;0,IF(COUNTIF($G113:Klisz_Verbräuche[[#This Row],[2029]],"&gt;0")&gt;0,Klisz_Verbräuche[[#This Row],[2029]]*(1-$F113)^1, ""), ""),IF($B$14&gt;Klisz_Verbräuche[[#Headers],[2030]],Refsz_Verbräuche[[#This Row],[2030]],"")))</f>
        <v/>
      </c>
      <c r="W113" s="49" t="str">
        <f>IF(Klisz_Verbräuche[[#Headers],[2035]]=$B$14,IF(COUNTIF($G113:Klisz_Verbräuche[[#This Row],[2030]],"&gt;0")&gt;0, AVERAGEIF($G113:Klisz_Verbräuche[[#This Row],[2030]],"&lt;&gt;"), ""),IF($B$14&lt;Klisz_Verbräuche[[#Headers],[2035]],IF(COUNTIF($G113:Klisz_Verbräuche[[#This Row],[2030]],"&gt;0")&gt;0,IF(COUNTIF($G113:Klisz_Verbräuche[[#This Row],[2030]],"&gt;0")&gt;0,Klisz_Verbräuche[[#This Row],[2030]]*(1-$F113)^5, ""), ""),IF($B$14&gt;Klisz_Verbräuche[[#Headers],[2035]],Refsz_Verbräuche[[#This Row],[2035]],"")))</f>
        <v/>
      </c>
      <c r="X113" s="49" t="str">
        <f>IF(Klisz_Verbräuche[[#Headers],[2040]]=$B$14,IF(COUNTIF($G113:Klisz_Verbräuche[[#This Row],[2035]],"&gt;0")&gt;0, AVERAGEIF($G113:Klisz_Verbräuche[[#This Row],[2035]],"&lt;&gt;"), ""),IF($B$14&lt;Klisz_Verbräuche[[#Headers],[2040]],IF(COUNTIF($G113:Klisz_Verbräuche[[#This Row],[2035]],"&gt;0")&gt;0,IF(COUNTIF($G113:Klisz_Verbräuche[[#This Row],[2035]],"&gt;0")&gt;0,Klisz_Verbräuche[[#This Row],[2035]]*(1-$F113)^5, ""), ""),IF($B$14&gt;Klisz_Verbräuche[[#Headers],[2040]],Refsz_Verbräuche[[#This Row],[2040]],"")))</f>
        <v/>
      </c>
      <c r="Y113" s="49" t="str">
        <f>IF(Klisz_Verbräuche[[#Headers],[2045]]=$B$14,IF(COUNTIF($G113:Klisz_Verbräuche[[#This Row],[2040]],"&gt;0")&gt;0, AVERAGEIF($G113:Klisz_Verbräuche[[#This Row],[2040]],"&lt;&gt;"), ""),IF($B$14&lt;Klisz_Verbräuche[[#Headers],[2045]],IF(COUNTIF($G113:Klisz_Verbräuche[[#This Row],[2040]],"&gt;0")&gt;0,IF(COUNTIF($G113:Klisz_Verbräuche[[#This Row],[2040]],"&gt;0")&gt;0,Klisz_Verbräuche[[#This Row],[2040]]*(1-$F113)^5, ""), ""),IF($B$14&gt;Klisz_Verbräuche[[#Headers],[2045]],Refsz_Verbräuche[[#This Row],[2045]],"")))</f>
        <v/>
      </c>
      <c r="Z113" s="49" t="str">
        <f>IF(Klisz_Verbräuche[[#Headers],[2050]]=$B$14,IF(COUNTIF($G113:Klisz_Verbräuche[[#This Row],[2045]],"&gt;0")&gt;0, AVERAGEIF($G113:Klisz_Verbräuche[[#This Row],[2045]],"&lt;&gt;"), ""),IF($B$14&lt;Klisz_Verbräuche[[#Headers],[2050]],IF(COUNTIF($G113:Klisz_Verbräuche[[#This Row],[2045]],"&gt;0")&gt;0,IF(COUNTIF($G113:Klisz_Verbräuche[[#This Row],[2045]],"&gt;0")&gt;0,Klisz_Verbräuche[[#This Row],[2045]]*(1-$F113)^5, ""), ""),IF($B$14&gt;Klisz_Verbräuche[[#Headers],[2050]],Refsz_Verbräuche[[#This Row],[2050]],"")))</f>
        <v/>
      </c>
      <c r="AA113" s="14"/>
    </row>
    <row r="114" spans="2:27">
      <c r="B114" s="14">
        <v>97</v>
      </c>
      <c r="C114" s="197" t="str">
        <f>Refsz_Verbräuche[[#This Row],[Handlungsfeld]]</f>
        <v>Waren und Dienstleistungen</v>
      </c>
      <c r="D114" s="19" t="str">
        <f>Refsz_Verbräuche[[#This Row],[Datenpunkt]]</f>
        <v>Desktop-PC mit Monitor</v>
      </c>
      <c r="E114" s="26" t="str">
        <f>Refsz_Verbräuche[[#This Row],[Einheit]]</f>
        <v>Stk</v>
      </c>
      <c r="F114" s="108"/>
      <c r="G114" s="14" t="str">
        <f>IF(ISBLANK(Refsz_Verbräuche[[#This Row],[2015]]),"",Refsz_Verbräuche[[#This Row],[2015]])</f>
        <v/>
      </c>
      <c r="H114" s="14" t="str">
        <f>IF(ISBLANK(Refsz_Verbräuche[[#This Row],[2016]]),"",Refsz_Verbräuche[[#This Row],[2016]])</f>
        <v/>
      </c>
      <c r="I114" s="14" t="str">
        <f>IF(ISBLANK(Refsz_Verbräuche[[#This Row],[2017]]),"",Refsz_Verbräuche[[#This Row],[2017]])</f>
        <v/>
      </c>
      <c r="J114" s="14" t="str">
        <f>IF(ISBLANK(Refsz_Verbräuche[[#This Row],[2018]]),"",Refsz_Verbräuche[[#This Row],[2018]])</f>
        <v/>
      </c>
      <c r="K114" s="14" t="str">
        <f>IF(ISBLANK(Refsz_Verbräuche[[#This Row],[2019]]),"",Refsz_Verbräuche[[#This Row],[2019]])</f>
        <v/>
      </c>
      <c r="L114" s="14" t="str">
        <f>IF(ISBLANK(Refsz_Verbräuche[[#This Row],[2020]]),"",Refsz_Verbräuche[[#This Row],[2020]])</f>
        <v/>
      </c>
      <c r="M114" s="14" t="str">
        <f>IF(ISBLANK(Refsz_Verbräuche[[#This Row],[2021]]),"",Refsz_Verbräuche[[#This Row],[2021]])</f>
        <v/>
      </c>
      <c r="N114" s="49" t="str">
        <f>IF(Klisz_Verbräuche[[#Headers],[2022]]=$B$14,IF(COUNTIF($G114:Klisz_Verbräuche[[#This Row],[2021]],"&gt;0")&gt;0, AVERAGEIF($G114:Klisz_Verbräuche[[#This Row],[2021]],"&lt;&gt;"), ""),IF($B$14&lt;Klisz_Verbräuche[[#Headers],[2022]],IF(COUNTIF($G114:Klisz_Verbräuche[[#This Row],[2021]],"&gt;0")&gt;0,IF(COUNTIF($G114:Klisz_Verbräuche[[#This Row],[2021]],"&gt;0")&gt;0,Klisz_Verbräuche[[#This Row],[2021]]*(1-$F114)^1, ""), ""),IF($B$14&gt;Klisz_Verbräuche[[#Headers],[2022]],Refsz_Verbräuche[[#This Row],[2022]],"")))</f>
        <v/>
      </c>
      <c r="O114" s="49" t="str">
        <f>IF(Klisz_Verbräuche[[#Headers],[2023]]=$B$14,IF(COUNTIF($G114:Klisz_Verbräuche[[#This Row],[2022]],"&gt;0")&gt;0, AVERAGEIF($G114:Klisz_Verbräuche[[#This Row],[2022]],"&lt;&gt;"), ""),IF($B$14&lt;Klisz_Verbräuche[[#Headers],[2023]],IF(COUNTIF($G114:Klisz_Verbräuche[[#This Row],[2022]],"&gt;0")&gt;0,IF(COUNTIF($G114:Klisz_Verbräuche[[#This Row],[2022]],"&gt;0")&gt;0,Klisz_Verbräuche[[#This Row],[2022]]*(1-$F114)^1, ""), ""),IF($B$14&gt;Klisz_Verbräuche[[#Headers],[2023]],Refsz_Verbräuche[[#This Row],[2023]],"")))</f>
        <v/>
      </c>
      <c r="P114" s="49" t="str">
        <f>IF(Klisz_Verbräuche[[#Headers],[2024]]=$B$14,IF(COUNTIF($G114:Klisz_Verbräuche[[#This Row],[2023]],"&gt;0")&gt;0, AVERAGEIF($G114:Klisz_Verbräuche[[#This Row],[2023]],"&lt;&gt;"), ""),IF($B$14&lt;Klisz_Verbräuche[[#Headers],[2024]],IF(COUNTIF($G114:Klisz_Verbräuche[[#This Row],[2023]],"&gt;0")&gt;0,IF(COUNTIF($G114:Klisz_Verbräuche[[#This Row],[2023]],"&gt;0")&gt;0,Klisz_Verbräuche[[#This Row],[2023]]*(1-$F114)^1, ""), ""),IF($B$14&gt;Klisz_Verbräuche[[#Headers],[2024]],Refsz_Verbräuche[[#This Row],[2024]],"")))</f>
        <v/>
      </c>
      <c r="Q114" s="49" t="str">
        <f>IF(Klisz_Verbräuche[[#Headers],[2025]]=$B$14,IF(COUNTIF($G114:Klisz_Verbräuche[[#This Row],[2024]],"&gt;0")&gt;0, AVERAGEIF($G114:Klisz_Verbräuche[[#This Row],[2024]],"&lt;&gt;"), ""),IF($B$14&lt;Klisz_Verbräuche[[#Headers],[2025]],IF(COUNTIF($G114:Klisz_Verbräuche[[#This Row],[2024]],"&gt;0")&gt;0,IF(COUNTIF($G114:Klisz_Verbräuche[[#This Row],[2024]],"&gt;0")&gt;0,Klisz_Verbräuche[[#This Row],[2024]]*(1-$F114)^1, ""), ""),IF($B$14&gt;Klisz_Verbräuche[[#Headers],[2025]],Refsz_Verbräuche[[#This Row],[2025]],"")))</f>
        <v/>
      </c>
      <c r="R114" s="49" t="str">
        <f>IF(Klisz_Verbräuche[[#Headers],[2026]]=$B$14,IF(COUNTIF($G114:Klisz_Verbräuche[[#This Row],[2025]],"&gt;0")&gt;0, AVERAGEIF($G114:Klisz_Verbräuche[[#This Row],[2025]],"&lt;&gt;"), ""),IF($B$14&lt;Klisz_Verbräuche[[#Headers],[2026]],IF(COUNTIF($G114:Klisz_Verbräuche[[#This Row],[2025]],"&gt;0")&gt;0,IF(COUNTIF($G114:Klisz_Verbräuche[[#This Row],[2025]],"&gt;0")&gt;0,Klisz_Verbräuche[[#This Row],[2025]]*(1-$F114)^1, ""), ""),IF($B$14&gt;Klisz_Verbräuche[[#Headers],[2026]],Refsz_Verbräuche[[#This Row],[2026]],"")))</f>
        <v/>
      </c>
      <c r="S114" s="49" t="str">
        <f>IF(Klisz_Verbräuche[[#Headers],[2027]]=$B$14,IF(COUNTIF($G114:Klisz_Verbräuche[[#This Row],[2026]],"&gt;0")&gt;0, AVERAGEIF($G114:Klisz_Verbräuche[[#This Row],[2026]],"&lt;&gt;"), ""),IF($B$14&lt;Klisz_Verbräuche[[#Headers],[2027]],IF(COUNTIF($G114:Klisz_Verbräuche[[#This Row],[2026]],"&gt;0")&gt;0,IF(COUNTIF($G114:Klisz_Verbräuche[[#This Row],[2026]],"&gt;0")&gt;0,Klisz_Verbräuche[[#This Row],[2026]]*(1-$F114)^1, ""), ""),IF($B$14&gt;Klisz_Verbräuche[[#Headers],[2027]],Refsz_Verbräuche[[#This Row],[2027]],"")))</f>
        <v/>
      </c>
      <c r="T114" s="49" t="str">
        <f>IF(Klisz_Verbräuche[[#Headers],[2028]]=$B$14,IF(COUNTIF($G114:Klisz_Verbräuche[[#This Row],[2027]],"&gt;0")&gt;0, AVERAGEIF($G114:Klisz_Verbräuche[[#This Row],[2027]],"&lt;&gt;"), ""),IF($B$14&lt;Klisz_Verbräuche[[#Headers],[2028]],IF(COUNTIF($G114:Klisz_Verbräuche[[#This Row],[2027]],"&gt;0")&gt;0,IF(COUNTIF($G114:Klisz_Verbräuche[[#This Row],[2027]],"&gt;0")&gt;0,Klisz_Verbräuche[[#This Row],[2027]]*(1-$F114)^1, ""), ""),IF($B$14&gt;Klisz_Verbräuche[[#Headers],[2028]],Refsz_Verbräuche[[#This Row],[2028]],"")))</f>
        <v/>
      </c>
      <c r="U114" s="49" t="str">
        <f>IF(Klisz_Verbräuche[[#Headers],[2029]]=$B$14,IF(COUNTIF($G114:Klisz_Verbräuche[[#This Row],[2028]],"&gt;0")&gt;0, AVERAGEIF($G114:Klisz_Verbräuche[[#This Row],[2028]],"&lt;&gt;"), ""),IF($B$14&lt;Klisz_Verbräuche[[#Headers],[2029]],IF(COUNTIF($G114:Klisz_Verbräuche[[#This Row],[2028]],"&gt;0")&gt;0,IF(COUNTIF($G114:Klisz_Verbräuche[[#This Row],[2028]],"&gt;0")&gt;0,Klisz_Verbräuche[[#This Row],[2028]]*(1-$F114)^1, ""), ""),IF($B$14&gt;Klisz_Verbräuche[[#Headers],[2029]],Refsz_Verbräuche[[#This Row],[2029]],"")))</f>
        <v/>
      </c>
      <c r="V114" s="49" t="str">
        <f>IF(Klisz_Verbräuche[[#Headers],[2030]]=$B$14,IF(COUNTIF($G114:Klisz_Verbräuche[[#This Row],[2029]],"&gt;0")&gt;0, AVERAGEIF($G114:Klisz_Verbräuche[[#This Row],[2029]],"&lt;&gt;"), ""),IF($B$14&lt;Klisz_Verbräuche[[#Headers],[2030]],IF(COUNTIF($G114:Klisz_Verbräuche[[#This Row],[2029]],"&gt;0")&gt;0,IF(COUNTIF($G114:Klisz_Verbräuche[[#This Row],[2029]],"&gt;0")&gt;0,Klisz_Verbräuche[[#This Row],[2029]]*(1-$F114)^1, ""), ""),IF($B$14&gt;Klisz_Verbräuche[[#Headers],[2030]],Refsz_Verbräuche[[#This Row],[2030]],"")))</f>
        <v/>
      </c>
      <c r="W114" s="49" t="str">
        <f>IF(Klisz_Verbräuche[[#Headers],[2035]]=$B$14,IF(COUNTIF($G114:Klisz_Verbräuche[[#This Row],[2030]],"&gt;0")&gt;0, AVERAGEIF($G114:Klisz_Verbräuche[[#This Row],[2030]],"&lt;&gt;"), ""),IF($B$14&lt;Klisz_Verbräuche[[#Headers],[2035]],IF(COUNTIF($G114:Klisz_Verbräuche[[#This Row],[2030]],"&gt;0")&gt;0,IF(COUNTIF($G114:Klisz_Verbräuche[[#This Row],[2030]],"&gt;0")&gt;0,Klisz_Verbräuche[[#This Row],[2030]]*(1-$F114)^5, ""), ""),IF($B$14&gt;Klisz_Verbräuche[[#Headers],[2035]],Refsz_Verbräuche[[#This Row],[2035]],"")))</f>
        <v/>
      </c>
      <c r="X114" s="49" t="str">
        <f>IF(Klisz_Verbräuche[[#Headers],[2040]]=$B$14,IF(COUNTIF($G114:Klisz_Verbräuche[[#This Row],[2035]],"&gt;0")&gt;0, AVERAGEIF($G114:Klisz_Verbräuche[[#This Row],[2035]],"&lt;&gt;"), ""),IF($B$14&lt;Klisz_Verbräuche[[#Headers],[2040]],IF(COUNTIF($G114:Klisz_Verbräuche[[#This Row],[2035]],"&gt;0")&gt;0,IF(COUNTIF($G114:Klisz_Verbräuche[[#This Row],[2035]],"&gt;0")&gt;0,Klisz_Verbräuche[[#This Row],[2035]]*(1-$F114)^5, ""), ""),IF($B$14&gt;Klisz_Verbräuche[[#Headers],[2040]],Refsz_Verbräuche[[#This Row],[2040]],"")))</f>
        <v/>
      </c>
      <c r="Y114" s="49" t="str">
        <f>IF(Klisz_Verbräuche[[#Headers],[2045]]=$B$14,IF(COUNTIF($G114:Klisz_Verbräuche[[#This Row],[2040]],"&gt;0")&gt;0, AVERAGEIF($G114:Klisz_Verbräuche[[#This Row],[2040]],"&lt;&gt;"), ""),IF($B$14&lt;Klisz_Verbräuche[[#Headers],[2045]],IF(COUNTIF($G114:Klisz_Verbräuche[[#This Row],[2040]],"&gt;0")&gt;0,IF(COUNTIF($G114:Klisz_Verbräuche[[#This Row],[2040]],"&gt;0")&gt;0,Klisz_Verbräuche[[#This Row],[2040]]*(1-$F114)^5, ""), ""),IF($B$14&gt;Klisz_Verbräuche[[#Headers],[2045]],Refsz_Verbräuche[[#This Row],[2045]],"")))</f>
        <v/>
      </c>
      <c r="Z114" s="49" t="str">
        <f>IF(Klisz_Verbräuche[[#Headers],[2050]]=$B$14,IF(COUNTIF($G114:Klisz_Verbräuche[[#This Row],[2045]],"&gt;0")&gt;0, AVERAGEIF($G114:Klisz_Verbräuche[[#This Row],[2045]],"&lt;&gt;"), ""),IF($B$14&lt;Klisz_Verbräuche[[#Headers],[2050]],IF(COUNTIF($G114:Klisz_Verbräuche[[#This Row],[2045]],"&gt;0")&gt;0,IF(COUNTIF($G114:Klisz_Verbräuche[[#This Row],[2045]],"&gt;0")&gt;0,Klisz_Verbräuche[[#This Row],[2045]]*(1-$F114)^5, ""), ""),IF($B$14&gt;Klisz_Verbräuche[[#Headers],[2050]],Refsz_Verbräuche[[#This Row],[2050]],"")))</f>
        <v/>
      </c>
      <c r="AA114" s="14"/>
    </row>
    <row r="115" spans="2:27">
      <c r="B115" s="14">
        <v>98</v>
      </c>
      <c r="C115" s="197" t="str">
        <f>Refsz_Verbräuche[[#This Row],[Handlungsfeld]]</f>
        <v>Waren und Dienstleistungen</v>
      </c>
      <c r="D115" s="19" t="str">
        <f>Refsz_Verbräuche[[#This Row],[Datenpunkt]]</f>
        <v>Docking-Station</v>
      </c>
      <c r="E115" s="26" t="str">
        <f>Refsz_Verbräuche[[#This Row],[Einheit]]</f>
        <v>Stk</v>
      </c>
      <c r="F115" s="108"/>
      <c r="G115" s="14" t="str">
        <f>IF(ISBLANK(Refsz_Verbräuche[[#This Row],[2015]]),"",Refsz_Verbräuche[[#This Row],[2015]])</f>
        <v/>
      </c>
      <c r="H115" s="14" t="str">
        <f>IF(ISBLANK(Refsz_Verbräuche[[#This Row],[2016]]),"",Refsz_Verbräuche[[#This Row],[2016]])</f>
        <v/>
      </c>
      <c r="I115" s="14" t="str">
        <f>IF(ISBLANK(Refsz_Verbräuche[[#This Row],[2017]]),"",Refsz_Verbräuche[[#This Row],[2017]])</f>
        <v/>
      </c>
      <c r="J115" s="14" t="str">
        <f>IF(ISBLANK(Refsz_Verbräuche[[#This Row],[2018]]),"",Refsz_Verbräuche[[#This Row],[2018]])</f>
        <v/>
      </c>
      <c r="K115" s="14" t="str">
        <f>IF(ISBLANK(Refsz_Verbräuche[[#This Row],[2019]]),"",Refsz_Verbräuche[[#This Row],[2019]])</f>
        <v/>
      </c>
      <c r="L115" s="14" t="str">
        <f>IF(ISBLANK(Refsz_Verbräuche[[#This Row],[2020]]),"",Refsz_Verbräuche[[#This Row],[2020]])</f>
        <v/>
      </c>
      <c r="M115" s="14" t="str">
        <f>IF(ISBLANK(Refsz_Verbräuche[[#This Row],[2021]]),"",Refsz_Verbräuche[[#This Row],[2021]])</f>
        <v/>
      </c>
      <c r="N115" s="49" t="str">
        <f>IF(Klisz_Verbräuche[[#Headers],[2022]]=$B$14,IF(COUNTIF($G115:Klisz_Verbräuche[[#This Row],[2021]],"&gt;0")&gt;0, AVERAGEIF($G115:Klisz_Verbräuche[[#This Row],[2021]],"&lt;&gt;"), ""),IF($B$14&lt;Klisz_Verbräuche[[#Headers],[2022]],IF(COUNTIF($G115:Klisz_Verbräuche[[#This Row],[2021]],"&gt;0")&gt;0,IF(COUNTIF($G115:Klisz_Verbräuche[[#This Row],[2021]],"&gt;0")&gt;0,Klisz_Verbräuche[[#This Row],[2021]]*(1-$F115)^1, ""), ""),IF($B$14&gt;Klisz_Verbräuche[[#Headers],[2022]],Refsz_Verbräuche[[#This Row],[2022]],"")))</f>
        <v/>
      </c>
      <c r="O115" s="49" t="str">
        <f>IF(Klisz_Verbräuche[[#Headers],[2023]]=$B$14,IF(COUNTIF($G115:Klisz_Verbräuche[[#This Row],[2022]],"&gt;0")&gt;0, AVERAGEIF($G115:Klisz_Verbräuche[[#This Row],[2022]],"&lt;&gt;"), ""),IF($B$14&lt;Klisz_Verbräuche[[#Headers],[2023]],IF(COUNTIF($G115:Klisz_Verbräuche[[#This Row],[2022]],"&gt;0")&gt;0,IF(COUNTIF($G115:Klisz_Verbräuche[[#This Row],[2022]],"&gt;0")&gt;0,Klisz_Verbräuche[[#This Row],[2022]]*(1-$F115)^1, ""), ""),IF($B$14&gt;Klisz_Verbräuche[[#Headers],[2023]],Refsz_Verbräuche[[#This Row],[2023]],"")))</f>
        <v/>
      </c>
      <c r="P115" s="49" t="str">
        <f>IF(Klisz_Verbräuche[[#Headers],[2024]]=$B$14,IF(COUNTIF($G115:Klisz_Verbräuche[[#This Row],[2023]],"&gt;0")&gt;0, AVERAGEIF($G115:Klisz_Verbräuche[[#This Row],[2023]],"&lt;&gt;"), ""),IF($B$14&lt;Klisz_Verbräuche[[#Headers],[2024]],IF(COUNTIF($G115:Klisz_Verbräuche[[#This Row],[2023]],"&gt;0")&gt;0,IF(COUNTIF($G115:Klisz_Verbräuche[[#This Row],[2023]],"&gt;0")&gt;0,Klisz_Verbräuche[[#This Row],[2023]]*(1-$F115)^1, ""), ""),IF($B$14&gt;Klisz_Verbräuche[[#Headers],[2024]],Refsz_Verbräuche[[#This Row],[2024]],"")))</f>
        <v/>
      </c>
      <c r="Q115" s="49" t="str">
        <f>IF(Klisz_Verbräuche[[#Headers],[2025]]=$B$14,IF(COUNTIF($G115:Klisz_Verbräuche[[#This Row],[2024]],"&gt;0")&gt;0, AVERAGEIF($G115:Klisz_Verbräuche[[#This Row],[2024]],"&lt;&gt;"), ""),IF($B$14&lt;Klisz_Verbräuche[[#Headers],[2025]],IF(COUNTIF($G115:Klisz_Verbräuche[[#This Row],[2024]],"&gt;0")&gt;0,IF(COUNTIF($G115:Klisz_Verbräuche[[#This Row],[2024]],"&gt;0")&gt;0,Klisz_Verbräuche[[#This Row],[2024]]*(1-$F115)^1, ""), ""),IF($B$14&gt;Klisz_Verbräuche[[#Headers],[2025]],Refsz_Verbräuche[[#This Row],[2025]],"")))</f>
        <v/>
      </c>
      <c r="R115" s="49" t="str">
        <f>IF(Klisz_Verbräuche[[#Headers],[2026]]=$B$14,IF(COUNTIF($G115:Klisz_Verbräuche[[#This Row],[2025]],"&gt;0")&gt;0, AVERAGEIF($G115:Klisz_Verbräuche[[#This Row],[2025]],"&lt;&gt;"), ""),IF($B$14&lt;Klisz_Verbräuche[[#Headers],[2026]],IF(COUNTIF($G115:Klisz_Verbräuche[[#This Row],[2025]],"&gt;0")&gt;0,IF(COUNTIF($G115:Klisz_Verbräuche[[#This Row],[2025]],"&gt;0")&gt;0,Klisz_Verbräuche[[#This Row],[2025]]*(1-$F115)^1, ""), ""),IF($B$14&gt;Klisz_Verbräuche[[#Headers],[2026]],Refsz_Verbräuche[[#This Row],[2026]],"")))</f>
        <v/>
      </c>
      <c r="S115" s="49" t="str">
        <f>IF(Klisz_Verbräuche[[#Headers],[2027]]=$B$14,IF(COUNTIF($G115:Klisz_Verbräuche[[#This Row],[2026]],"&gt;0")&gt;0, AVERAGEIF($G115:Klisz_Verbräuche[[#This Row],[2026]],"&lt;&gt;"), ""),IF($B$14&lt;Klisz_Verbräuche[[#Headers],[2027]],IF(COUNTIF($G115:Klisz_Verbräuche[[#This Row],[2026]],"&gt;0")&gt;0,IF(COUNTIF($G115:Klisz_Verbräuche[[#This Row],[2026]],"&gt;0")&gt;0,Klisz_Verbräuche[[#This Row],[2026]]*(1-$F115)^1, ""), ""),IF($B$14&gt;Klisz_Verbräuche[[#Headers],[2027]],Refsz_Verbräuche[[#This Row],[2027]],"")))</f>
        <v/>
      </c>
      <c r="T115" s="49" t="str">
        <f>IF(Klisz_Verbräuche[[#Headers],[2028]]=$B$14,IF(COUNTIF($G115:Klisz_Verbräuche[[#This Row],[2027]],"&gt;0")&gt;0, AVERAGEIF($G115:Klisz_Verbräuche[[#This Row],[2027]],"&lt;&gt;"), ""),IF($B$14&lt;Klisz_Verbräuche[[#Headers],[2028]],IF(COUNTIF($G115:Klisz_Verbräuche[[#This Row],[2027]],"&gt;0")&gt;0,IF(COUNTIF($G115:Klisz_Verbräuche[[#This Row],[2027]],"&gt;0")&gt;0,Klisz_Verbräuche[[#This Row],[2027]]*(1-$F115)^1, ""), ""),IF($B$14&gt;Klisz_Verbräuche[[#Headers],[2028]],Refsz_Verbräuche[[#This Row],[2028]],"")))</f>
        <v/>
      </c>
      <c r="U115" s="49" t="str">
        <f>IF(Klisz_Verbräuche[[#Headers],[2029]]=$B$14,IF(COUNTIF($G115:Klisz_Verbräuche[[#This Row],[2028]],"&gt;0")&gt;0, AVERAGEIF($G115:Klisz_Verbräuche[[#This Row],[2028]],"&lt;&gt;"), ""),IF($B$14&lt;Klisz_Verbräuche[[#Headers],[2029]],IF(COUNTIF($G115:Klisz_Verbräuche[[#This Row],[2028]],"&gt;0")&gt;0,IF(COUNTIF($G115:Klisz_Verbräuche[[#This Row],[2028]],"&gt;0")&gt;0,Klisz_Verbräuche[[#This Row],[2028]]*(1-$F115)^1, ""), ""),IF($B$14&gt;Klisz_Verbräuche[[#Headers],[2029]],Refsz_Verbräuche[[#This Row],[2029]],"")))</f>
        <v/>
      </c>
      <c r="V115" s="49" t="str">
        <f>IF(Klisz_Verbräuche[[#Headers],[2030]]=$B$14,IF(COUNTIF($G115:Klisz_Verbräuche[[#This Row],[2029]],"&gt;0")&gt;0, AVERAGEIF($G115:Klisz_Verbräuche[[#This Row],[2029]],"&lt;&gt;"), ""),IF($B$14&lt;Klisz_Verbräuche[[#Headers],[2030]],IF(COUNTIF($G115:Klisz_Verbräuche[[#This Row],[2029]],"&gt;0")&gt;0,IF(COUNTIF($G115:Klisz_Verbräuche[[#This Row],[2029]],"&gt;0")&gt;0,Klisz_Verbräuche[[#This Row],[2029]]*(1-$F115)^1, ""), ""),IF($B$14&gt;Klisz_Verbräuche[[#Headers],[2030]],Refsz_Verbräuche[[#This Row],[2030]],"")))</f>
        <v/>
      </c>
      <c r="W115" s="49" t="str">
        <f>IF(Klisz_Verbräuche[[#Headers],[2035]]=$B$14,IF(COUNTIF($G115:Klisz_Verbräuche[[#This Row],[2030]],"&gt;0")&gt;0, AVERAGEIF($G115:Klisz_Verbräuche[[#This Row],[2030]],"&lt;&gt;"), ""),IF($B$14&lt;Klisz_Verbräuche[[#Headers],[2035]],IF(COUNTIF($G115:Klisz_Verbräuche[[#This Row],[2030]],"&gt;0")&gt;0,IF(COUNTIF($G115:Klisz_Verbräuche[[#This Row],[2030]],"&gt;0")&gt;0,Klisz_Verbräuche[[#This Row],[2030]]*(1-$F115)^5, ""), ""),IF($B$14&gt;Klisz_Verbräuche[[#Headers],[2035]],Refsz_Verbräuche[[#This Row],[2035]],"")))</f>
        <v/>
      </c>
      <c r="X115" s="49" t="str">
        <f>IF(Klisz_Verbräuche[[#Headers],[2040]]=$B$14,IF(COUNTIF($G115:Klisz_Verbräuche[[#This Row],[2035]],"&gt;0")&gt;0, AVERAGEIF($G115:Klisz_Verbräuche[[#This Row],[2035]],"&lt;&gt;"), ""),IF($B$14&lt;Klisz_Verbräuche[[#Headers],[2040]],IF(COUNTIF($G115:Klisz_Verbräuche[[#This Row],[2035]],"&gt;0")&gt;0,IF(COUNTIF($G115:Klisz_Verbräuche[[#This Row],[2035]],"&gt;0")&gt;0,Klisz_Verbräuche[[#This Row],[2035]]*(1-$F115)^5, ""), ""),IF($B$14&gt;Klisz_Verbräuche[[#Headers],[2040]],Refsz_Verbräuche[[#This Row],[2040]],"")))</f>
        <v/>
      </c>
      <c r="Y115" s="49" t="str">
        <f>IF(Klisz_Verbräuche[[#Headers],[2045]]=$B$14,IF(COUNTIF($G115:Klisz_Verbräuche[[#This Row],[2040]],"&gt;0")&gt;0, AVERAGEIF($G115:Klisz_Verbräuche[[#This Row],[2040]],"&lt;&gt;"), ""),IF($B$14&lt;Klisz_Verbräuche[[#Headers],[2045]],IF(COUNTIF($G115:Klisz_Verbräuche[[#This Row],[2040]],"&gt;0")&gt;0,IF(COUNTIF($G115:Klisz_Verbräuche[[#This Row],[2040]],"&gt;0")&gt;0,Klisz_Verbräuche[[#This Row],[2040]]*(1-$F115)^5, ""), ""),IF($B$14&gt;Klisz_Verbräuche[[#Headers],[2045]],Refsz_Verbräuche[[#This Row],[2045]],"")))</f>
        <v/>
      </c>
      <c r="Z115" s="49" t="str">
        <f>IF(Klisz_Verbräuche[[#Headers],[2050]]=$B$14,IF(COUNTIF($G115:Klisz_Verbräuche[[#This Row],[2045]],"&gt;0")&gt;0, AVERAGEIF($G115:Klisz_Verbräuche[[#This Row],[2045]],"&lt;&gt;"), ""),IF($B$14&lt;Klisz_Verbräuche[[#Headers],[2050]],IF(COUNTIF($G115:Klisz_Verbräuche[[#This Row],[2045]],"&gt;0")&gt;0,IF(COUNTIF($G115:Klisz_Verbräuche[[#This Row],[2045]],"&gt;0")&gt;0,Klisz_Verbräuche[[#This Row],[2045]]*(1-$F115)^5, ""), ""),IF($B$14&gt;Klisz_Verbräuche[[#Headers],[2050]],Refsz_Verbräuche[[#This Row],[2050]],"")))</f>
        <v/>
      </c>
      <c r="AA115" s="14"/>
    </row>
    <row r="116" spans="2:27" ht="12.65" customHeight="1">
      <c r="B116" s="14">
        <v>99</v>
      </c>
      <c r="C116" s="197" t="str">
        <f>Refsz_Verbräuche[[#This Row],[Handlungsfeld]]</f>
        <v>Waren und Dienstleistungen</v>
      </c>
      <c r="D116" s="19" t="str">
        <f>Refsz_Verbräuche[[#This Row],[Datenpunkt]]</f>
        <v>Laserdrucker</v>
      </c>
      <c r="E116" s="26" t="str">
        <f>Refsz_Verbräuche[[#This Row],[Einheit]]</f>
        <v>Stk</v>
      </c>
      <c r="F116" s="108"/>
      <c r="G116" s="14" t="str">
        <f>IF(ISBLANK(Refsz_Verbräuche[[#This Row],[2015]]),"",Refsz_Verbräuche[[#This Row],[2015]])</f>
        <v/>
      </c>
      <c r="H116" s="14" t="str">
        <f>IF(ISBLANK(Refsz_Verbräuche[[#This Row],[2016]]),"",Refsz_Verbräuche[[#This Row],[2016]])</f>
        <v/>
      </c>
      <c r="I116" s="14" t="str">
        <f>IF(ISBLANK(Refsz_Verbräuche[[#This Row],[2017]]),"",Refsz_Verbräuche[[#This Row],[2017]])</f>
        <v/>
      </c>
      <c r="J116" s="14" t="str">
        <f>IF(ISBLANK(Refsz_Verbräuche[[#This Row],[2018]]),"",Refsz_Verbräuche[[#This Row],[2018]])</f>
        <v/>
      </c>
      <c r="K116" s="14" t="str">
        <f>IF(ISBLANK(Refsz_Verbräuche[[#This Row],[2019]]),"",Refsz_Verbräuche[[#This Row],[2019]])</f>
        <v/>
      </c>
      <c r="L116" s="14" t="str">
        <f>IF(ISBLANK(Refsz_Verbräuche[[#This Row],[2020]]),"",Refsz_Verbräuche[[#This Row],[2020]])</f>
        <v/>
      </c>
      <c r="M116" s="14" t="str">
        <f>IF(ISBLANK(Refsz_Verbräuche[[#This Row],[2021]]),"",Refsz_Verbräuche[[#This Row],[2021]])</f>
        <v/>
      </c>
      <c r="N116" s="49" t="str">
        <f>IF(Klisz_Verbräuche[[#Headers],[2022]]=$B$14,IF(COUNTIF($G116:Klisz_Verbräuche[[#This Row],[2021]],"&gt;0")&gt;0, AVERAGEIF($G116:Klisz_Verbräuche[[#This Row],[2021]],"&lt;&gt;"), ""),IF($B$14&lt;Klisz_Verbräuche[[#Headers],[2022]],IF(COUNTIF($G116:Klisz_Verbräuche[[#This Row],[2021]],"&gt;0")&gt;0,IF(COUNTIF($G116:Klisz_Verbräuche[[#This Row],[2021]],"&gt;0")&gt;0,Klisz_Verbräuche[[#This Row],[2021]]*(1-$F116)^1, ""), ""),IF($B$14&gt;Klisz_Verbräuche[[#Headers],[2022]],Refsz_Verbräuche[[#This Row],[2022]],"")))</f>
        <v/>
      </c>
      <c r="O116" s="49" t="str">
        <f>IF(Klisz_Verbräuche[[#Headers],[2023]]=$B$14,IF(COUNTIF($G116:Klisz_Verbräuche[[#This Row],[2022]],"&gt;0")&gt;0, AVERAGEIF($G116:Klisz_Verbräuche[[#This Row],[2022]],"&lt;&gt;"), ""),IF($B$14&lt;Klisz_Verbräuche[[#Headers],[2023]],IF(COUNTIF($G116:Klisz_Verbräuche[[#This Row],[2022]],"&gt;0")&gt;0,IF(COUNTIF($G116:Klisz_Verbräuche[[#This Row],[2022]],"&gt;0")&gt;0,Klisz_Verbräuche[[#This Row],[2022]]*(1-$F116)^1, ""), ""),IF($B$14&gt;Klisz_Verbräuche[[#Headers],[2023]],Refsz_Verbräuche[[#This Row],[2023]],"")))</f>
        <v/>
      </c>
      <c r="P116" s="49" t="str">
        <f>IF(Klisz_Verbräuche[[#Headers],[2024]]=$B$14,IF(COUNTIF($G116:Klisz_Verbräuche[[#This Row],[2023]],"&gt;0")&gt;0, AVERAGEIF($G116:Klisz_Verbräuche[[#This Row],[2023]],"&lt;&gt;"), ""),IF($B$14&lt;Klisz_Verbräuche[[#Headers],[2024]],IF(COUNTIF($G116:Klisz_Verbräuche[[#This Row],[2023]],"&gt;0")&gt;0,IF(COUNTIF($G116:Klisz_Verbräuche[[#This Row],[2023]],"&gt;0")&gt;0,Klisz_Verbräuche[[#This Row],[2023]]*(1-$F116)^1, ""), ""),IF($B$14&gt;Klisz_Verbräuche[[#Headers],[2024]],Refsz_Verbräuche[[#This Row],[2024]],"")))</f>
        <v/>
      </c>
      <c r="Q116" s="49" t="str">
        <f>IF(Klisz_Verbräuche[[#Headers],[2025]]=$B$14,IF(COUNTIF($G116:Klisz_Verbräuche[[#This Row],[2024]],"&gt;0")&gt;0, AVERAGEIF($G116:Klisz_Verbräuche[[#This Row],[2024]],"&lt;&gt;"), ""),IF($B$14&lt;Klisz_Verbräuche[[#Headers],[2025]],IF(COUNTIF($G116:Klisz_Verbräuche[[#This Row],[2024]],"&gt;0")&gt;0,IF(COUNTIF($G116:Klisz_Verbräuche[[#This Row],[2024]],"&gt;0")&gt;0,Klisz_Verbräuche[[#This Row],[2024]]*(1-$F116)^1, ""), ""),IF($B$14&gt;Klisz_Verbräuche[[#Headers],[2025]],Refsz_Verbräuche[[#This Row],[2025]],"")))</f>
        <v/>
      </c>
      <c r="R116" s="49" t="str">
        <f>IF(Klisz_Verbräuche[[#Headers],[2026]]=$B$14,IF(COUNTIF($G116:Klisz_Verbräuche[[#This Row],[2025]],"&gt;0")&gt;0, AVERAGEIF($G116:Klisz_Verbräuche[[#This Row],[2025]],"&lt;&gt;"), ""),IF($B$14&lt;Klisz_Verbräuche[[#Headers],[2026]],IF(COUNTIF($G116:Klisz_Verbräuche[[#This Row],[2025]],"&gt;0")&gt;0,IF(COUNTIF($G116:Klisz_Verbräuche[[#This Row],[2025]],"&gt;0")&gt;0,Klisz_Verbräuche[[#This Row],[2025]]*(1-$F116)^1, ""), ""),IF($B$14&gt;Klisz_Verbräuche[[#Headers],[2026]],Refsz_Verbräuche[[#This Row],[2026]],"")))</f>
        <v/>
      </c>
      <c r="S116" s="49" t="str">
        <f>IF(Klisz_Verbräuche[[#Headers],[2027]]=$B$14,IF(COUNTIF($G116:Klisz_Verbräuche[[#This Row],[2026]],"&gt;0")&gt;0, AVERAGEIF($G116:Klisz_Verbräuche[[#This Row],[2026]],"&lt;&gt;"), ""),IF($B$14&lt;Klisz_Verbräuche[[#Headers],[2027]],IF(COUNTIF($G116:Klisz_Verbräuche[[#This Row],[2026]],"&gt;0")&gt;0,IF(COUNTIF($G116:Klisz_Verbräuche[[#This Row],[2026]],"&gt;0")&gt;0,Klisz_Verbräuche[[#This Row],[2026]]*(1-$F116)^1, ""), ""),IF($B$14&gt;Klisz_Verbräuche[[#Headers],[2027]],Refsz_Verbräuche[[#This Row],[2027]],"")))</f>
        <v/>
      </c>
      <c r="T116" s="49" t="str">
        <f>IF(Klisz_Verbräuche[[#Headers],[2028]]=$B$14,IF(COUNTIF($G116:Klisz_Verbräuche[[#This Row],[2027]],"&gt;0")&gt;0, AVERAGEIF($G116:Klisz_Verbräuche[[#This Row],[2027]],"&lt;&gt;"), ""),IF($B$14&lt;Klisz_Verbräuche[[#Headers],[2028]],IF(COUNTIF($G116:Klisz_Verbräuche[[#This Row],[2027]],"&gt;0")&gt;0,IF(COUNTIF($G116:Klisz_Verbräuche[[#This Row],[2027]],"&gt;0")&gt;0,Klisz_Verbräuche[[#This Row],[2027]]*(1-$F116)^1, ""), ""),IF($B$14&gt;Klisz_Verbräuche[[#Headers],[2028]],Refsz_Verbräuche[[#This Row],[2028]],"")))</f>
        <v/>
      </c>
      <c r="U116" s="49" t="str">
        <f>IF(Klisz_Verbräuche[[#Headers],[2029]]=$B$14,IF(COUNTIF($G116:Klisz_Verbräuche[[#This Row],[2028]],"&gt;0")&gt;0, AVERAGEIF($G116:Klisz_Verbräuche[[#This Row],[2028]],"&lt;&gt;"), ""),IF($B$14&lt;Klisz_Verbräuche[[#Headers],[2029]],IF(COUNTIF($G116:Klisz_Verbräuche[[#This Row],[2028]],"&gt;0")&gt;0,IF(COUNTIF($G116:Klisz_Verbräuche[[#This Row],[2028]],"&gt;0")&gt;0,Klisz_Verbräuche[[#This Row],[2028]]*(1-$F116)^1, ""), ""),IF($B$14&gt;Klisz_Verbräuche[[#Headers],[2029]],Refsz_Verbräuche[[#This Row],[2029]],"")))</f>
        <v/>
      </c>
      <c r="V116" s="49" t="str">
        <f>IF(Klisz_Verbräuche[[#Headers],[2030]]=$B$14,IF(COUNTIF($G116:Klisz_Verbräuche[[#This Row],[2029]],"&gt;0")&gt;0, AVERAGEIF($G116:Klisz_Verbräuche[[#This Row],[2029]],"&lt;&gt;"), ""),IF($B$14&lt;Klisz_Verbräuche[[#Headers],[2030]],IF(COUNTIF($G116:Klisz_Verbräuche[[#This Row],[2029]],"&gt;0")&gt;0,IF(COUNTIF($G116:Klisz_Verbräuche[[#This Row],[2029]],"&gt;0")&gt;0,Klisz_Verbräuche[[#This Row],[2029]]*(1-$F116)^1, ""), ""),IF($B$14&gt;Klisz_Verbräuche[[#Headers],[2030]],Refsz_Verbräuche[[#This Row],[2030]],"")))</f>
        <v/>
      </c>
      <c r="W116" s="49" t="str">
        <f>IF(Klisz_Verbräuche[[#Headers],[2035]]=$B$14,IF(COUNTIF($G116:Klisz_Verbräuche[[#This Row],[2030]],"&gt;0")&gt;0, AVERAGEIF($G116:Klisz_Verbräuche[[#This Row],[2030]],"&lt;&gt;"), ""),IF($B$14&lt;Klisz_Verbräuche[[#Headers],[2035]],IF(COUNTIF($G116:Klisz_Verbräuche[[#This Row],[2030]],"&gt;0")&gt;0,IF(COUNTIF($G116:Klisz_Verbräuche[[#This Row],[2030]],"&gt;0")&gt;0,Klisz_Verbräuche[[#This Row],[2030]]*(1-$F116)^5, ""), ""),IF($B$14&gt;Klisz_Verbräuche[[#Headers],[2035]],Refsz_Verbräuche[[#This Row],[2035]],"")))</f>
        <v/>
      </c>
      <c r="X116" s="49" t="str">
        <f>IF(Klisz_Verbräuche[[#Headers],[2040]]=$B$14,IF(COUNTIF($G116:Klisz_Verbräuche[[#This Row],[2035]],"&gt;0")&gt;0, AVERAGEIF($G116:Klisz_Verbräuche[[#This Row],[2035]],"&lt;&gt;"), ""),IF($B$14&lt;Klisz_Verbräuche[[#Headers],[2040]],IF(COUNTIF($G116:Klisz_Verbräuche[[#This Row],[2035]],"&gt;0")&gt;0,IF(COUNTIF($G116:Klisz_Verbräuche[[#This Row],[2035]],"&gt;0")&gt;0,Klisz_Verbräuche[[#This Row],[2035]]*(1-$F116)^5, ""), ""),IF($B$14&gt;Klisz_Verbräuche[[#Headers],[2040]],Refsz_Verbräuche[[#This Row],[2040]],"")))</f>
        <v/>
      </c>
      <c r="Y116" s="49" t="str">
        <f>IF(Klisz_Verbräuche[[#Headers],[2045]]=$B$14,IF(COUNTIF($G116:Klisz_Verbräuche[[#This Row],[2040]],"&gt;0")&gt;0, AVERAGEIF($G116:Klisz_Verbräuche[[#This Row],[2040]],"&lt;&gt;"), ""),IF($B$14&lt;Klisz_Verbräuche[[#Headers],[2045]],IF(COUNTIF($G116:Klisz_Verbräuche[[#This Row],[2040]],"&gt;0")&gt;0,IF(COUNTIF($G116:Klisz_Verbräuche[[#This Row],[2040]],"&gt;0")&gt;0,Klisz_Verbräuche[[#This Row],[2040]]*(1-$F116)^5, ""), ""),IF($B$14&gt;Klisz_Verbräuche[[#Headers],[2045]],Refsz_Verbräuche[[#This Row],[2045]],"")))</f>
        <v/>
      </c>
      <c r="Z116" s="49" t="str">
        <f>IF(Klisz_Verbräuche[[#Headers],[2050]]=$B$14,IF(COUNTIF($G116:Klisz_Verbräuche[[#This Row],[2045]],"&gt;0")&gt;0, AVERAGEIF($G116:Klisz_Verbräuche[[#This Row],[2045]],"&lt;&gt;"), ""),IF($B$14&lt;Klisz_Verbräuche[[#Headers],[2050]],IF(COUNTIF($G116:Klisz_Verbräuche[[#This Row],[2045]],"&gt;0")&gt;0,IF(COUNTIF($G116:Klisz_Verbräuche[[#This Row],[2045]],"&gt;0")&gt;0,Klisz_Verbräuche[[#This Row],[2045]]*(1-$F116)^5, ""), ""),IF($B$14&gt;Klisz_Verbräuche[[#Headers],[2050]],Refsz_Verbräuche[[#This Row],[2050]],"")))</f>
        <v/>
      </c>
      <c r="AA116" s="14"/>
    </row>
    <row r="117" spans="2:27" ht="14.15" customHeight="1">
      <c r="B117" s="14">
        <v>100</v>
      </c>
      <c r="C117" s="197" t="str">
        <f>Refsz_Verbräuche[[#This Row],[Handlungsfeld]]</f>
        <v>Waren und Dienstleistungen</v>
      </c>
      <c r="D117" s="19" t="str">
        <f>Refsz_Verbräuche[[#This Row],[Datenpunkt]]</f>
        <v>Multifunktionsdrucker klein (31 x 44 x 42 cm)</v>
      </c>
      <c r="E117" s="26" t="str">
        <f>Refsz_Verbräuche[[#This Row],[Einheit]]</f>
        <v>Stk</v>
      </c>
      <c r="F117" s="108"/>
      <c r="G117" s="14" t="str">
        <f>IF(ISBLANK(Refsz_Verbräuche[[#This Row],[2015]]),"",Refsz_Verbräuche[[#This Row],[2015]])</f>
        <v/>
      </c>
      <c r="H117" s="14" t="str">
        <f>IF(ISBLANK(Refsz_Verbräuche[[#This Row],[2016]]),"",Refsz_Verbräuche[[#This Row],[2016]])</f>
        <v/>
      </c>
      <c r="I117" s="14" t="str">
        <f>IF(ISBLANK(Refsz_Verbräuche[[#This Row],[2017]]),"",Refsz_Verbräuche[[#This Row],[2017]])</f>
        <v/>
      </c>
      <c r="J117" s="14" t="str">
        <f>IF(ISBLANK(Refsz_Verbräuche[[#This Row],[2018]]),"",Refsz_Verbräuche[[#This Row],[2018]])</f>
        <v/>
      </c>
      <c r="K117" s="14" t="str">
        <f>IF(ISBLANK(Refsz_Verbräuche[[#This Row],[2019]]),"",Refsz_Verbräuche[[#This Row],[2019]])</f>
        <v/>
      </c>
      <c r="L117" s="14" t="str">
        <f>IF(ISBLANK(Refsz_Verbräuche[[#This Row],[2020]]),"",Refsz_Verbräuche[[#This Row],[2020]])</f>
        <v/>
      </c>
      <c r="M117" s="14" t="str">
        <f>IF(ISBLANK(Refsz_Verbräuche[[#This Row],[2021]]),"",Refsz_Verbräuche[[#This Row],[2021]])</f>
        <v/>
      </c>
      <c r="N117" s="49" t="str">
        <f>IF(Klisz_Verbräuche[[#Headers],[2022]]=$B$14,IF(COUNTIF($G117:Klisz_Verbräuche[[#This Row],[2021]],"&gt;0")&gt;0, AVERAGEIF($G117:Klisz_Verbräuche[[#This Row],[2021]],"&lt;&gt;"), ""),IF($B$14&lt;Klisz_Verbräuche[[#Headers],[2022]],IF(COUNTIF($G117:Klisz_Verbräuche[[#This Row],[2021]],"&gt;0")&gt;0,IF(COUNTIF($G117:Klisz_Verbräuche[[#This Row],[2021]],"&gt;0")&gt;0,Klisz_Verbräuche[[#This Row],[2021]]*(1-$F117)^1, ""), ""),IF($B$14&gt;Klisz_Verbräuche[[#Headers],[2022]],Refsz_Verbräuche[[#This Row],[2022]],"")))</f>
        <v/>
      </c>
      <c r="O117" s="49" t="str">
        <f>IF(Klisz_Verbräuche[[#Headers],[2023]]=$B$14,IF(COUNTIF($G117:Klisz_Verbräuche[[#This Row],[2022]],"&gt;0")&gt;0, AVERAGEIF($G117:Klisz_Verbräuche[[#This Row],[2022]],"&lt;&gt;"), ""),IF($B$14&lt;Klisz_Verbräuche[[#Headers],[2023]],IF(COUNTIF($G117:Klisz_Verbräuche[[#This Row],[2022]],"&gt;0")&gt;0,IF(COUNTIF($G117:Klisz_Verbräuche[[#This Row],[2022]],"&gt;0")&gt;0,Klisz_Verbräuche[[#This Row],[2022]]*(1-$F117)^1, ""), ""),IF($B$14&gt;Klisz_Verbräuche[[#Headers],[2023]],Refsz_Verbräuche[[#This Row],[2023]],"")))</f>
        <v/>
      </c>
      <c r="P117" s="49" t="str">
        <f>IF(Klisz_Verbräuche[[#Headers],[2024]]=$B$14,IF(COUNTIF($G117:Klisz_Verbräuche[[#This Row],[2023]],"&gt;0")&gt;0, AVERAGEIF($G117:Klisz_Verbräuche[[#This Row],[2023]],"&lt;&gt;"), ""),IF($B$14&lt;Klisz_Verbräuche[[#Headers],[2024]],IF(COUNTIF($G117:Klisz_Verbräuche[[#This Row],[2023]],"&gt;0")&gt;0,IF(COUNTIF($G117:Klisz_Verbräuche[[#This Row],[2023]],"&gt;0")&gt;0,Klisz_Verbräuche[[#This Row],[2023]]*(1-$F117)^1, ""), ""),IF($B$14&gt;Klisz_Verbräuche[[#Headers],[2024]],Refsz_Verbräuche[[#This Row],[2024]],"")))</f>
        <v/>
      </c>
      <c r="Q117" s="49" t="str">
        <f>IF(Klisz_Verbräuche[[#Headers],[2025]]=$B$14,IF(COUNTIF($G117:Klisz_Verbräuche[[#This Row],[2024]],"&gt;0")&gt;0, AVERAGEIF($G117:Klisz_Verbräuche[[#This Row],[2024]],"&lt;&gt;"), ""),IF($B$14&lt;Klisz_Verbräuche[[#Headers],[2025]],IF(COUNTIF($G117:Klisz_Verbräuche[[#This Row],[2024]],"&gt;0")&gt;0,IF(COUNTIF($G117:Klisz_Verbräuche[[#This Row],[2024]],"&gt;0")&gt;0,Klisz_Verbräuche[[#This Row],[2024]]*(1-$F117)^1, ""), ""),IF($B$14&gt;Klisz_Verbräuche[[#Headers],[2025]],Refsz_Verbräuche[[#This Row],[2025]],"")))</f>
        <v/>
      </c>
      <c r="R117" s="49" t="str">
        <f>IF(Klisz_Verbräuche[[#Headers],[2026]]=$B$14,IF(COUNTIF($G117:Klisz_Verbräuche[[#This Row],[2025]],"&gt;0")&gt;0, AVERAGEIF($G117:Klisz_Verbräuche[[#This Row],[2025]],"&lt;&gt;"), ""),IF($B$14&lt;Klisz_Verbräuche[[#Headers],[2026]],IF(COUNTIF($G117:Klisz_Verbräuche[[#This Row],[2025]],"&gt;0")&gt;0,IF(COUNTIF($G117:Klisz_Verbräuche[[#This Row],[2025]],"&gt;0")&gt;0,Klisz_Verbräuche[[#This Row],[2025]]*(1-$F117)^1, ""), ""),IF($B$14&gt;Klisz_Verbräuche[[#Headers],[2026]],Refsz_Verbräuche[[#This Row],[2026]],"")))</f>
        <v/>
      </c>
      <c r="S117" s="49" t="str">
        <f>IF(Klisz_Verbräuche[[#Headers],[2027]]=$B$14,IF(COUNTIF($G117:Klisz_Verbräuche[[#This Row],[2026]],"&gt;0")&gt;0, AVERAGEIF($G117:Klisz_Verbräuche[[#This Row],[2026]],"&lt;&gt;"), ""),IF($B$14&lt;Klisz_Verbräuche[[#Headers],[2027]],IF(COUNTIF($G117:Klisz_Verbräuche[[#This Row],[2026]],"&gt;0")&gt;0,IF(COUNTIF($G117:Klisz_Verbräuche[[#This Row],[2026]],"&gt;0")&gt;0,Klisz_Verbräuche[[#This Row],[2026]]*(1-$F117)^1, ""), ""),IF($B$14&gt;Klisz_Verbräuche[[#Headers],[2027]],Refsz_Verbräuche[[#This Row],[2027]],"")))</f>
        <v/>
      </c>
      <c r="T117" s="49" t="str">
        <f>IF(Klisz_Verbräuche[[#Headers],[2028]]=$B$14,IF(COUNTIF($G117:Klisz_Verbräuche[[#This Row],[2027]],"&gt;0")&gt;0, AVERAGEIF($G117:Klisz_Verbräuche[[#This Row],[2027]],"&lt;&gt;"), ""),IF($B$14&lt;Klisz_Verbräuche[[#Headers],[2028]],IF(COUNTIF($G117:Klisz_Verbräuche[[#This Row],[2027]],"&gt;0")&gt;0,IF(COUNTIF($G117:Klisz_Verbräuche[[#This Row],[2027]],"&gt;0")&gt;0,Klisz_Verbräuche[[#This Row],[2027]]*(1-$F117)^1, ""), ""),IF($B$14&gt;Klisz_Verbräuche[[#Headers],[2028]],Refsz_Verbräuche[[#This Row],[2028]],"")))</f>
        <v/>
      </c>
      <c r="U117" s="49" t="str">
        <f>IF(Klisz_Verbräuche[[#Headers],[2029]]=$B$14,IF(COUNTIF($G117:Klisz_Verbräuche[[#This Row],[2028]],"&gt;0")&gt;0, AVERAGEIF($G117:Klisz_Verbräuche[[#This Row],[2028]],"&lt;&gt;"), ""),IF($B$14&lt;Klisz_Verbräuche[[#Headers],[2029]],IF(COUNTIF($G117:Klisz_Verbräuche[[#This Row],[2028]],"&gt;0")&gt;0,IF(COUNTIF($G117:Klisz_Verbräuche[[#This Row],[2028]],"&gt;0")&gt;0,Klisz_Verbräuche[[#This Row],[2028]]*(1-$F117)^1, ""), ""),IF($B$14&gt;Klisz_Verbräuche[[#Headers],[2029]],Refsz_Verbräuche[[#This Row],[2029]],"")))</f>
        <v/>
      </c>
      <c r="V117" s="49" t="str">
        <f>IF(Klisz_Verbräuche[[#Headers],[2030]]=$B$14,IF(COUNTIF($G117:Klisz_Verbräuche[[#This Row],[2029]],"&gt;0")&gt;0, AVERAGEIF($G117:Klisz_Verbräuche[[#This Row],[2029]],"&lt;&gt;"), ""),IF($B$14&lt;Klisz_Verbräuche[[#Headers],[2030]],IF(COUNTIF($G117:Klisz_Verbräuche[[#This Row],[2029]],"&gt;0")&gt;0,IF(COUNTIF($G117:Klisz_Verbräuche[[#This Row],[2029]],"&gt;0")&gt;0,Klisz_Verbräuche[[#This Row],[2029]]*(1-$F117)^1, ""), ""),IF($B$14&gt;Klisz_Verbräuche[[#Headers],[2030]],Refsz_Verbräuche[[#This Row],[2030]],"")))</f>
        <v/>
      </c>
      <c r="W117" s="49" t="str">
        <f>IF(Klisz_Verbräuche[[#Headers],[2035]]=$B$14,IF(COUNTIF($G117:Klisz_Verbräuche[[#This Row],[2030]],"&gt;0")&gt;0, AVERAGEIF($G117:Klisz_Verbräuche[[#This Row],[2030]],"&lt;&gt;"), ""),IF($B$14&lt;Klisz_Verbräuche[[#Headers],[2035]],IF(COUNTIF($G117:Klisz_Verbräuche[[#This Row],[2030]],"&gt;0")&gt;0,IF(COUNTIF($G117:Klisz_Verbräuche[[#This Row],[2030]],"&gt;0")&gt;0,Klisz_Verbräuche[[#This Row],[2030]]*(1-$F117)^5, ""), ""),IF($B$14&gt;Klisz_Verbräuche[[#Headers],[2035]],Refsz_Verbräuche[[#This Row],[2035]],"")))</f>
        <v/>
      </c>
      <c r="X117" s="49" t="str">
        <f>IF(Klisz_Verbräuche[[#Headers],[2040]]=$B$14,IF(COUNTIF($G117:Klisz_Verbräuche[[#This Row],[2035]],"&gt;0")&gt;0, AVERAGEIF($G117:Klisz_Verbräuche[[#This Row],[2035]],"&lt;&gt;"), ""),IF($B$14&lt;Klisz_Verbräuche[[#Headers],[2040]],IF(COUNTIF($G117:Klisz_Verbräuche[[#This Row],[2035]],"&gt;0")&gt;0,IF(COUNTIF($G117:Klisz_Verbräuche[[#This Row],[2035]],"&gt;0")&gt;0,Klisz_Verbräuche[[#This Row],[2035]]*(1-$F117)^5, ""), ""),IF($B$14&gt;Klisz_Verbräuche[[#Headers],[2040]],Refsz_Verbräuche[[#This Row],[2040]],"")))</f>
        <v/>
      </c>
      <c r="Y117" s="49" t="str">
        <f>IF(Klisz_Verbräuche[[#Headers],[2045]]=$B$14,IF(COUNTIF($G117:Klisz_Verbräuche[[#This Row],[2040]],"&gt;0")&gt;0, AVERAGEIF($G117:Klisz_Verbräuche[[#This Row],[2040]],"&lt;&gt;"), ""),IF($B$14&lt;Klisz_Verbräuche[[#Headers],[2045]],IF(COUNTIF($G117:Klisz_Verbräuche[[#This Row],[2040]],"&gt;0")&gt;0,IF(COUNTIF($G117:Klisz_Verbräuche[[#This Row],[2040]],"&gt;0")&gt;0,Klisz_Verbräuche[[#This Row],[2040]]*(1-$F117)^5, ""), ""),IF($B$14&gt;Klisz_Verbräuche[[#Headers],[2045]],Refsz_Verbräuche[[#This Row],[2045]],"")))</f>
        <v/>
      </c>
      <c r="Z117" s="49" t="str">
        <f>IF(Klisz_Verbräuche[[#Headers],[2050]]=$B$14,IF(COUNTIF($G117:Klisz_Verbräuche[[#This Row],[2045]],"&gt;0")&gt;0, AVERAGEIF($G117:Klisz_Verbräuche[[#This Row],[2045]],"&lt;&gt;"), ""),IF($B$14&lt;Klisz_Verbräuche[[#Headers],[2050]],IF(COUNTIF($G117:Klisz_Verbräuche[[#This Row],[2045]],"&gt;0")&gt;0,IF(COUNTIF($G117:Klisz_Verbräuche[[#This Row],[2045]],"&gt;0")&gt;0,Klisz_Verbräuche[[#This Row],[2045]]*(1-$F117)^5, ""), ""),IF($B$14&gt;Klisz_Verbräuche[[#Headers],[2050]],Refsz_Verbräuche[[#This Row],[2050]],"")))</f>
        <v/>
      </c>
      <c r="AA117" s="14"/>
    </row>
    <row r="118" spans="2:27" ht="14.15" customHeight="1">
      <c r="B118" s="14">
        <v>101</v>
      </c>
      <c r="C118" s="197" t="str">
        <f>Refsz_Verbräuche[[#This Row],[Handlungsfeld]]</f>
        <v>Waren und Dienstleistungen</v>
      </c>
      <c r="D118" s="19" t="str">
        <f>Refsz_Verbräuche[[#This Row],[Datenpunkt]]</f>
        <v>Multifunktionsdrucker mittel (54 x 56 x 52 cm)</v>
      </c>
      <c r="E118" s="26" t="str">
        <f>Refsz_Verbräuche[[#This Row],[Einheit]]</f>
        <v>Stk</v>
      </c>
      <c r="F118" s="108"/>
      <c r="G118" s="14" t="str">
        <f>IF(ISBLANK(Refsz_Verbräuche[[#This Row],[2015]]),"",Refsz_Verbräuche[[#This Row],[2015]])</f>
        <v/>
      </c>
      <c r="H118" s="14" t="str">
        <f>IF(ISBLANK(Refsz_Verbräuche[[#This Row],[2016]]),"",Refsz_Verbräuche[[#This Row],[2016]])</f>
        <v/>
      </c>
      <c r="I118" s="14" t="str">
        <f>IF(ISBLANK(Refsz_Verbräuche[[#This Row],[2017]]),"",Refsz_Verbräuche[[#This Row],[2017]])</f>
        <v/>
      </c>
      <c r="J118" s="14" t="str">
        <f>IF(ISBLANK(Refsz_Verbräuche[[#This Row],[2018]]),"",Refsz_Verbräuche[[#This Row],[2018]])</f>
        <v/>
      </c>
      <c r="K118" s="14" t="str">
        <f>IF(ISBLANK(Refsz_Verbräuche[[#This Row],[2019]]),"",Refsz_Verbräuche[[#This Row],[2019]])</f>
        <v/>
      </c>
      <c r="L118" s="14" t="str">
        <f>IF(ISBLANK(Refsz_Verbräuche[[#This Row],[2020]]),"",Refsz_Verbräuche[[#This Row],[2020]])</f>
        <v/>
      </c>
      <c r="M118" s="14" t="str">
        <f>IF(ISBLANK(Refsz_Verbräuche[[#This Row],[2021]]),"",Refsz_Verbräuche[[#This Row],[2021]])</f>
        <v/>
      </c>
      <c r="N118" s="49" t="str">
        <f>IF(Klisz_Verbräuche[[#Headers],[2022]]=$B$14,IF(COUNTIF($G118:Klisz_Verbräuche[[#This Row],[2021]],"&gt;0")&gt;0, AVERAGEIF($G118:Klisz_Verbräuche[[#This Row],[2021]],"&lt;&gt;"), ""),IF($B$14&lt;Klisz_Verbräuche[[#Headers],[2022]],IF(COUNTIF($G118:Klisz_Verbräuche[[#This Row],[2021]],"&gt;0")&gt;0,IF(COUNTIF($G118:Klisz_Verbräuche[[#This Row],[2021]],"&gt;0")&gt;0,Klisz_Verbräuche[[#This Row],[2021]]*(1-$F118)^1, ""), ""),IF($B$14&gt;Klisz_Verbräuche[[#Headers],[2022]],Refsz_Verbräuche[[#This Row],[2022]],"")))</f>
        <v/>
      </c>
      <c r="O118" s="49" t="str">
        <f>IF(Klisz_Verbräuche[[#Headers],[2023]]=$B$14,IF(COUNTIF($G118:Klisz_Verbräuche[[#This Row],[2022]],"&gt;0")&gt;0, AVERAGEIF($G118:Klisz_Verbräuche[[#This Row],[2022]],"&lt;&gt;"), ""),IF($B$14&lt;Klisz_Verbräuche[[#Headers],[2023]],IF(COUNTIF($G118:Klisz_Verbräuche[[#This Row],[2022]],"&gt;0")&gt;0,IF(COUNTIF($G118:Klisz_Verbräuche[[#This Row],[2022]],"&gt;0")&gt;0,Klisz_Verbräuche[[#This Row],[2022]]*(1-$F118)^1, ""), ""),IF($B$14&gt;Klisz_Verbräuche[[#Headers],[2023]],Refsz_Verbräuche[[#This Row],[2023]],"")))</f>
        <v/>
      </c>
      <c r="P118" s="49" t="str">
        <f>IF(Klisz_Verbräuche[[#Headers],[2024]]=$B$14,IF(COUNTIF($G118:Klisz_Verbräuche[[#This Row],[2023]],"&gt;0")&gt;0, AVERAGEIF($G118:Klisz_Verbräuche[[#This Row],[2023]],"&lt;&gt;"), ""),IF($B$14&lt;Klisz_Verbräuche[[#Headers],[2024]],IF(COUNTIF($G118:Klisz_Verbräuche[[#This Row],[2023]],"&gt;0")&gt;0,IF(COUNTIF($G118:Klisz_Verbräuche[[#This Row],[2023]],"&gt;0")&gt;0,Klisz_Verbräuche[[#This Row],[2023]]*(1-$F118)^1, ""), ""),IF($B$14&gt;Klisz_Verbräuche[[#Headers],[2024]],Refsz_Verbräuche[[#This Row],[2024]],"")))</f>
        <v/>
      </c>
      <c r="Q118" s="49" t="str">
        <f>IF(Klisz_Verbräuche[[#Headers],[2025]]=$B$14,IF(COUNTIF($G118:Klisz_Verbräuche[[#This Row],[2024]],"&gt;0")&gt;0, AVERAGEIF($G118:Klisz_Verbräuche[[#This Row],[2024]],"&lt;&gt;"), ""),IF($B$14&lt;Klisz_Verbräuche[[#Headers],[2025]],IF(COUNTIF($G118:Klisz_Verbräuche[[#This Row],[2024]],"&gt;0")&gt;0,IF(COUNTIF($G118:Klisz_Verbräuche[[#This Row],[2024]],"&gt;0")&gt;0,Klisz_Verbräuche[[#This Row],[2024]]*(1-$F118)^1, ""), ""),IF($B$14&gt;Klisz_Verbräuche[[#Headers],[2025]],Refsz_Verbräuche[[#This Row],[2025]],"")))</f>
        <v/>
      </c>
      <c r="R118" s="49" t="str">
        <f>IF(Klisz_Verbräuche[[#Headers],[2026]]=$B$14,IF(COUNTIF($G118:Klisz_Verbräuche[[#This Row],[2025]],"&gt;0")&gt;0, AVERAGEIF($G118:Klisz_Verbräuche[[#This Row],[2025]],"&lt;&gt;"), ""),IF($B$14&lt;Klisz_Verbräuche[[#Headers],[2026]],IF(COUNTIF($G118:Klisz_Verbräuche[[#This Row],[2025]],"&gt;0")&gt;0,IF(COUNTIF($G118:Klisz_Verbräuche[[#This Row],[2025]],"&gt;0")&gt;0,Klisz_Verbräuche[[#This Row],[2025]]*(1-$F118)^1, ""), ""),IF($B$14&gt;Klisz_Verbräuche[[#Headers],[2026]],Refsz_Verbräuche[[#This Row],[2026]],"")))</f>
        <v/>
      </c>
      <c r="S118" s="49" t="str">
        <f>IF(Klisz_Verbräuche[[#Headers],[2027]]=$B$14,IF(COUNTIF($G118:Klisz_Verbräuche[[#This Row],[2026]],"&gt;0")&gt;0, AVERAGEIF($G118:Klisz_Verbräuche[[#This Row],[2026]],"&lt;&gt;"), ""),IF($B$14&lt;Klisz_Verbräuche[[#Headers],[2027]],IF(COUNTIF($G118:Klisz_Verbräuche[[#This Row],[2026]],"&gt;0")&gt;0,IF(COUNTIF($G118:Klisz_Verbräuche[[#This Row],[2026]],"&gt;0")&gt;0,Klisz_Verbräuche[[#This Row],[2026]]*(1-$F118)^1, ""), ""),IF($B$14&gt;Klisz_Verbräuche[[#Headers],[2027]],Refsz_Verbräuche[[#This Row],[2027]],"")))</f>
        <v/>
      </c>
      <c r="T118" s="49" t="str">
        <f>IF(Klisz_Verbräuche[[#Headers],[2028]]=$B$14,IF(COUNTIF($G118:Klisz_Verbräuche[[#This Row],[2027]],"&gt;0")&gt;0, AVERAGEIF($G118:Klisz_Verbräuche[[#This Row],[2027]],"&lt;&gt;"), ""),IF($B$14&lt;Klisz_Verbräuche[[#Headers],[2028]],IF(COUNTIF($G118:Klisz_Verbräuche[[#This Row],[2027]],"&gt;0")&gt;0,IF(COUNTIF($G118:Klisz_Verbräuche[[#This Row],[2027]],"&gt;0")&gt;0,Klisz_Verbräuche[[#This Row],[2027]]*(1-$F118)^1, ""), ""),IF($B$14&gt;Klisz_Verbräuche[[#Headers],[2028]],Refsz_Verbräuche[[#This Row],[2028]],"")))</f>
        <v/>
      </c>
      <c r="U118" s="49" t="str">
        <f>IF(Klisz_Verbräuche[[#Headers],[2029]]=$B$14,IF(COUNTIF($G118:Klisz_Verbräuche[[#This Row],[2028]],"&gt;0")&gt;0, AVERAGEIF($G118:Klisz_Verbräuche[[#This Row],[2028]],"&lt;&gt;"), ""),IF($B$14&lt;Klisz_Verbräuche[[#Headers],[2029]],IF(COUNTIF($G118:Klisz_Verbräuche[[#This Row],[2028]],"&gt;0")&gt;0,IF(COUNTIF($G118:Klisz_Verbräuche[[#This Row],[2028]],"&gt;0")&gt;0,Klisz_Verbräuche[[#This Row],[2028]]*(1-$F118)^1, ""), ""),IF($B$14&gt;Klisz_Verbräuche[[#Headers],[2029]],Refsz_Verbräuche[[#This Row],[2029]],"")))</f>
        <v/>
      </c>
      <c r="V118" s="49" t="str">
        <f>IF(Klisz_Verbräuche[[#Headers],[2030]]=$B$14,IF(COUNTIF($G118:Klisz_Verbräuche[[#This Row],[2029]],"&gt;0")&gt;0, AVERAGEIF($G118:Klisz_Verbräuche[[#This Row],[2029]],"&lt;&gt;"), ""),IF($B$14&lt;Klisz_Verbräuche[[#Headers],[2030]],IF(COUNTIF($G118:Klisz_Verbräuche[[#This Row],[2029]],"&gt;0")&gt;0,IF(COUNTIF($G118:Klisz_Verbräuche[[#This Row],[2029]],"&gt;0")&gt;0,Klisz_Verbräuche[[#This Row],[2029]]*(1-$F118)^1, ""), ""),IF($B$14&gt;Klisz_Verbräuche[[#Headers],[2030]],Refsz_Verbräuche[[#This Row],[2030]],"")))</f>
        <v/>
      </c>
      <c r="W118" s="49" t="str">
        <f>IF(Klisz_Verbräuche[[#Headers],[2035]]=$B$14,IF(COUNTIF($G118:Klisz_Verbräuche[[#This Row],[2030]],"&gt;0")&gt;0, AVERAGEIF($G118:Klisz_Verbräuche[[#This Row],[2030]],"&lt;&gt;"), ""),IF($B$14&lt;Klisz_Verbräuche[[#Headers],[2035]],IF(COUNTIF($G118:Klisz_Verbräuche[[#This Row],[2030]],"&gt;0")&gt;0,IF(COUNTIF($G118:Klisz_Verbräuche[[#This Row],[2030]],"&gt;0")&gt;0,Klisz_Verbräuche[[#This Row],[2030]]*(1-$F118)^5, ""), ""),IF($B$14&gt;Klisz_Verbräuche[[#Headers],[2035]],Refsz_Verbräuche[[#This Row],[2035]],"")))</f>
        <v/>
      </c>
      <c r="X118" s="49" t="str">
        <f>IF(Klisz_Verbräuche[[#Headers],[2040]]=$B$14,IF(COUNTIF($G118:Klisz_Verbräuche[[#This Row],[2035]],"&gt;0")&gt;0, AVERAGEIF($G118:Klisz_Verbräuche[[#This Row],[2035]],"&lt;&gt;"), ""),IF($B$14&lt;Klisz_Verbräuche[[#Headers],[2040]],IF(COUNTIF($G118:Klisz_Verbräuche[[#This Row],[2035]],"&gt;0")&gt;0,IF(COUNTIF($G118:Klisz_Verbräuche[[#This Row],[2035]],"&gt;0")&gt;0,Klisz_Verbräuche[[#This Row],[2035]]*(1-$F118)^5, ""), ""),IF($B$14&gt;Klisz_Verbräuche[[#Headers],[2040]],Refsz_Verbräuche[[#This Row],[2040]],"")))</f>
        <v/>
      </c>
      <c r="Y118" s="49" t="str">
        <f>IF(Klisz_Verbräuche[[#Headers],[2045]]=$B$14,IF(COUNTIF($G118:Klisz_Verbräuche[[#This Row],[2040]],"&gt;0")&gt;0, AVERAGEIF($G118:Klisz_Verbräuche[[#This Row],[2040]],"&lt;&gt;"), ""),IF($B$14&lt;Klisz_Verbräuche[[#Headers],[2045]],IF(COUNTIF($G118:Klisz_Verbräuche[[#This Row],[2040]],"&gt;0")&gt;0,IF(COUNTIF($G118:Klisz_Verbräuche[[#This Row],[2040]],"&gt;0")&gt;0,Klisz_Verbräuche[[#This Row],[2040]]*(1-$F118)^5, ""), ""),IF($B$14&gt;Klisz_Verbräuche[[#Headers],[2045]],Refsz_Verbräuche[[#This Row],[2045]],"")))</f>
        <v/>
      </c>
      <c r="Z118" s="49" t="str">
        <f>IF(Klisz_Verbräuche[[#Headers],[2050]]=$B$14,IF(COUNTIF($G118:Klisz_Verbräuche[[#This Row],[2045]],"&gt;0")&gt;0, AVERAGEIF($G118:Klisz_Verbräuche[[#This Row],[2045]],"&lt;&gt;"), ""),IF($B$14&lt;Klisz_Verbräuche[[#Headers],[2050]],IF(COUNTIF($G118:Klisz_Verbräuche[[#This Row],[2045]],"&gt;0")&gt;0,IF(COUNTIF($G118:Klisz_Verbräuche[[#This Row],[2045]],"&gt;0")&gt;0,Klisz_Verbräuche[[#This Row],[2045]]*(1-$F118)^5, ""), ""),IF($B$14&gt;Klisz_Verbräuche[[#Headers],[2050]],Refsz_Verbräuche[[#This Row],[2050]],"")))</f>
        <v/>
      </c>
      <c r="AA118" s="14"/>
    </row>
    <row r="119" spans="2:27">
      <c r="B119" s="14">
        <v>102</v>
      </c>
      <c r="C119" s="197" t="str">
        <f>Refsz_Verbräuche[[#This Row],[Handlungsfeld]]</f>
        <v>Waren und Dienstleistungen</v>
      </c>
      <c r="D119" s="19" t="str">
        <f>Refsz_Verbräuche[[#This Row],[Datenpunkt]]</f>
        <v>Multifunktionsdrucker groß (114 x 65 x 59 cm)</v>
      </c>
      <c r="E119" s="26" t="str">
        <f>Refsz_Verbräuche[[#This Row],[Einheit]]</f>
        <v>Stk</v>
      </c>
      <c r="F119" s="108"/>
      <c r="G119" s="14" t="str">
        <f>IF(ISBLANK(Refsz_Verbräuche[[#This Row],[2015]]),"",Refsz_Verbräuche[[#This Row],[2015]])</f>
        <v/>
      </c>
      <c r="H119" s="14" t="str">
        <f>IF(ISBLANK(Refsz_Verbräuche[[#This Row],[2016]]),"",Refsz_Verbräuche[[#This Row],[2016]])</f>
        <v/>
      </c>
      <c r="I119" s="14" t="str">
        <f>IF(ISBLANK(Refsz_Verbräuche[[#This Row],[2017]]),"",Refsz_Verbräuche[[#This Row],[2017]])</f>
        <v/>
      </c>
      <c r="J119" s="14" t="str">
        <f>IF(ISBLANK(Refsz_Verbräuche[[#This Row],[2018]]),"",Refsz_Verbräuche[[#This Row],[2018]])</f>
        <v/>
      </c>
      <c r="K119" s="14" t="str">
        <f>IF(ISBLANK(Refsz_Verbräuche[[#This Row],[2019]]),"",Refsz_Verbräuche[[#This Row],[2019]])</f>
        <v/>
      </c>
      <c r="L119" s="14" t="str">
        <f>IF(ISBLANK(Refsz_Verbräuche[[#This Row],[2020]]),"",Refsz_Verbräuche[[#This Row],[2020]])</f>
        <v/>
      </c>
      <c r="M119" s="14" t="str">
        <f>IF(ISBLANK(Refsz_Verbräuche[[#This Row],[2021]]),"",Refsz_Verbräuche[[#This Row],[2021]])</f>
        <v/>
      </c>
      <c r="N119" s="49" t="str">
        <f>IF(Klisz_Verbräuche[[#Headers],[2022]]=$B$14,IF(COUNTIF($G119:Klisz_Verbräuche[[#This Row],[2021]],"&gt;0")&gt;0, AVERAGEIF($G119:Klisz_Verbräuche[[#This Row],[2021]],"&lt;&gt;"), ""),IF($B$14&lt;Klisz_Verbräuche[[#Headers],[2022]],IF(COUNTIF($G119:Klisz_Verbräuche[[#This Row],[2021]],"&gt;0")&gt;0,IF(COUNTIF($G119:Klisz_Verbräuche[[#This Row],[2021]],"&gt;0")&gt;0,Klisz_Verbräuche[[#This Row],[2021]]*(1-$F119)^1, ""), ""),IF($B$14&gt;Klisz_Verbräuche[[#Headers],[2022]],Refsz_Verbräuche[[#This Row],[2022]],"")))</f>
        <v/>
      </c>
      <c r="O119" s="49" t="str">
        <f>IF(Klisz_Verbräuche[[#Headers],[2023]]=$B$14,IF(COUNTIF($G119:Klisz_Verbräuche[[#This Row],[2022]],"&gt;0")&gt;0, AVERAGEIF($G119:Klisz_Verbräuche[[#This Row],[2022]],"&lt;&gt;"), ""),IF($B$14&lt;Klisz_Verbräuche[[#Headers],[2023]],IF(COUNTIF($G119:Klisz_Verbräuche[[#This Row],[2022]],"&gt;0")&gt;0,IF(COUNTIF($G119:Klisz_Verbräuche[[#This Row],[2022]],"&gt;0")&gt;0,Klisz_Verbräuche[[#This Row],[2022]]*(1-$F119)^1, ""), ""),IF($B$14&gt;Klisz_Verbräuche[[#Headers],[2023]],Refsz_Verbräuche[[#This Row],[2023]],"")))</f>
        <v/>
      </c>
      <c r="P119" s="49" t="str">
        <f>IF(Klisz_Verbräuche[[#Headers],[2024]]=$B$14,IF(COUNTIF($G119:Klisz_Verbräuche[[#This Row],[2023]],"&gt;0")&gt;0, AVERAGEIF($G119:Klisz_Verbräuche[[#This Row],[2023]],"&lt;&gt;"), ""),IF($B$14&lt;Klisz_Verbräuche[[#Headers],[2024]],IF(COUNTIF($G119:Klisz_Verbräuche[[#This Row],[2023]],"&gt;0")&gt;0,IF(COUNTIF($G119:Klisz_Verbräuche[[#This Row],[2023]],"&gt;0")&gt;0,Klisz_Verbräuche[[#This Row],[2023]]*(1-$F119)^1, ""), ""),IF($B$14&gt;Klisz_Verbräuche[[#Headers],[2024]],Refsz_Verbräuche[[#This Row],[2024]],"")))</f>
        <v/>
      </c>
      <c r="Q119" s="49" t="str">
        <f>IF(Klisz_Verbräuche[[#Headers],[2025]]=$B$14,IF(COUNTIF($G119:Klisz_Verbräuche[[#This Row],[2024]],"&gt;0")&gt;0, AVERAGEIF($G119:Klisz_Verbräuche[[#This Row],[2024]],"&lt;&gt;"), ""),IF($B$14&lt;Klisz_Verbräuche[[#Headers],[2025]],IF(COUNTIF($G119:Klisz_Verbräuche[[#This Row],[2024]],"&gt;0")&gt;0,IF(COUNTIF($G119:Klisz_Verbräuche[[#This Row],[2024]],"&gt;0")&gt;0,Klisz_Verbräuche[[#This Row],[2024]]*(1-$F119)^1, ""), ""),IF($B$14&gt;Klisz_Verbräuche[[#Headers],[2025]],Refsz_Verbräuche[[#This Row],[2025]],"")))</f>
        <v/>
      </c>
      <c r="R119" s="49" t="str">
        <f>IF(Klisz_Verbräuche[[#Headers],[2026]]=$B$14,IF(COUNTIF($G119:Klisz_Verbräuche[[#This Row],[2025]],"&gt;0")&gt;0, AVERAGEIF($G119:Klisz_Verbräuche[[#This Row],[2025]],"&lt;&gt;"), ""),IF($B$14&lt;Klisz_Verbräuche[[#Headers],[2026]],IF(COUNTIF($G119:Klisz_Verbräuche[[#This Row],[2025]],"&gt;0")&gt;0,IF(COUNTIF($G119:Klisz_Verbräuche[[#This Row],[2025]],"&gt;0")&gt;0,Klisz_Verbräuche[[#This Row],[2025]]*(1-$F119)^1, ""), ""),IF($B$14&gt;Klisz_Verbräuche[[#Headers],[2026]],Refsz_Verbräuche[[#This Row],[2026]],"")))</f>
        <v/>
      </c>
      <c r="S119" s="49" t="str">
        <f>IF(Klisz_Verbräuche[[#Headers],[2027]]=$B$14,IF(COUNTIF($G119:Klisz_Verbräuche[[#This Row],[2026]],"&gt;0")&gt;0, AVERAGEIF($G119:Klisz_Verbräuche[[#This Row],[2026]],"&lt;&gt;"), ""),IF($B$14&lt;Klisz_Verbräuche[[#Headers],[2027]],IF(COUNTIF($G119:Klisz_Verbräuche[[#This Row],[2026]],"&gt;0")&gt;0,IF(COUNTIF($G119:Klisz_Verbräuche[[#This Row],[2026]],"&gt;0")&gt;0,Klisz_Verbräuche[[#This Row],[2026]]*(1-$F119)^1, ""), ""),IF($B$14&gt;Klisz_Verbräuche[[#Headers],[2027]],Refsz_Verbräuche[[#This Row],[2027]],"")))</f>
        <v/>
      </c>
      <c r="T119" s="49" t="str">
        <f>IF(Klisz_Verbräuche[[#Headers],[2028]]=$B$14,IF(COUNTIF($G119:Klisz_Verbräuche[[#This Row],[2027]],"&gt;0")&gt;0, AVERAGEIF($G119:Klisz_Verbräuche[[#This Row],[2027]],"&lt;&gt;"), ""),IF($B$14&lt;Klisz_Verbräuche[[#Headers],[2028]],IF(COUNTIF($G119:Klisz_Verbräuche[[#This Row],[2027]],"&gt;0")&gt;0,IF(COUNTIF($G119:Klisz_Verbräuche[[#This Row],[2027]],"&gt;0")&gt;0,Klisz_Verbräuche[[#This Row],[2027]]*(1-$F119)^1, ""), ""),IF($B$14&gt;Klisz_Verbräuche[[#Headers],[2028]],Refsz_Verbräuche[[#This Row],[2028]],"")))</f>
        <v/>
      </c>
      <c r="U119" s="49" t="str">
        <f>IF(Klisz_Verbräuche[[#Headers],[2029]]=$B$14,IF(COUNTIF($G119:Klisz_Verbräuche[[#This Row],[2028]],"&gt;0")&gt;0, AVERAGEIF($G119:Klisz_Verbräuche[[#This Row],[2028]],"&lt;&gt;"), ""),IF($B$14&lt;Klisz_Verbräuche[[#Headers],[2029]],IF(COUNTIF($G119:Klisz_Verbräuche[[#This Row],[2028]],"&gt;0")&gt;0,IF(COUNTIF($G119:Klisz_Verbräuche[[#This Row],[2028]],"&gt;0")&gt;0,Klisz_Verbräuche[[#This Row],[2028]]*(1-$F119)^1, ""), ""),IF($B$14&gt;Klisz_Verbräuche[[#Headers],[2029]],Refsz_Verbräuche[[#This Row],[2029]],"")))</f>
        <v/>
      </c>
      <c r="V119" s="49" t="str">
        <f>IF(Klisz_Verbräuche[[#Headers],[2030]]=$B$14,IF(COUNTIF($G119:Klisz_Verbräuche[[#This Row],[2029]],"&gt;0")&gt;0, AVERAGEIF($G119:Klisz_Verbräuche[[#This Row],[2029]],"&lt;&gt;"), ""),IF($B$14&lt;Klisz_Verbräuche[[#Headers],[2030]],IF(COUNTIF($G119:Klisz_Verbräuche[[#This Row],[2029]],"&gt;0")&gt;0,IF(COUNTIF($G119:Klisz_Verbräuche[[#This Row],[2029]],"&gt;0")&gt;0,Klisz_Verbräuche[[#This Row],[2029]]*(1-$F119)^1, ""), ""),IF($B$14&gt;Klisz_Verbräuche[[#Headers],[2030]],Refsz_Verbräuche[[#This Row],[2030]],"")))</f>
        <v/>
      </c>
      <c r="W119" s="49" t="str">
        <f>IF(Klisz_Verbräuche[[#Headers],[2035]]=$B$14,IF(COUNTIF($G119:Klisz_Verbräuche[[#This Row],[2030]],"&gt;0")&gt;0, AVERAGEIF($G119:Klisz_Verbräuche[[#This Row],[2030]],"&lt;&gt;"), ""),IF($B$14&lt;Klisz_Verbräuche[[#Headers],[2035]],IF(COUNTIF($G119:Klisz_Verbräuche[[#This Row],[2030]],"&gt;0")&gt;0,IF(COUNTIF($G119:Klisz_Verbräuche[[#This Row],[2030]],"&gt;0")&gt;0,Klisz_Verbräuche[[#This Row],[2030]]*(1-$F119)^5, ""), ""),IF($B$14&gt;Klisz_Verbräuche[[#Headers],[2035]],Refsz_Verbräuche[[#This Row],[2035]],"")))</f>
        <v/>
      </c>
      <c r="X119" s="49" t="str">
        <f>IF(Klisz_Verbräuche[[#Headers],[2040]]=$B$14,IF(COUNTIF($G119:Klisz_Verbräuche[[#This Row],[2035]],"&gt;0")&gt;0, AVERAGEIF($G119:Klisz_Verbräuche[[#This Row],[2035]],"&lt;&gt;"), ""),IF($B$14&lt;Klisz_Verbräuche[[#Headers],[2040]],IF(COUNTIF($G119:Klisz_Verbräuche[[#This Row],[2035]],"&gt;0")&gt;0,IF(COUNTIF($G119:Klisz_Verbräuche[[#This Row],[2035]],"&gt;0")&gt;0,Klisz_Verbräuche[[#This Row],[2035]]*(1-$F119)^5, ""), ""),IF($B$14&gt;Klisz_Verbräuche[[#Headers],[2040]],Refsz_Verbräuche[[#This Row],[2040]],"")))</f>
        <v/>
      </c>
      <c r="Y119" s="49" t="str">
        <f>IF(Klisz_Verbräuche[[#Headers],[2045]]=$B$14,IF(COUNTIF($G119:Klisz_Verbräuche[[#This Row],[2040]],"&gt;0")&gt;0, AVERAGEIF($G119:Klisz_Verbräuche[[#This Row],[2040]],"&lt;&gt;"), ""),IF($B$14&lt;Klisz_Verbräuche[[#Headers],[2045]],IF(COUNTIF($G119:Klisz_Verbräuche[[#This Row],[2040]],"&gt;0")&gt;0,IF(COUNTIF($G119:Klisz_Verbräuche[[#This Row],[2040]],"&gt;0")&gt;0,Klisz_Verbräuche[[#This Row],[2040]]*(1-$F119)^5, ""), ""),IF($B$14&gt;Klisz_Verbräuche[[#Headers],[2045]],Refsz_Verbräuche[[#This Row],[2045]],"")))</f>
        <v/>
      </c>
      <c r="Z119" s="49" t="str">
        <f>IF(Klisz_Verbräuche[[#Headers],[2050]]=$B$14,IF(COUNTIF($G119:Klisz_Verbräuche[[#This Row],[2045]],"&gt;0")&gt;0, AVERAGEIF($G119:Klisz_Verbräuche[[#This Row],[2045]],"&lt;&gt;"), ""),IF($B$14&lt;Klisz_Verbräuche[[#Headers],[2050]],IF(COUNTIF($G119:Klisz_Verbräuche[[#This Row],[2045]],"&gt;0")&gt;0,IF(COUNTIF($G119:Klisz_Verbräuche[[#This Row],[2045]],"&gt;0")&gt;0,Klisz_Verbräuche[[#This Row],[2045]]*(1-$F119)^5, ""), ""),IF($B$14&gt;Klisz_Verbräuche[[#Headers],[2050]],Refsz_Verbräuche[[#This Row],[2050]],"")))</f>
        <v/>
      </c>
      <c r="AA119" s="14"/>
    </row>
    <row r="120" spans="2:27">
      <c r="B120" s="14">
        <v>103</v>
      </c>
      <c r="C120" s="197" t="str">
        <f>Refsz_Verbräuche[[#This Row],[Handlungsfeld]]</f>
        <v>Waren und Dienstleistungen</v>
      </c>
      <c r="D120" s="19" t="str">
        <f>Refsz_Verbräuche[[#This Row],[Datenpunkt]]</f>
        <v>Toner</v>
      </c>
      <c r="E120" s="26" t="str">
        <f>Refsz_Verbräuche[[#This Row],[Einheit]]</f>
        <v>Stk</v>
      </c>
      <c r="F120" s="108"/>
      <c r="G120" s="14" t="str">
        <f>IF(ISBLANK(Refsz_Verbräuche[[#This Row],[2015]]),"",Refsz_Verbräuche[[#This Row],[2015]])</f>
        <v/>
      </c>
      <c r="H120" s="14" t="str">
        <f>IF(ISBLANK(Refsz_Verbräuche[[#This Row],[2016]]),"",Refsz_Verbräuche[[#This Row],[2016]])</f>
        <v/>
      </c>
      <c r="I120" s="14" t="str">
        <f>IF(ISBLANK(Refsz_Verbräuche[[#This Row],[2017]]),"",Refsz_Verbräuche[[#This Row],[2017]])</f>
        <v/>
      </c>
      <c r="J120" s="14" t="str">
        <f>IF(ISBLANK(Refsz_Verbräuche[[#This Row],[2018]]),"",Refsz_Verbräuche[[#This Row],[2018]])</f>
        <v/>
      </c>
      <c r="K120" s="14" t="str">
        <f>IF(ISBLANK(Refsz_Verbräuche[[#This Row],[2019]]),"",Refsz_Verbräuche[[#This Row],[2019]])</f>
        <v/>
      </c>
      <c r="L120" s="14" t="str">
        <f>IF(ISBLANK(Refsz_Verbräuche[[#This Row],[2020]]),"",Refsz_Verbräuche[[#This Row],[2020]])</f>
        <v/>
      </c>
      <c r="M120" s="14" t="str">
        <f>IF(ISBLANK(Refsz_Verbräuche[[#This Row],[2021]]),"",Refsz_Verbräuche[[#This Row],[2021]])</f>
        <v/>
      </c>
      <c r="N120" s="49" t="str">
        <f>IF(Klisz_Verbräuche[[#Headers],[2022]]=$B$14,IF(COUNTIF($G120:Klisz_Verbräuche[[#This Row],[2021]],"&gt;0")&gt;0, AVERAGEIF($G120:Klisz_Verbräuche[[#This Row],[2021]],"&lt;&gt;"), ""),IF($B$14&lt;Klisz_Verbräuche[[#Headers],[2022]],IF(COUNTIF($G120:Klisz_Verbräuche[[#This Row],[2021]],"&gt;0")&gt;0,IF(COUNTIF($G120:Klisz_Verbräuche[[#This Row],[2021]],"&gt;0")&gt;0,Klisz_Verbräuche[[#This Row],[2021]]*(1-$F120)^1, ""), ""),IF($B$14&gt;Klisz_Verbräuche[[#Headers],[2022]],Refsz_Verbräuche[[#This Row],[2022]],"")))</f>
        <v/>
      </c>
      <c r="O120" s="49" t="str">
        <f>IF(Klisz_Verbräuche[[#Headers],[2023]]=$B$14,IF(COUNTIF($G120:Klisz_Verbräuche[[#This Row],[2022]],"&gt;0")&gt;0, AVERAGEIF($G120:Klisz_Verbräuche[[#This Row],[2022]],"&lt;&gt;"), ""),IF($B$14&lt;Klisz_Verbräuche[[#Headers],[2023]],IF(COUNTIF($G120:Klisz_Verbräuche[[#This Row],[2022]],"&gt;0")&gt;0,IF(COUNTIF($G120:Klisz_Verbräuche[[#This Row],[2022]],"&gt;0")&gt;0,Klisz_Verbräuche[[#This Row],[2022]]*(1-$F120)^1, ""), ""),IF($B$14&gt;Klisz_Verbräuche[[#Headers],[2023]],Refsz_Verbräuche[[#This Row],[2023]],"")))</f>
        <v/>
      </c>
      <c r="P120" s="49" t="str">
        <f>IF(Klisz_Verbräuche[[#Headers],[2024]]=$B$14,IF(COUNTIF($G120:Klisz_Verbräuche[[#This Row],[2023]],"&gt;0")&gt;0, AVERAGEIF($G120:Klisz_Verbräuche[[#This Row],[2023]],"&lt;&gt;"), ""),IF($B$14&lt;Klisz_Verbräuche[[#Headers],[2024]],IF(COUNTIF($G120:Klisz_Verbräuche[[#This Row],[2023]],"&gt;0")&gt;0,IF(COUNTIF($G120:Klisz_Verbräuche[[#This Row],[2023]],"&gt;0")&gt;0,Klisz_Verbräuche[[#This Row],[2023]]*(1-$F120)^1, ""), ""),IF($B$14&gt;Klisz_Verbräuche[[#Headers],[2024]],Refsz_Verbräuche[[#This Row],[2024]],"")))</f>
        <v/>
      </c>
      <c r="Q120" s="49" t="str">
        <f>IF(Klisz_Verbräuche[[#Headers],[2025]]=$B$14,IF(COUNTIF($G120:Klisz_Verbräuche[[#This Row],[2024]],"&gt;0")&gt;0, AVERAGEIF($G120:Klisz_Verbräuche[[#This Row],[2024]],"&lt;&gt;"), ""),IF($B$14&lt;Klisz_Verbräuche[[#Headers],[2025]],IF(COUNTIF($G120:Klisz_Verbräuche[[#This Row],[2024]],"&gt;0")&gt;0,IF(COUNTIF($G120:Klisz_Verbräuche[[#This Row],[2024]],"&gt;0")&gt;0,Klisz_Verbräuche[[#This Row],[2024]]*(1-$F120)^1, ""), ""),IF($B$14&gt;Klisz_Verbräuche[[#Headers],[2025]],Refsz_Verbräuche[[#This Row],[2025]],"")))</f>
        <v/>
      </c>
      <c r="R120" s="49" t="str">
        <f>IF(Klisz_Verbräuche[[#Headers],[2026]]=$B$14,IF(COUNTIF($G120:Klisz_Verbräuche[[#This Row],[2025]],"&gt;0")&gt;0, AVERAGEIF($G120:Klisz_Verbräuche[[#This Row],[2025]],"&lt;&gt;"), ""),IF($B$14&lt;Klisz_Verbräuche[[#Headers],[2026]],IF(COUNTIF($G120:Klisz_Verbräuche[[#This Row],[2025]],"&gt;0")&gt;0,IF(COUNTIF($G120:Klisz_Verbräuche[[#This Row],[2025]],"&gt;0")&gt;0,Klisz_Verbräuche[[#This Row],[2025]]*(1-$F120)^1, ""), ""),IF($B$14&gt;Klisz_Verbräuche[[#Headers],[2026]],Refsz_Verbräuche[[#This Row],[2026]],"")))</f>
        <v/>
      </c>
      <c r="S120" s="49" t="str">
        <f>IF(Klisz_Verbräuche[[#Headers],[2027]]=$B$14,IF(COUNTIF($G120:Klisz_Verbräuche[[#This Row],[2026]],"&gt;0")&gt;0, AVERAGEIF($G120:Klisz_Verbräuche[[#This Row],[2026]],"&lt;&gt;"), ""),IF($B$14&lt;Klisz_Verbräuche[[#Headers],[2027]],IF(COUNTIF($G120:Klisz_Verbräuche[[#This Row],[2026]],"&gt;0")&gt;0,IF(COUNTIF($G120:Klisz_Verbräuche[[#This Row],[2026]],"&gt;0")&gt;0,Klisz_Verbräuche[[#This Row],[2026]]*(1-$F120)^1, ""), ""),IF($B$14&gt;Klisz_Verbräuche[[#Headers],[2027]],Refsz_Verbräuche[[#This Row],[2027]],"")))</f>
        <v/>
      </c>
      <c r="T120" s="49" t="str">
        <f>IF(Klisz_Verbräuche[[#Headers],[2028]]=$B$14,IF(COUNTIF($G120:Klisz_Verbräuche[[#This Row],[2027]],"&gt;0")&gt;0, AVERAGEIF($G120:Klisz_Verbräuche[[#This Row],[2027]],"&lt;&gt;"), ""),IF($B$14&lt;Klisz_Verbräuche[[#Headers],[2028]],IF(COUNTIF($G120:Klisz_Verbräuche[[#This Row],[2027]],"&gt;0")&gt;0,IF(COUNTIF($G120:Klisz_Verbräuche[[#This Row],[2027]],"&gt;0")&gt;0,Klisz_Verbräuche[[#This Row],[2027]]*(1-$F120)^1, ""), ""),IF($B$14&gt;Klisz_Verbräuche[[#Headers],[2028]],Refsz_Verbräuche[[#This Row],[2028]],"")))</f>
        <v/>
      </c>
      <c r="U120" s="49" t="str">
        <f>IF(Klisz_Verbräuche[[#Headers],[2029]]=$B$14,IF(COUNTIF($G120:Klisz_Verbräuche[[#This Row],[2028]],"&gt;0")&gt;0, AVERAGEIF($G120:Klisz_Verbräuche[[#This Row],[2028]],"&lt;&gt;"), ""),IF($B$14&lt;Klisz_Verbräuche[[#Headers],[2029]],IF(COUNTIF($G120:Klisz_Verbräuche[[#This Row],[2028]],"&gt;0")&gt;0,IF(COUNTIF($G120:Klisz_Verbräuche[[#This Row],[2028]],"&gt;0")&gt;0,Klisz_Verbräuche[[#This Row],[2028]]*(1-$F120)^1, ""), ""),IF($B$14&gt;Klisz_Verbräuche[[#Headers],[2029]],Refsz_Verbräuche[[#This Row],[2029]],"")))</f>
        <v/>
      </c>
      <c r="V120" s="49" t="str">
        <f>IF(Klisz_Verbräuche[[#Headers],[2030]]=$B$14,IF(COUNTIF($G120:Klisz_Verbräuche[[#This Row],[2029]],"&gt;0")&gt;0, AVERAGEIF($G120:Klisz_Verbräuche[[#This Row],[2029]],"&lt;&gt;"), ""),IF($B$14&lt;Klisz_Verbräuche[[#Headers],[2030]],IF(COUNTIF($G120:Klisz_Verbräuche[[#This Row],[2029]],"&gt;0")&gt;0,IF(COUNTIF($G120:Klisz_Verbräuche[[#This Row],[2029]],"&gt;0")&gt;0,Klisz_Verbräuche[[#This Row],[2029]]*(1-$F120)^1, ""), ""),IF($B$14&gt;Klisz_Verbräuche[[#Headers],[2030]],Refsz_Verbräuche[[#This Row],[2030]],"")))</f>
        <v/>
      </c>
      <c r="W120" s="49" t="str">
        <f>IF(Klisz_Verbräuche[[#Headers],[2035]]=$B$14,IF(COUNTIF($G120:Klisz_Verbräuche[[#This Row],[2030]],"&gt;0")&gt;0, AVERAGEIF($G120:Klisz_Verbräuche[[#This Row],[2030]],"&lt;&gt;"), ""),IF($B$14&lt;Klisz_Verbräuche[[#Headers],[2035]],IF(COUNTIF($G120:Klisz_Verbräuche[[#This Row],[2030]],"&gt;0")&gt;0,IF(COUNTIF($G120:Klisz_Verbräuche[[#This Row],[2030]],"&gt;0")&gt;0,Klisz_Verbräuche[[#This Row],[2030]]*(1-$F120)^5, ""), ""),IF($B$14&gt;Klisz_Verbräuche[[#Headers],[2035]],Refsz_Verbräuche[[#This Row],[2035]],"")))</f>
        <v/>
      </c>
      <c r="X120" s="49" t="str">
        <f>IF(Klisz_Verbräuche[[#Headers],[2040]]=$B$14,IF(COUNTIF($G120:Klisz_Verbräuche[[#This Row],[2035]],"&gt;0")&gt;0, AVERAGEIF($G120:Klisz_Verbräuche[[#This Row],[2035]],"&lt;&gt;"), ""),IF($B$14&lt;Klisz_Verbräuche[[#Headers],[2040]],IF(COUNTIF($G120:Klisz_Verbräuche[[#This Row],[2035]],"&gt;0")&gt;0,IF(COUNTIF($G120:Klisz_Verbräuche[[#This Row],[2035]],"&gt;0")&gt;0,Klisz_Verbräuche[[#This Row],[2035]]*(1-$F120)^5, ""), ""),IF($B$14&gt;Klisz_Verbräuche[[#Headers],[2040]],Refsz_Verbräuche[[#This Row],[2040]],"")))</f>
        <v/>
      </c>
      <c r="Y120" s="49" t="str">
        <f>IF(Klisz_Verbräuche[[#Headers],[2045]]=$B$14,IF(COUNTIF($G120:Klisz_Verbräuche[[#This Row],[2040]],"&gt;0")&gt;0, AVERAGEIF($G120:Klisz_Verbräuche[[#This Row],[2040]],"&lt;&gt;"), ""),IF($B$14&lt;Klisz_Verbräuche[[#Headers],[2045]],IF(COUNTIF($G120:Klisz_Verbräuche[[#This Row],[2040]],"&gt;0")&gt;0,IF(COUNTIF($G120:Klisz_Verbräuche[[#This Row],[2040]],"&gt;0")&gt;0,Klisz_Verbräuche[[#This Row],[2040]]*(1-$F120)^5, ""), ""),IF($B$14&gt;Klisz_Verbräuche[[#Headers],[2045]],Refsz_Verbräuche[[#This Row],[2045]],"")))</f>
        <v/>
      </c>
      <c r="Z120" s="49" t="str">
        <f>IF(Klisz_Verbräuche[[#Headers],[2050]]=$B$14,IF(COUNTIF($G120:Klisz_Verbräuche[[#This Row],[2045]],"&gt;0")&gt;0, AVERAGEIF($G120:Klisz_Verbräuche[[#This Row],[2045]],"&lt;&gt;"), ""),IF($B$14&lt;Klisz_Verbräuche[[#Headers],[2050]],IF(COUNTIF($G120:Klisz_Verbräuche[[#This Row],[2045]],"&gt;0")&gt;0,IF(COUNTIF($G120:Klisz_Verbräuche[[#This Row],[2045]],"&gt;0")&gt;0,Klisz_Verbräuche[[#This Row],[2045]]*(1-$F120)^5, ""), ""),IF($B$14&gt;Klisz_Verbräuche[[#Headers],[2050]],Refsz_Verbräuche[[#This Row],[2050]],"")))</f>
        <v/>
      </c>
      <c r="AA120" s="14"/>
    </row>
    <row r="121" spans="2:27">
      <c r="B121" s="14">
        <v>104</v>
      </c>
      <c r="C121" s="197">
        <f>Refsz_Verbräuche[[#This Row],[Handlungsfeld]]</f>
        <v>0</v>
      </c>
      <c r="D121" s="19">
        <f>Refsz_Verbräuche[[#This Row],[Datenpunkt]]</f>
        <v>0</v>
      </c>
      <c r="E121" s="26">
        <f>Refsz_Verbräuche[[#This Row],[Einheit]]</f>
        <v>0</v>
      </c>
      <c r="F121" s="108"/>
      <c r="G121" s="14" t="str">
        <f>IF(ISBLANK(Refsz_Verbräuche[[#This Row],[2015]]),"",Refsz_Verbräuche[[#This Row],[2015]])</f>
        <v/>
      </c>
      <c r="H121" s="14" t="str">
        <f>IF(ISBLANK(Refsz_Verbräuche[[#This Row],[2016]]),"",Refsz_Verbräuche[[#This Row],[2016]])</f>
        <v/>
      </c>
      <c r="I121" s="14" t="str">
        <f>IF(ISBLANK(Refsz_Verbräuche[[#This Row],[2017]]),"",Refsz_Verbräuche[[#This Row],[2017]])</f>
        <v/>
      </c>
      <c r="J121" s="14" t="str">
        <f>IF(ISBLANK(Refsz_Verbräuche[[#This Row],[2018]]),"",Refsz_Verbräuche[[#This Row],[2018]])</f>
        <v/>
      </c>
      <c r="K121" s="14" t="str">
        <f>IF(ISBLANK(Refsz_Verbräuche[[#This Row],[2019]]),"",Refsz_Verbräuche[[#This Row],[2019]])</f>
        <v/>
      </c>
      <c r="L121" s="14" t="str">
        <f>IF(ISBLANK(Refsz_Verbräuche[[#This Row],[2020]]),"",Refsz_Verbräuche[[#This Row],[2020]])</f>
        <v/>
      </c>
      <c r="M121" s="14" t="str">
        <f>IF(ISBLANK(Refsz_Verbräuche[[#This Row],[2021]]),"",Refsz_Verbräuche[[#This Row],[2021]])</f>
        <v/>
      </c>
      <c r="N121" s="49" t="str">
        <f>IF(Klisz_Verbräuche[[#Headers],[2022]]=$B$14,IF(COUNTIF($G121:Klisz_Verbräuche[[#This Row],[2021]],"&gt;0")&gt;0, AVERAGEIF($G121:Klisz_Verbräuche[[#This Row],[2021]],"&lt;&gt;"), ""),IF($B$14&lt;Klisz_Verbräuche[[#Headers],[2022]],IF(COUNTIF($G121:Klisz_Verbräuche[[#This Row],[2021]],"&gt;0")&gt;0,IF(COUNTIF($G121:Klisz_Verbräuche[[#This Row],[2021]],"&gt;0")&gt;0,Klisz_Verbräuche[[#This Row],[2021]]*(1-$F121)^1, ""), ""),IF($B$14&gt;Klisz_Verbräuche[[#Headers],[2022]],Refsz_Verbräuche[[#This Row],[2022]],"")))</f>
        <v/>
      </c>
      <c r="O121" s="49" t="str">
        <f>IF(Klisz_Verbräuche[[#Headers],[2023]]=$B$14,IF(COUNTIF($G121:Klisz_Verbräuche[[#This Row],[2022]],"&gt;0")&gt;0, AVERAGEIF($G121:Klisz_Verbräuche[[#This Row],[2022]],"&lt;&gt;"), ""),IF($B$14&lt;Klisz_Verbräuche[[#Headers],[2023]],IF(COUNTIF($G121:Klisz_Verbräuche[[#This Row],[2022]],"&gt;0")&gt;0,IF(COUNTIF($G121:Klisz_Verbräuche[[#This Row],[2022]],"&gt;0")&gt;0,Klisz_Verbräuche[[#This Row],[2022]]*(1-$F121)^1, ""), ""),IF($B$14&gt;Klisz_Verbräuche[[#Headers],[2023]],Refsz_Verbräuche[[#This Row],[2023]],"")))</f>
        <v/>
      </c>
      <c r="P121" s="49" t="str">
        <f>IF(Klisz_Verbräuche[[#Headers],[2024]]=$B$14,IF(COUNTIF($G121:Klisz_Verbräuche[[#This Row],[2023]],"&gt;0")&gt;0, AVERAGEIF($G121:Klisz_Verbräuche[[#This Row],[2023]],"&lt;&gt;"), ""),IF($B$14&lt;Klisz_Verbräuche[[#Headers],[2024]],IF(COUNTIF($G121:Klisz_Verbräuche[[#This Row],[2023]],"&gt;0")&gt;0,IF(COUNTIF($G121:Klisz_Verbräuche[[#This Row],[2023]],"&gt;0")&gt;0,Klisz_Verbräuche[[#This Row],[2023]]*(1-$F121)^1, ""), ""),IF($B$14&gt;Klisz_Verbräuche[[#Headers],[2024]],Refsz_Verbräuche[[#This Row],[2024]],"")))</f>
        <v/>
      </c>
      <c r="Q121" s="49" t="str">
        <f>IF(Klisz_Verbräuche[[#Headers],[2025]]=$B$14,IF(COUNTIF($G121:Klisz_Verbräuche[[#This Row],[2024]],"&gt;0")&gt;0, AVERAGEIF($G121:Klisz_Verbräuche[[#This Row],[2024]],"&lt;&gt;"), ""),IF($B$14&lt;Klisz_Verbräuche[[#Headers],[2025]],IF(COUNTIF($G121:Klisz_Verbräuche[[#This Row],[2024]],"&gt;0")&gt;0,IF(COUNTIF($G121:Klisz_Verbräuche[[#This Row],[2024]],"&gt;0")&gt;0,Klisz_Verbräuche[[#This Row],[2024]]*(1-$F121)^1, ""), ""),IF($B$14&gt;Klisz_Verbräuche[[#Headers],[2025]],Refsz_Verbräuche[[#This Row],[2025]],"")))</f>
        <v/>
      </c>
      <c r="R121" s="49" t="str">
        <f>IF(Klisz_Verbräuche[[#Headers],[2026]]=$B$14,IF(COUNTIF($G121:Klisz_Verbräuche[[#This Row],[2025]],"&gt;0")&gt;0, AVERAGEIF($G121:Klisz_Verbräuche[[#This Row],[2025]],"&lt;&gt;"), ""),IF($B$14&lt;Klisz_Verbräuche[[#Headers],[2026]],IF(COUNTIF($G121:Klisz_Verbräuche[[#This Row],[2025]],"&gt;0")&gt;0,IF(COUNTIF($G121:Klisz_Verbräuche[[#This Row],[2025]],"&gt;0")&gt;0,Klisz_Verbräuche[[#This Row],[2025]]*(1-$F121)^1, ""), ""),IF($B$14&gt;Klisz_Verbräuche[[#Headers],[2026]],Refsz_Verbräuche[[#This Row],[2026]],"")))</f>
        <v/>
      </c>
      <c r="S121" s="49" t="str">
        <f>IF(Klisz_Verbräuche[[#Headers],[2027]]=$B$14,IF(COUNTIF($G121:Klisz_Verbräuche[[#This Row],[2026]],"&gt;0")&gt;0, AVERAGEIF($G121:Klisz_Verbräuche[[#This Row],[2026]],"&lt;&gt;"), ""),IF($B$14&lt;Klisz_Verbräuche[[#Headers],[2027]],IF(COUNTIF($G121:Klisz_Verbräuche[[#This Row],[2026]],"&gt;0")&gt;0,IF(COUNTIF($G121:Klisz_Verbräuche[[#This Row],[2026]],"&gt;0")&gt;0,Klisz_Verbräuche[[#This Row],[2026]]*(1-$F121)^1, ""), ""),IF($B$14&gt;Klisz_Verbräuche[[#Headers],[2027]],Refsz_Verbräuche[[#This Row],[2027]],"")))</f>
        <v/>
      </c>
      <c r="T121" s="49" t="str">
        <f>IF(Klisz_Verbräuche[[#Headers],[2028]]=$B$14,IF(COUNTIF($G121:Klisz_Verbräuche[[#This Row],[2027]],"&gt;0")&gt;0, AVERAGEIF($G121:Klisz_Verbräuche[[#This Row],[2027]],"&lt;&gt;"), ""),IF($B$14&lt;Klisz_Verbräuche[[#Headers],[2028]],IF(COUNTIF($G121:Klisz_Verbräuche[[#This Row],[2027]],"&gt;0")&gt;0,IF(COUNTIF($G121:Klisz_Verbräuche[[#This Row],[2027]],"&gt;0")&gt;0,Klisz_Verbräuche[[#This Row],[2027]]*(1-$F121)^1, ""), ""),IF($B$14&gt;Klisz_Verbräuche[[#Headers],[2028]],Refsz_Verbräuche[[#This Row],[2028]],"")))</f>
        <v/>
      </c>
      <c r="U121" s="49" t="str">
        <f>IF(Klisz_Verbräuche[[#Headers],[2029]]=$B$14,IF(COUNTIF($G121:Klisz_Verbräuche[[#This Row],[2028]],"&gt;0")&gt;0, AVERAGEIF($G121:Klisz_Verbräuche[[#This Row],[2028]],"&lt;&gt;"), ""),IF($B$14&lt;Klisz_Verbräuche[[#Headers],[2029]],IF(COUNTIF($G121:Klisz_Verbräuche[[#This Row],[2028]],"&gt;0")&gt;0,IF(COUNTIF($G121:Klisz_Verbräuche[[#This Row],[2028]],"&gt;0")&gt;0,Klisz_Verbräuche[[#This Row],[2028]]*(1-$F121)^1, ""), ""),IF($B$14&gt;Klisz_Verbräuche[[#Headers],[2029]],Refsz_Verbräuche[[#This Row],[2029]],"")))</f>
        <v/>
      </c>
      <c r="V121" s="49" t="str">
        <f>IF(Klisz_Verbräuche[[#Headers],[2030]]=$B$14,IF(COUNTIF($G121:Klisz_Verbräuche[[#This Row],[2029]],"&gt;0")&gt;0, AVERAGEIF($G121:Klisz_Verbräuche[[#This Row],[2029]],"&lt;&gt;"), ""),IF($B$14&lt;Klisz_Verbräuche[[#Headers],[2030]],IF(COUNTIF($G121:Klisz_Verbräuche[[#This Row],[2029]],"&gt;0")&gt;0,IF(COUNTIF($G121:Klisz_Verbräuche[[#This Row],[2029]],"&gt;0")&gt;0,Klisz_Verbräuche[[#This Row],[2029]]*(1-$F121)^1, ""), ""),IF($B$14&gt;Klisz_Verbräuche[[#Headers],[2030]],Refsz_Verbräuche[[#This Row],[2030]],"")))</f>
        <v/>
      </c>
      <c r="W121" s="49" t="str">
        <f>IF(Klisz_Verbräuche[[#Headers],[2035]]=$B$14,IF(COUNTIF($G121:Klisz_Verbräuche[[#This Row],[2030]],"&gt;0")&gt;0, AVERAGEIF($G121:Klisz_Verbräuche[[#This Row],[2030]],"&lt;&gt;"), ""),IF($B$14&lt;Klisz_Verbräuche[[#Headers],[2035]],IF(COUNTIF($G121:Klisz_Verbräuche[[#This Row],[2030]],"&gt;0")&gt;0,IF(COUNTIF($G121:Klisz_Verbräuche[[#This Row],[2030]],"&gt;0")&gt;0,Klisz_Verbräuche[[#This Row],[2030]]*(1-$F121)^5, ""), ""),IF($B$14&gt;Klisz_Verbräuche[[#Headers],[2035]],Refsz_Verbräuche[[#This Row],[2035]],"")))</f>
        <v/>
      </c>
      <c r="X121" s="49" t="str">
        <f>IF(Klisz_Verbräuche[[#Headers],[2040]]=$B$14,IF(COUNTIF($G121:Klisz_Verbräuche[[#This Row],[2035]],"&gt;0")&gt;0, AVERAGEIF($G121:Klisz_Verbräuche[[#This Row],[2035]],"&lt;&gt;"), ""),IF($B$14&lt;Klisz_Verbräuche[[#Headers],[2040]],IF(COUNTIF($G121:Klisz_Verbräuche[[#This Row],[2035]],"&gt;0")&gt;0,IF(COUNTIF($G121:Klisz_Verbräuche[[#This Row],[2035]],"&gt;0")&gt;0,Klisz_Verbräuche[[#This Row],[2035]]*(1-$F121)^5, ""), ""),IF($B$14&gt;Klisz_Verbräuche[[#Headers],[2040]],Refsz_Verbräuche[[#This Row],[2040]],"")))</f>
        <v/>
      </c>
      <c r="Y121" s="49" t="str">
        <f>IF(Klisz_Verbräuche[[#Headers],[2045]]=$B$14,IF(COUNTIF($G121:Klisz_Verbräuche[[#This Row],[2040]],"&gt;0")&gt;0, AVERAGEIF($G121:Klisz_Verbräuche[[#This Row],[2040]],"&lt;&gt;"), ""),IF($B$14&lt;Klisz_Verbräuche[[#Headers],[2045]],IF(COUNTIF($G121:Klisz_Verbräuche[[#This Row],[2040]],"&gt;0")&gt;0,IF(COUNTIF($G121:Klisz_Verbräuche[[#This Row],[2040]],"&gt;0")&gt;0,Klisz_Verbräuche[[#This Row],[2040]]*(1-$F121)^5, ""), ""),IF($B$14&gt;Klisz_Verbräuche[[#Headers],[2045]],Refsz_Verbräuche[[#This Row],[2045]],"")))</f>
        <v/>
      </c>
      <c r="Z121" s="49" t="str">
        <f>IF(Klisz_Verbräuche[[#Headers],[2050]]=$B$14,IF(COUNTIF($G121:Klisz_Verbräuche[[#This Row],[2045]],"&gt;0")&gt;0, AVERAGEIF($G121:Klisz_Verbräuche[[#This Row],[2045]],"&lt;&gt;"), ""),IF($B$14&lt;Klisz_Verbräuche[[#Headers],[2050]],IF(COUNTIF($G121:Klisz_Verbräuche[[#This Row],[2045]],"&gt;0")&gt;0,IF(COUNTIF($G121:Klisz_Verbräuche[[#This Row],[2045]],"&gt;0")&gt;0,Klisz_Verbräuche[[#This Row],[2045]]*(1-$F121)^5, ""), ""),IF($B$14&gt;Klisz_Verbräuche[[#Headers],[2050]],Refsz_Verbräuche[[#This Row],[2050]],"")))</f>
        <v/>
      </c>
      <c r="AA121" s="14"/>
    </row>
    <row r="122" spans="2:27">
      <c r="B122" s="14">
        <v>105</v>
      </c>
      <c r="C122" s="197" t="str">
        <f>Refsz_Verbräuche[[#This Row],[Handlungsfeld]]</f>
        <v>Abfall</v>
      </c>
      <c r="D122" s="19" t="str">
        <f>Refsz_Verbräuche[[#This Row],[Datenpunkt]]</f>
        <v>Bioabfall, Grünschnitt (Kompostierung)</v>
      </c>
      <c r="E122" s="26" t="str">
        <f>Refsz_Verbräuche[[#This Row],[Einheit]]</f>
        <v>t</v>
      </c>
      <c r="F122" s="108"/>
      <c r="G122" s="14" t="str">
        <f>IF(ISBLANK(Refsz_Verbräuche[[#This Row],[2015]]),"",Refsz_Verbräuche[[#This Row],[2015]])</f>
        <v/>
      </c>
      <c r="H122" s="14" t="str">
        <f>IF(ISBLANK(Refsz_Verbräuche[[#This Row],[2016]]),"",Refsz_Verbräuche[[#This Row],[2016]])</f>
        <v/>
      </c>
      <c r="I122" s="14" t="str">
        <f>IF(ISBLANK(Refsz_Verbräuche[[#This Row],[2017]]),"",Refsz_Verbräuche[[#This Row],[2017]])</f>
        <v/>
      </c>
      <c r="J122" s="14" t="str">
        <f>IF(ISBLANK(Refsz_Verbräuche[[#This Row],[2018]]),"",Refsz_Verbräuche[[#This Row],[2018]])</f>
        <v/>
      </c>
      <c r="K122" s="14" t="str">
        <f>IF(ISBLANK(Refsz_Verbräuche[[#This Row],[2019]]),"",Refsz_Verbräuche[[#This Row],[2019]])</f>
        <v/>
      </c>
      <c r="L122" s="14" t="str">
        <f>IF(ISBLANK(Refsz_Verbräuche[[#This Row],[2020]]),"",Refsz_Verbräuche[[#This Row],[2020]])</f>
        <v/>
      </c>
      <c r="M122" s="14" t="str">
        <f>IF(ISBLANK(Refsz_Verbräuche[[#This Row],[2021]]),"",Refsz_Verbräuche[[#This Row],[2021]])</f>
        <v/>
      </c>
      <c r="N122" s="49" t="str">
        <f>IF(Klisz_Verbräuche[[#Headers],[2022]]=$B$14,IF(COUNTIF($G122:Klisz_Verbräuche[[#This Row],[2021]],"&gt;0")&gt;0, AVERAGEIF($G122:Klisz_Verbräuche[[#This Row],[2021]],"&lt;&gt;"), ""),IF($B$14&lt;Klisz_Verbräuche[[#Headers],[2022]],IF(COUNTIF($G122:Klisz_Verbräuche[[#This Row],[2021]],"&gt;0")&gt;0,IF(COUNTIF($G122:Klisz_Verbräuche[[#This Row],[2021]],"&gt;0")&gt;0,Klisz_Verbräuche[[#This Row],[2021]]*(1-$F122)^1, ""), ""),IF($B$14&gt;Klisz_Verbräuche[[#Headers],[2022]],Refsz_Verbräuche[[#This Row],[2022]],"")))</f>
        <v/>
      </c>
      <c r="O122" s="49" t="str">
        <f>IF(Klisz_Verbräuche[[#Headers],[2023]]=$B$14,IF(COUNTIF($G122:Klisz_Verbräuche[[#This Row],[2022]],"&gt;0")&gt;0, AVERAGEIF($G122:Klisz_Verbräuche[[#This Row],[2022]],"&lt;&gt;"), ""),IF($B$14&lt;Klisz_Verbräuche[[#Headers],[2023]],IF(COUNTIF($G122:Klisz_Verbräuche[[#This Row],[2022]],"&gt;0")&gt;0,IF(COUNTIF($G122:Klisz_Verbräuche[[#This Row],[2022]],"&gt;0")&gt;0,Klisz_Verbräuche[[#This Row],[2022]]*(1-$F122)^1, ""), ""),IF($B$14&gt;Klisz_Verbräuche[[#Headers],[2023]],Refsz_Verbräuche[[#This Row],[2023]],"")))</f>
        <v/>
      </c>
      <c r="P122" s="49" t="str">
        <f>IF(Klisz_Verbräuche[[#Headers],[2024]]=$B$14,IF(COUNTIF($G122:Klisz_Verbräuche[[#This Row],[2023]],"&gt;0")&gt;0, AVERAGEIF($G122:Klisz_Verbräuche[[#This Row],[2023]],"&lt;&gt;"), ""),IF($B$14&lt;Klisz_Verbräuche[[#Headers],[2024]],IF(COUNTIF($G122:Klisz_Verbräuche[[#This Row],[2023]],"&gt;0")&gt;0,IF(COUNTIF($G122:Klisz_Verbräuche[[#This Row],[2023]],"&gt;0")&gt;0,Klisz_Verbräuche[[#This Row],[2023]]*(1-$F122)^1, ""), ""),IF($B$14&gt;Klisz_Verbräuche[[#Headers],[2024]],Refsz_Verbräuche[[#This Row],[2024]],"")))</f>
        <v/>
      </c>
      <c r="Q122" s="49" t="str">
        <f>IF(Klisz_Verbräuche[[#Headers],[2025]]=$B$14,IF(COUNTIF($G122:Klisz_Verbräuche[[#This Row],[2024]],"&gt;0")&gt;0, AVERAGEIF($G122:Klisz_Verbräuche[[#This Row],[2024]],"&lt;&gt;"), ""),IF($B$14&lt;Klisz_Verbräuche[[#Headers],[2025]],IF(COUNTIF($G122:Klisz_Verbräuche[[#This Row],[2024]],"&gt;0")&gt;0,IF(COUNTIF($G122:Klisz_Verbräuche[[#This Row],[2024]],"&gt;0")&gt;0,Klisz_Verbräuche[[#This Row],[2024]]*(1-$F122)^1, ""), ""),IF($B$14&gt;Klisz_Verbräuche[[#Headers],[2025]],Refsz_Verbräuche[[#This Row],[2025]],"")))</f>
        <v/>
      </c>
      <c r="R122" s="49" t="str">
        <f>IF(Klisz_Verbräuche[[#Headers],[2026]]=$B$14,IF(COUNTIF($G122:Klisz_Verbräuche[[#This Row],[2025]],"&gt;0")&gt;0, AVERAGEIF($G122:Klisz_Verbräuche[[#This Row],[2025]],"&lt;&gt;"), ""),IF($B$14&lt;Klisz_Verbräuche[[#Headers],[2026]],IF(COUNTIF($G122:Klisz_Verbräuche[[#This Row],[2025]],"&gt;0")&gt;0,IF(COUNTIF($G122:Klisz_Verbräuche[[#This Row],[2025]],"&gt;0")&gt;0,Klisz_Verbräuche[[#This Row],[2025]]*(1-$F122)^1, ""), ""),IF($B$14&gt;Klisz_Verbräuche[[#Headers],[2026]],Refsz_Verbräuche[[#This Row],[2026]],"")))</f>
        <v/>
      </c>
      <c r="S122" s="49" t="str">
        <f>IF(Klisz_Verbräuche[[#Headers],[2027]]=$B$14,IF(COUNTIF($G122:Klisz_Verbräuche[[#This Row],[2026]],"&gt;0")&gt;0, AVERAGEIF($G122:Klisz_Verbräuche[[#This Row],[2026]],"&lt;&gt;"), ""),IF($B$14&lt;Klisz_Verbräuche[[#Headers],[2027]],IF(COUNTIF($G122:Klisz_Verbräuche[[#This Row],[2026]],"&gt;0")&gt;0,IF(COUNTIF($G122:Klisz_Verbräuche[[#This Row],[2026]],"&gt;0")&gt;0,Klisz_Verbräuche[[#This Row],[2026]]*(1-$F122)^1, ""), ""),IF($B$14&gt;Klisz_Verbräuche[[#Headers],[2027]],Refsz_Verbräuche[[#This Row],[2027]],"")))</f>
        <v/>
      </c>
      <c r="T122" s="49" t="str">
        <f>IF(Klisz_Verbräuche[[#Headers],[2028]]=$B$14,IF(COUNTIF($G122:Klisz_Verbräuche[[#This Row],[2027]],"&gt;0")&gt;0, AVERAGEIF($G122:Klisz_Verbräuche[[#This Row],[2027]],"&lt;&gt;"), ""),IF($B$14&lt;Klisz_Verbräuche[[#Headers],[2028]],IF(COUNTIF($G122:Klisz_Verbräuche[[#This Row],[2027]],"&gt;0")&gt;0,IF(COUNTIF($G122:Klisz_Verbräuche[[#This Row],[2027]],"&gt;0")&gt;0,Klisz_Verbräuche[[#This Row],[2027]]*(1-$F122)^1, ""), ""),IF($B$14&gt;Klisz_Verbräuche[[#Headers],[2028]],Refsz_Verbräuche[[#This Row],[2028]],"")))</f>
        <v/>
      </c>
      <c r="U122" s="49" t="str">
        <f>IF(Klisz_Verbräuche[[#Headers],[2029]]=$B$14,IF(COUNTIF($G122:Klisz_Verbräuche[[#This Row],[2028]],"&gt;0")&gt;0, AVERAGEIF($G122:Klisz_Verbräuche[[#This Row],[2028]],"&lt;&gt;"), ""),IF($B$14&lt;Klisz_Verbräuche[[#Headers],[2029]],IF(COUNTIF($G122:Klisz_Verbräuche[[#This Row],[2028]],"&gt;0")&gt;0,IF(COUNTIF($G122:Klisz_Verbräuche[[#This Row],[2028]],"&gt;0")&gt;0,Klisz_Verbräuche[[#This Row],[2028]]*(1-$F122)^1, ""), ""),IF($B$14&gt;Klisz_Verbräuche[[#Headers],[2029]],Refsz_Verbräuche[[#This Row],[2029]],"")))</f>
        <v/>
      </c>
      <c r="V122" s="49" t="str">
        <f>IF(Klisz_Verbräuche[[#Headers],[2030]]=$B$14,IF(COUNTIF($G122:Klisz_Verbräuche[[#This Row],[2029]],"&gt;0")&gt;0, AVERAGEIF($G122:Klisz_Verbräuche[[#This Row],[2029]],"&lt;&gt;"), ""),IF($B$14&lt;Klisz_Verbräuche[[#Headers],[2030]],IF(COUNTIF($G122:Klisz_Verbräuche[[#This Row],[2029]],"&gt;0")&gt;0,IF(COUNTIF($G122:Klisz_Verbräuche[[#This Row],[2029]],"&gt;0")&gt;0,Klisz_Verbräuche[[#This Row],[2029]]*(1-$F122)^1, ""), ""),IF($B$14&gt;Klisz_Verbräuche[[#Headers],[2030]],Refsz_Verbräuche[[#This Row],[2030]],"")))</f>
        <v/>
      </c>
      <c r="W122" s="49" t="str">
        <f>IF(Klisz_Verbräuche[[#Headers],[2035]]=$B$14,IF(COUNTIF($G122:Klisz_Verbräuche[[#This Row],[2030]],"&gt;0")&gt;0, AVERAGEIF($G122:Klisz_Verbräuche[[#This Row],[2030]],"&lt;&gt;"), ""),IF($B$14&lt;Klisz_Verbräuche[[#Headers],[2035]],IF(COUNTIF($G122:Klisz_Verbräuche[[#This Row],[2030]],"&gt;0")&gt;0,IF(COUNTIF($G122:Klisz_Verbräuche[[#This Row],[2030]],"&gt;0")&gt;0,Klisz_Verbräuche[[#This Row],[2030]]*(1-$F122)^5, ""), ""),IF($B$14&gt;Klisz_Verbräuche[[#Headers],[2035]],Refsz_Verbräuche[[#This Row],[2035]],"")))</f>
        <v/>
      </c>
      <c r="X122" s="49" t="str">
        <f>IF(Klisz_Verbräuche[[#Headers],[2040]]=$B$14,IF(COUNTIF($G122:Klisz_Verbräuche[[#This Row],[2035]],"&gt;0")&gt;0, AVERAGEIF($G122:Klisz_Verbräuche[[#This Row],[2035]],"&lt;&gt;"), ""),IF($B$14&lt;Klisz_Verbräuche[[#Headers],[2040]],IF(COUNTIF($G122:Klisz_Verbräuche[[#This Row],[2035]],"&gt;0")&gt;0,IF(COUNTIF($G122:Klisz_Verbräuche[[#This Row],[2035]],"&gt;0")&gt;0,Klisz_Verbräuche[[#This Row],[2035]]*(1-$F122)^5, ""), ""),IF($B$14&gt;Klisz_Verbräuche[[#Headers],[2040]],Refsz_Verbräuche[[#This Row],[2040]],"")))</f>
        <v/>
      </c>
      <c r="Y122" s="49" t="str">
        <f>IF(Klisz_Verbräuche[[#Headers],[2045]]=$B$14,IF(COUNTIF($G122:Klisz_Verbräuche[[#This Row],[2040]],"&gt;0")&gt;0, AVERAGEIF($G122:Klisz_Verbräuche[[#This Row],[2040]],"&lt;&gt;"), ""),IF($B$14&lt;Klisz_Verbräuche[[#Headers],[2045]],IF(COUNTIF($G122:Klisz_Verbräuche[[#This Row],[2040]],"&gt;0")&gt;0,IF(COUNTIF($G122:Klisz_Verbräuche[[#This Row],[2040]],"&gt;0")&gt;0,Klisz_Verbräuche[[#This Row],[2040]]*(1-$F122)^5, ""), ""),IF($B$14&gt;Klisz_Verbräuche[[#Headers],[2045]],Refsz_Verbräuche[[#This Row],[2045]],"")))</f>
        <v/>
      </c>
      <c r="Z122" s="49" t="str">
        <f>IF(Klisz_Verbräuche[[#Headers],[2050]]=$B$14,IF(COUNTIF($G122:Klisz_Verbräuche[[#This Row],[2045]],"&gt;0")&gt;0, AVERAGEIF($G122:Klisz_Verbräuche[[#This Row],[2045]],"&lt;&gt;"), ""),IF($B$14&lt;Klisz_Verbräuche[[#Headers],[2050]],IF(COUNTIF($G122:Klisz_Verbräuche[[#This Row],[2045]],"&gt;0")&gt;0,IF(COUNTIF($G122:Klisz_Verbräuche[[#This Row],[2045]],"&gt;0")&gt;0,Klisz_Verbräuche[[#This Row],[2045]]*(1-$F122)^5, ""), ""),IF($B$14&gt;Klisz_Verbräuche[[#Headers],[2050]],Refsz_Verbräuche[[#This Row],[2050]],"")))</f>
        <v/>
      </c>
      <c r="AA122" s="14"/>
    </row>
    <row r="123" spans="2:27">
      <c r="B123" s="14">
        <v>106</v>
      </c>
      <c r="C123" s="197" t="str">
        <f>Refsz_Verbräuche[[#This Row],[Handlungsfeld]]</f>
        <v>Abfall</v>
      </c>
      <c r="D123" s="19" t="str">
        <f>Refsz_Verbräuche[[#This Row],[Datenpunkt]]</f>
        <v>Bioabfall (Verbrennung)</v>
      </c>
      <c r="E123" s="26" t="str">
        <f>Refsz_Verbräuche[[#This Row],[Einheit]]</f>
        <v>t</v>
      </c>
      <c r="F123" s="108"/>
      <c r="G123" s="14" t="str">
        <f>IF(ISBLANK(Refsz_Verbräuche[[#This Row],[2015]]),"",Refsz_Verbräuche[[#This Row],[2015]])</f>
        <v/>
      </c>
      <c r="H123" s="14" t="str">
        <f>IF(ISBLANK(Refsz_Verbräuche[[#This Row],[2016]]),"",Refsz_Verbräuche[[#This Row],[2016]])</f>
        <v/>
      </c>
      <c r="I123" s="14" t="str">
        <f>IF(ISBLANK(Refsz_Verbräuche[[#This Row],[2017]]),"",Refsz_Verbräuche[[#This Row],[2017]])</f>
        <v/>
      </c>
      <c r="J123" s="14" t="str">
        <f>IF(ISBLANK(Refsz_Verbräuche[[#This Row],[2018]]),"",Refsz_Verbräuche[[#This Row],[2018]])</f>
        <v/>
      </c>
      <c r="K123" s="14" t="str">
        <f>IF(ISBLANK(Refsz_Verbräuche[[#This Row],[2019]]),"",Refsz_Verbräuche[[#This Row],[2019]])</f>
        <v/>
      </c>
      <c r="L123" s="14" t="str">
        <f>IF(ISBLANK(Refsz_Verbräuche[[#This Row],[2020]]),"",Refsz_Verbräuche[[#This Row],[2020]])</f>
        <v/>
      </c>
      <c r="M123" s="14" t="str">
        <f>IF(ISBLANK(Refsz_Verbräuche[[#This Row],[2021]]),"",Refsz_Verbräuche[[#This Row],[2021]])</f>
        <v/>
      </c>
      <c r="N123" s="49" t="str">
        <f>IF(Klisz_Verbräuche[[#Headers],[2022]]=$B$14,IF(COUNTIF($G123:Klisz_Verbräuche[[#This Row],[2021]],"&gt;0")&gt;0, AVERAGEIF($G123:Klisz_Verbräuche[[#This Row],[2021]],"&lt;&gt;"), ""),IF($B$14&lt;Klisz_Verbräuche[[#Headers],[2022]],IF(COUNTIF($G123:Klisz_Verbräuche[[#This Row],[2021]],"&gt;0")&gt;0,IF(COUNTIF($G123:Klisz_Verbräuche[[#This Row],[2021]],"&gt;0")&gt;0,Klisz_Verbräuche[[#This Row],[2021]]*(1-$F123)^1, ""), ""),IF($B$14&gt;Klisz_Verbräuche[[#Headers],[2022]],Refsz_Verbräuche[[#This Row],[2022]],"")))</f>
        <v/>
      </c>
      <c r="O123" s="49" t="str">
        <f>IF(Klisz_Verbräuche[[#Headers],[2023]]=$B$14,IF(COUNTIF($G123:Klisz_Verbräuche[[#This Row],[2022]],"&gt;0")&gt;0, AVERAGEIF($G123:Klisz_Verbräuche[[#This Row],[2022]],"&lt;&gt;"), ""),IF($B$14&lt;Klisz_Verbräuche[[#Headers],[2023]],IF(COUNTIF($G123:Klisz_Verbräuche[[#This Row],[2022]],"&gt;0")&gt;0,IF(COUNTIF($G123:Klisz_Verbräuche[[#This Row],[2022]],"&gt;0")&gt;0,Klisz_Verbräuche[[#This Row],[2022]]*(1-$F123)^1, ""), ""),IF($B$14&gt;Klisz_Verbräuche[[#Headers],[2023]],Refsz_Verbräuche[[#This Row],[2023]],"")))</f>
        <v/>
      </c>
      <c r="P123" s="49" t="str">
        <f>IF(Klisz_Verbräuche[[#Headers],[2024]]=$B$14,IF(COUNTIF($G123:Klisz_Verbräuche[[#This Row],[2023]],"&gt;0")&gt;0, AVERAGEIF($G123:Klisz_Verbräuche[[#This Row],[2023]],"&lt;&gt;"), ""),IF($B$14&lt;Klisz_Verbräuche[[#Headers],[2024]],IF(COUNTIF($G123:Klisz_Verbräuche[[#This Row],[2023]],"&gt;0")&gt;0,IF(COUNTIF($G123:Klisz_Verbräuche[[#This Row],[2023]],"&gt;0")&gt;0,Klisz_Verbräuche[[#This Row],[2023]]*(1-$F123)^1, ""), ""),IF($B$14&gt;Klisz_Verbräuche[[#Headers],[2024]],Refsz_Verbräuche[[#This Row],[2024]],"")))</f>
        <v/>
      </c>
      <c r="Q123" s="49" t="str">
        <f>IF(Klisz_Verbräuche[[#Headers],[2025]]=$B$14,IF(COUNTIF($G123:Klisz_Verbräuche[[#This Row],[2024]],"&gt;0")&gt;0, AVERAGEIF($G123:Klisz_Verbräuche[[#This Row],[2024]],"&lt;&gt;"), ""),IF($B$14&lt;Klisz_Verbräuche[[#Headers],[2025]],IF(COUNTIF($G123:Klisz_Verbräuche[[#This Row],[2024]],"&gt;0")&gt;0,IF(COUNTIF($G123:Klisz_Verbräuche[[#This Row],[2024]],"&gt;0")&gt;0,Klisz_Verbräuche[[#This Row],[2024]]*(1-$F123)^1, ""), ""),IF($B$14&gt;Klisz_Verbräuche[[#Headers],[2025]],Refsz_Verbräuche[[#This Row],[2025]],"")))</f>
        <v/>
      </c>
      <c r="R123" s="49" t="str">
        <f>IF(Klisz_Verbräuche[[#Headers],[2026]]=$B$14,IF(COUNTIF($G123:Klisz_Verbräuche[[#This Row],[2025]],"&gt;0")&gt;0, AVERAGEIF($G123:Klisz_Verbräuche[[#This Row],[2025]],"&lt;&gt;"), ""),IF($B$14&lt;Klisz_Verbräuche[[#Headers],[2026]],IF(COUNTIF($G123:Klisz_Verbräuche[[#This Row],[2025]],"&gt;0")&gt;0,IF(COUNTIF($G123:Klisz_Verbräuche[[#This Row],[2025]],"&gt;0")&gt;0,Klisz_Verbräuche[[#This Row],[2025]]*(1-$F123)^1, ""), ""),IF($B$14&gt;Klisz_Verbräuche[[#Headers],[2026]],Refsz_Verbräuche[[#This Row],[2026]],"")))</f>
        <v/>
      </c>
      <c r="S123" s="49" t="str">
        <f>IF(Klisz_Verbräuche[[#Headers],[2027]]=$B$14,IF(COUNTIF($G123:Klisz_Verbräuche[[#This Row],[2026]],"&gt;0")&gt;0, AVERAGEIF($G123:Klisz_Verbräuche[[#This Row],[2026]],"&lt;&gt;"), ""),IF($B$14&lt;Klisz_Verbräuche[[#Headers],[2027]],IF(COUNTIF($G123:Klisz_Verbräuche[[#This Row],[2026]],"&gt;0")&gt;0,IF(COUNTIF($G123:Klisz_Verbräuche[[#This Row],[2026]],"&gt;0")&gt;0,Klisz_Verbräuche[[#This Row],[2026]]*(1-$F123)^1, ""), ""),IF($B$14&gt;Klisz_Verbräuche[[#Headers],[2027]],Refsz_Verbräuche[[#This Row],[2027]],"")))</f>
        <v/>
      </c>
      <c r="T123" s="49" t="str">
        <f>IF(Klisz_Verbräuche[[#Headers],[2028]]=$B$14,IF(COUNTIF($G123:Klisz_Verbräuche[[#This Row],[2027]],"&gt;0")&gt;0, AVERAGEIF($G123:Klisz_Verbräuche[[#This Row],[2027]],"&lt;&gt;"), ""),IF($B$14&lt;Klisz_Verbräuche[[#Headers],[2028]],IF(COUNTIF($G123:Klisz_Verbräuche[[#This Row],[2027]],"&gt;0")&gt;0,IF(COUNTIF($G123:Klisz_Verbräuche[[#This Row],[2027]],"&gt;0")&gt;0,Klisz_Verbräuche[[#This Row],[2027]]*(1-$F123)^1, ""), ""),IF($B$14&gt;Klisz_Verbräuche[[#Headers],[2028]],Refsz_Verbräuche[[#This Row],[2028]],"")))</f>
        <v/>
      </c>
      <c r="U123" s="49" t="str">
        <f>IF(Klisz_Verbräuche[[#Headers],[2029]]=$B$14,IF(COUNTIF($G123:Klisz_Verbräuche[[#This Row],[2028]],"&gt;0")&gt;0, AVERAGEIF($G123:Klisz_Verbräuche[[#This Row],[2028]],"&lt;&gt;"), ""),IF($B$14&lt;Klisz_Verbräuche[[#Headers],[2029]],IF(COUNTIF($G123:Klisz_Verbräuche[[#This Row],[2028]],"&gt;0")&gt;0,IF(COUNTIF($G123:Klisz_Verbräuche[[#This Row],[2028]],"&gt;0")&gt;0,Klisz_Verbräuche[[#This Row],[2028]]*(1-$F123)^1, ""), ""),IF($B$14&gt;Klisz_Verbräuche[[#Headers],[2029]],Refsz_Verbräuche[[#This Row],[2029]],"")))</f>
        <v/>
      </c>
      <c r="V123" s="49" t="str">
        <f>IF(Klisz_Verbräuche[[#Headers],[2030]]=$B$14,IF(COUNTIF($G123:Klisz_Verbräuche[[#This Row],[2029]],"&gt;0")&gt;0, AVERAGEIF($G123:Klisz_Verbräuche[[#This Row],[2029]],"&lt;&gt;"), ""),IF($B$14&lt;Klisz_Verbräuche[[#Headers],[2030]],IF(COUNTIF($G123:Klisz_Verbräuche[[#This Row],[2029]],"&gt;0")&gt;0,IF(COUNTIF($G123:Klisz_Verbräuche[[#This Row],[2029]],"&gt;0")&gt;0,Klisz_Verbräuche[[#This Row],[2029]]*(1-$F123)^1, ""), ""),IF($B$14&gt;Klisz_Verbräuche[[#Headers],[2030]],Refsz_Verbräuche[[#This Row],[2030]],"")))</f>
        <v/>
      </c>
      <c r="W123" s="49" t="str">
        <f>IF(Klisz_Verbräuche[[#Headers],[2035]]=$B$14,IF(COUNTIF($G123:Klisz_Verbräuche[[#This Row],[2030]],"&gt;0")&gt;0, AVERAGEIF($G123:Klisz_Verbräuche[[#This Row],[2030]],"&lt;&gt;"), ""),IF($B$14&lt;Klisz_Verbräuche[[#Headers],[2035]],IF(COUNTIF($G123:Klisz_Verbräuche[[#This Row],[2030]],"&gt;0")&gt;0,IF(COUNTIF($G123:Klisz_Verbräuche[[#This Row],[2030]],"&gt;0")&gt;0,Klisz_Verbräuche[[#This Row],[2030]]*(1-$F123)^5, ""), ""),IF($B$14&gt;Klisz_Verbräuche[[#Headers],[2035]],Refsz_Verbräuche[[#This Row],[2035]],"")))</f>
        <v/>
      </c>
      <c r="X123" s="49" t="str">
        <f>IF(Klisz_Verbräuche[[#Headers],[2040]]=$B$14,IF(COUNTIF($G123:Klisz_Verbräuche[[#This Row],[2035]],"&gt;0")&gt;0, AVERAGEIF($G123:Klisz_Verbräuche[[#This Row],[2035]],"&lt;&gt;"), ""),IF($B$14&lt;Klisz_Verbräuche[[#Headers],[2040]],IF(COUNTIF($G123:Klisz_Verbräuche[[#This Row],[2035]],"&gt;0")&gt;0,IF(COUNTIF($G123:Klisz_Verbräuche[[#This Row],[2035]],"&gt;0")&gt;0,Klisz_Verbräuche[[#This Row],[2035]]*(1-$F123)^5, ""), ""),IF($B$14&gt;Klisz_Verbräuche[[#Headers],[2040]],Refsz_Verbräuche[[#This Row],[2040]],"")))</f>
        <v/>
      </c>
      <c r="Y123" s="49" t="str">
        <f>IF(Klisz_Verbräuche[[#Headers],[2045]]=$B$14,IF(COUNTIF($G123:Klisz_Verbräuche[[#This Row],[2040]],"&gt;0")&gt;0, AVERAGEIF($G123:Klisz_Verbräuche[[#This Row],[2040]],"&lt;&gt;"), ""),IF($B$14&lt;Klisz_Verbräuche[[#Headers],[2045]],IF(COUNTIF($G123:Klisz_Verbräuche[[#This Row],[2040]],"&gt;0")&gt;0,IF(COUNTIF($G123:Klisz_Verbräuche[[#This Row],[2040]],"&gt;0")&gt;0,Klisz_Verbräuche[[#This Row],[2040]]*(1-$F123)^5, ""), ""),IF($B$14&gt;Klisz_Verbräuche[[#Headers],[2045]],Refsz_Verbräuche[[#This Row],[2045]],"")))</f>
        <v/>
      </c>
      <c r="Z123" s="49" t="str">
        <f>IF(Klisz_Verbräuche[[#Headers],[2050]]=$B$14,IF(COUNTIF($G123:Klisz_Verbräuche[[#This Row],[2045]],"&gt;0")&gt;0, AVERAGEIF($G123:Klisz_Verbräuche[[#This Row],[2045]],"&lt;&gt;"), ""),IF($B$14&lt;Klisz_Verbräuche[[#Headers],[2050]],IF(COUNTIF($G123:Klisz_Verbräuche[[#This Row],[2045]],"&gt;0")&gt;0,IF(COUNTIF($G123:Klisz_Verbräuche[[#This Row],[2045]],"&gt;0")&gt;0,Klisz_Verbräuche[[#This Row],[2045]]*(1-$F123)^5, ""), ""),IF($B$14&gt;Klisz_Verbräuche[[#Headers],[2050]],Refsz_Verbräuche[[#This Row],[2050]],"")))</f>
        <v/>
      </c>
      <c r="AA123" s="14"/>
    </row>
    <row r="124" spans="2:27">
      <c r="B124" s="14">
        <v>107</v>
      </c>
      <c r="C124" s="197" t="str">
        <f>Refsz_Verbräuche[[#This Row],[Handlungsfeld]]</f>
        <v>Abfall</v>
      </c>
      <c r="D124" s="19" t="str">
        <f>Refsz_Verbräuche[[#This Row],[Datenpunkt]]</f>
        <v>Papierabfall</v>
      </c>
      <c r="E124" s="26" t="str">
        <f>Refsz_Verbräuche[[#This Row],[Einheit]]</f>
        <v>t</v>
      </c>
      <c r="F124" s="108"/>
      <c r="G124" s="14" t="str">
        <f>IF(ISBLANK(Refsz_Verbräuche[[#This Row],[2015]]),"",Refsz_Verbräuche[[#This Row],[2015]])</f>
        <v/>
      </c>
      <c r="H124" s="14" t="str">
        <f>IF(ISBLANK(Refsz_Verbräuche[[#This Row],[2016]]),"",Refsz_Verbräuche[[#This Row],[2016]])</f>
        <v/>
      </c>
      <c r="I124" s="14" t="str">
        <f>IF(ISBLANK(Refsz_Verbräuche[[#This Row],[2017]]),"",Refsz_Verbräuche[[#This Row],[2017]])</f>
        <v/>
      </c>
      <c r="J124" s="14" t="str">
        <f>IF(ISBLANK(Refsz_Verbräuche[[#This Row],[2018]]),"",Refsz_Verbräuche[[#This Row],[2018]])</f>
        <v/>
      </c>
      <c r="K124" s="14" t="str">
        <f>IF(ISBLANK(Refsz_Verbräuche[[#This Row],[2019]]),"",Refsz_Verbräuche[[#This Row],[2019]])</f>
        <v/>
      </c>
      <c r="L124" s="14" t="str">
        <f>IF(ISBLANK(Refsz_Verbräuche[[#This Row],[2020]]),"",Refsz_Verbräuche[[#This Row],[2020]])</f>
        <v/>
      </c>
      <c r="M124" s="14" t="str">
        <f>IF(ISBLANK(Refsz_Verbräuche[[#This Row],[2021]]),"",Refsz_Verbräuche[[#This Row],[2021]])</f>
        <v/>
      </c>
      <c r="N124" s="49" t="str">
        <f>IF(Klisz_Verbräuche[[#Headers],[2022]]=$B$14,IF(COUNTIF($G124:Klisz_Verbräuche[[#This Row],[2021]],"&gt;0")&gt;0, AVERAGEIF($G124:Klisz_Verbräuche[[#This Row],[2021]],"&lt;&gt;"), ""),IF($B$14&lt;Klisz_Verbräuche[[#Headers],[2022]],IF(COUNTIF($G124:Klisz_Verbräuche[[#This Row],[2021]],"&gt;0")&gt;0,IF(COUNTIF($G124:Klisz_Verbräuche[[#This Row],[2021]],"&gt;0")&gt;0,Klisz_Verbräuche[[#This Row],[2021]]*(1-$F124)^1, ""), ""),IF($B$14&gt;Klisz_Verbräuche[[#Headers],[2022]],Refsz_Verbräuche[[#This Row],[2022]],"")))</f>
        <v/>
      </c>
      <c r="O124" s="49" t="str">
        <f>IF(Klisz_Verbräuche[[#Headers],[2023]]=$B$14,IF(COUNTIF($G124:Klisz_Verbräuche[[#This Row],[2022]],"&gt;0")&gt;0, AVERAGEIF($G124:Klisz_Verbräuche[[#This Row],[2022]],"&lt;&gt;"), ""),IF($B$14&lt;Klisz_Verbräuche[[#Headers],[2023]],IF(COUNTIF($G124:Klisz_Verbräuche[[#This Row],[2022]],"&gt;0")&gt;0,IF(COUNTIF($G124:Klisz_Verbräuche[[#This Row],[2022]],"&gt;0")&gt;0,Klisz_Verbräuche[[#This Row],[2022]]*(1-$F124)^1, ""), ""),IF($B$14&gt;Klisz_Verbräuche[[#Headers],[2023]],Refsz_Verbräuche[[#This Row],[2023]],"")))</f>
        <v/>
      </c>
      <c r="P124" s="49" t="str">
        <f>IF(Klisz_Verbräuche[[#Headers],[2024]]=$B$14,IF(COUNTIF($G124:Klisz_Verbräuche[[#This Row],[2023]],"&gt;0")&gt;0, AVERAGEIF($G124:Klisz_Verbräuche[[#This Row],[2023]],"&lt;&gt;"), ""),IF($B$14&lt;Klisz_Verbräuche[[#Headers],[2024]],IF(COUNTIF($G124:Klisz_Verbräuche[[#This Row],[2023]],"&gt;0")&gt;0,IF(COUNTIF($G124:Klisz_Verbräuche[[#This Row],[2023]],"&gt;0")&gt;0,Klisz_Verbräuche[[#This Row],[2023]]*(1-$F124)^1, ""), ""),IF($B$14&gt;Klisz_Verbräuche[[#Headers],[2024]],Refsz_Verbräuche[[#This Row],[2024]],"")))</f>
        <v/>
      </c>
      <c r="Q124" s="49" t="str">
        <f>IF(Klisz_Verbräuche[[#Headers],[2025]]=$B$14,IF(COUNTIF($G124:Klisz_Verbräuche[[#This Row],[2024]],"&gt;0")&gt;0, AVERAGEIF($G124:Klisz_Verbräuche[[#This Row],[2024]],"&lt;&gt;"), ""),IF($B$14&lt;Klisz_Verbräuche[[#Headers],[2025]],IF(COUNTIF($G124:Klisz_Verbräuche[[#This Row],[2024]],"&gt;0")&gt;0,IF(COUNTIF($G124:Klisz_Verbräuche[[#This Row],[2024]],"&gt;0")&gt;0,Klisz_Verbräuche[[#This Row],[2024]]*(1-$F124)^1, ""), ""),IF($B$14&gt;Klisz_Verbräuche[[#Headers],[2025]],Refsz_Verbräuche[[#This Row],[2025]],"")))</f>
        <v/>
      </c>
      <c r="R124" s="49" t="str">
        <f>IF(Klisz_Verbräuche[[#Headers],[2026]]=$B$14,IF(COUNTIF($G124:Klisz_Verbräuche[[#This Row],[2025]],"&gt;0")&gt;0, AVERAGEIF($G124:Klisz_Verbräuche[[#This Row],[2025]],"&lt;&gt;"), ""),IF($B$14&lt;Klisz_Verbräuche[[#Headers],[2026]],IF(COUNTIF($G124:Klisz_Verbräuche[[#This Row],[2025]],"&gt;0")&gt;0,IF(COUNTIF($G124:Klisz_Verbräuche[[#This Row],[2025]],"&gt;0")&gt;0,Klisz_Verbräuche[[#This Row],[2025]]*(1-$F124)^1, ""), ""),IF($B$14&gt;Klisz_Verbräuche[[#Headers],[2026]],Refsz_Verbräuche[[#This Row],[2026]],"")))</f>
        <v/>
      </c>
      <c r="S124" s="49" t="str">
        <f>IF(Klisz_Verbräuche[[#Headers],[2027]]=$B$14,IF(COUNTIF($G124:Klisz_Verbräuche[[#This Row],[2026]],"&gt;0")&gt;0, AVERAGEIF($G124:Klisz_Verbräuche[[#This Row],[2026]],"&lt;&gt;"), ""),IF($B$14&lt;Klisz_Verbräuche[[#Headers],[2027]],IF(COUNTIF($G124:Klisz_Verbräuche[[#This Row],[2026]],"&gt;0")&gt;0,IF(COUNTIF($G124:Klisz_Verbräuche[[#This Row],[2026]],"&gt;0")&gt;0,Klisz_Verbräuche[[#This Row],[2026]]*(1-$F124)^1, ""), ""),IF($B$14&gt;Klisz_Verbräuche[[#Headers],[2027]],Refsz_Verbräuche[[#This Row],[2027]],"")))</f>
        <v/>
      </c>
      <c r="T124" s="49" t="str">
        <f>IF(Klisz_Verbräuche[[#Headers],[2028]]=$B$14,IF(COUNTIF($G124:Klisz_Verbräuche[[#This Row],[2027]],"&gt;0")&gt;0, AVERAGEIF($G124:Klisz_Verbräuche[[#This Row],[2027]],"&lt;&gt;"), ""),IF($B$14&lt;Klisz_Verbräuche[[#Headers],[2028]],IF(COUNTIF($G124:Klisz_Verbräuche[[#This Row],[2027]],"&gt;0")&gt;0,IF(COUNTIF($G124:Klisz_Verbräuche[[#This Row],[2027]],"&gt;0")&gt;0,Klisz_Verbräuche[[#This Row],[2027]]*(1-$F124)^1, ""), ""),IF($B$14&gt;Klisz_Verbräuche[[#Headers],[2028]],Refsz_Verbräuche[[#This Row],[2028]],"")))</f>
        <v/>
      </c>
      <c r="U124" s="49" t="str">
        <f>IF(Klisz_Verbräuche[[#Headers],[2029]]=$B$14,IF(COUNTIF($G124:Klisz_Verbräuche[[#This Row],[2028]],"&gt;0")&gt;0, AVERAGEIF($G124:Klisz_Verbräuche[[#This Row],[2028]],"&lt;&gt;"), ""),IF($B$14&lt;Klisz_Verbräuche[[#Headers],[2029]],IF(COUNTIF($G124:Klisz_Verbräuche[[#This Row],[2028]],"&gt;0")&gt;0,IF(COUNTIF($G124:Klisz_Verbräuche[[#This Row],[2028]],"&gt;0")&gt;0,Klisz_Verbräuche[[#This Row],[2028]]*(1-$F124)^1, ""), ""),IF($B$14&gt;Klisz_Verbräuche[[#Headers],[2029]],Refsz_Verbräuche[[#This Row],[2029]],"")))</f>
        <v/>
      </c>
      <c r="V124" s="49" t="str">
        <f>IF(Klisz_Verbräuche[[#Headers],[2030]]=$B$14,IF(COUNTIF($G124:Klisz_Verbräuche[[#This Row],[2029]],"&gt;0")&gt;0, AVERAGEIF($G124:Klisz_Verbräuche[[#This Row],[2029]],"&lt;&gt;"), ""),IF($B$14&lt;Klisz_Verbräuche[[#Headers],[2030]],IF(COUNTIF($G124:Klisz_Verbräuche[[#This Row],[2029]],"&gt;0")&gt;0,IF(COUNTIF($G124:Klisz_Verbräuche[[#This Row],[2029]],"&gt;0")&gt;0,Klisz_Verbräuche[[#This Row],[2029]]*(1-$F124)^1, ""), ""),IF($B$14&gt;Klisz_Verbräuche[[#Headers],[2030]],Refsz_Verbräuche[[#This Row],[2030]],"")))</f>
        <v/>
      </c>
      <c r="W124" s="49" t="str">
        <f>IF(Klisz_Verbräuche[[#Headers],[2035]]=$B$14,IF(COUNTIF($G124:Klisz_Verbräuche[[#This Row],[2030]],"&gt;0")&gt;0, AVERAGEIF($G124:Klisz_Verbräuche[[#This Row],[2030]],"&lt;&gt;"), ""),IF($B$14&lt;Klisz_Verbräuche[[#Headers],[2035]],IF(COUNTIF($G124:Klisz_Verbräuche[[#This Row],[2030]],"&gt;0")&gt;0,IF(COUNTIF($G124:Klisz_Verbräuche[[#This Row],[2030]],"&gt;0")&gt;0,Klisz_Verbräuche[[#This Row],[2030]]*(1-$F124)^5, ""), ""),IF($B$14&gt;Klisz_Verbräuche[[#Headers],[2035]],Refsz_Verbräuche[[#This Row],[2035]],"")))</f>
        <v/>
      </c>
      <c r="X124" s="49" t="str">
        <f>IF(Klisz_Verbräuche[[#Headers],[2040]]=$B$14,IF(COUNTIF($G124:Klisz_Verbräuche[[#This Row],[2035]],"&gt;0")&gt;0, AVERAGEIF($G124:Klisz_Verbräuche[[#This Row],[2035]],"&lt;&gt;"), ""),IF($B$14&lt;Klisz_Verbräuche[[#Headers],[2040]],IF(COUNTIF($G124:Klisz_Verbräuche[[#This Row],[2035]],"&gt;0")&gt;0,IF(COUNTIF($G124:Klisz_Verbräuche[[#This Row],[2035]],"&gt;0")&gt;0,Klisz_Verbräuche[[#This Row],[2035]]*(1-$F124)^5, ""), ""),IF($B$14&gt;Klisz_Verbräuche[[#Headers],[2040]],Refsz_Verbräuche[[#This Row],[2040]],"")))</f>
        <v/>
      </c>
      <c r="Y124" s="49" t="str">
        <f>IF(Klisz_Verbräuche[[#Headers],[2045]]=$B$14,IF(COUNTIF($G124:Klisz_Verbräuche[[#This Row],[2040]],"&gt;0")&gt;0, AVERAGEIF($G124:Klisz_Verbräuche[[#This Row],[2040]],"&lt;&gt;"), ""),IF($B$14&lt;Klisz_Verbräuche[[#Headers],[2045]],IF(COUNTIF($G124:Klisz_Verbräuche[[#This Row],[2040]],"&gt;0")&gt;0,IF(COUNTIF($G124:Klisz_Verbräuche[[#This Row],[2040]],"&gt;0")&gt;0,Klisz_Verbräuche[[#This Row],[2040]]*(1-$F124)^5, ""), ""),IF($B$14&gt;Klisz_Verbräuche[[#Headers],[2045]],Refsz_Verbräuche[[#This Row],[2045]],"")))</f>
        <v/>
      </c>
      <c r="Z124" s="49" t="str">
        <f>IF(Klisz_Verbräuche[[#Headers],[2050]]=$B$14,IF(COUNTIF($G124:Klisz_Verbräuche[[#This Row],[2045]],"&gt;0")&gt;0, AVERAGEIF($G124:Klisz_Verbräuche[[#This Row],[2045]],"&lt;&gt;"), ""),IF($B$14&lt;Klisz_Verbräuche[[#Headers],[2050]],IF(COUNTIF($G124:Klisz_Verbräuche[[#This Row],[2045]],"&gt;0")&gt;0,IF(COUNTIF($G124:Klisz_Verbräuche[[#This Row],[2045]],"&gt;0")&gt;0,Klisz_Verbräuche[[#This Row],[2045]]*(1-$F124)^5, ""), ""),IF($B$14&gt;Klisz_Verbräuche[[#Headers],[2050]],Refsz_Verbräuche[[#This Row],[2050]],"")))</f>
        <v/>
      </c>
      <c r="AA124" s="14"/>
    </row>
    <row r="125" spans="2:27">
      <c r="B125" s="14">
        <v>108</v>
      </c>
      <c r="C125" s="197" t="str">
        <f>Refsz_Verbräuche[[#This Row],[Handlungsfeld]]</f>
        <v>Abfall</v>
      </c>
      <c r="D125" s="19" t="str">
        <f>Refsz_Verbräuche[[#This Row],[Datenpunkt]]</f>
        <v>Plastik- und Verpackungsabfall</v>
      </c>
      <c r="E125" s="26" t="str">
        <f>Refsz_Verbräuche[[#This Row],[Einheit]]</f>
        <v>t</v>
      </c>
      <c r="F125" s="108"/>
      <c r="G125" s="14" t="str">
        <f>IF(ISBLANK(Refsz_Verbräuche[[#This Row],[2015]]),"",Refsz_Verbräuche[[#This Row],[2015]])</f>
        <v/>
      </c>
      <c r="H125" s="14" t="str">
        <f>IF(ISBLANK(Refsz_Verbräuche[[#This Row],[2016]]),"",Refsz_Verbräuche[[#This Row],[2016]])</f>
        <v/>
      </c>
      <c r="I125" s="14" t="str">
        <f>IF(ISBLANK(Refsz_Verbräuche[[#This Row],[2017]]),"",Refsz_Verbräuche[[#This Row],[2017]])</f>
        <v/>
      </c>
      <c r="J125" s="14" t="str">
        <f>IF(ISBLANK(Refsz_Verbräuche[[#This Row],[2018]]),"",Refsz_Verbräuche[[#This Row],[2018]])</f>
        <v/>
      </c>
      <c r="K125" s="14" t="str">
        <f>IF(ISBLANK(Refsz_Verbräuche[[#This Row],[2019]]),"",Refsz_Verbräuche[[#This Row],[2019]])</f>
        <v/>
      </c>
      <c r="L125" s="14" t="str">
        <f>IF(ISBLANK(Refsz_Verbräuche[[#This Row],[2020]]),"",Refsz_Verbräuche[[#This Row],[2020]])</f>
        <v/>
      </c>
      <c r="M125" s="14" t="str">
        <f>IF(ISBLANK(Refsz_Verbräuche[[#This Row],[2021]]),"",Refsz_Verbräuche[[#This Row],[2021]])</f>
        <v/>
      </c>
      <c r="N125" s="49" t="str">
        <f>IF(Klisz_Verbräuche[[#Headers],[2022]]=$B$14,IF(COUNTIF($G125:Klisz_Verbräuche[[#This Row],[2021]],"&gt;0")&gt;0, AVERAGEIF($G125:Klisz_Verbräuche[[#This Row],[2021]],"&lt;&gt;"), ""),IF($B$14&lt;Klisz_Verbräuche[[#Headers],[2022]],IF(COUNTIF($G125:Klisz_Verbräuche[[#This Row],[2021]],"&gt;0")&gt;0,IF(COUNTIF($G125:Klisz_Verbräuche[[#This Row],[2021]],"&gt;0")&gt;0,Klisz_Verbräuche[[#This Row],[2021]]*(1-$F125)^1, ""), ""),IF($B$14&gt;Klisz_Verbräuche[[#Headers],[2022]],Refsz_Verbräuche[[#This Row],[2022]],"")))</f>
        <v/>
      </c>
      <c r="O125" s="49" t="str">
        <f>IF(Klisz_Verbräuche[[#Headers],[2023]]=$B$14,IF(COUNTIF($G125:Klisz_Verbräuche[[#This Row],[2022]],"&gt;0")&gt;0, AVERAGEIF($G125:Klisz_Verbräuche[[#This Row],[2022]],"&lt;&gt;"), ""),IF($B$14&lt;Klisz_Verbräuche[[#Headers],[2023]],IF(COUNTIF($G125:Klisz_Verbräuche[[#This Row],[2022]],"&gt;0")&gt;0,IF(COUNTIF($G125:Klisz_Verbräuche[[#This Row],[2022]],"&gt;0")&gt;0,Klisz_Verbräuche[[#This Row],[2022]]*(1-$F125)^1, ""), ""),IF($B$14&gt;Klisz_Verbräuche[[#Headers],[2023]],Refsz_Verbräuche[[#This Row],[2023]],"")))</f>
        <v/>
      </c>
      <c r="P125" s="49" t="str">
        <f>IF(Klisz_Verbräuche[[#Headers],[2024]]=$B$14,IF(COUNTIF($G125:Klisz_Verbräuche[[#This Row],[2023]],"&gt;0")&gt;0, AVERAGEIF($G125:Klisz_Verbräuche[[#This Row],[2023]],"&lt;&gt;"), ""),IF($B$14&lt;Klisz_Verbräuche[[#Headers],[2024]],IF(COUNTIF($G125:Klisz_Verbräuche[[#This Row],[2023]],"&gt;0")&gt;0,IF(COUNTIF($G125:Klisz_Verbräuche[[#This Row],[2023]],"&gt;0")&gt;0,Klisz_Verbräuche[[#This Row],[2023]]*(1-$F125)^1, ""), ""),IF($B$14&gt;Klisz_Verbräuche[[#Headers],[2024]],Refsz_Verbräuche[[#This Row],[2024]],"")))</f>
        <v/>
      </c>
      <c r="Q125" s="49" t="str">
        <f>IF(Klisz_Verbräuche[[#Headers],[2025]]=$B$14,IF(COUNTIF($G125:Klisz_Verbräuche[[#This Row],[2024]],"&gt;0")&gt;0, AVERAGEIF($G125:Klisz_Verbräuche[[#This Row],[2024]],"&lt;&gt;"), ""),IF($B$14&lt;Klisz_Verbräuche[[#Headers],[2025]],IF(COUNTIF($G125:Klisz_Verbräuche[[#This Row],[2024]],"&gt;0")&gt;0,IF(COUNTIF($G125:Klisz_Verbräuche[[#This Row],[2024]],"&gt;0")&gt;0,Klisz_Verbräuche[[#This Row],[2024]]*(1-$F125)^1, ""), ""),IF($B$14&gt;Klisz_Verbräuche[[#Headers],[2025]],Refsz_Verbräuche[[#This Row],[2025]],"")))</f>
        <v/>
      </c>
      <c r="R125" s="49" t="str">
        <f>IF(Klisz_Verbräuche[[#Headers],[2026]]=$B$14,IF(COUNTIF($G125:Klisz_Verbräuche[[#This Row],[2025]],"&gt;0")&gt;0, AVERAGEIF($G125:Klisz_Verbräuche[[#This Row],[2025]],"&lt;&gt;"), ""),IF($B$14&lt;Klisz_Verbräuche[[#Headers],[2026]],IF(COUNTIF($G125:Klisz_Verbräuche[[#This Row],[2025]],"&gt;0")&gt;0,IF(COUNTIF($G125:Klisz_Verbräuche[[#This Row],[2025]],"&gt;0")&gt;0,Klisz_Verbräuche[[#This Row],[2025]]*(1-$F125)^1, ""), ""),IF($B$14&gt;Klisz_Verbräuche[[#Headers],[2026]],Refsz_Verbräuche[[#This Row],[2026]],"")))</f>
        <v/>
      </c>
      <c r="S125" s="49" t="str">
        <f>IF(Klisz_Verbräuche[[#Headers],[2027]]=$B$14,IF(COUNTIF($G125:Klisz_Verbräuche[[#This Row],[2026]],"&gt;0")&gt;0, AVERAGEIF($G125:Klisz_Verbräuche[[#This Row],[2026]],"&lt;&gt;"), ""),IF($B$14&lt;Klisz_Verbräuche[[#Headers],[2027]],IF(COUNTIF($G125:Klisz_Verbräuche[[#This Row],[2026]],"&gt;0")&gt;0,IF(COUNTIF($G125:Klisz_Verbräuche[[#This Row],[2026]],"&gt;0")&gt;0,Klisz_Verbräuche[[#This Row],[2026]]*(1-$F125)^1, ""), ""),IF($B$14&gt;Klisz_Verbräuche[[#Headers],[2027]],Refsz_Verbräuche[[#This Row],[2027]],"")))</f>
        <v/>
      </c>
      <c r="T125" s="49" t="str">
        <f>IF(Klisz_Verbräuche[[#Headers],[2028]]=$B$14,IF(COUNTIF($G125:Klisz_Verbräuche[[#This Row],[2027]],"&gt;0")&gt;0, AVERAGEIF($G125:Klisz_Verbräuche[[#This Row],[2027]],"&lt;&gt;"), ""),IF($B$14&lt;Klisz_Verbräuche[[#Headers],[2028]],IF(COUNTIF($G125:Klisz_Verbräuche[[#This Row],[2027]],"&gt;0")&gt;0,IF(COUNTIF($G125:Klisz_Verbräuche[[#This Row],[2027]],"&gt;0")&gt;0,Klisz_Verbräuche[[#This Row],[2027]]*(1-$F125)^1, ""), ""),IF($B$14&gt;Klisz_Verbräuche[[#Headers],[2028]],Refsz_Verbräuche[[#This Row],[2028]],"")))</f>
        <v/>
      </c>
      <c r="U125" s="49" t="str">
        <f>IF(Klisz_Verbräuche[[#Headers],[2029]]=$B$14,IF(COUNTIF($G125:Klisz_Verbräuche[[#This Row],[2028]],"&gt;0")&gt;0, AVERAGEIF($G125:Klisz_Verbräuche[[#This Row],[2028]],"&lt;&gt;"), ""),IF($B$14&lt;Klisz_Verbräuche[[#Headers],[2029]],IF(COUNTIF($G125:Klisz_Verbräuche[[#This Row],[2028]],"&gt;0")&gt;0,IF(COUNTIF($G125:Klisz_Verbräuche[[#This Row],[2028]],"&gt;0")&gt;0,Klisz_Verbräuche[[#This Row],[2028]]*(1-$F125)^1, ""), ""),IF($B$14&gt;Klisz_Verbräuche[[#Headers],[2029]],Refsz_Verbräuche[[#This Row],[2029]],"")))</f>
        <v/>
      </c>
      <c r="V125" s="49" t="str">
        <f>IF(Klisz_Verbräuche[[#Headers],[2030]]=$B$14,IF(COUNTIF($G125:Klisz_Verbräuche[[#This Row],[2029]],"&gt;0")&gt;0, AVERAGEIF($G125:Klisz_Verbräuche[[#This Row],[2029]],"&lt;&gt;"), ""),IF($B$14&lt;Klisz_Verbräuche[[#Headers],[2030]],IF(COUNTIF($G125:Klisz_Verbräuche[[#This Row],[2029]],"&gt;0")&gt;0,IF(COUNTIF($G125:Klisz_Verbräuche[[#This Row],[2029]],"&gt;0")&gt;0,Klisz_Verbräuche[[#This Row],[2029]]*(1-$F125)^1, ""), ""),IF($B$14&gt;Klisz_Verbräuche[[#Headers],[2030]],Refsz_Verbräuche[[#This Row],[2030]],"")))</f>
        <v/>
      </c>
      <c r="W125" s="49" t="str">
        <f>IF(Klisz_Verbräuche[[#Headers],[2035]]=$B$14,IF(COUNTIF($G125:Klisz_Verbräuche[[#This Row],[2030]],"&gt;0")&gt;0, AVERAGEIF($G125:Klisz_Verbräuche[[#This Row],[2030]],"&lt;&gt;"), ""),IF($B$14&lt;Klisz_Verbräuche[[#Headers],[2035]],IF(COUNTIF($G125:Klisz_Verbräuche[[#This Row],[2030]],"&gt;0")&gt;0,IF(COUNTIF($G125:Klisz_Verbräuche[[#This Row],[2030]],"&gt;0")&gt;0,Klisz_Verbräuche[[#This Row],[2030]]*(1-$F125)^5, ""), ""),IF($B$14&gt;Klisz_Verbräuche[[#Headers],[2035]],Refsz_Verbräuche[[#This Row],[2035]],"")))</f>
        <v/>
      </c>
      <c r="X125" s="49" t="str">
        <f>IF(Klisz_Verbräuche[[#Headers],[2040]]=$B$14,IF(COUNTIF($G125:Klisz_Verbräuche[[#This Row],[2035]],"&gt;0")&gt;0, AVERAGEIF($G125:Klisz_Verbräuche[[#This Row],[2035]],"&lt;&gt;"), ""),IF($B$14&lt;Klisz_Verbräuche[[#Headers],[2040]],IF(COUNTIF($G125:Klisz_Verbräuche[[#This Row],[2035]],"&gt;0")&gt;0,IF(COUNTIF($G125:Klisz_Verbräuche[[#This Row],[2035]],"&gt;0")&gt;0,Klisz_Verbräuche[[#This Row],[2035]]*(1-$F125)^5, ""), ""),IF($B$14&gt;Klisz_Verbräuche[[#Headers],[2040]],Refsz_Verbräuche[[#This Row],[2040]],"")))</f>
        <v/>
      </c>
      <c r="Y125" s="49" t="str">
        <f>IF(Klisz_Verbräuche[[#Headers],[2045]]=$B$14,IF(COUNTIF($G125:Klisz_Verbräuche[[#This Row],[2040]],"&gt;0")&gt;0, AVERAGEIF($G125:Klisz_Verbräuche[[#This Row],[2040]],"&lt;&gt;"), ""),IF($B$14&lt;Klisz_Verbräuche[[#Headers],[2045]],IF(COUNTIF($G125:Klisz_Verbräuche[[#This Row],[2040]],"&gt;0")&gt;0,IF(COUNTIF($G125:Klisz_Verbräuche[[#This Row],[2040]],"&gt;0")&gt;0,Klisz_Verbräuche[[#This Row],[2040]]*(1-$F125)^5, ""), ""),IF($B$14&gt;Klisz_Verbräuche[[#Headers],[2045]],Refsz_Verbräuche[[#This Row],[2045]],"")))</f>
        <v/>
      </c>
      <c r="Z125" s="49" t="str">
        <f>IF(Klisz_Verbräuche[[#Headers],[2050]]=$B$14,IF(COUNTIF($G125:Klisz_Verbräuche[[#This Row],[2045]],"&gt;0")&gt;0, AVERAGEIF($G125:Klisz_Verbräuche[[#This Row],[2045]],"&lt;&gt;"), ""),IF($B$14&lt;Klisz_Verbräuche[[#Headers],[2050]],IF(COUNTIF($G125:Klisz_Verbräuche[[#This Row],[2045]],"&gt;0")&gt;0,IF(COUNTIF($G125:Klisz_Verbräuche[[#This Row],[2045]],"&gt;0")&gt;0,Klisz_Verbräuche[[#This Row],[2045]]*(1-$F125)^5, ""), ""),IF($B$14&gt;Klisz_Verbräuche[[#Headers],[2050]],Refsz_Verbräuche[[#This Row],[2050]],"")))</f>
        <v/>
      </c>
      <c r="AA125" s="14"/>
    </row>
    <row r="126" spans="2:27">
      <c r="B126" s="14">
        <v>109</v>
      </c>
      <c r="C126" s="197" t="str">
        <f>Refsz_Verbräuche[[#This Row],[Handlungsfeld]]</f>
        <v>Abfall</v>
      </c>
      <c r="D126" s="19" t="str">
        <f>Refsz_Verbräuche[[#This Row],[Datenpunkt]]</f>
        <v>Restmüll</v>
      </c>
      <c r="E126" s="26" t="str">
        <f>Refsz_Verbräuche[[#This Row],[Einheit]]</f>
        <v>t</v>
      </c>
      <c r="F126" s="108"/>
      <c r="G126" s="14" t="str">
        <f>IF(ISBLANK(Refsz_Verbräuche[[#This Row],[2015]]),"",Refsz_Verbräuche[[#This Row],[2015]])</f>
        <v/>
      </c>
      <c r="H126" s="14" t="str">
        <f>IF(ISBLANK(Refsz_Verbräuche[[#This Row],[2016]]),"",Refsz_Verbräuche[[#This Row],[2016]])</f>
        <v/>
      </c>
      <c r="I126" s="14" t="str">
        <f>IF(ISBLANK(Refsz_Verbräuche[[#This Row],[2017]]),"",Refsz_Verbräuche[[#This Row],[2017]])</f>
        <v/>
      </c>
      <c r="J126" s="14" t="str">
        <f>IF(ISBLANK(Refsz_Verbräuche[[#This Row],[2018]]),"",Refsz_Verbräuche[[#This Row],[2018]])</f>
        <v/>
      </c>
      <c r="K126" s="14" t="str">
        <f>IF(ISBLANK(Refsz_Verbräuche[[#This Row],[2019]]),"",Refsz_Verbräuche[[#This Row],[2019]])</f>
        <v/>
      </c>
      <c r="L126" s="14" t="str">
        <f>IF(ISBLANK(Refsz_Verbräuche[[#This Row],[2020]]),"",Refsz_Verbräuche[[#This Row],[2020]])</f>
        <v/>
      </c>
      <c r="M126" s="14" t="str">
        <f>IF(ISBLANK(Refsz_Verbräuche[[#This Row],[2021]]),"",Refsz_Verbräuche[[#This Row],[2021]])</f>
        <v/>
      </c>
      <c r="N126" s="49" t="str">
        <f>IF(Klisz_Verbräuche[[#Headers],[2022]]=$B$14,IF(COUNTIF($G126:Klisz_Verbräuche[[#This Row],[2021]],"&gt;0")&gt;0, AVERAGEIF($G126:Klisz_Verbräuche[[#This Row],[2021]],"&lt;&gt;"), ""),IF($B$14&lt;Klisz_Verbräuche[[#Headers],[2022]],IF(COUNTIF($G126:Klisz_Verbräuche[[#This Row],[2021]],"&gt;0")&gt;0,IF(COUNTIF($G126:Klisz_Verbräuche[[#This Row],[2021]],"&gt;0")&gt;0,Klisz_Verbräuche[[#This Row],[2021]]*(1-$F126)^1, ""), ""),IF($B$14&gt;Klisz_Verbräuche[[#Headers],[2022]],Refsz_Verbräuche[[#This Row],[2022]],"")))</f>
        <v/>
      </c>
      <c r="O126" s="49" t="str">
        <f>IF(Klisz_Verbräuche[[#Headers],[2023]]=$B$14,IF(COUNTIF($G126:Klisz_Verbräuche[[#This Row],[2022]],"&gt;0")&gt;0, AVERAGEIF($G126:Klisz_Verbräuche[[#This Row],[2022]],"&lt;&gt;"), ""),IF($B$14&lt;Klisz_Verbräuche[[#Headers],[2023]],IF(COUNTIF($G126:Klisz_Verbräuche[[#This Row],[2022]],"&gt;0")&gt;0,IF(COUNTIF($G126:Klisz_Verbräuche[[#This Row],[2022]],"&gt;0")&gt;0,Klisz_Verbräuche[[#This Row],[2022]]*(1-$F126)^1, ""), ""),IF($B$14&gt;Klisz_Verbräuche[[#Headers],[2023]],Refsz_Verbräuche[[#This Row],[2023]],"")))</f>
        <v/>
      </c>
      <c r="P126" s="49" t="str">
        <f>IF(Klisz_Verbräuche[[#Headers],[2024]]=$B$14,IF(COUNTIF($G126:Klisz_Verbräuche[[#This Row],[2023]],"&gt;0")&gt;0, AVERAGEIF($G126:Klisz_Verbräuche[[#This Row],[2023]],"&lt;&gt;"), ""),IF($B$14&lt;Klisz_Verbräuche[[#Headers],[2024]],IF(COUNTIF($G126:Klisz_Verbräuche[[#This Row],[2023]],"&gt;0")&gt;0,IF(COUNTIF($G126:Klisz_Verbräuche[[#This Row],[2023]],"&gt;0")&gt;0,Klisz_Verbräuche[[#This Row],[2023]]*(1-$F126)^1, ""), ""),IF($B$14&gt;Klisz_Verbräuche[[#Headers],[2024]],Refsz_Verbräuche[[#This Row],[2024]],"")))</f>
        <v/>
      </c>
      <c r="Q126" s="49" t="str">
        <f>IF(Klisz_Verbräuche[[#Headers],[2025]]=$B$14,IF(COUNTIF($G126:Klisz_Verbräuche[[#This Row],[2024]],"&gt;0")&gt;0, AVERAGEIF($G126:Klisz_Verbräuche[[#This Row],[2024]],"&lt;&gt;"), ""),IF($B$14&lt;Klisz_Verbräuche[[#Headers],[2025]],IF(COUNTIF($G126:Klisz_Verbräuche[[#This Row],[2024]],"&gt;0")&gt;0,IF(COUNTIF($G126:Klisz_Verbräuche[[#This Row],[2024]],"&gt;0")&gt;0,Klisz_Verbräuche[[#This Row],[2024]]*(1-$F126)^1, ""), ""),IF($B$14&gt;Klisz_Verbräuche[[#Headers],[2025]],Refsz_Verbräuche[[#This Row],[2025]],"")))</f>
        <v/>
      </c>
      <c r="R126" s="49" t="str">
        <f>IF(Klisz_Verbräuche[[#Headers],[2026]]=$B$14,IF(COUNTIF($G126:Klisz_Verbräuche[[#This Row],[2025]],"&gt;0")&gt;0, AVERAGEIF($G126:Klisz_Verbräuche[[#This Row],[2025]],"&lt;&gt;"), ""),IF($B$14&lt;Klisz_Verbräuche[[#Headers],[2026]],IF(COUNTIF($G126:Klisz_Verbräuche[[#This Row],[2025]],"&gt;0")&gt;0,IF(COUNTIF($G126:Klisz_Verbräuche[[#This Row],[2025]],"&gt;0")&gt;0,Klisz_Verbräuche[[#This Row],[2025]]*(1-$F126)^1, ""), ""),IF($B$14&gt;Klisz_Verbräuche[[#Headers],[2026]],Refsz_Verbräuche[[#This Row],[2026]],"")))</f>
        <v/>
      </c>
      <c r="S126" s="49" t="str">
        <f>IF(Klisz_Verbräuche[[#Headers],[2027]]=$B$14,IF(COUNTIF($G126:Klisz_Verbräuche[[#This Row],[2026]],"&gt;0")&gt;0, AVERAGEIF($G126:Klisz_Verbräuche[[#This Row],[2026]],"&lt;&gt;"), ""),IF($B$14&lt;Klisz_Verbräuche[[#Headers],[2027]],IF(COUNTIF($G126:Klisz_Verbräuche[[#This Row],[2026]],"&gt;0")&gt;0,IF(COUNTIF($G126:Klisz_Verbräuche[[#This Row],[2026]],"&gt;0")&gt;0,Klisz_Verbräuche[[#This Row],[2026]]*(1-$F126)^1, ""), ""),IF($B$14&gt;Klisz_Verbräuche[[#Headers],[2027]],Refsz_Verbräuche[[#This Row],[2027]],"")))</f>
        <v/>
      </c>
      <c r="T126" s="49" t="str">
        <f>IF(Klisz_Verbräuche[[#Headers],[2028]]=$B$14,IF(COUNTIF($G126:Klisz_Verbräuche[[#This Row],[2027]],"&gt;0")&gt;0, AVERAGEIF($G126:Klisz_Verbräuche[[#This Row],[2027]],"&lt;&gt;"), ""),IF($B$14&lt;Klisz_Verbräuche[[#Headers],[2028]],IF(COUNTIF($G126:Klisz_Verbräuche[[#This Row],[2027]],"&gt;0")&gt;0,IF(COUNTIF($G126:Klisz_Verbräuche[[#This Row],[2027]],"&gt;0")&gt;0,Klisz_Verbräuche[[#This Row],[2027]]*(1-$F126)^1, ""), ""),IF($B$14&gt;Klisz_Verbräuche[[#Headers],[2028]],Refsz_Verbräuche[[#This Row],[2028]],"")))</f>
        <v/>
      </c>
      <c r="U126" s="49" t="str">
        <f>IF(Klisz_Verbräuche[[#Headers],[2029]]=$B$14,IF(COUNTIF($G126:Klisz_Verbräuche[[#This Row],[2028]],"&gt;0")&gt;0, AVERAGEIF($G126:Klisz_Verbräuche[[#This Row],[2028]],"&lt;&gt;"), ""),IF($B$14&lt;Klisz_Verbräuche[[#Headers],[2029]],IF(COUNTIF($G126:Klisz_Verbräuche[[#This Row],[2028]],"&gt;0")&gt;0,IF(COUNTIF($G126:Klisz_Verbräuche[[#This Row],[2028]],"&gt;0")&gt;0,Klisz_Verbräuche[[#This Row],[2028]]*(1-$F126)^1, ""), ""),IF($B$14&gt;Klisz_Verbräuche[[#Headers],[2029]],Refsz_Verbräuche[[#This Row],[2029]],"")))</f>
        <v/>
      </c>
      <c r="V126" s="49" t="str">
        <f>IF(Klisz_Verbräuche[[#Headers],[2030]]=$B$14,IF(COUNTIF($G126:Klisz_Verbräuche[[#This Row],[2029]],"&gt;0")&gt;0, AVERAGEIF($G126:Klisz_Verbräuche[[#This Row],[2029]],"&lt;&gt;"), ""),IF($B$14&lt;Klisz_Verbräuche[[#Headers],[2030]],IF(COUNTIF($G126:Klisz_Verbräuche[[#This Row],[2029]],"&gt;0")&gt;0,IF(COUNTIF($G126:Klisz_Verbräuche[[#This Row],[2029]],"&gt;0")&gt;0,Klisz_Verbräuche[[#This Row],[2029]]*(1-$F126)^1, ""), ""),IF($B$14&gt;Klisz_Verbräuche[[#Headers],[2030]],Refsz_Verbräuche[[#This Row],[2030]],"")))</f>
        <v/>
      </c>
      <c r="W126" s="49" t="str">
        <f>IF(Klisz_Verbräuche[[#Headers],[2035]]=$B$14,IF(COUNTIF($G126:Klisz_Verbräuche[[#This Row],[2030]],"&gt;0")&gt;0, AVERAGEIF($G126:Klisz_Verbräuche[[#This Row],[2030]],"&lt;&gt;"), ""),IF($B$14&lt;Klisz_Verbräuche[[#Headers],[2035]],IF(COUNTIF($G126:Klisz_Verbräuche[[#This Row],[2030]],"&gt;0")&gt;0,IF(COUNTIF($G126:Klisz_Verbräuche[[#This Row],[2030]],"&gt;0")&gt;0,Klisz_Verbräuche[[#This Row],[2030]]*(1-$F126)^5, ""), ""),IF($B$14&gt;Klisz_Verbräuche[[#Headers],[2035]],Refsz_Verbräuche[[#This Row],[2035]],"")))</f>
        <v/>
      </c>
      <c r="X126" s="49" t="str">
        <f>IF(Klisz_Verbräuche[[#Headers],[2040]]=$B$14,IF(COUNTIF($G126:Klisz_Verbräuche[[#This Row],[2035]],"&gt;0")&gt;0, AVERAGEIF($G126:Klisz_Verbräuche[[#This Row],[2035]],"&lt;&gt;"), ""),IF($B$14&lt;Klisz_Verbräuche[[#Headers],[2040]],IF(COUNTIF($G126:Klisz_Verbräuche[[#This Row],[2035]],"&gt;0")&gt;0,IF(COUNTIF($G126:Klisz_Verbräuche[[#This Row],[2035]],"&gt;0")&gt;0,Klisz_Verbräuche[[#This Row],[2035]]*(1-$F126)^5, ""), ""),IF($B$14&gt;Klisz_Verbräuche[[#Headers],[2040]],Refsz_Verbräuche[[#This Row],[2040]],"")))</f>
        <v/>
      </c>
      <c r="Y126" s="49" t="str">
        <f>IF(Klisz_Verbräuche[[#Headers],[2045]]=$B$14,IF(COUNTIF($G126:Klisz_Verbräuche[[#This Row],[2040]],"&gt;0")&gt;0, AVERAGEIF($G126:Klisz_Verbräuche[[#This Row],[2040]],"&lt;&gt;"), ""),IF($B$14&lt;Klisz_Verbräuche[[#Headers],[2045]],IF(COUNTIF($G126:Klisz_Verbräuche[[#This Row],[2040]],"&gt;0")&gt;0,IF(COUNTIF($G126:Klisz_Verbräuche[[#This Row],[2040]],"&gt;0")&gt;0,Klisz_Verbräuche[[#This Row],[2040]]*(1-$F126)^5, ""), ""),IF($B$14&gt;Klisz_Verbräuche[[#Headers],[2045]],Refsz_Verbräuche[[#This Row],[2045]],"")))</f>
        <v/>
      </c>
      <c r="Z126" s="49" t="str">
        <f>IF(Klisz_Verbräuche[[#Headers],[2050]]=$B$14,IF(COUNTIF($G126:Klisz_Verbräuche[[#This Row],[2045]],"&gt;0")&gt;0, AVERAGEIF($G126:Klisz_Verbräuche[[#This Row],[2045]],"&lt;&gt;"), ""),IF($B$14&lt;Klisz_Verbräuche[[#Headers],[2050]],IF(COUNTIF($G126:Klisz_Verbräuche[[#This Row],[2045]],"&gt;0")&gt;0,IF(COUNTIF($G126:Klisz_Verbräuche[[#This Row],[2045]],"&gt;0")&gt;0,Klisz_Verbräuche[[#This Row],[2045]]*(1-$F126)^5, ""), ""),IF($B$14&gt;Klisz_Verbräuche[[#Headers],[2050]],Refsz_Verbräuche[[#This Row],[2050]],"")))</f>
        <v/>
      </c>
      <c r="AA126" s="14"/>
    </row>
    <row r="127" spans="2:27">
      <c r="B127" s="14">
        <v>110</v>
      </c>
      <c r="C127" s="197" t="str">
        <f>Refsz_Verbräuche[[#This Row],[Handlungsfeld]]</f>
        <v>Abfall</v>
      </c>
      <c r="D127" s="19" t="str">
        <f>Refsz_Verbräuche[[#This Row],[Datenpunkt]]</f>
        <v>Sperrmüll</v>
      </c>
      <c r="E127" s="26" t="str">
        <f>Refsz_Verbräuche[[#This Row],[Einheit]]</f>
        <v>t</v>
      </c>
      <c r="F127" s="108"/>
      <c r="G127" s="14" t="str">
        <f>IF(ISBLANK(Refsz_Verbräuche[[#This Row],[2015]]),"",Refsz_Verbräuche[[#This Row],[2015]])</f>
        <v/>
      </c>
      <c r="H127" s="14" t="str">
        <f>IF(ISBLANK(Refsz_Verbräuche[[#This Row],[2016]]),"",Refsz_Verbräuche[[#This Row],[2016]])</f>
        <v/>
      </c>
      <c r="I127" s="14" t="str">
        <f>IF(ISBLANK(Refsz_Verbräuche[[#This Row],[2017]]),"",Refsz_Verbräuche[[#This Row],[2017]])</f>
        <v/>
      </c>
      <c r="J127" s="14" t="str">
        <f>IF(ISBLANK(Refsz_Verbräuche[[#This Row],[2018]]),"",Refsz_Verbräuche[[#This Row],[2018]])</f>
        <v/>
      </c>
      <c r="K127" s="14" t="str">
        <f>IF(ISBLANK(Refsz_Verbräuche[[#This Row],[2019]]),"",Refsz_Verbräuche[[#This Row],[2019]])</f>
        <v/>
      </c>
      <c r="L127" s="14" t="str">
        <f>IF(ISBLANK(Refsz_Verbräuche[[#This Row],[2020]]),"",Refsz_Verbräuche[[#This Row],[2020]])</f>
        <v/>
      </c>
      <c r="M127" s="14" t="str">
        <f>IF(ISBLANK(Refsz_Verbräuche[[#This Row],[2021]]),"",Refsz_Verbräuche[[#This Row],[2021]])</f>
        <v/>
      </c>
      <c r="N127" s="49" t="str">
        <f>IF(Klisz_Verbräuche[[#Headers],[2022]]=$B$14,IF(COUNTIF($G127:Klisz_Verbräuche[[#This Row],[2021]],"&gt;0")&gt;0, AVERAGEIF($G127:Klisz_Verbräuche[[#This Row],[2021]],"&lt;&gt;"), ""),IF($B$14&lt;Klisz_Verbräuche[[#Headers],[2022]],IF(COUNTIF($G127:Klisz_Verbräuche[[#This Row],[2021]],"&gt;0")&gt;0,IF(COUNTIF($G127:Klisz_Verbräuche[[#This Row],[2021]],"&gt;0")&gt;0,Klisz_Verbräuche[[#This Row],[2021]]*(1-$F127)^1, ""), ""),IF($B$14&gt;Klisz_Verbräuche[[#Headers],[2022]],Refsz_Verbräuche[[#This Row],[2022]],"")))</f>
        <v/>
      </c>
      <c r="O127" s="49" t="str">
        <f>IF(Klisz_Verbräuche[[#Headers],[2023]]=$B$14,IF(COUNTIF($G127:Klisz_Verbräuche[[#This Row],[2022]],"&gt;0")&gt;0, AVERAGEIF($G127:Klisz_Verbräuche[[#This Row],[2022]],"&lt;&gt;"), ""),IF($B$14&lt;Klisz_Verbräuche[[#Headers],[2023]],IF(COUNTIF($G127:Klisz_Verbräuche[[#This Row],[2022]],"&gt;0")&gt;0,IF(COUNTIF($G127:Klisz_Verbräuche[[#This Row],[2022]],"&gt;0")&gt;0,Klisz_Verbräuche[[#This Row],[2022]]*(1-$F127)^1, ""), ""),IF($B$14&gt;Klisz_Verbräuche[[#Headers],[2023]],Refsz_Verbräuche[[#This Row],[2023]],"")))</f>
        <v/>
      </c>
      <c r="P127" s="49" t="str">
        <f>IF(Klisz_Verbräuche[[#Headers],[2024]]=$B$14,IF(COUNTIF($G127:Klisz_Verbräuche[[#This Row],[2023]],"&gt;0")&gt;0, AVERAGEIF($G127:Klisz_Verbräuche[[#This Row],[2023]],"&lt;&gt;"), ""),IF($B$14&lt;Klisz_Verbräuche[[#Headers],[2024]],IF(COUNTIF($G127:Klisz_Verbräuche[[#This Row],[2023]],"&gt;0")&gt;0,IF(COUNTIF($G127:Klisz_Verbräuche[[#This Row],[2023]],"&gt;0")&gt;0,Klisz_Verbräuche[[#This Row],[2023]]*(1-$F127)^1, ""), ""),IF($B$14&gt;Klisz_Verbräuche[[#Headers],[2024]],Refsz_Verbräuche[[#This Row],[2024]],"")))</f>
        <v/>
      </c>
      <c r="Q127" s="49" t="str">
        <f>IF(Klisz_Verbräuche[[#Headers],[2025]]=$B$14,IF(COUNTIF($G127:Klisz_Verbräuche[[#This Row],[2024]],"&gt;0")&gt;0, AVERAGEIF($G127:Klisz_Verbräuche[[#This Row],[2024]],"&lt;&gt;"), ""),IF($B$14&lt;Klisz_Verbräuche[[#Headers],[2025]],IF(COUNTIF($G127:Klisz_Verbräuche[[#This Row],[2024]],"&gt;0")&gt;0,IF(COUNTIF($G127:Klisz_Verbräuche[[#This Row],[2024]],"&gt;0")&gt;0,Klisz_Verbräuche[[#This Row],[2024]]*(1-$F127)^1, ""), ""),IF($B$14&gt;Klisz_Verbräuche[[#Headers],[2025]],Refsz_Verbräuche[[#This Row],[2025]],"")))</f>
        <v/>
      </c>
      <c r="R127" s="49" t="str">
        <f>IF(Klisz_Verbräuche[[#Headers],[2026]]=$B$14,IF(COUNTIF($G127:Klisz_Verbräuche[[#This Row],[2025]],"&gt;0")&gt;0, AVERAGEIF($G127:Klisz_Verbräuche[[#This Row],[2025]],"&lt;&gt;"), ""),IF($B$14&lt;Klisz_Verbräuche[[#Headers],[2026]],IF(COUNTIF($G127:Klisz_Verbräuche[[#This Row],[2025]],"&gt;0")&gt;0,IF(COUNTIF($G127:Klisz_Verbräuche[[#This Row],[2025]],"&gt;0")&gt;0,Klisz_Verbräuche[[#This Row],[2025]]*(1-$F127)^1, ""), ""),IF($B$14&gt;Klisz_Verbräuche[[#Headers],[2026]],Refsz_Verbräuche[[#This Row],[2026]],"")))</f>
        <v/>
      </c>
      <c r="S127" s="49" t="str">
        <f>IF(Klisz_Verbräuche[[#Headers],[2027]]=$B$14,IF(COUNTIF($G127:Klisz_Verbräuche[[#This Row],[2026]],"&gt;0")&gt;0, AVERAGEIF($G127:Klisz_Verbräuche[[#This Row],[2026]],"&lt;&gt;"), ""),IF($B$14&lt;Klisz_Verbräuche[[#Headers],[2027]],IF(COUNTIF($G127:Klisz_Verbräuche[[#This Row],[2026]],"&gt;0")&gt;0,IF(COUNTIF($G127:Klisz_Verbräuche[[#This Row],[2026]],"&gt;0")&gt;0,Klisz_Verbräuche[[#This Row],[2026]]*(1-$F127)^1, ""), ""),IF($B$14&gt;Klisz_Verbräuche[[#Headers],[2027]],Refsz_Verbräuche[[#This Row],[2027]],"")))</f>
        <v/>
      </c>
      <c r="T127" s="49" t="str">
        <f>IF(Klisz_Verbräuche[[#Headers],[2028]]=$B$14,IF(COUNTIF($G127:Klisz_Verbräuche[[#This Row],[2027]],"&gt;0")&gt;0, AVERAGEIF($G127:Klisz_Verbräuche[[#This Row],[2027]],"&lt;&gt;"), ""),IF($B$14&lt;Klisz_Verbräuche[[#Headers],[2028]],IF(COUNTIF($G127:Klisz_Verbräuche[[#This Row],[2027]],"&gt;0")&gt;0,IF(COUNTIF($G127:Klisz_Verbräuche[[#This Row],[2027]],"&gt;0")&gt;0,Klisz_Verbräuche[[#This Row],[2027]]*(1-$F127)^1, ""), ""),IF($B$14&gt;Klisz_Verbräuche[[#Headers],[2028]],Refsz_Verbräuche[[#This Row],[2028]],"")))</f>
        <v/>
      </c>
      <c r="U127" s="49" t="str">
        <f>IF(Klisz_Verbräuche[[#Headers],[2029]]=$B$14,IF(COUNTIF($G127:Klisz_Verbräuche[[#This Row],[2028]],"&gt;0")&gt;0, AVERAGEIF($G127:Klisz_Verbräuche[[#This Row],[2028]],"&lt;&gt;"), ""),IF($B$14&lt;Klisz_Verbräuche[[#Headers],[2029]],IF(COUNTIF($G127:Klisz_Verbräuche[[#This Row],[2028]],"&gt;0")&gt;0,IF(COUNTIF($G127:Klisz_Verbräuche[[#This Row],[2028]],"&gt;0")&gt;0,Klisz_Verbräuche[[#This Row],[2028]]*(1-$F127)^1, ""), ""),IF($B$14&gt;Klisz_Verbräuche[[#Headers],[2029]],Refsz_Verbräuche[[#This Row],[2029]],"")))</f>
        <v/>
      </c>
      <c r="V127" s="49" t="str">
        <f>IF(Klisz_Verbräuche[[#Headers],[2030]]=$B$14,IF(COUNTIF($G127:Klisz_Verbräuche[[#This Row],[2029]],"&gt;0")&gt;0, AVERAGEIF($G127:Klisz_Verbräuche[[#This Row],[2029]],"&lt;&gt;"), ""),IF($B$14&lt;Klisz_Verbräuche[[#Headers],[2030]],IF(COUNTIF($G127:Klisz_Verbräuche[[#This Row],[2029]],"&gt;0")&gt;0,IF(COUNTIF($G127:Klisz_Verbräuche[[#This Row],[2029]],"&gt;0")&gt;0,Klisz_Verbräuche[[#This Row],[2029]]*(1-$F127)^1, ""), ""),IF($B$14&gt;Klisz_Verbräuche[[#Headers],[2030]],Refsz_Verbräuche[[#This Row],[2030]],"")))</f>
        <v/>
      </c>
      <c r="W127" s="49" t="str">
        <f>IF(Klisz_Verbräuche[[#Headers],[2035]]=$B$14,IF(COUNTIF($G127:Klisz_Verbräuche[[#This Row],[2030]],"&gt;0")&gt;0, AVERAGEIF($G127:Klisz_Verbräuche[[#This Row],[2030]],"&lt;&gt;"), ""),IF($B$14&lt;Klisz_Verbräuche[[#Headers],[2035]],IF(COUNTIF($G127:Klisz_Verbräuche[[#This Row],[2030]],"&gt;0")&gt;0,IF(COUNTIF($G127:Klisz_Verbräuche[[#This Row],[2030]],"&gt;0")&gt;0,Klisz_Verbräuche[[#This Row],[2030]]*(1-$F127)^5, ""), ""),IF($B$14&gt;Klisz_Verbräuche[[#Headers],[2035]],Refsz_Verbräuche[[#This Row],[2035]],"")))</f>
        <v/>
      </c>
      <c r="X127" s="49" t="str">
        <f>IF(Klisz_Verbräuche[[#Headers],[2040]]=$B$14,IF(COUNTIF($G127:Klisz_Verbräuche[[#This Row],[2035]],"&gt;0")&gt;0, AVERAGEIF($G127:Klisz_Verbräuche[[#This Row],[2035]],"&lt;&gt;"), ""),IF($B$14&lt;Klisz_Verbräuche[[#Headers],[2040]],IF(COUNTIF($G127:Klisz_Verbräuche[[#This Row],[2035]],"&gt;0")&gt;0,IF(COUNTIF($G127:Klisz_Verbräuche[[#This Row],[2035]],"&gt;0")&gt;0,Klisz_Verbräuche[[#This Row],[2035]]*(1-$F127)^5, ""), ""),IF($B$14&gt;Klisz_Verbräuche[[#Headers],[2040]],Refsz_Verbräuche[[#This Row],[2040]],"")))</f>
        <v/>
      </c>
      <c r="Y127" s="49" t="str">
        <f>IF(Klisz_Verbräuche[[#Headers],[2045]]=$B$14,IF(COUNTIF($G127:Klisz_Verbräuche[[#This Row],[2040]],"&gt;0")&gt;0, AVERAGEIF($G127:Klisz_Verbräuche[[#This Row],[2040]],"&lt;&gt;"), ""),IF($B$14&lt;Klisz_Verbräuche[[#Headers],[2045]],IF(COUNTIF($G127:Klisz_Verbräuche[[#This Row],[2040]],"&gt;0")&gt;0,IF(COUNTIF($G127:Klisz_Verbräuche[[#This Row],[2040]],"&gt;0")&gt;0,Klisz_Verbräuche[[#This Row],[2040]]*(1-$F127)^5, ""), ""),IF($B$14&gt;Klisz_Verbräuche[[#Headers],[2045]],Refsz_Verbräuche[[#This Row],[2045]],"")))</f>
        <v/>
      </c>
      <c r="Z127" s="49" t="str">
        <f>IF(Klisz_Verbräuche[[#Headers],[2050]]=$B$14,IF(COUNTIF($G127:Klisz_Verbräuche[[#This Row],[2045]],"&gt;0")&gt;0, AVERAGEIF($G127:Klisz_Verbräuche[[#This Row],[2045]],"&lt;&gt;"), ""),IF($B$14&lt;Klisz_Verbräuche[[#Headers],[2050]],IF(COUNTIF($G127:Klisz_Verbräuche[[#This Row],[2045]],"&gt;0")&gt;0,IF(COUNTIF($G127:Klisz_Verbräuche[[#This Row],[2045]],"&gt;0")&gt;0,Klisz_Verbräuche[[#This Row],[2045]]*(1-$F127)^5, ""), ""),IF($B$14&gt;Klisz_Verbräuche[[#Headers],[2050]],Refsz_Verbräuche[[#This Row],[2050]],"")))</f>
        <v/>
      </c>
      <c r="AA127" s="14"/>
    </row>
    <row r="128" spans="2:27">
      <c r="B128" s="14">
        <v>111</v>
      </c>
      <c r="C128" s="197" t="str">
        <f>Refsz_Verbräuche[[#This Row],[Handlungsfeld]]</f>
        <v>Abfall</v>
      </c>
      <c r="D128" s="19" t="str">
        <f>Refsz_Verbräuche[[#This Row],[Datenpunkt]]</f>
        <v>Altholz</v>
      </c>
      <c r="E128" s="26" t="str">
        <f>Refsz_Verbräuche[[#This Row],[Einheit]]</f>
        <v>t</v>
      </c>
      <c r="F128" s="108"/>
      <c r="G128" s="14" t="str">
        <f>IF(ISBLANK(Refsz_Verbräuche[[#This Row],[2015]]),"",Refsz_Verbräuche[[#This Row],[2015]])</f>
        <v/>
      </c>
      <c r="H128" s="14" t="str">
        <f>IF(ISBLANK(Refsz_Verbräuche[[#This Row],[2016]]),"",Refsz_Verbräuche[[#This Row],[2016]])</f>
        <v/>
      </c>
      <c r="I128" s="14" t="str">
        <f>IF(ISBLANK(Refsz_Verbräuche[[#This Row],[2017]]),"",Refsz_Verbräuche[[#This Row],[2017]])</f>
        <v/>
      </c>
      <c r="J128" s="14" t="str">
        <f>IF(ISBLANK(Refsz_Verbräuche[[#This Row],[2018]]),"",Refsz_Verbräuche[[#This Row],[2018]])</f>
        <v/>
      </c>
      <c r="K128" s="14" t="str">
        <f>IF(ISBLANK(Refsz_Verbräuche[[#This Row],[2019]]),"",Refsz_Verbräuche[[#This Row],[2019]])</f>
        <v/>
      </c>
      <c r="L128" s="14" t="str">
        <f>IF(ISBLANK(Refsz_Verbräuche[[#This Row],[2020]]),"",Refsz_Verbräuche[[#This Row],[2020]])</f>
        <v/>
      </c>
      <c r="M128" s="14" t="str">
        <f>IF(ISBLANK(Refsz_Verbräuche[[#This Row],[2021]]),"",Refsz_Verbräuche[[#This Row],[2021]])</f>
        <v/>
      </c>
      <c r="N128" s="49" t="str">
        <f>IF(Klisz_Verbräuche[[#Headers],[2022]]=$B$14,IF(COUNTIF($G128:Klisz_Verbräuche[[#This Row],[2021]],"&gt;0")&gt;0, AVERAGEIF($G128:Klisz_Verbräuche[[#This Row],[2021]],"&lt;&gt;"), ""),IF($B$14&lt;Klisz_Verbräuche[[#Headers],[2022]],IF(COUNTIF($G128:Klisz_Verbräuche[[#This Row],[2021]],"&gt;0")&gt;0,IF(COUNTIF($G128:Klisz_Verbräuche[[#This Row],[2021]],"&gt;0")&gt;0,Klisz_Verbräuche[[#This Row],[2021]]*(1-$F128)^1, ""), ""),IF($B$14&gt;Klisz_Verbräuche[[#Headers],[2022]],Refsz_Verbräuche[[#This Row],[2022]],"")))</f>
        <v/>
      </c>
      <c r="O128" s="49" t="str">
        <f>IF(Klisz_Verbräuche[[#Headers],[2023]]=$B$14,IF(COUNTIF($G128:Klisz_Verbräuche[[#This Row],[2022]],"&gt;0")&gt;0, AVERAGEIF($G128:Klisz_Verbräuche[[#This Row],[2022]],"&lt;&gt;"), ""),IF($B$14&lt;Klisz_Verbräuche[[#Headers],[2023]],IF(COUNTIF($G128:Klisz_Verbräuche[[#This Row],[2022]],"&gt;0")&gt;0,IF(COUNTIF($G128:Klisz_Verbräuche[[#This Row],[2022]],"&gt;0")&gt;0,Klisz_Verbräuche[[#This Row],[2022]]*(1-$F128)^1, ""), ""),IF($B$14&gt;Klisz_Verbräuche[[#Headers],[2023]],Refsz_Verbräuche[[#This Row],[2023]],"")))</f>
        <v/>
      </c>
      <c r="P128" s="49" t="str">
        <f>IF(Klisz_Verbräuche[[#Headers],[2024]]=$B$14,IF(COUNTIF($G128:Klisz_Verbräuche[[#This Row],[2023]],"&gt;0")&gt;0, AVERAGEIF($G128:Klisz_Verbräuche[[#This Row],[2023]],"&lt;&gt;"), ""),IF($B$14&lt;Klisz_Verbräuche[[#Headers],[2024]],IF(COUNTIF($G128:Klisz_Verbräuche[[#This Row],[2023]],"&gt;0")&gt;0,IF(COUNTIF($G128:Klisz_Verbräuche[[#This Row],[2023]],"&gt;0")&gt;0,Klisz_Verbräuche[[#This Row],[2023]]*(1-$F128)^1, ""), ""),IF($B$14&gt;Klisz_Verbräuche[[#Headers],[2024]],Refsz_Verbräuche[[#This Row],[2024]],"")))</f>
        <v/>
      </c>
      <c r="Q128" s="49" t="str">
        <f>IF(Klisz_Verbräuche[[#Headers],[2025]]=$B$14,IF(COUNTIF($G128:Klisz_Verbräuche[[#This Row],[2024]],"&gt;0")&gt;0, AVERAGEIF($G128:Klisz_Verbräuche[[#This Row],[2024]],"&lt;&gt;"), ""),IF($B$14&lt;Klisz_Verbräuche[[#Headers],[2025]],IF(COUNTIF($G128:Klisz_Verbräuche[[#This Row],[2024]],"&gt;0")&gt;0,IF(COUNTIF($G128:Klisz_Verbräuche[[#This Row],[2024]],"&gt;0")&gt;0,Klisz_Verbräuche[[#This Row],[2024]]*(1-$F128)^1, ""), ""),IF($B$14&gt;Klisz_Verbräuche[[#Headers],[2025]],Refsz_Verbräuche[[#This Row],[2025]],"")))</f>
        <v/>
      </c>
      <c r="R128" s="49" t="str">
        <f>IF(Klisz_Verbräuche[[#Headers],[2026]]=$B$14,IF(COUNTIF($G128:Klisz_Verbräuche[[#This Row],[2025]],"&gt;0")&gt;0, AVERAGEIF($G128:Klisz_Verbräuche[[#This Row],[2025]],"&lt;&gt;"), ""),IF($B$14&lt;Klisz_Verbräuche[[#Headers],[2026]],IF(COUNTIF($G128:Klisz_Verbräuche[[#This Row],[2025]],"&gt;0")&gt;0,IF(COUNTIF($G128:Klisz_Verbräuche[[#This Row],[2025]],"&gt;0")&gt;0,Klisz_Verbräuche[[#This Row],[2025]]*(1-$F128)^1, ""), ""),IF($B$14&gt;Klisz_Verbräuche[[#Headers],[2026]],Refsz_Verbräuche[[#This Row],[2026]],"")))</f>
        <v/>
      </c>
      <c r="S128" s="49" t="str">
        <f>IF(Klisz_Verbräuche[[#Headers],[2027]]=$B$14,IF(COUNTIF($G128:Klisz_Verbräuche[[#This Row],[2026]],"&gt;0")&gt;0, AVERAGEIF($G128:Klisz_Verbräuche[[#This Row],[2026]],"&lt;&gt;"), ""),IF($B$14&lt;Klisz_Verbräuche[[#Headers],[2027]],IF(COUNTIF($G128:Klisz_Verbräuche[[#This Row],[2026]],"&gt;0")&gt;0,IF(COUNTIF($G128:Klisz_Verbräuche[[#This Row],[2026]],"&gt;0")&gt;0,Klisz_Verbräuche[[#This Row],[2026]]*(1-$F128)^1, ""), ""),IF($B$14&gt;Klisz_Verbräuche[[#Headers],[2027]],Refsz_Verbräuche[[#This Row],[2027]],"")))</f>
        <v/>
      </c>
      <c r="T128" s="49" t="str">
        <f>IF(Klisz_Verbräuche[[#Headers],[2028]]=$B$14,IF(COUNTIF($G128:Klisz_Verbräuche[[#This Row],[2027]],"&gt;0")&gt;0, AVERAGEIF($G128:Klisz_Verbräuche[[#This Row],[2027]],"&lt;&gt;"), ""),IF($B$14&lt;Klisz_Verbräuche[[#Headers],[2028]],IF(COUNTIF($G128:Klisz_Verbräuche[[#This Row],[2027]],"&gt;0")&gt;0,IF(COUNTIF($G128:Klisz_Verbräuche[[#This Row],[2027]],"&gt;0")&gt;0,Klisz_Verbräuche[[#This Row],[2027]]*(1-$F128)^1, ""), ""),IF($B$14&gt;Klisz_Verbräuche[[#Headers],[2028]],Refsz_Verbräuche[[#This Row],[2028]],"")))</f>
        <v/>
      </c>
      <c r="U128" s="49" t="str">
        <f>IF(Klisz_Verbräuche[[#Headers],[2029]]=$B$14,IF(COUNTIF($G128:Klisz_Verbräuche[[#This Row],[2028]],"&gt;0")&gt;0, AVERAGEIF($G128:Klisz_Verbräuche[[#This Row],[2028]],"&lt;&gt;"), ""),IF($B$14&lt;Klisz_Verbräuche[[#Headers],[2029]],IF(COUNTIF($G128:Klisz_Verbräuche[[#This Row],[2028]],"&gt;0")&gt;0,IF(COUNTIF($G128:Klisz_Verbräuche[[#This Row],[2028]],"&gt;0")&gt;0,Klisz_Verbräuche[[#This Row],[2028]]*(1-$F128)^1, ""), ""),IF($B$14&gt;Klisz_Verbräuche[[#Headers],[2029]],Refsz_Verbräuche[[#This Row],[2029]],"")))</f>
        <v/>
      </c>
      <c r="V128" s="49" t="str">
        <f>IF(Klisz_Verbräuche[[#Headers],[2030]]=$B$14,IF(COUNTIF($G128:Klisz_Verbräuche[[#This Row],[2029]],"&gt;0")&gt;0, AVERAGEIF($G128:Klisz_Verbräuche[[#This Row],[2029]],"&lt;&gt;"), ""),IF($B$14&lt;Klisz_Verbräuche[[#Headers],[2030]],IF(COUNTIF($G128:Klisz_Verbräuche[[#This Row],[2029]],"&gt;0")&gt;0,IF(COUNTIF($G128:Klisz_Verbräuche[[#This Row],[2029]],"&gt;0")&gt;0,Klisz_Verbräuche[[#This Row],[2029]]*(1-$F128)^1, ""), ""),IF($B$14&gt;Klisz_Verbräuche[[#Headers],[2030]],Refsz_Verbräuche[[#This Row],[2030]],"")))</f>
        <v/>
      </c>
      <c r="W128" s="49" t="str">
        <f>IF(Klisz_Verbräuche[[#Headers],[2035]]=$B$14,IF(COUNTIF($G128:Klisz_Verbräuche[[#This Row],[2030]],"&gt;0")&gt;0, AVERAGEIF($G128:Klisz_Verbräuche[[#This Row],[2030]],"&lt;&gt;"), ""),IF($B$14&lt;Klisz_Verbräuche[[#Headers],[2035]],IF(COUNTIF($G128:Klisz_Verbräuche[[#This Row],[2030]],"&gt;0")&gt;0,IF(COUNTIF($G128:Klisz_Verbräuche[[#This Row],[2030]],"&gt;0")&gt;0,Klisz_Verbräuche[[#This Row],[2030]]*(1-$F128)^5, ""), ""),IF($B$14&gt;Klisz_Verbräuche[[#Headers],[2035]],Refsz_Verbräuche[[#This Row],[2035]],"")))</f>
        <v/>
      </c>
      <c r="X128" s="49" t="str">
        <f>IF(Klisz_Verbräuche[[#Headers],[2040]]=$B$14,IF(COUNTIF($G128:Klisz_Verbräuche[[#This Row],[2035]],"&gt;0")&gt;0, AVERAGEIF($G128:Klisz_Verbräuche[[#This Row],[2035]],"&lt;&gt;"), ""),IF($B$14&lt;Klisz_Verbräuche[[#Headers],[2040]],IF(COUNTIF($G128:Klisz_Verbräuche[[#This Row],[2035]],"&gt;0")&gt;0,IF(COUNTIF($G128:Klisz_Verbräuche[[#This Row],[2035]],"&gt;0")&gt;0,Klisz_Verbräuche[[#This Row],[2035]]*(1-$F128)^5, ""), ""),IF($B$14&gt;Klisz_Verbräuche[[#Headers],[2040]],Refsz_Verbräuche[[#This Row],[2040]],"")))</f>
        <v/>
      </c>
      <c r="Y128" s="49" t="str">
        <f>IF(Klisz_Verbräuche[[#Headers],[2045]]=$B$14,IF(COUNTIF($G128:Klisz_Verbräuche[[#This Row],[2040]],"&gt;0")&gt;0, AVERAGEIF($G128:Klisz_Verbräuche[[#This Row],[2040]],"&lt;&gt;"), ""),IF($B$14&lt;Klisz_Verbräuche[[#Headers],[2045]],IF(COUNTIF($G128:Klisz_Verbräuche[[#This Row],[2040]],"&gt;0")&gt;0,IF(COUNTIF($G128:Klisz_Verbräuche[[#This Row],[2040]],"&gt;0")&gt;0,Klisz_Verbräuche[[#This Row],[2040]]*(1-$F128)^5, ""), ""),IF($B$14&gt;Klisz_Verbräuche[[#Headers],[2045]],Refsz_Verbräuche[[#This Row],[2045]],"")))</f>
        <v/>
      </c>
      <c r="Z128" s="49" t="str">
        <f>IF(Klisz_Verbräuche[[#Headers],[2050]]=$B$14,IF(COUNTIF($G128:Klisz_Verbräuche[[#This Row],[2045]],"&gt;0")&gt;0, AVERAGEIF($G128:Klisz_Verbräuche[[#This Row],[2045]],"&lt;&gt;"), ""),IF($B$14&lt;Klisz_Verbräuche[[#Headers],[2050]],IF(COUNTIF($G128:Klisz_Verbräuche[[#This Row],[2045]],"&gt;0")&gt;0,IF(COUNTIF($G128:Klisz_Verbräuche[[#This Row],[2045]],"&gt;0")&gt;0,Klisz_Verbräuche[[#This Row],[2045]]*(1-$F128)^5, ""), ""),IF($B$14&gt;Klisz_Verbräuche[[#Headers],[2050]],Refsz_Verbräuche[[#This Row],[2050]],"")))</f>
        <v/>
      </c>
      <c r="AA128" s="14"/>
    </row>
    <row r="129" spans="2:27">
      <c r="B129" s="14">
        <v>112</v>
      </c>
      <c r="C129" s="197" t="str">
        <f>Refsz_Verbräuche[[#This Row],[Handlungsfeld]]</f>
        <v>Abfall</v>
      </c>
      <c r="D129" s="19" t="str">
        <f>Refsz_Verbräuche[[#This Row],[Datenpunkt]]</f>
        <v>Altglas</v>
      </c>
      <c r="E129" s="26" t="str">
        <f>Refsz_Verbräuche[[#This Row],[Einheit]]</f>
        <v>t</v>
      </c>
      <c r="F129" s="108"/>
      <c r="G129" s="14" t="str">
        <f>IF(ISBLANK(Refsz_Verbräuche[[#This Row],[2015]]),"",Refsz_Verbräuche[[#This Row],[2015]])</f>
        <v/>
      </c>
      <c r="H129" s="14" t="str">
        <f>IF(ISBLANK(Refsz_Verbräuche[[#This Row],[2016]]),"",Refsz_Verbräuche[[#This Row],[2016]])</f>
        <v/>
      </c>
      <c r="I129" s="14" t="str">
        <f>IF(ISBLANK(Refsz_Verbräuche[[#This Row],[2017]]),"",Refsz_Verbräuche[[#This Row],[2017]])</f>
        <v/>
      </c>
      <c r="J129" s="14" t="str">
        <f>IF(ISBLANK(Refsz_Verbräuche[[#This Row],[2018]]),"",Refsz_Verbräuche[[#This Row],[2018]])</f>
        <v/>
      </c>
      <c r="K129" s="14" t="str">
        <f>IF(ISBLANK(Refsz_Verbräuche[[#This Row],[2019]]),"",Refsz_Verbräuche[[#This Row],[2019]])</f>
        <v/>
      </c>
      <c r="L129" s="14" t="str">
        <f>IF(ISBLANK(Refsz_Verbräuche[[#This Row],[2020]]),"",Refsz_Verbräuche[[#This Row],[2020]])</f>
        <v/>
      </c>
      <c r="M129" s="14" t="str">
        <f>IF(ISBLANK(Refsz_Verbräuche[[#This Row],[2021]]),"",Refsz_Verbräuche[[#This Row],[2021]])</f>
        <v/>
      </c>
      <c r="N129" s="49" t="str">
        <f>IF(Klisz_Verbräuche[[#Headers],[2022]]=$B$14,IF(COUNTIF($G129:Klisz_Verbräuche[[#This Row],[2021]],"&gt;0")&gt;0, AVERAGEIF($G129:Klisz_Verbräuche[[#This Row],[2021]],"&lt;&gt;"), ""),IF($B$14&lt;Klisz_Verbräuche[[#Headers],[2022]],IF(COUNTIF($G129:Klisz_Verbräuche[[#This Row],[2021]],"&gt;0")&gt;0,IF(COUNTIF($G129:Klisz_Verbräuche[[#This Row],[2021]],"&gt;0")&gt;0,Klisz_Verbräuche[[#This Row],[2021]]*(1-$F129)^1, ""), ""),IF($B$14&gt;Klisz_Verbräuche[[#Headers],[2022]],Refsz_Verbräuche[[#This Row],[2022]],"")))</f>
        <v/>
      </c>
      <c r="O129" s="49" t="str">
        <f>IF(Klisz_Verbräuche[[#Headers],[2023]]=$B$14,IF(COUNTIF($G129:Klisz_Verbräuche[[#This Row],[2022]],"&gt;0")&gt;0, AVERAGEIF($G129:Klisz_Verbräuche[[#This Row],[2022]],"&lt;&gt;"), ""),IF($B$14&lt;Klisz_Verbräuche[[#Headers],[2023]],IF(COUNTIF($G129:Klisz_Verbräuche[[#This Row],[2022]],"&gt;0")&gt;0,IF(COUNTIF($G129:Klisz_Verbräuche[[#This Row],[2022]],"&gt;0")&gt;0,Klisz_Verbräuche[[#This Row],[2022]]*(1-$F129)^1, ""), ""),IF($B$14&gt;Klisz_Verbräuche[[#Headers],[2023]],Refsz_Verbräuche[[#This Row],[2023]],"")))</f>
        <v/>
      </c>
      <c r="P129" s="49" t="str">
        <f>IF(Klisz_Verbräuche[[#Headers],[2024]]=$B$14,IF(COUNTIF($G129:Klisz_Verbräuche[[#This Row],[2023]],"&gt;0")&gt;0, AVERAGEIF($G129:Klisz_Verbräuche[[#This Row],[2023]],"&lt;&gt;"), ""),IF($B$14&lt;Klisz_Verbräuche[[#Headers],[2024]],IF(COUNTIF($G129:Klisz_Verbräuche[[#This Row],[2023]],"&gt;0")&gt;0,IF(COUNTIF($G129:Klisz_Verbräuche[[#This Row],[2023]],"&gt;0")&gt;0,Klisz_Verbräuche[[#This Row],[2023]]*(1-$F129)^1, ""), ""),IF($B$14&gt;Klisz_Verbräuche[[#Headers],[2024]],Refsz_Verbräuche[[#This Row],[2024]],"")))</f>
        <v/>
      </c>
      <c r="Q129" s="49" t="str">
        <f>IF(Klisz_Verbräuche[[#Headers],[2025]]=$B$14,IF(COUNTIF($G129:Klisz_Verbräuche[[#This Row],[2024]],"&gt;0")&gt;0, AVERAGEIF($G129:Klisz_Verbräuche[[#This Row],[2024]],"&lt;&gt;"), ""),IF($B$14&lt;Klisz_Verbräuche[[#Headers],[2025]],IF(COUNTIF($G129:Klisz_Verbräuche[[#This Row],[2024]],"&gt;0")&gt;0,IF(COUNTIF($G129:Klisz_Verbräuche[[#This Row],[2024]],"&gt;0")&gt;0,Klisz_Verbräuche[[#This Row],[2024]]*(1-$F129)^1, ""), ""),IF($B$14&gt;Klisz_Verbräuche[[#Headers],[2025]],Refsz_Verbräuche[[#This Row],[2025]],"")))</f>
        <v/>
      </c>
      <c r="R129" s="49" t="str">
        <f>IF(Klisz_Verbräuche[[#Headers],[2026]]=$B$14,IF(COUNTIF($G129:Klisz_Verbräuche[[#This Row],[2025]],"&gt;0")&gt;0, AVERAGEIF($G129:Klisz_Verbräuche[[#This Row],[2025]],"&lt;&gt;"), ""),IF($B$14&lt;Klisz_Verbräuche[[#Headers],[2026]],IF(COUNTIF($G129:Klisz_Verbräuche[[#This Row],[2025]],"&gt;0")&gt;0,IF(COUNTIF($G129:Klisz_Verbräuche[[#This Row],[2025]],"&gt;0")&gt;0,Klisz_Verbräuche[[#This Row],[2025]]*(1-$F129)^1, ""), ""),IF($B$14&gt;Klisz_Verbräuche[[#Headers],[2026]],Refsz_Verbräuche[[#This Row],[2026]],"")))</f>
        <v/>
      </c>
      <c r="S129" s="49" t="str">
        <f>IF(Klisz_Verbräuche[[#Headers],[2027]]=$B$14,IF(COUNTIF($G129:Klisz_Verbräuche[[#This Row],[2026]],"&gt;0")&gt;0, AVERAGEIF($G129:Klisz_Verbräuche[[#This Row],[2026]],"&lt;&gt;"), ""),IF($B$14&lt;Klisz_Verbräuche[[#Headers],[2027]],IF(COUNTIF($G129:Klisz_Verbräuche[[#This Row],[2026]],"&gt;0")&gt;0,IF(COUNTIF($G129:Klisz_Verbräuche[[#This Row],[2026]],"&gt;0")&gt;0,Klisz_Verbräuche[[#This Row],[2026]]*(1-$F129)^1, ""), ""),IF($B$14&gt;Klisz_Verbräuche[[#Headers],[2027]],Refsz_Verbräuche[[#This Row],[2027]],"")))</f>
        <v/>
      </c>
      <c r="T129" s="49" t="str">
        <f>IF(Klisz_Verbräuche[[#Headers],[2028]]=$B$14,IF(COUNTIF($G129:Klisz_Verbräuche[[#This Row],[2027]],"&gt;0")&gt;0, AVERAGEIF($G129:Klisz_Verbräuche[[#This Row],[2027]],"&lt;&gt;"), ""),IF($B$14&lt;Klisz_Verbräuche[[#Headers],[2028]],IF(COUNTIF($G129:Klisz_Verbräuche[[#This Row],[2027]],"&gt;0")&gt;0,IF(COUNTIF($G129:Klisz_Verbräuche[[#This Row],[2027]],"&gt;0")&gt;0,Klisz_Verbräuche[[#This Row],[2027]]*(1-$F129)^1, ""), ""),IF($B$14&gt;Klisz_Verbräuche[[#Headers],[2028]],Refsz_Verbräuche[[#This Row],[2028]],"")))</f>
        <v/>
      </c>
      <c r="U129" s="49" t="str">
        <f>IF(Klisz_Verbräuche[[#Headers],[2029]]=$B$14,IF(COUNTIF($G129:Klisz_Verbräuche[[#This Row],[2028]],"&gt;0")&gt;0, AVERAGEIF($G129:Klisz_Verbräuche[[#This Row],[2028]],"&lt;&gt;"), ""),IF($B$14&lt;Klisz_Verbräuche[[#Headers],[2029]],IF(COUNTIF($G129:Klisz_Verbräuche[[#This Row],[2028]],"&gt;0")&gt;0,IF(COUNTIF($G129:Klisz_Verbräuche[[#This Row],[2028]],"&gt;0")&gt;0,Klisz_Verbräuche[[#This Row],[2028]]*(1-$F129)^1, ""), ""),IF($B$14&gt;Klisz_Verbräuche[[#Headers],[2029]],Refsz_Verbräuche[[#This Row],[2029]],"")))</f>
        <v/>
      </c>
      <c r="V129" s="49" t="str">
        <f>IF(Klisz_Verbräuche[[#Headers],[2030]]=$B$14,IF(COUNTIF($G129:Klisz_Verbräuche[[#This Row],[2029]],"&gt;0")&gt;0, AVERAGEIF($G129:Klisz_Verbräuche[[#This Row],[2029]],"&lt;&gt;"), ""),IF($B$14&lt;Klisz_Verbräuche[[#Headers],[2030]],IF(COUNTIF($G129:Klisz_Verbräuche[[#This Row],[2029]],"&gt;0")&gt;0,IF(COUNTIF($G129:Klisz_Verbräuche[[#This Row],[2029]],"&gt;0")&gt;0,Klisz_Verbräuche[[#This Row],[2029]]*(1-$F129)^1, ""), ""),IF($B$14&gt;Klisz_Verbräuche[[#Headers],[2030]],Refsz_Verbräuche[[#This Row],[2030]],"")))</f>
        <v/>
      </c>
      <c r="W129" s="49" t="str">
        <f>IF(Klisz_Verbräuche[[#Headers],[2035]]=$B$14,IF(COUNTIF($G129:Klisz_Verbräuche[[#This Row],[2030]],"&gt;0")&gt;0, AVERAGEIF($G129:Klisz_Verbräuche[[#This Row],[2030]],"&lt;&gt;"), ""),IF($B$14&lt;Klisz_Verbräuche[[#Headers],[2035]],IF(COUNTIF($G129:Klisz_Verbräuche[[#This Row],[2030]],"&gt;0")&gt;0,IF(COUNTIF($G129:Klisz_Verbräuche[[#This Row],[2030]],"&gt;0")&gt;0,Klisz_Verbräuche[[#This Row],[2030]]*(1-$F129)^5, ""), ""),IF($B$14&gt;Klisz_Verbräuche[[#Headers],[2035]],Refsz_Verbräuche[[#This Row],[2035]],"")))</f>
        <v/>
      </c>
      <c r="X129" s="49" t="str">
        <f>IF(Klisz_Verbräuche[[#Headers],[2040]]=$B$14,IF(COUNTIF($G129:Klisz_Verbräuche[[#This Row],[2035]],"&gt;0")&gt;0, AVERAGEIF($G129:Klisz_Verbräuche[[#This Row],[2035]],"&lt;&gt;"), ""),IF($B$14&lt;Klisz_Verbräuche[[#Headers],[2040]],IF(COUNTIF($G129:Klisz_Verbräuche[[#This Row],[2035]],"&gt;0")&gt;0,IF(COUNTIF($G129:Klisz_Verbräuche[[#This Row],[2035]],"&gt;0")&gt;0,Klisz_Verbräuche[[#This Row],[2035]]*(1-$F129)^5, ""), ""),IF($B$14&gt;Klisz_Verbräuche[[#Headers],[2040]],Refsz_Verbräuche[[#This Row],[2040]],"")))</f>
        <v/>
      </c>
      <c r="Y129" s="49" t="str">
        <f>IF(Klisz_Verbräuche[[#Headers],[2045]]=$B$14,IF(COUNTIF($G129:Klisz_Verbräuche[[#This Row],[2040]],"&gt;0")&gt;0, AVERAGEIF($G129:Klisz_Verbräuche[[#This Row],[2040]],"&lt;&gt;"), ""),IF($B$14&lt;Klisz_Verbräuche[[#Headers],[2045]],IF(COUNTIF($G129:Klisz_Verbräuche[[#This Row],[2040]],"&gt;0")&gt;0,IF(COUNTIF($G129:Klisz_Verbräuche[[#This Row],[2040]],"&gt;0")&gt;0,Klisz_Verbräuche[[#This Row],[2040]]*(1-$F129)^5, ""), ""),IF($B$14&gt;Klisz_Verbräuche[[#Headers],[2045]],Refsz_Verbräuche[[#This Row],[2045]],"")))</f>
        <v/>
      </c>
      <c r="Z129" s="49" t="str">
        <f>IF(Klisz_Verbräuche[[#Headers],[2050]]=$B$14,IF(COUNTIF($G129:Klisz_Verbräuche[[#This Row],[2045]],"&gt;0")&gt;0, AVERAGEIF($G129:Klisz_Verbräuche[[#This Row],[2045]],"&lt;&gt;"), ""),IF($B$14&lt;Klisz_Verbräuche[[#Headers],[2050]],IF(COUNTIF($G129:Klisz_Verbräuche[[#This Row],[2045]],"&gt;0")&gt;0,IF(COUNTIF($G129:Klisz_Verbräuche[[#This Row],[2045]],"&gt;0")&gt;0,Klisz_Verbräuche[[#This Row],[2045]]*(1-$F129)^5, ""), ""),IF($B$14&gt;Klisz_Verbräuche[[#Headers],[2050]],Refsz_Verbräuche[[#This Row],[2050]],"")))</f>
        <v/>
      </c>
      <c r="AA129" s="14"/>
    </row>
    <row r="130" spans="2:27">
      <c r="B130" s="14">
        <v>113</v>
      </c>
      <c r="C130" s="197" t="str">
        <f>Refsz_Verbräuche[[#This Row],[Handlungsfeld]]</f>
        <v>Abfall</v>
      </c>
      <c r="D130" s="19" t="str">
        <f>Refsz_Verbräuche[[#This Row],[Datenpunkt]]</f>
        <v>E-Großgeräte (Abfall)</v>
      </c>
      <c r="E130" s="26" t="str">
        <f>Refsz_Verbräuche[[#This Row],[Einheit]]</f>
        <v>t</v>
      </c>
      <c r="F130" s="108"/>
      <c r="G130" s="14" t="str">
        <f>IF(ISBLANK(Refsz_Verbräuche[[#This Row],[2015]]),"",Refsz_Verbräuche[[#This Row],[2015]])</f>
        <v/>
      </c>
      <c r="H130" s="14" t="str">
        <f>IF(ISBLANK(Refsz_Verbräuche[[#This Row],[2016]]),"",Refsz_Verbräuche[[#This Row],[2016]])</f>
        <v/>
      </c>
      <c r="I130" s="14" t="str">
        <f>IF(ISBLANK(Refsz_Verbräuche[[#This Row],[2017]]),"",Refsz_Verbräuche[[#This Row],[2017]])</f>
        <v/>
      </c>
      <c r="J130" s="14" t="str">
        <f>IF(ISBLANK(Refsz_Verbräuche[[#This Row],[2018]]),"",Refsz_Verbräuche[[#This Row],[2018]])</f>
        <v/>
      </c>
      <c r="K130" s="14" t="str">
        <f>IF(ISBLANK(Refsz_Verbräuche[[#This Row],[2019]]),"",Refsz_Verbräuche[[#This Row],[2019]])</f>
        <v/>
      </c>
      <c r="L130" s="14" t="str">
        <f>IF(ISBLANK(Refsz_Verbräuche[[#This Row],[2020]]),"",Refsz_Verbräuche[[#This Row],[2020]])</f>
        <v/>
      </c>
      <c r="M130" s="14" t="str">
        <f>IF(ISBLANK(Refsz_Verbräuche[[#This Row],[2021]]),"",Refsz_Verbräuche[[#This Row],[2021]])</f>
        <v/>
      </c>
      <c r="N130" s="49" t="str">
        <f>IF(Klisz_Verbräuche[[#Headers],[2022]]=$B$14,IF(COUNTIF($G130:Klisz_Verbräuche[[#This Row],[2021]],"&gt;0")&gt;0, AVERAGEIF($G130:Klisz_Verbräuche[[#This Row],[2021]],"&lt;&gt;"), ""),IF($B$14&lt;Klisz_Verbräuche[[#Headers],[2022]],IF(COUNTIF($G130:Klisz_Verbräuche[[#This Row],[2021]],"&gt;0")&gt;0,IF(COUNTIF($G130:Klisz_Verbräuche[[#This Row],[2021]],"&gt;0")&gt;0,Klisz_Verbräuche[[#This Row],[2021]]*(1-$F130)^1, ""), ""),IF($B$14&gt;Klisz_Verbräuche[[#Headers],[2022]],Refsz_Verbräuche[[#This Row],[2022]],"")))</f>
        <v/>
      </c>
      <c r="O130" s="49" t="str">
        <f>IF(Klisz_Verbräuche[[#Headers],[2023]]=$B$14,IF(COUNTIF($G130:Klisz_Verbräuche[[#This Row],[2022]],"&gt;0")&gt;0, AVERAGEIF($G130:Klisz_Verbräuche[[#This Row],[2022]],"&lt;&gt;"), ""),IF($B$14&lt;Klisz_Verbräuche[[#Headers],[2023]],IF(COUNTIF($G130:Klisz_Verbräuche[[#This Row],[2022]],"&gt;0")&gt;0,IF(COUNTIF($G130:Klisz_Verbräuche[[#This Row],[2022]],"&gt;0")&gt;0,Klisz_Verbräuche[[#This Row],[2022]]*(1-$F130)^1, ""), ""),IF($B$14&gt;Klisz_Verbräuche[[#Headers],[2023]],Refsz_Verbräuche[[#This Row],[2023]],"")))</f>
        <v/>
      </c>
      <c r="P130" s="49" t="str">
        <f>IF(Klisz_Verbräuche[[#Headers],[2024]]=$B$14,IF(COUNTIF($G130:Klisz_Verbräuche[[#This Row],[2023]],"&gt;0")&gt;0, AVERAGEIF($G130:Klisz_Verbräuche[[#This Row],[2023]],"&lt;&gt;"), ""),IF($B$14&lt;Klisz_Verbräuche[[#Headers],[2024]],IF(COUNTIF($G130:Klisz_Verbräuche[[#This Row],[2023]],"&gt;0")&gt;0,IF(COUNTIF($G130:Klisz_Verbräuche[[#This Row],[2023]],"&gt;0")&gt;0,Klisz_Verbräuche[[#This Row],[2023]]*(1-$F130)^1, ""), ""),IF($B$14&gt;Klisz_Verbräuche[[#Headers],[2024]],Refsz_Verbräuche[[#This Row],[2024]],"")))</f>
        <v/>
      </c>
      <c r="Q130" s="49" t="str">
        <f>IF(Klisz_Verbräuche[[#Headers],[2025]]=$B$14,IF(COUNTIF($G130:Klisz_Verbräuche[[#This Row],[2024]],"&gt;0")&gt;0, AVERAGEIF($G130:Klisz_Verbräuche[[#This Row],[2024]],"&lt;&gt;"), ""),IF($B$14&lt;Klisz_Verbräuche[[#Headers],[2025]],IF(COUNTIF($G130:Klisz_Verbräuche[[#This Row],[2024]],"&gt;0")&gt;0,IF(COUNTIF($G130:Klisz_Verbräuche[[#This Row],[2024]],"&gt;0")&gt;0,Klisz_Verbräuche[[#This Row],[2024]]*(1-$F130)^1, ""), ""),IF($B$14&gt;Klisz_Verbräuche[[#Headers],[2025]],Refsz_Verbräuche[[#This Row],[2025]],"")))</f>
        <v/>
      </c>
      <c r="R130" s="49" t="str">
        <f>IF(Klisz_Verbräuche[[#Headers],[2026]]=$B$14,IF(COUNTIF($G130:Klisz_Verbräuche[[#This Row],[2025]],"&gt;0")&gt;0, AVERAGEIF($G130:Klisz_Verbräuche[[#This Row],[2025]],"&lt;&gt;"), ""),IF($B$14&lt;Klisz_Verbräuche[[#Headers],[2026]],IF(COUNTIF($G130:Klisz_Verbräuche[[#This Row],[2025]],"&gt;0")&gt;0,IF(COUNTIF($G130:Klisz_Verbräuche[[#This Row],[2025]],"&gt;0")&gt;0,Klisz_Verbräuche[[#This Row],[2025]]*(1-$F130)^1, ""), ""),IF($B$14&gt;Klisz_Verbräuche[[#Headers],[2026]],Refsz_Verbräuche[[#This Row],[2026]],"")))</f>
        <v/>
      </c>
      <c r="S130" s="49" t="str">
        <f>IF(Klisz_Verbräuche[[#Headers],[2027]]=$B$14,IF(COUNTIF($G130:Klisz_Verbräuche[[#This Row],[2026]],"&gt;0")&gt;0, AVERAGEIF($G130:Klisz_Verbräuche[[#This Row],[2026]],"&lt;&gt;"), ""),IF($B$14&lt;Klisz_Verbräuche[[#Headers],[2027]],IF(COUNTIF($G130:Klisz_Verbräuche[[#This Row],[2026]],"&gt;0")&gt;0,IF(COUNTIF($G130:Klisz_Verbräuche[[#This Row],[2026]],"&gt;0")&gt;0,Klisz_Verbräuche[[#This Row],[2026]]*(1-$F130)^1, ""), ""),IF($B$14&gt;Klisz_Verbräuche[[#Headers],[2027]],Refsz_Verbräuche[[#This Row],[2027]],"")))</f>
        <v/>
      </c>
      <c r="T130" s="49" t="str">
        <f>IF(Klisz_Verbräuche[[#Headers],[2028]]=$B$14,IF(COUNTIF($G130:Klisz_Verbräuche[[#This Row],[2027]],"&gt;0")&gt;0, AVERAGEIF($G130:Klisz_Verbräuche[[#This Row],[2027]],"&lt;&gt;"), ""),IF($B$14&lt;Klisz_Verbräuche[[#Headers],[2028]],IF(COUNTIF($G130:Klisz_Verbräuche[[#This Row],[2027]],"&gt;0")&gt;0,IF(COUNTIF($G130:Klisz_Verbräuche[[#This Row],[2027]],"&gt;0")&gt;0,Klisz_Verbräuche[[#This Row],[2027]]*(1-$F130)^1, ""), ""),IF($B$14&gt;Klisz_Verbräuche[[#Headers],[2028]],Refsz_Verbräuche[[#This Row],[2028]],"")))</f>
        <v/>
      </c>
      <c r="U130" s="49" t="str">
        <f>IF(Klisz_Verbräuche[[#Headers],[2029]]=$B$14,IF(COUNTIF($G130:Klisz_Verbräuche[[#This Row],[2028]],"&gt;0")&gt;0, AVERAGEIF($G130:Klisz_Verbräuche[[#This Row],[2028]],"&lt;&gt;"), ""),IF($B$14&lt;Klisz_Verbräuche[[#Headers],[2029]],IF(COUNTIF($G130:Klisz_Verbräuche[[#This Row],[2028]],"&gt;0")&gt;0,IF(COUNTIF($G130:Klisz_Verbräuche[[#This Row],[2028]],"&gt;0")&gt;0,Klisz_Verbräuche[[#This Row],[2028]]*(1-$F130)^1, ""), ""),IF($B$14&gt;Klisz_Verbräuche[[#Headers],[2029]],Refsz_Verbräuche[[#This Row],[2029]],"")))</f>
        <v/>
      </c>
      <c r="V130" s="49" t="str">
        <f>IF(Klisz_Verbräuche[[#Headers],[2030]]=$B$14,IF(COUNTIF($G130:Klisz_Verbräuche[[#This Row],[2029]],"&gt;0")&gt;0, AVERAGEIF($G130:Klisz_Verbräuche[[#This Row],[2029]],"&lt;&gt;"), ""),IF($B$14&lt;Klisz_Verbräuche[[#Headers],[2030]],IF(COUNTIF($G130:Klisz_Verbräuche[[#This Row],[2029]],"&gt;0")&gt;0,IF(COUNTIF($G130:Klisz_Verbräuche[[#This Row],[2029]],"&gt;0")&gt;0,Klisz_Verbräuche[[#This Row],[2029]]*(1-$F130)^1, ""), ""),IF($B$14&gt;Klisz_Verbräuche[[#Headers],[2030]],Refsz_Verbräuche[[#This Row],[2030]],"")))</f>
        <v/>
      </c>
      <c r="W130" s="49" t="str">
        <f>IF(Klisz_Verbräuche[[#Headers],[2035]]=$B$14,IF(COUNTIF($G130:Klisz_Verbräuche[[#This Row],[2030]],"&gt;0")&gt;0, AVERAGEIF($G130:Klisz_Verbräuche[[#This Row],[2030]],"&lt;&gt;"), ""),IF($B$14&lt;Klisz_Verbräuche[[#Headers],[2035]],IF(COUNTIF($G130:Klisz_Verbräuche[[#This Row],[2030]],"&gt;0")&gt;0,IF(COUNTIF($G130:Klisz_Verbräuche[[#This Row],[2030]],"&gt;0")&gt;0,Klisz_Verbräuche[[#This Row],[2030]]*(1-$F130)^5, ""), ""),IF($B$14&gt;Klisz_Verbräuche[[#Headers],[2035]],Refsz_Verbräuche[[#This Row],[2035]],"")))</f>
        <v/>
      </c>
      <c r="X130" s="49" t="str">
        <f>IF(Klisz_Verbräuche[[#Headers],[2040]]=$B$14,IF(COUNTIF($G130:Klisz_Verbräuche[[#This Row],[2035]],"&gt;0")&gt;0, AVERAGEIF($G130:Klisz_Verbräuche[[#This Row],[2035]],"&lt;&gt;"), ""),IF($B$14&lt;Klisz_Verbräuche[[#Headers],[2040]],IF(COUNTIF($G130:Klisz_Verbräuche[[#This Row],[2035]],"&gt;0")&gt;0,IF(COUNTIF($G130:Klisz_Verbräuche[[#This Row],[2035]],"&gt;0")&gt;0,Klisz_Verbräuche[[#This Row],[2035]]*(1-$F130)^5, ""), ""),IF($B$14&gt;Klisz_Verbräuche[[#Headers],[2040]],Refsz_Verbräuche[[#This Row],[2040]],"")))</f>
        <v/>
      </c>
      <c r="Y130" s="49" t="str">
        <f>IF(Klisz_Verbräuche[[#Headers],[2045]]=$B$14,IF(COUNTIF($G130:Klisz_Verbräuche[[#This Row],[2040]],"&gt;0")&gt;0, AVERAGEIF($G130:Klisz_Verbräuche[[#This Row],[2040]],"&lt;&gt;"), ""),IF($B$14&lt;Klisz_Verbräuche[[#Headers],[2045]],IF(COUNTIF($G130:Klisz_Verbräuche[[#This Row],[2040]],"&gt;0")&gt;0,IF(COUNTIF($G130:Klisz_Verbräuche[[#This Row],[2040]],"&gt;0")&gt;0,Klisz_Verbräuche[[#This Row],[2040]]*(1-$F130)^5, ""), ""),IF($B$14&gt;Klisz_Verbräuche[[#Headers],[2045]],Refsz_Verbräuche[[#This Row],[2045]],"")))</f>
        <v/>
      </c>
      <c r="Z130" s="49" t="str">
        <f>IF(Klisz_Verbräuche[[#Headers],[2050]]=$B$14,IF(COUNTIF($G130:Klisz_Verbräuche[[#This Row],[2045]],"&gt;0")&gt;0, AVERAGEIF($G130:Klisz_Verbräuche[[#This Row],[2045]],"&lt;&gt;"), ""),IF($B$14&lt;Klisz_Verbräuche[[#Headers],[2050]],IF(COUNTIF($G130:Klisz_Verbräuche[[#This Row],[2045]],"&gt;0")&gt;0,IF(COUNTIF($G130:Klisz_Verbräuche[[#This Row],[2045]],"&gt;0")&gt;0,Klisz_Verbräuche[[#This Row],[2045]]*(1-$F130)^5, ""), ""),IF($B$14&gt;Klisz_Verbräuche[[#Headers],[2050]],Refsz_Verbräuche[[#This Row],[2050]],"")))</f>
        <v/>
      </c>
      <c r="AA130" s="14"/>
    </row>
    <row r="131" spans="2:27">
      <c r="B131" s="14">
        <v>114</v>
      </c>
      <c r="C131" s="197" t="str">
        <f>Refsz_Verbräuche[[#This Row],[Handlungsfeld]]</f>
        <v>Abfall</v>
      </c>
      <c r="D131" s="19" t="str">
        <f>Refsz_Verbräuche[[#This Row],[Datenpunkt]]</f>
        <v>Metalle (Abfall)</v>
      </c>
      <c r="E131" s="26" t="str">
        <f>Refsz_Verbräuche[[#This Row],[Einheit]]</f>
        <v>t</v>
      </c>
      <c r="F131" s="108"/>
      <c r="G131" s="14" t="str">
        <f>IF(ISBLANK(Refsz_Verbräuche[[#This Row],[2015]]),"",Refsz_Verbräuche[[#This Row],[2015]])</f>
        <v/>
      </c>
      <c r="H131" s="14" t="str">
        <f>IF(ISBLANK(Refsz_Verbräuche[[#This Row],[2016]]),"",Refsz_Verbräuche[[#This Row],[2016]])</f>
        <v/>
      </c>
      <c r="I131" s="14" t="str">
        <f>IF(ISBLANK(Refsz_Verbräuche[[#This Row],[2017]]),"",Refsz_Verbräuche[[#This Row],[2017]])</f>
        <v/>
      </c>
      <c r="J131" s="14" t="str">
        <f>IF(ISBLANK(Refsz_Verbräuche[[#This Row],[2018]]),"",Refsz_Verbräuche[[#This Row],[2018]])</f>
        <v/>
      </c>
      <c r="K131" s="14" t="str">
        <f>IF(ISBLANK(Refsz_Verbräuche[[#This Row],[2019]]),"",Refsz_Verbräuche[[#This Row],[2019]])</f>
        <v/>
      </c>
      <c r="L131" s="14" t="str">
        <f>IF(ISBLANK(Refsz_Verbräuche[[#This Row],[2020]]),"",Refsz_Verbräuche[[#This Row],[2020]])</f>
        <v/>
      </c>
      <c r="M131" s="14" t="str">
        <f>IF(ISBLANK(Refsz_Verbräuche[[#This Row],[2021]]),"",Refsz_Verbräuche[[#This Row],[2021]])</f>
        <v/>
      </c>
      <c r="N131" s="49" t="str">
        <f>IF(Klisz_Verbräuche[[#Headers],[2022]]=$B$14,IF(COUNTIF($G131:Klisz_Verbräuche[[#This Row],[2021]],"&gt;0")&gt;0, AVERAGEIF($G131:Klisz_Verbräuche[[#This Row],[2021]],"&lt;&gt;"), ""),IF($B$14&lt;Klisz_Verbräuche[[#Headers],[2022]],IF(COUNTIF($G131:Klisz_Verbräuche[[#This Row],[2021]],"&gt;0")&gt;0,IF(COUNTIF($G131:Klisz_Verbräuche[[#This Row],[2021]],"&gt;0")&gt;0,Klisz_Verbräuche[[#This Row],[2021]]*(1-$F131)^1, ""), ""),IF($B$14&gt;Klisz_Verbräuche[[#Headers],[2022]],Refsz_Verbräuche[[#This Row],[2022]],"")))</f>
        <v/>
      </c>
      <c r="O131" s="49" t="str">
        <f>IF(Klisz_Verbräuche[[#Headers],[2023]]=$B$14,IF(COUNTIF($G131:Klisz_Verbräuche[[#This Row],[2022]],"&gt;0")&gt;0, AVERAGEIF($G131:Klisz_Verbräuche[[#This Row],[2022]],"&lt;&gt;"), ""),IF($B$14&lt;Klisz_Verbräuche[[#Headers],[2023]],IF(COUNTIF($G131:Klisz_Verbräuche[[#This Row],[2022]],"&gt;0")&gt;0,IF(COUNTIF($G131:Klisz_Verbräuche[[#This Row],[2022]],"&gt;0")&gt;0,Klisz_Verbräuche[[#This Row],[2022]]*(1-$F131)^1, ""), ""),IF($B$14&gt;Klisz_Verbräuche[[#Headers],[2023]],Refsz_Verbräuche[[#This Row],[2023]],"")))</f>
        <v/>
      </c>
      <c r="P131" s="49" t="str">
        <f>IF(Klisz_Verbräuche[[#Headers],[2024]]=$B$14,IF(COUNTIF($G131:Klisz_Verbräuche[[#This Row],[2023]],"&gt;0")&gt;0, AVERAGEIF($G131:Klisz_Verbräuche[[#This Row],[2023]],"&lt;&gt;"), ""),IF($B$14&lt;Klisz_Verbräuche[[#Headers],[2024]],IF(COUNTIF($G131:Klisz_Verbräuche[[#This Row],[2023]],"&gt;0")&gt;0,IF(COUNTIF($G131:Klisz_Verbräuche[[#This Row],[2023]],"&gt;0")&gt;0,Klisz_Verbräuche[[#This Row],[2023]]*(1-$F131)^1, ""), ""),IF($B$14&gt;Klisz_Verbräuche[[#Headers],[2024]],Refsz_Verbräuche[[#This Row],[2024]],"")))</f>
        <v/>
      </c>
      <c r="Q131" s="49" t="str">
        <f>IF(Klisz_Verbräuche[[#Headers],[2025]]=$B$14,IF(COUNTIF($G131:Klisz_Verbräuche[[#This Row],[2024]],"&gt;0")&gt;0, AVERAGEIF($G131:Klisz_Verbräuche[[#This Row],[2024]],"&lt;&gt;"), ""),IF($B$14&lt;Klisz_Verbräuche[[#Headers],[2025]],IF(COUNTIF($G131:Klisz_Verbräuche[[#This Row],[2024]],"&gt;0")&gt;0,IF(COUNTIF($G131:Klisz_Verbräuche[[#This Row],[2024]],"&gt;0")&gt;0,Klisz_Verbräuche[[#This Row],[2024]]*(1-$F131)^1, ""), ""),IF($B$14&gt;Klisz_Verbräuche[[#Headers],[2025]],Refsz_Verbräuche[[#This Row],[2025]],"")))</f>
        <v/>
      </c>
      <c r="R131" s="49" t="str">
        <f>IF(Klisz_Verbräuche[[#Headers],[2026]]=$B$14,IF(COUNTIF($G131:Klisz_Verbräuche[[#This Row],[2025]],"&gt;0")&gt;0, AVERAGEIF($G131:Klisz_Verbräuche[[#This Row],[2025]],"&lt;&gt;"), ""),IF($B$14&lt;Klisz_Verbräuche[[#Headers],[2026]],IF(COUNTIF($G131:Klisz_Verbräuche[[#This Row],[2025]],"&gt;0")&gt;0,IF(COUNTIF($G131:Klisz_Verbräuche[[#This Row],[2025]],"&gt;0")&gt;0,Klisz_Verbräuche[[#This Row],[2025]]*(1-$F131)^1, ""), ""),IF($B$14&gt;Klisz_Verbräuche[[#Headers],[2026]],Refsz_Verbräuche[[#This Row],[2026]],"")))</f>
        <v/>
      </c>
      <c r="S131" s="49" t="str">
        <f>IF(Klisz_Verbräuche[[#Headers],[2027]]=$B$14,IF(COUNTIF($G131:Klisz_Verbräuche[[#This Row],[2026]],"&gt;0")&gt;0, AVERAGEIF($G131:Klisz_Verbräuche[[#This Row],[2026]],"&lt;&gt;"), ""),IF($B$14&lt;Klisz_Verbräuche[[#Headers],[2027]],IF(COUNTIF($G131:Klisz_Verbräuche[[#This Row],[2026]],"&gt;0")&gt;0,IF(COUNTIF($G131:Klisz_Verbräuche[[#This Row],[2026]],"&gt;0")&gt;0,Klisz_Verbräuche[[#This Row],[2026]]*(1-$F131)^1, ""), ""),IF($B$14&gt;Klisz_Verbräuche[[#Headers],[2027]],Refsz_Verbräuche[[#This Row],[2027]],"")))</f>
        <v/>
      </c>
      <c r="T131" s="49" t="str">
        <f>IF(Klisz_Verbräuche[[#Headers],[2028]]=$B$14,IF(COUNTIF($G131:Klisz_Verbräuche[[#This Row],[2027]],"&gt;0")&gt;0, AVERAGEIF($G131:Klisz_Verbräuche[[#This Row],[2027]],"&lt;&gt;"), ""),IF($B$14&lt;Klisz_Verbräuche[[#Headers],[2028]],IF(COUNTIF($G131:Klisz_Verbräuche[[#This Row],[2027]],"&gt;0")&gt;0,IF(COUNTIF($G131:Klisz_Verbräuche[[#This Row],[2027]],"&gt;0")&gt;0,Klisz_Verbräuche[[#This Row],[2027]]*(1-$F131)^1, ""), ""),IF($B$14&gt;Klisz_Verbräuche[[#Headers],[2028]],Refsz_Verbräuche[[#This Row],[2028]],"")))</f>
        <v/>
      </c>
      <c r="U131" s="49" t="str">
        <f>IF(Klisz_Verbräuche[[#Headers],[2029]]=$B$14,IF(COUNTIF($G131:Klisz_Verbräuche[[#This Row],[2028]],"&gt;0")&gt;0, AVERAGEIF($G131:Klisz_Verbräuche[[#This Row],[2028]],"&lt;&gt;"), ""),IF($B$14&lt;Klisz_Verbräuche[[#Headers],[2029]],IF(COUNTIF($G131:Klisz_Verbräuche[[#This Row],[2028]],"&gt;0")&gt;0,IF(COUNTIF($G131:Klisz_Verbräuche[[#This Row],[2028]],"&gt;0")&gt;0,Klisz_Verbräuche[[#This Row],[2028]]*(1-$F131)^1, ""), ""),IF($B$14&gt;Klisz_Verbräuche[[#Headers],[2029]],Refsz_Verbräuche[[#This Row],[2029]],"")))</f>
        <v/>
      </c>
      <c r="V131" s="49" t="str">
        <f>IF(Klisz_Verbräuche[[#Headers],[2030]]=$B$14,IF(COUNTIF($G131:Klisz_Verbräuche[[#This Row],[2029]],"&gt;0")&gt;0, AVERAGEIF($G131:Klisz_Verbräuche[[#This Row],[2029]],"&lt;&gt;"), ""),IF($B$14&lt;Klisz_Verbräuche[[#Headers],[2030]],IF(COUNTIF($G131:Klisz_Verbräuche[[#This Row],[2029]],"&gt;0")&gt;0,IF(COUNTIF($G131:Klisz_Verbräuche[[#This Row],[2029]],"&gt;0")&gt;0,Klisz_Verbräuche[[#This Row],[2029]]*(1-$F131)^1, ""), ""),IF($B$14&gt;Klisz_Verbräuche[[#Headers],[2030]],Refsz_Verbräuche[[#This Row],[2030]],"")))</f>
        <v/>
      </c>
      <c r="W131" s="49" t="str">
        <f>IF(Klisz_Verbräuche[[#Headers],[2035]]=$B$14,IF(COUNTIF($G131:Klisz_Verbräuche[[#This Row],[2030]],"&gt;0")&gt;0, AVERAGEIF($G131:Klisz_Verbräuche[[#This Row],[2030]],"&lt;&gt;"), ""),IF($B$14&lt;Klisz_Verbräuche[[#Headers],[2035]],IF(COUNTIF($G131:Klisz_Verbräuche[[#This Row],[2030]],"&gt;0")&gt;0,IF(COUNTIF($G131:Klisz_Verbräuche[[#This Row],[2030]],"&gt;0")&gt;0,Klisz_Verbräuche[[#This Row],[2030]]*(1-$F131)^5, ""), ""),IF($B$14&gt;Klisz_Verbräuche[[#Headers],[2035]],Refsz_Verbräuche[[#This Row],[2035]],"")))</f>
        <v/>
      </c>
      <c r="X131" s="49" t="str">
        <f>IF(Klisz_Verbräuche[[#Headers],[2040]]=$B$14,IF(COUNTIF($G131:Klisz_Verbräuche[[#This Row],[2035]],"&gt;0")&gt;0, AVERAGEIF($G131:Klisz_Verbräuche[[#This Row],[2035]],"&lt;&gt;"), ""),IF($B$14&lt;Klisz_Verbräuche[[#Headers],[2040]],IF(COUNTIF($G131:Klisz_Verbräuche[[#This Row],[2035]],"&gt;0")&gt;0,IF(COUNTIF($G131:Klisz_Verbräuche[[#This Row],[2035]],"&gt;0")&gt;0,Klisz_Verbräuche[[#This Row],[2035]]*(1-$F131)^5, ""), ""),IF($B$14&gt;Klisz_Verbräuche[[#Headers],[2040]],Refsz_Verbräuche[[#This Row],[2040]],"")))</f>
        <v/>
      </c>
      <c r="Y131" s="49" t="str">
        <f>IF(Klisz_Verbräuche[[#Headers],[2045]]=$B$14,IF(COUNTIF($G131:Klisz_Verbräuche[[#This Row],[2040]],"&gt;0")&gt;0, AVERAGEIF($G131:Klisz_Verbräuche[[#This Row],[2040]],"&lt;&gt;"), ""),IF($B$14&lt;Klisz_Verbräuche[[#Headers],[2045]],IF(COUNTIF($G131:Klisz_Verbräuche[[#This Row],[2040]],"&gt;0")&gt;0,IF(COUNTIF($G131:Klisz_Verbräuche[[#This Row],[2040]],"&gt;0")&gt;0,Klisz_Verbräuche[[#This Row],[2040]]*(1-$F131)^5, ""), ""),IF($B$14&gt;Klisz_Verbräuche[[#Headers],[2045]],Refsz_Verbräuche[[#This Row],[2045]],"")))</f>
        <v/>
      </c>
      <c r="Z131" s="49" t="str">
        <f>IF(Klisz_Verbräuche[[#Headers],[2050]]=$B$14,IF(COUNTIF($G131:Klisz_Verbräuche[[#This Row],[2045]],"&gt;0")&gt;0, AVERAGEIF($G131:Klisz_Verbräuche[[#This Row],[2045]],"&lt;&gt;"), ""),IF($B$14&lt;Klisz_Verbräuche[[#Headers],[2050]],IF(COUNTIF($G131:Klisz_Verbräuche[[#This Row],[2045]],"&gt;0")&gt;0,IF(COUNTIF($G131:Klisz_Verbräuche[[#This Row],[2045]],"&gt;0")&gt;0,Klisz_Verbräuche[[#This Row],[2045]]*(1-$F131)^5, ""), ""),IF($B$14&gt;Klisz_Verbräuche[[#Headers],[2050]],Refsz_Verbräuche[[#This Row],[2050]],"")))</f>
        <v/>
      </c>
      <c r="AA131" s="14"/>
    </row>
    <row r="132" spans="2:27">
      <c r="B132" s="14">
        <v>115</v>
      </c>
      <c r="C132" s="197" t="str">
        <f>Refsz_Verbräuche[[#This Row],[Handlungsfeld]]</f>
        <v>Abfall</v>
      </c>
      <c r="D132" s="19" t="str">
        <f>Refsz_Verbräuche[[#This Row],[Datenpunkt]]</f>
        <v>Bauschutt</v>
      </c>
      <c r="E132" s="26" t="str">
        <f>Refsz_Verbräuche[[#This Row],[Einheit]]</f>
        <v>t</v>
      </c>
      <c r="F132" s="108"/>
      <c r="G132" s="14" t="str">
        <f>IF(ISBLANK(Refsz_Verbräuche[[#This Row],[2015]]),"",Refsz_Verbräuche[[#This Row],[2015]])</f>
        <v/>
      </c>
      <c r="H132" s="14" t="str">
        <f>IF(ISBLANK(Refsz_Verbräuche[[#This Row],[2016]]),"",Refsz_Verbräuche[[#This Row],[2016]])</f>
        <v/>
      </c>
      <c r="I132" s="14" t="str">
        <f>IF(ISBLANK(Refsz_Verbräuche[[#This Row],[2017]]),"",Refsz_Verbräuche[[#This Row],[2017]])</f>
        <v/>
      </c>
      <c r="J132" s="14" t="str">
        <f>IF(ISBLANK(Refsz_Verbräuche[[#This Row],[2018]]),"",Refsz_Verbräuche[[#This Row],[2018]])</f>
        <v/>
      </c>
      <c r="K132" s="14" t="str">
        <f>IF(ISBLANK(Refsz_Verbräuche[[#This Row],[2019]]),"",Refsz_Verbräuche[[#This Row],[2019]])</f>
        <v/>
      </c>
      <c r="L132" s="14" t="str">
        <f>IF(ISBLANK(Refsz_Verbräuche[[#This Row],[2020]]),"",Refsz_Verbräuche[[#This Row],[2020]])</f>
        <v/>
      </c>
      <c r="M132" s="14" t="str">
        <f>IF(ISBLANK(Refsz_Verbräuche[[#This Row],[2021]]),"",Refsz_Verbräuche[[#This Row],[2021]])</f>
        <v/>
      </c>
      <c r="N132" s="49" t="str">
        <f>IF(Klisz_Verbräuche[[#Headers],[2022]]=$B$14,IF(COUNTIF($G132:Klisz_Verbräuche[[#This Row],[2021]],"&gt;0")&gt;0, AVERAGEIF($G132:Klisz_Verbräuche[[#This Row],[2021]],"&lt;&gt;"), ""),IF($B$14&lt;Klisz_Verbräuche[[#Headers],[2022]],IF(COUNTIF($G132:Klisz_Verbräuche[[#This Row],[2021]],"&gt;0")&gt;0,IF(COUNTIF($G132:Klisz_Verbräuche[[#This Row],[2021]],"&gt;0")&gt;0,Klisz_Verbräuche[[#This Row],[2021]]*(1-$F132)^1, ""), ""),IF($B$14&gt;Klisz_Verbräuche[[#Headers],[2022]],Refsz_Verbräuche[[#This Row],[2022]],"")))</f>
        <v/>
      </c>
      <c r="O132" s="49" t="str">
        <f>IF(Klisz_Verbräuche[[#Headers],[2023]]=$B$14,IF(COUNTIF($G132:Klisz_Verbräuche[[#This Row],[2022]],"&gt;0")&gt;0, AVERAGEIF($G132:Klisz_Verbräuche[[#This Row],[2022]],"&lt;&gt;"), ""),IF($B$14&lt;Klisz_Verbräuche[[#Headers],[2023]],IF(COUNTIF($G132:Klisz_Verbräuche[[#This Row],[2022]],"&gt;0")&gt;0,IF(COUNTIF($G132:Klisz_Verbräuche[[#This Row],[2022]],"&gt;0")&gt;0,Klisz_Verbräuche[[#This Row],[2022]]*(1-$F132)^1, ""), ""),IF($B$14&gt;Klisz_Verbräuche[[#Headers],[2023]],Refsz_Verbräuche[[#This Row],[2023]],"")))</f>
        <v/>
      </c>
      <c r="P132" s="49" t="str">
        <f>IF(Klisz_Verbräuche[[#Headers],[2024]]=$B$14,IF(COUNTIF($G132:Klisz_Verbräuche[[#This Row],[2023]],"&gt;0")&gt;0, AVERAGEIF($G132:Klisz_Verbräuche[[#This Row],[2023]],"&lt;&gt;"), ""),IF($B$14&lt;Klisz_Verbräuche[[#Headers],[2024]],IF(COUNTIF($G132:Klisz_Verbräuche[[#This Row],[2023]],"&gt;0")&gt;0,IF(COUNTIF($G132:Klisz_Verbräuche[[#This Row],[2023]],"&gt;0")&gt;0,Klisz_Verbräuche[[#This Row],[2023]]*(1-$F132)^1, ""), ""),IF($B$14&gt;Klisz_Verbräuche[[#Headers],[2024]],Refsz_Verbräuche[[#This Row],[2024]],"")))</f>
        <v/>
      </c>
      <c r="Q132" s="49" t="str">
        <f>IF(Klisz_Verbräuche[[#Headers],[2025]]=$B$14,IF(COUNTIF($G132:Klisz_Verbräuche[[#This Row],[2024]],"&gt;0")&gt;0, AVERAGEIF($G132:Klisz_Verbräuche[[#This Row],[2024]],"&lt;&gt;"), ""),IF($B$14&lt;Klisz_Verbräuche[[#Headers],[2025]],IF(COUNTIF($G132:Klisz_Verbräuche[[#This Row],[2024]],"&gt;0")&gt;0,IF(COUNTIF($G132:Klisz_Verbräuche[[#This Row],[2024]],"&gt;0")&gt;0,Klisz_Verbräuche[[#This Row],[2024]]*(1-$F132)^1, ""), ""),IF($B$14&gt;Klisz_Verbräuche[[#Headers],[2025]],Refsz_Verbräuche[[#This Row],[2025]],"")))</f>
        <v/>
      </c>
      <c r="R132" s="49" t="str">
        <f>IF(Klisz_Verbräuche[[#Headers],[2026]]=$B$14,IF(COUNTIF($G132:Klisz_Verbräuche[[#This Row],[2025]],"&gt;0")&gt;0, AVERAGEIF($G132:Klisz_Verbräuche[[#This Row],[2025]],"&lt;&gt;"), ""),IF($B$14&lt;Klisz_Verbräuche[[#Headers],[2026]],IF(COUNTIF($G132:Klisz_Verbräuche[[#This Row],[2025]],"&gt;0")&gt;0,IF(COUNTIF($G132:Klisz_Verbräuche[[#This Row],[2025]],"&gt;0")&gt;0,Klisz_Verbräuche[[#This Row],[2025]]*(1-$F132)^1, ""), ""),IF($B$14&gt;Klisz_Verbräuche[[#Headers],[2026]],Refsz_Verbräuche[[#This Row],[2026]],"")))</f>
        <v/>
      </c>
      <c r="S132" s="49" t="str">
        <f>IF(Klisz_Verbräuche[[#Headers],[2027]]=$B$14,IF(COUNTIF($G132:Klisz_Verbräuche[[#This Row],[2026]],"&gt;0")&gt;0, AVERAGEIF($G132:Klisz_Verbräuche[[#This Row],[2026]],"&lt;&gt;"), ""),IF($B$14&lt;Klisz_Verbräuche[[#Headers],[2027]],IF(COUNTIF($G132:Klisz_Verbräuche[[#This Row],[2026]],"&gt;0")&gt;0,IF(COUNTIF($G132:Klisz_Verbräuche[[#This Row],[2026]],"&gt;0")&gt;0,Klisz_Verbräuche[[#This Row],[2026]]*(1-$F132)^1, ""), ""),IF($B$14&gt;Klisz_Verbräuche[[#Headers],[2027]],Refsz_Verbräuche[[#This Row],[2027]],"")))</f>
        <v/>
      </c>
      <c r="T132" s="49" t="str">
        <f>IF(Klisz_Verbräuche[[#Headers],[2028]]=$B$14,IF(COUNTIF($G132:Klisz_Verbräuche[[#This Row],[2027]],"&gt;0")&gt;0, AVERAGEIF($G132:Klisz_Verbräuche[[#This Row],[2027]],"&lt;&gt;"), ""),IF($B$14&lt;Klisz_Verbräuche[[#Headers],[2028]],IF(COUNTIF($G132:Klisz_Verbräuche[[#This Row],[2027]],"&gt;0")&gt;0,IF(COUNTIF($G132:Klisz_Verbräuche[[#This Row],[2027]],"&gt;0")&gt;0,Klisz_Verbräuche[[#This Row],[2027]]*(1-$F132)^1, ""), ""),IF($B$14&gt;Klisz_Verbräuche[[#Headers],[2028]],Refsz_Verbräuche[[#This Row],[2028]],"")))</f>
        <v/>
      </c>
      <c r="U132" s="49" t="str">
        <f>IF(Klisz_Verbräuche[[#Headers],[2029]]=$B$14,IF(COUNTIF($G132:Klisz_Verbräuche[[#This Row],[2028]],"&gt;0")&gt;0, AVERAGEIF($G132:Klisz_Verbräuche[[#This Row],[2028]],"&lt;&gt;"), ""),IF($B$14&lt;Klisz_Verbräuche[[#Headers],[2029]],IF(COUNTIF($G132:Klisz_Verbräuche[[#This Row],[2028]],"&gt;0")&gt;0,IF(COUNTIF($G132:Klisz_Verbräuche[[#This Row],[2028]],"&gt;0")&gt;0,Klisz_Verbräuche[[#This Row],[2028]]*(1-$F132)^1, ""), ""),IF($B$14&gt;Klisz_Verbräuche[[#Headers],[2029]],Refsz_Verbräuche[[#This Row],[2029]],"")))</f>
        <v/>
      </c>
      <c r="V132" s="49" t="str">
        <f>IF(Klisz_Verbräuche[[#Headers],[2030]]=$B$14,IF(COUNTIF($G132:Klisz_Verbräuche[[#This Row],[2029]],"&gt;0")&gt;0, AVERAGEIF($G132:Klisz_Verbräuche[[#This Row],[2029]],"&lt;&gt;"), ""),IF($B$14&lt;Klisz_Verbräuche[[#Headers],[2030]],IF(COUNTIF($G132:Klisz_Verbräuche[[#This Row],[2029]],"&gt;0")&gt;0,IF(COUNTIF($G132:Klisz_Verbräuche[[#This Row],[2029]],"&gt;0")&gt;0,Klisz_Verbräuche[[#This Row],[2029]]*(1-$F132)^1, ""), ""),IF($B$14&gt;Klisz_Verbräuche[[#Headers],[2030]],Refsz_Verbräuche[[#This Row],[2030]],"")))</f>
        <v/>
      </c>
      <c r="W132" s="49" t="str">
        <f>IF(Klisz_Verbräuche[[#Headers],[2035]]=$B$14,IF(COUNTIF($G132:Klisz_Verbräuche[[#This Row],[2030]],"&gt;0")&gt;0, AVERAGEIF($G132:Klisz_Verbräuche[[#This Row],[2030]],"&lt;&gt;"), ""),IF($B$14&lt;Klisz_Verbräuche[[#Headers],[2035]],IF(COUNTIF($G132:Klisz_Verbräuche[[#This Row],[2030]],"&gt;0")&gt;0,IF(COUNTIF($G132:Klisz_Verbräuche[[#This Row],[2030]],"&gt;0")&gt;0,Klisz_Verbräuche[[#This Row],[2030]]*(1-$F132)^5, ""), ""),IF($B$14&gt;Klisz_Verbräuche[[#Headers],[2035]],Refsz_Verbräuche[[#This Row],[2035]],"")))</f>
        <v/>
      </c>
      <c r="X132" s="49" t="str">
        <f>IF(Klisz_Verbräuche[[#Headers],[2040]]=$B$14,IF(COUNTIF($G132:Klisz_Verbräuche[[#This Row],[2035]],"&gt;0")&gt;0, AVERAGEIF($G132:Klisz_Verbräuche[[#This Row],[2035]],"&lt;&gt;"), ""),IF($B$14&lt;Klisz_Verbräuche[[#Headers],[2040]],IF(COUNTIF($G132:Klisz_Verbräuche[[#This Row],[2035]],"&gt;0")&gt;0,IF(COUNTIF($G132:Klisz_Verbräuche[[#This Row],[2035]],"&gt;0")&gt;0,Klisz_Verbräuche[[#This Row],[2035]]*(1-$F132)^5, ""), ""),IF($B$14&gt;Klisz_Verbräuche[[#Headers],[2040]],Refsz_Verbräuche[[#This Row],[2040]],"")))</f>
        <v/>
      </c>
      <c r="Y132" s="49" t="str">
        <f>IF(Klisz_Verbräuche[[#Headers],[2045]]=$B$14,IF(COUNTIF($G132:Klisz_Verbräuche[[#This Row],[2040]],"&gt;0")&gt;0, AVERAGEIF($G132:Klisz_Verbräuche[[#This Row],[2040]],"&lt;&gt;"), ""),IF($B$14&lt;Klisz_Verbräuche[[#Headers],[2045]],IF(COUNTIF($G132:Klisz_Verbräuche[[#This Row],[2040]],"&gt;0")&gt;0,IF(COUNTIF($G132:Klisz_Verbräuche[[#This Row],[2040]],"&gt;0")&gt;0,Klisz_Verbräuche[[#This Row],[2040]]*(1-$F132)^5, ""), ""),IF($B$14&gt;Klisz_Verbräuche[[#Headers],[2045]],Refsz_Verbräuche[[#This Row],[2045]],"")))</f>
        <v/>
      </c>
      <c r="Z132" s="49" t="str">
        <f>IF(Klisz_Verbräuche[[#Headers],[2050]]=$B$14,IF(COUNTIF($G132:Klisz_Verbräuche[[#This Row],[2045]],"&gt;0")&gt;0, AVERAGEIF($G132:Klisz_Verbräuche[[#This Row],[2045]],"&lt;&gt;"), ""),IF($B$14&lt;Klisz_Verbräuche[[#Headers],[2050]],IF(COUNTIF($G132:Klisz_Verbräuche[[#This Row],[2045]],"&gt;0")&gt;0,IF(COUNTIF($G132:Klisz_Verbräuche[[#This Row],[2045]],"&gt;0")&gt;0,Klisz_Verbräuche[[#This Row],[2045]]*(1-$F132)^5, ""), ""),IF($B$14&gt;Klisz_Verbräuche[[#Headers],[2050]],Refsz_Verbräuche[[#This Row],[2050]],"")))</f>
        <v/>
      </c>
      <c r="AA132" s="14"/>
    </row>
    <row r="133" spans="2:27">
      <c r="B133" s="14">
        <v>116</v>
      </c>
      <c r="C133" s="197">
        <f>Refsz_Verbräuche[[#This Row],[Handlungsfeld]]</f>
        <v>0</v>
      </c>
      <c r="D133" s="19">
        <f>Refsz_Verbräuche[[#This Row],[Datenpunkt]]</f>
        <v>0</v>
      </c>
      <c r="E133" s="26">
        <f>Refsz_Verbräuche[[#This Row],[Einheit]]</f>
        <v>0</v>
      </c>
      <c r="F133" s="108"/>
      <c r="G133" s="14" t="str">
        <f>IF(ISBLANK(Refsz_Verbräuche[[#This Row],[2015]]),"",Refsz_Verbräuche[[#This Row],[2015]])</f>
        <v/>
      </c>
      <c r="H133" s="14" t="str">
        <f>IF(ISBLANK(Refsz_Verbräuche[[#This Row],[2016]]),"",Refsz_Verbräuche[[#This Row],[2016]])</f>
        <v/>
      </c>
      <c r="I133" s="14" t="str">
        <f>IF(ISBLANK(Refsz_Verbräuche[[#This Row],[2017]]),"",Refsz_Verbräuche[[#This Row],[2017]])</f>
        <v/>
      </c>
      <c r="J133" s="14" t="str">
        <f>IF(ISBLANK(Refsz_Verbräuche[[#This Row],[2018]]),"",Refsz_Verbräuche[[#This Row],[2018]])</f>
        <v/>
      </c>
      <c r="K133" s="14" t="str">
        <f>IF(ISBLANK(Refsz_Verbräuche[[#This Row],[2019]]),"",Refsz_Verbräuche[[#This Row],[2019]])</f>
        <v/>
      </c>
      <c r="L133" s="14" t="str">
        <f>IF(ISBLANK(Refsz_Verbräuche[[#This Row],[2020]]),"",Refsz_Verbräuche[[#This Row],[2020]])</f>
        <v/>
      </c>
      <c r="M133" s="14" t="str">
        <f>IF(ISBLANK(Refsz_Verbräuche[[#This Row],[2021]]),"",Refsz_Verbräuche[[#This Row],[2021]])</f>
        <v/>
      </c>
      <c r="N133" s="49" t="str">
        <f>IF(Klisz_Verbräuche[[#Headers],[2022]]=$B$14,IF(COUNTIF($G133:Klisz_Verbräuche[[#This Row],[2021]],"&gt;0")&gt;0, AVERAGEIF($G133:Klisz_Verbräuche[[#This Row],[2021]],"&lt;&gt;"), ""),IF($B$14&lt;Klisz_Verbräuche[[#Headers],[2022]],IF(COUNTIF($G133:Klisz_Verbräuche[[#This Row],[2021]],"&gt;0")&gt;0,IF(COUNTIF($G133:Klisz_Verbräuche[[#This Row],[2021]],"&gt;0")&gt;0,Klisz_Verbräuche[[#This Row],[2021]]*(1-$F133)^1, ""), ""),IF($B$14&gt;Klisz_Verbräuche[[#Headers],[2022]],Refsz_Verbräuche[[#This Row],[2022]],"")))</f>
        <v/>
      </c>
      <c r="O133" s="49" t="str">
        <f>IF(Klisz_Verbräuche[[#Headers],[2023]]=$B$14,IF(COUNTIF($G133:Klisz_Verbräuche[[#This Row],[2022]],"&gt;0")&gt;0, AVERAGEIF($G133:Klisz_Verbräuche[[#This Row],[2022]],"&lt;&gt;"), ""),IF($B$14&lt;Klisz_Verbräuche[[#Headers],[2023]],IF(COUNTIF($G133:Klisz_Verbräuche[[#This Row],[2022]],"&gt;0")&gt;0,IF(COUNTIF($G133:Klisz_Verbräuche[[#This Row],[2022]],"&gt;0")&gt;0,Klisz_Verbräuche[[#This Row],[2022]]*(1-$F133)^1, ""), ""),IF($B$14&gt;Klisz_Verbräuche[[#Headers],[2023]],Refsz_Verbräuche[[#This Row],[2023]],"")))</f>
        <v/>
      </c>
      <c r="P133" s="49" t="str">
        <f>IF(Klisz_Verbräuche[[#Headers],[2024]]=$B$14,IF(COUNTIF($G133:Klisz_Verbräuche[[#This Row],[2023]],"&gt;0")&gt;0, AVERAGEIF($G133:Klisz_Verbräuche[[#This Row],[2023]],"&lt;&gt;"), ""),IF($B$14&lt;Klisz_Verbräuche[[#Headers],[2024]],IF(COUNTIF($G133:Klisz_Verbräuche[[#This Row],[2023]],"&gt;0")&gt;0,IF(COUNTIF($G133:Klisz_Verbräuche[[#This Row],[2023]],"&gt;0")&gt;0,Klisz_Verbräuche[[#This Row],[2023]]*(1-$F133)^1, ""), ""),IF($B$14&gt;Klisz_Verbräuche[[#Headers],[2024]],Refsz_Verbräuche[[#This Row],[2024]],"")))</f>
        <v/>
      </c>
      <c r="Q133" s="49" t="str">
        <f>IF(Klisz_Verbräuche[[#Headers],[2025]]=$B$14,IF(COUNTIF($G133:Klisz_Verbräuche[[#This Row],[2024]],"&gt;0")&gt;0, AVERAGEIF($G133:Klisz_Verbräuche[[#This Row],[2024]],"&lt;&gt;"), ""),IF($B$14&lt;Klisz_Verbräuche[[#Headers],[2025]],IF(COUNTIF($G133:Klisz_Verbräuche[[#This Row],[2024]],"&gt;0")&gt;0,IF(COUNTIF($G133:Klisz_Verbräuche[[#This Row],[2024]],"&gt;0")&gt;0,Klisz_Verbräuche[[#This Row],[2024]]*(1-$F133)^1, ""), ""),IF($B$14&gt;Klisz_Verbräuche[[#Headers],[2025]],Refsz_Verbräuche[[#This Row],[2025]],"")))</f>
        <v/>
      </c>
      <c r="R133" s="49" t="str">
        <f>IF(Klisz_Verbräuche[[#Headers],[2026]]=$B$14,IF(COUNTIF($G133:Klisz_Verbräuche[[#This Row],[2025]],"&gt;0")&gt;0, AVERAGEIF($G133:Klisz_Verbräuche[[#This Row],[2025]],"&lt;&gt;"), ""),IF($B$14&lt;Klisz_Verbräuche[[#Headers],[2026]],IF(COUNTIF($G133:Klisz_Verbräuche[[#This Row],[2025]],"&gt;0")&gt;0,IF(COUNTIF($G133:Klisz_Verbräuche[[#This Row],[2025]],"&gt;0")&gt;0,Klisz_Verbräuche[[#This Row],[2025]]*(1-$F133)^1, ""), ""),IF($B$14&gt;Klisz_Verbräuche[[#Headers],[2026]],Refsz_Verbräuche[[#This Row],[2026]],"")))</f>
        <v/>
      </c>
      <c r="S133" s="49" t="str">
        <f>IF(Klisz_Verbräuche[[#Headers],[2027]]=$B$14,IF(COUNTIF($G133:Klisz_Verbräuche[[#This Row],[2026]],"&gt;0")&gt;0, AVERAGEIF($G133:Klisz_Verbräuche[[#This Row],[2026]],"&lt;&gt;"), ""),IF($B$14&lt;Klisz_Verbräuche[[#Headers],[2027]],IF(COUNTIF($G133:Klisz_Verbräuche[[#This Row],[2026]],"&gt;0")&gt;0,IF(COUNTIF($G133:Klisz_Verbräuche[[#This Row],[2026]],"&gt;0")&gt;0,Klisz_Verbräuche[[#This Row],[2026]]*(1-$F133)^1, ""), ""),IF($B$14&gt;Klisz_Verbräuche[[#Headers],[2027]],Refsz_Verbräuche[[#This Row],[2027]],"")))</f>
        <v/>
      </c>
      <c r="T133" s="49" t="str">
        <f>IF(Klisz_Verbräuche[[#Headers],[2028]]=$B$14,IF(COUNTIF($G133:Klisz_Verbräuche[[#This Row],[2027]],"&gt;0")&gt;0, AVERAGEIF($G133:Klisz_Verbräuche[[#This Row],[2027]],"&lt;&gt;"), ""),IF($B$14&lt;Klisz_Verbräuche[[#Headers],[2028]],IF(COUNTIF($G133:Klisz_Verbräuche[[#This Row],[2027]],"&gt;0")&gt;0,IF(COUNTIF($G133:Klisz_Verbräuche[[#This Row],[2027]],"&gt;0")&gt;0,Klisz_Verbräuche[[#This Row],[2027]]*(1-$F133)^1, ""), ""),IF($B$14&gt;Klisz_Verbräuche[[#Headers],[2028]],Refsz_Verbräuche[[#This Row],[2028]],"")))</f>
        <v/>
      </c>
      <c r="U133" s="49" t="str">
        <f>IF(Klisz_Verbräuche[[#Headers],[2029]]=$B$14,IF(COUNTIF($G133:Klisz_Verbräuche[[#This Row],[2028]],"&gt;0")&gt;0, AVERAGEIF($G133:Klisz_Verbräuche[[#This Row],[2028]],"&lt;&gt;"), ""),IF($B$14&lt;Klisz_Verbräuche[[#Headers],[2029]],IF(COUNTIF($G133:Klisz_Verbräuche[[#This Row],[2028]],"&gt;0")&gt;0,IF(COUNTIF($G133:Klisz_Verbräuche[[#This Row],[2028]],"&gt;0")&gt;0,Klisz_Verbräuche[[#This Row],[2028]]*(1-$F133)^1, ""), ""),IF($B$14&gt;Klisz_Verbräuche[[#Headers],[2029]],Refsz_Verbräuche[[#This Row],[2029]],"")))</f>
        <v/>
      </c>
      <c r="V133" s="49" t="str">
        <f>IF(Klisz_Verbräuche[[#Headers],[2030]]=$B$14,IF(COUNTIF($G133:Klisz_Verbräuche[[#This Row],[2029]],"&gt;0")&gt;0, AVERAGEIF($G133:Klisz_Verbräuche[[#This Row],[2029]],"&lt;&gt;"), ""),IF($B$14&lt;Klisz_Verbräuche[[#Headers],[2030]],IF(COUNTIF($G133:Klisz_Verbräuche[[#This Row],[2029]],"&gt;0")&gt;0,IF(COUNTIF($G133:Klisz_Verbräuche[[#This Row],[2029]],"&gt;0")&gt;0,Klisz_Verbräuche[[#This Row],[2029]]*(1-$F133)^1, ""), ""),IF($B$14&gt;Klisz_Verbräuche[[#Headers],[2030]],Refsz_Verbräuche[[#This Row],[2030]],"")))</f>
        <v/>
      </c>
      <c r="W133" s="49" t="str">
        <f>IF(Klisz_Verbräuche[[#Headers],[2035]]=$B$14,IF(COUNTIF($G133:Klisz_Verbräuche[[#This Row],[2030]],"&gt;0")&gt;0, AVERAGEIF($G133:Klisz_Verbräuche[[#This Row],[2030]],"&lt;&gt;"), ""),IF($B$14&lt;Klisz_Verbräuche[[#Headers],[2035]],IF(COUNTIF($G133:Klisz_Verbräuche[[#This Row],[2030]],"&gt;0")&gt;0,IF(COUNTIF($G133:Klisz_Verbräuche[[#This Row],[2030]],"&gt;0")&gt;0,Klisz_Verbräuche[[#This Row],[2030]]*(1-$F133)^5, ""), ""),IF($B$14&gt;Klisz_Verbräuche[[#Headers],[2035]],Refsz_Verbräuche[[#This Row],[2035]],"")))</f>
        <v/>
      </c>
      <c r="X133" s="49" t="str">
        <f>IF(Klisz_Verbräuche[[#Headers],[2040]]=$B$14,IF(COUNTIF($G133:Klisz_Verbräuche[[#This Row],[2035]],"&gt;0")&gt;0, AVERAGEIF($G133:Klisz_Verbräuche[[#This Row],[2035]],"&lt;&gt;"), ""),IF($B$14&lt;Klisz_Verbräuche[[#Headers],[2040]],IF(COUNTIF($G133:Klisz_Verbräuche[[#This Row],[2035]],"&gt;0")&gt;0,IF(COUNTIF($G133:Klisz_Verbräuche[[#This Row],[2035]],"&gt;0")&gt;0,Klisz_Verbräuche[[#This Row],[2035]]*(1-$F133)^5, ""), ""),IF($B$14&gt;Klisz_Verbräuche[[#Headers],[2040]],Refsz_Verbräuche[[#This Row],[2040]],"")))</f>
        <v/>
      </c>
      <c r="Y133" s="49" t="str">
        <f>IF(Klisz_Verbräuche[[#Headers],[2045]]=$B$14,IF(COUNTIF($G133:Klisz_Verbräuche[[#This Row],[2040]],"&gt;0")&gt;0, AVERAGEIF($G133:Klisz_Verbräuche[[#This Row],[2040]],"&lt;&gt;"), ""),IF($B$14&lt;Klisz_Verbräuche[[#Headers],[2045]],IF(COUNTIF($G133:Klisz_Verbräuche[[#This Row],[2040]],"&gt;0")&gt;0,IF(COUNTIF($G133:Klisz_Verbräuche[[#This Row],[2040]],"&gt;0")&gt;0,Klisz_Verbräuche[[#This Row],[2040]]*(1-$F133)^5, ""), ""),IF($B$14&gt;Klisz_Verbräuche[[#Headers],[2045]],Refsz_Verbräuche[[#This Row],[2045]],"")))</f>
        <v/>
      </c>
      <c r="Z133" s="49" t="str">
        <f>IF(Klisz_Verbräuche[[#Headers],[2050]]=$B$14,IF(COUNTIF($G133:Klisz_Verbräuche[[#This Row],[2045]],"&gt;0")&gt;0, AVERAGEIF($G133:Klisz_Verbräuche[[#This Row],[2045]],"&lt;&gt;"), ""),IF($B$14&lt;Klisz_Verbräuche[[#Headers],[2050]],IF(COUNTIF($G133:Klisz_Verbräuche[[#This Row],[2045]],"&gt;0")&gt;0,IF(COUNTIF($G133:Klisz_Verbräuche[[#This Row],[2045]],"&gt;0")&gt;0,Klisz_Verbräuche[[#This Row],[2045]]*(1-$F133)^5, ""), ""),IF($B$14&gt;Klisz_Verbräuche[[#Headers],[2050]],Refsz_Verbräuche[[#This Row],[2050]],"")))</f>
        <v/>
      </c>
      <c r="AA133" s="14"/>
    </row>
    <row r="134" spans="2:27">
      <c r="B134" s="14">
        <v>117</v>
      </c>
      <c r="C134" s="197" t="str">
        <f>Refsz_Verbräuche[[#This Row],[Handlungsfeld]]</f>
        <v>Baugüter</v>
      </c>
      <c r="D134" s="19" t="str">
        <f>Refsz_Verbräuche[[#This Row],[Datenpunkt]]</f>
        <v>Branntkalk</v>
      </c>
      <c r="E134" s="26" t="str">
        <f>Refsz_Verbräuche[[#This Row],[Einheit]]</f>
        <v>kg</v>
      </c>
      <c r="F134" s="108"/>
      <c r="G134" s="14" t="str">
        <f>IF(ISBLANK(Refsz_Verbräuche[[#This Row],[2015]]),"",Refsz_Verbräuche[[#This Row],[2015]])</f>
        <v/>
      </c>
      <c r="H134" s="14" t="str">
        <f>IF(ISBLANK(Refsz_Verbräuche[[#This Row],[2016]]),"",Refsz_Verbräuche[[#This Row],[2016]])</f>
        <v/>
      </c>
      <c r="I134" s="14" t="str">
        <f>IF(ISBLANK(Refsz_Verbräuche[[#This Row],[2017]]),"",Refsz_Verbräuche[[#This Row],[2017]])</f>
        <v/>
      </c>
      <c r="J134" s="14" t="str">
        <f>IF(ISBLANK(Refsz_Verbräuche[[#This Row],[2018]]),"",Refsz_Verbräuche[[#This Row],[2018]])</f>
        <v/>
      </c>
      <c r="K134" s="14" t="str">
        <f>IF(ISBLANK(Refsz_Verbräuche[[#This Row],[2019]]),"",Refsz_Verbräuche[[#This Row],[2019]])</f>
        <v/>
      </c>
      <c r="L134" s="14" t="str">
        <f>IF(ISBLANK(Refsz_Verbräuche[[#This Row],[2020]]),"",Refsz_Verbräuche[[#This Row],[2020]])</f>
        <v/>
      </c>
      <c r="M134" s="14" t="str">
        <f>IF(ISBLANK(Refsz_Verbräuche[[#This Row],[2021]]),"",Refsz_Verbräuche[[#This Row],[2021]])</f>
        <v/>
      </c>
      <c r="N134" s="49" t="str">
        <f>IF(Klisz_Verbräuche[[#Headers],[2022]]=$B$14,IF(COUNTIF($G134:Klisz_Verbräuche[[#This Row],[2021]],"&gt;0")&gt;0, AVERAGEIF($G134:Klisz_Verbräuche[[#This Row],[2021]],"&lt;&gt;"), ""),IF($B$14&lt;Klisz_Verbräuche[[#Headers],[2022]],IF(COUNTIF($G134:Klisz_Verbräuche[[#This Row],[2021]],"&gt;0")&gt;0,IF(COUNTIF($G134:Klisz_Verbräuche[[#This Row],[2021]],"&gt;0")&gt;0,Klisz_Verbräuche[[#This Row],[2021]]*(1-$F134)^1, ""), ""),IF($B$14&gt;Klisz_Verbräuche[[#Headers],[2022]],Refsz_Verbräuche[[#This Row],[2022]],"")))</f>
        <v/>
      </c>
      <c r="O134" s="49" t="str">
        <f>IF(Klisz_Verbräuche[[#Headers],[2023]]=$B$14,IF(COUNTIF($G134:Klisz_Verbräuche[[#This Row],[2022]],"&gt;0")&gt;0, AVERAGEIF($G134:Klisz_Verbräuche[[#This Row],[2022]],"&lt;&gt;"), ""),IF($B$14&lt;Klisz_Verbräuche[[#Headers],[2023]],IF(COUNTIF($G134:Klisz_Verbräuche[[#This Row],[2022]],"&gt;0")&gt;0,IF(COUNTIF($G134:Klisz_Verbräuche[[#This Row],[2022]],"&gt;0")&gt;0,Klisz_Verbräuche[[#This Row],[2022]]*(1-$F134)^1, ""), ""),IF($B$14&gt;Klisz_Verbräuche[[#Headers],[2023]],Refsz_Verbräuche[[#This Row],[2023]],"")))</f>
        <v/>
      </c>
      <c r="P134" s="49" t="str">
        <f>IF(Klisz_Verbräuche[[#Headers],[2024]]=$B$14,IF(COUNTIF($G134:Klisz_Verbräuche[[#This Row],[2023]],"&gt;0")&gt;0, AVERAGEIF($G134:Klisz_Verbräuche[[#This Row],[2023]],"&lt;&gt;"), ""),IF($B$14&lt;Klisz_Verbräuche[[#Headers],[2024]],IF(COUNTIF($G134:Klisz_Verbräuche[[#This Row],[2023]],"&gt;0")&gt;0,IF(COUNTIF($G134:Klisz_Verbräuche[[#This Row],[2023]],"&gt;0")&gt;0,Klisz_Verbräuche[[#This Row],[2023]]*(1-$F134)^1, ""), ""),IF($B$14&gt;Klisz_Verbräuche[[#Headers],[2024]],Refsz_Verbräuche[[#This Row],[2024]],"")))</f>
        <v/>
      </c>
      <c r="Q134" s="49" t="str">
        <f>IF(Klisz_Verbräuche[[#Headers],[2025]]=$B$14,IF(COUNTIF($G134:Klisz_Verbräuche[[#This Row],[2024]],"&gt;0")&gt;0, AVERAGEIF($G134:Klisz_Verbräuche[[#This Row],[2024]],"&lt;&gt;"), ""),IF($B$14&lt;Klisz_Verbräuche[[#Headers],[2025]],IF(COUNTIF($G134:Klisz_Verbräuche[[#This Row],[2024]],"&gt;0")&gt;0,IF(COUNTIF($G134:Klisz_Verbräuche[[#This Row],[2024]],"&gt;0")&gt;0,Klisz_Verbräuche[[#This Row],[2024]]*(1-$F134)^1, ""), ""),IF($B$14&gt;Klisz_Verbräuche[[#Headers],[2025]],Refsz_Verbräuche[[#This Row],[2025]],"")))</f>
        <v/>
      </c>
      <c r="R134" s="49" t="str">
        <f>IF(Klisz_Verbräuche[[#Headers],[2026]]=$B$14,IF(COUNTIF($G134:Klisz_Verbräuche[[#This Row],[2025]],"&gt;0")&gt;0, AVERAGEIF($G134:Klisz_Verbräuche[[#This Row],[2025]],"&lt;&gt;"), ""),IF($B$14&lt;Klisz_Verbräuche[[#Headers],[2026]],IF(COUNTIF($G134:Klisz_Verbräuche[[#This Row],[2025]],"&gt;0")&gt;0,IF(COUNTIF($G134:Klisz_Verbräuche[[#This Row],[2025]],"&gt;0")&gt;0,Klisz_Verbräuche[[#This Row],[2025]]*(1-$F134)^1, ""), ""),IF($B$14&gt;Klisz_Verbräuche[[#Headers],[2026]],Refsz_Verbräuche[[#This Row],[2026]],"")))</f>
        <v/>
      </c>
      <c r="S134" s="49" t="str">
        <f>IF(Klisz_Verbräuche[[#Headers],[2027]]=$B$14,IF(COUNTIF($G134:Klisz_Verbräuche[[#This Row],[2026]],"&gt;0")&gt;0, AVERAGEIF($G134:Klisz_Verbräuche[[#This Row],[2026]],"&lt;&gt;"), ""),IF($B$14&lt;Klisz_Verbräuche[[#Headers],[2027]],IF(COUNTIF($G134:Klisz_Verbräuche[[#This Row],[2026]],"&gt;0")&gt;0,IF(COUNTIF($G134:Klisz_Verbräuche[[#This Row],[2026]],"&gt;0")&gt;0,Klisz_Verbräuche[[#This Row],[2026]]*(1-$F134)^1, ""), ""),IF($B$14&gt;Klisz_Verbräuche[[#Headers],[2027]],Refsz_Verbräuche[[#This Row],[2027]],"")))</f>
        <v/>
      </c>
      <c r="T134" s="49" t="str">
        <f>IF(Klisz_Verbräuche[[#Headers],[2028]]=$B$14,IF(COUNTIF($G134:Klisz_Verbräuche[[#This Row],[2027]],"&gt;0")&gt;0, AVERAGEIF($G134:Klisz_Verbräuche[[#This Row],[2027]],"&lt;&gt;"), ""),IF($B$14&lt;Klisz_Verbräuche[[#Headers],[2028]],IF(COUNTIF($G134:Klisz_Verbräuche[[#This Row],[2027]],"&gt;0")&gt;0,IF(COUNTIF($G134:Klisz_Verbräuche[[#This Row],[2027]],"&gt;0")&gt;0,Klisz_Verbräuche[[#This Row],[2027]]*(1-$F134)^1, ""), ""),IF($B$14&gt;Klisz_Verbräuche[[#Headers],[2028]],Refsz_Verbräuche[[#This Row],[2028]],"")))</f>
        <v/>
      </c>
      <c r="U134" s="49" t="str">
        <f>IF(Klisz_Verbräuche[[#Headers],[2029]]=$B$14,IF(COUNTIF($G134:Klisz_Verbräuche[[#This Row],[2028]],"&gt;0")&gt;0, AVERAGEIF($G134:Klisz_Verbräuche[[#This Row],[2028]],"&lt;&gt;"), ""),IF($B$14&lt;Klisz_Verbräuche[[#Headers],[2029]],IF(COUNTIF($G134:Klisz_Verbräuche[[#This Row],[2028]],"&gt;0")&gt;0,IF(COUNTIF($G134:Klisz_Verbräuche[[#This Row],[2028]],"&gt;0")&gt;0,Klisz_Verbräuche[[#This Row],[2028]]*(1-$F134)^1, ""), ""),IF($B$14&gt;Klisz_Verbräuche[[#Headers],[2029]],Refsz_Verbräuche[[#This Row],[2029]],"")))</f>
        <v/>
      </c>
      <c r="V134" s="49" t="str">
        <f>IF(Klisz_Verbräuche[[#Headers],[2030]]=$B$14,IF(COUNTIF($G134:Klisz_Verbräuche[[#This Row],[2029]],"&gt;0")&gt;0, AVERAGEIF($G134:Klisz_Verbräuche[[#This Row],[2029]],"&lt;&gt;"), ""),IF($B$14&lt;Klisz_Verbräuche[[#Headers],[2030]],IF(COUNTIF($G134:Klisz_Verbräuche[[#This Row],[2029]],"&gt;0")&gt;0,IF(COUNTIF($G134:Klisz_Verbräuche[[#This Row],[2029]],"&gt;0")&gt;0,Klisz_Verbräuche[[#This Row],[2029]]*(1-$F134)^1, ""), ""),IF($B$14&gt;Klisz_Verbräuche[[#Headers],[2030]],Refsz_Verbräuche[[#This Row],[2030]],"")))</f>
        <v/>
      </c>
      <c r="W134" s="49" t="str">
        <f>IF(Klisz_Verbräuche[[#Headers],[2035]]=$B$14,IF(COUNTIF($G134:Klisz_Verbräuche[[#This Row],[2030]],"&gt;0")&gt;0, AVERAGEIF($G134:Klisz_Verbräuche[[#This Row],[2030]],"&lt;&gt;"), ""),IF($B$14&lt;Klisz_Verbräuche[[#Headers],[2035]],IF(COUNTIF($G134:Klisz_Verbräuche[[#This Row],[2030]],"&gt;0")&gt;0,IF(COUNTIF($G134:Klisz_Verbräuche[[#This Row],[2030]],"&gt;0")&gt;0,Klisz_Verbräuche[[#This Row],[2030]]*(1-$F134)^5, ""), ""),IF($B$14&gt;Klisz_Verbräuche[[#Headers],[2035]],Refsz_Verbräuche[[#This Row],[2035]],"")))</f>
        <v/>
      </c>
      <c r="X134" s="49" t="str">
        <f>IF(Klisz_Verbräuche[[#Headers],[2040]]=$B$14,IF(COUNTIF($G134:Klisz_Verbräuche[[#This Row],[2035]],"&gt;0")&gt;0, AVERAGEIF($G134:Klisz_Verbräuche[[#This Row],[2035]],"&lt;&gt;"), ""),IF($B$14&lt;Klisz_Verbräuche[[#Headers],[2040]],IF(COUNTIF($G134:Klisz_Verbräuche[[#This Row],[2035]],"&gt;0")&gt;0,IF(COUNTIF($G134:Klisz_Verbräuche[[#This Row],[2035]],"&gt;0")&gt;0,Klisz_Verbräuche[[#This Row],[2035]]*(1-$F134)^5, ""), ""),IF($B$14&gt;Klisz_Verbräuche[[#Headers],[2040]],Refsz_Verbräuche[[#This Row],[2040]],"")))</f>
        <v/>
      </c>
      <c r="Y134" s="49" t="str">
        <f>IF(Klisz_Verbräuche[[#Headers],[2045]]=$B$14,IF(COUNTIF($G134:Klisz_Verbräuche[[#This Row],[2040]],"&gt;0")&gt;0, AVERAGEIF($G134:Klisz_Verbräuche[[#This Row],[2040]],"&lt;&gt;"), ""),IF($B$14&lt;Klisz_Verbräuche[[#Headers],[2045]],IF(COUNTIF($G134:Klisz_Verbräuche[[#This Row],[2040]],"&gt;0")&gt;0,IF(COUNTIF($G134:Klisz_Verbräuche[[#This Row],[2040]],"&gt;0")&gt;0,Klisz_Verbräuche[[#This Row],[2040]]*(1-$F134)^5, ""), ""),IF($B$14&gt;Klisz_Verbräuche[[#Headers],[2045]],Refsz_Verbräuche[[#This Row],[2045]],"")))</f>
        <v/>
      </c>
      <c r="Z134" s="49" t="str">
        <f>IF(Klisz_Verbräuche[[#Headers],[2050]]=$B$14,IF(COUNTIF($G134:Klisz_Verbräuche[[#This Row],[2045]],"&gt;0")&gt;0, AVERAGEIF($G134:Klisz_Verbräuche[[#This Row],[2045]],"&lt;&gt;"), ""),IF($B$14&lt;Klisz_Verbräuche[[#Headers],[2050]],IF(COUNTIF($G134:Klisz_Verbräuche[[#This Row],[2045]],"&gt;0")&gt;0,IF(COUNTIF($G134:Klisz_Verbräuche[[#This Row],[2045]],"&gt;0")&gt;0,Klisz_Verbräuche[[#This Row],[2045]]*(1-$F134)^5, ""), ""),IF($B$14&gt;Klisz_Verbräuche[[#Headers],[2050]],Refsz_Verbräuche[[#This Row],[2050]],"")))</f>
        <v/>
      </c>
      <c r="AA134" s="14"/>
    </row>
    <row r="135" spans="2:27">
      <c r="B135" s="14">
        <v>118</v>
      </c>
      <c r="C135" s="197" t="str">
        <f>Refsz_Verbräuche[[#This Row],[Handlungsfeld]]</f>
        <v>Baugüter</v>
      </c>
      <c r="D135" s="19" t="str">
        <f>Refsz_Verbräuche[[#This Row],[Datenpunkt]]</f>
        <v>Gips</v>
      </c>
      <c r="E135" s="26" t="str">
        <f>Refsz_Verbräuche[[#This Row],[Einheit]]</f>
        <v>kg</v>
      </c>
      <c r="F135" s="108"/>
      <c r="G135" s="14" t="str">
        <f>IF(ISBLANK(Refsz_Verbräuche[[#This Row],[2015]]),"",Refsz_Verbräuche[[#This Row],[2015]])</f>
        <v/>
      </c>
      <c r="H135" s="14" t="str">
        <f>IF(ISBLANK(Refsz_Verbräuche[[#This Row],[2016]]),"",Refsz_Verbräuche[[#This Row],[2016]])</f>
        <v/>
      </c>
      <c r="I135" s="14" t="str">
        <f>IF(ISBLANK(Refsz_Verbräuche[[#This Row],[2017]]),"",Refsz_Verbräuche[[#This Row],[2017]])</f>
        <v/>
      </c>
      <c r="J135" s="14" t="str">
        <f>IF(ISBLANK(Refsz_Verbräuche[[#This Row],[2018]]),"",Refsz_Verbräuche[[#This Row],[2018]])</f>
        <v/>
      </c>
      <c r="K135" s="14" t="str">
        <f>IF(ISBLANK(Refsz_Verbräuche[[#This Row],[2019]]),"",Refsz_Verbräuche[[#This Row],[2019]])</f>
        <v/>
      </c>
      <c r="L135" s="14" t="str">
        <f>IF(ISBLANK(Refsz_Verbräuche[[#This Row],[2020]]),"",Refsz_Verbräuche[[#This Row],[2020]])</f>
        <v/>
      </c>
      <c r="M135" s="14" t="str">
        <f>IF(ISBLANK(Refsz_Verbräuche[[#This Row],[2021]]),"",Refsz_Verbräuche[[#This Row],[2021]])</f>
        <v/>
      </c>
      <c r="N135" s="49" t="str">
        <f>IF(Klisz_Verbräuche[[#Headers],[2022]]=$B$14,IF(COUNTIF($G135:Klisz_Verbräuche[[#This Row],[2021]],"&gt;0")&gt;0, AVERAGEIF($G135:Klisz_Verbräuche[[#This Row],[2021]],"&lt;&gt;"), ""),IF($B$14&lt;Klisz_Verbräuche[[#Headers],[2022]],IF(COUNTIF($G135:Klisz_Verbräuche[[#This Row],[2021]],"&gt;0")&gt;0,IF(COUNTIF($G135:Klisz_Verbräuche[[#This Row],[2021]],"&gt;0")&gt;0,Klisz_Verbräuche[[#This Row],[2021]]*(1-$F135)^1, ""), ""),IF($B$14&gt;Klisz_Verbräuche[[#Headers],[2022]],Refsz_Verbräuche[[#This Row],[2022]],"")))</f>
        <v/>
      </c>
      <c r="O135" s="49" t="str">
        <f>IF(Klisz_Verbräuche[[#Headers],[2023]]=$B$14,IF(COUNTIF($G135:Klisz_Verbräuche[[#This Row],[2022]],"&gt;0")&gt;0, AVERAGEIF($G135:Klisz_Verbräuche[[#This Row],[2022]],"&lt;&gt;"), ""),IF($B$14&lt;Klisz_Verbräuche[[#Headers],[2023]],IF(COUNTIF($G135:Klisz_Verbräuche[[#This Row],[2022]],"&gt;0")&gt;0,IF(COUNTIF($G135:Klisz_Verbräuche[[#This Row],[2022]],"&gt;0")&gt;0,Klisz_Verbräuche[[#This Row],[2022]]*(1-$F135)^1, ""), ""),IF($B$14&gt;Klisz_Verbräuche[[#Headers],[2023]],Refsz_Verbräuche[[#This Row],[2023]],"")))</f>
        <v/>
      </c>
      <c r="P135" s="49" t="str">
        <f>IF(Klisz_Verbräuche[[#Headers],[2024]]=$B$14,IF(COUNTIF($G135:Klisz_Verbräuche[[#This Row],[2023]],"&gt;0")&gt;0, AVERAGEIF($G135:Klisz_Verbräuche[[#This Row],[2023]],"&lt;&gt;"), ""),IF($B$14&lt;Klisz_Verbräuche[[#Headers],[2024]],IF(COUNTIF($G135:Klisz_Verbräuche[[#This Row],[2023]],"&gt;0")&gt;0,IF(COUNTIF($G135:Klisz_Verbräuche[[#This Row],[2023]],"&gt;0")&gt;0,Klisz_Verbräuche[[#This Row],[2023]]*(1-$F135)^1, ""), ""),IF($B$14&gt;Klisz_Verbräuche[[#Headers],[2024]],Refsz_Verbräuche[[#This Row],[2024]],"")))</f>
        <v/>
      </c>
      <c r="Q135" s="49" t="str">
        <f>IF(Klisz_Verbräuche[[#Headers],[2025]]=$B$14,IF(COUNTIF($G135:Klisz_Verbräuche[[#This Row],[2024]],"&gt;0")&gt;0, AVERAGEIF($G135:Klisz_Verbräuche[[#This Row],[2024]],"&lt;&gt;"), ""),IF($B$14&lt;Klisz_Verbräuche[[#Headers],[2025]],IF(COUNTIF($G135:Klisz_Verbräuche[[#This Row],[2024]],"&gt;0")&gt;0,IF(COUNTIF($G135:Klisz_Verbräuche[[#This Row],[2024]],"&gt;0")&gt;0,Klisz_Verbräuche[[#This Row],[2024]]*(1-$F135)^1, ""), ""),IF($B$14&gt;Klisz_Verbräuche[[#Headers],[2025]],Refsz_Verbräuche[[#This Row],[2025]],"")))</f>
        <v/>
      </c>
      <c r="R135" s="49" t="str">
        <f>IF(Klisz_Verbräuche[[#Headers],[2026]]=$B$14,IF(COUNTIF($G135:Klisz_Verbräuche[[#This Row],[2025]],"&gt;0")&gt;0, AVERAGEIF($G135:Klisz_Verbräuche[[#This Row],[2025]],"&lt;&gt;"), ""),IF($B$14&lt;Klisz_Verbräuche[[#Headers],[2026]],IF(COUNTIF($G135:Klisz_Verbräuche[[#This Row],[2025]],"&gt;0")&gt;0,IF(COUNTIF($G135:Klisz_Verbräuche[[#This Row],[2025]],"&gt;0")&gt;0,Klisz_Verbräuche[[#This Row],[2025]]*(1-$F135)^1, ""), ""),IF($B$14&gt;Klisz_Verbräuche[[#Headers],[2026]],Refsz_Verbräuche[[#This Row],[2026]],"")))</f>
        <v/>
      </c>
      <c r="S135" s="49" t="str">
        <f>IF(Klisz_Verbräuche[[#Headers],[2027]]=$B$14,IF(COUNTIF($G135:Klisz_Verbräuche[[#This Row],[2026]],"&gt;0")&gt;0, AVERAGEIF($G135:Klisz_Verbräuche[[#This Row],[2026]],"&lt;&gt;"), ""),IF($B$14&lt;Klisz_Verbräuche[[#Headers],[2027]],IF(COUNTIF($G135:Klisz_Verbräuche[[#This Row],[2026]],"&gt;0")&gt;0,IF(COUNTIF($G135:Klisz_Verbräuche[[#This Row],[2026]],"&gt;0")&gt;0,Klisz_Verbräuche[[#This Row],[2026]]*(1-$F135)^1, ""), ""),IF($B$14&gt;Klisz_Verbräuche[[#Headers],[2027]],Refsz_Verbräuche[[#This Row],[2027]],"")))</f>
        <v/>
      </c>
      <c r="T135" s="49" t="str">
        <f>IF(Klisz_Verbräuche[[#Headers],[2028]]=$B$14,IF(COUNTIF($G135:Klisz_Verbräuche[[#This Row],[2027]],"&gt;0")&gt;0, AVERAGEIF($G135:Klisz_Verbräuche[[#This Row],[2027]],"&lt;&gt;"), ""),IF($B$14&lt;Klisz_Verbräuche[[#Headers],[2028]],IF(COUNTIF($G135:Klisz_Verbräuche[[#This Row],[2027]],"&gt;0")&gt;0,IF(COUNTIF($G135:Klisz_Verbräuche[[#This Row],[2027]],"&gt;0")&gt;0,Klisz_Verbräuche[[#This Row],[2027]]*(1-$F135)^1, ""), ""),IF($B$14&gt;Klisz_Verbräuche[[#Headers],[2028]],Refsz_Verbräuche[[#This Row],[2028]],"")))</f>
        <v/>
      </c>
      <c r="U135" s="49" t="str">
        <f>IF(Klisz_Verbräuche[[#Headers],[2029]]=$B$14,IF(COUNTIF($G135:Klisz_Verbräuche[[#This Row],[2028]],"&gt;0")&gt;0, AVERAGEIF($G135:Klisz_Verbräuche[[#This Row],[2028]],"&lt;&gt;"), ""),IF($B$14&lt;Klisz_Verbräuche[[#Headers],[2029]],IF(COUNTIF($G135:Klisz_Verbräuche[[#This Row],[2028]],"&gt;0")&gt;0,IF(COUNTIF($G135:Klisz_Verbräuche[[#This Row],[2028]],"&gt;0")&gt;0,Klisz_Verbräuche[[#This Row],[2028]]*(1-$F135)^1, ""), ""),IF($B$14&gt;Klisz_Verbräuche[[#Headers],[2029]],Refsz_Verbräuche[[#This Row],[2029]],"")))</f>
        <v/>
      </c>
      <c r="V135" s="49" t="str">
        <f>IF(Klisz_Verbräuche[[#Headers],[2030]]=$B$14,IF(COUNTIF($G135:Klisz_Verbräuche[[#This Row],[2029]],"&gt;0")&gt;0, AVERAGEIF($G135:Klisz_Verbräuche[[#This Row],[2029]],"&lt;&gt;"), ""),IF($B$14&lt;Klisz_Verbräuche[[#Headers],[2030]],IF(COUNTIF($G135:Klisz_Verbräuche[[#This Row],[2029]],"&gt;0")&gt;0,IF(COUNTIF($G135:Klisz_Verbräuche[[#This Row],[2029]],"&gt;0")&gt;0,Klisz_Verbräuche[[#This Row],[2029]]*(1-$F135)^1, ""), ""),IF($B$14&gt;Klisz_Verbräuche[[#Headers],[2030]],Refsz_Verbräuche[[#This Row],[2030]],"")))</f>
        <v/>
      </c>
      <c r="W135" s="49" t="str">
        <f>IF(Klisz_Verbräuche[[#Headers],[2035]]=$B$14,IF(COUNTIF($G135:Klisz_Verbräuche[[#This Row],[2030]],"&gt;0")&gt;0, AVERAGEIF($G135:Klisz_Verbräuche[[#This Row],[2030]],"&lt;&gt;"), ""),IF($B$14&lt;Klisz_Verbräuche[[#Headers],[2035]],IF(COUNTIF($G135:Klisz_Verbräuche[[#This Row],[2030]],"&gt;0")&gt;0,IF(COUNTIF($G135:Klisz_Verbräuche[[#This Row],[2030]],"&gt;0")&gt;0,Klisz_Verbräuche[[#This Row],[2030]]*(1-$F135)^5, ""), ""),IF($B$14&gt;Klisz_Verbräuche[[#Headers],[2035]],Refsz_Verbräuche[[#This Row],[2035]],"")))</f>
        <v/>
      </c>
      <c r="X135" s="49" t="str">
        <f>IF(Klisz_Verbräuche[[#Headers],[2040]]=$B$14,IF(COUNTIF($G135:Klisz_Verbräuche[[#This Row],[2035]],"&gt;0")&gt;0, AVERAGEIF($G135:Klisz_Verbräuche[[#This Row],[2035]],"&lt;&gt;"), ""),IF($B$14&lt;Klisz_Verbräuche[[#Headers],[2040]],IF(COUNTIF($G135:Klisz_Verbräuche[[#This Row],[2035]],"&gt;0")&gt;0,IF(COUNTIF($G135:Klisz_Verbräuche[[#This Row],[2035]],"&gt;0")&gt;0,Klisz_Verbräuche[[#This Row],[2035]]*(1-$F135)^5, ""), ""),IF($B$14&gt;Klisz_Verbräuche[[#Headers],[2040]],Refsz_Verbräuche[[#This Row],[2040]],"")))</f>
        <v/>
      </c>
      <c r="Y135" s="49" t="str">
        <f>IF(Klisz_Verbräuche[[#Headers],[2045]]=$B$14,IF(COUNTIF($G135:Klisz_Verbräuche[[#This Row],[2040]],"&gt;0")&gt;0, AVERAGEIF($G135:Klisz_Verbräuche[[#This Row],[2040]],"&lt;&gt;"), ""),IF($B$14&lt;Klisz_Verbräuche[[#Headers],[2045]],IF(COUNTIF($G135:Klisz_Verbräuche[[#This Row],[2040]],"&gt;0")&gt;0,IF(COUNTIF($G135:Klisz_Verbräuche[[#This Row],[2040]],"&gt;0")&gt;0,Klisz_Verbräuche[[#This Row],[2040]]*(1-$F135)^5, ""), ""),IF($B$14&gt;Klisz_Verbräuche[[#Headers],[2045]],Refsz_Verbräuche[[#This Row],[2045]],"")))</f>
        <v/>
      </c>
      <c r="Z135" s="49" t="str">
        <f>IF(Klisz_Verbräuche[[#Headers],[2050]]=$B$14,IF(COUNTIF($G135:Klisz_Verbräuche[[#This Row],[2045]],"&gt;0")&gt;0, AVERAGEIF($G135:Klisz_Verbräuche[[#This Row],[2045]],"&lt;&gt;"), ""),IF($B$14&lt;Klisz_Verbräuche[[#Headers],[2050]],IF(COUNTIF($G135:Klisz_Verbräuche[[#This Row],[2045]],"&gt;0")&gt;0,IF(COUNTIF($G135:Klisz_Verbräuche[[#This Row],[2045]],"&gt;0")&gt;0,Klisz_Verbräuche[[#This Row],[2045]]*(1-$F135)^5, ""), ""),IF($B$14&gt;Klisz_Verbräuche[[#Headers],[2050]],Refsz_Verbräuche[[#This Row],[2050]],"")))</f>
        <v/>
      </c>
      <c r="AA135" s="14"/>
    </row>
    <row r="136" spans="2:27">
      <c r="B136" s="14">
        <v>119</v>
      </c>
      <c r="C136" s="197" t="str">
        <f>Refsz_Verbräuche[[#This Row],[Handlungsfeld]]</f>
        <v>Baugüter</v>
      </c>
      <c r="D136" s="19" t="str">
        <f>Refsz_Verbräuche[[#This Row],[Datenpunkt]]</f>
        <v>Gipsplatte</v>
      </c>
      <c r="E136" s="26" t="str">
        <f>Refsz_Verbräuche[[#This Row],[Einheit]]</f>
        <v>kg</v>
      </c>
      <c r="F136" s="108"/>
      <c r="G136" s="14" t="str">
        <f>IF(ISBLANK(Refsz_Verbräuche[[#This Row],[2015]]),"",Refsz_Verbräuche[[#This Row],[2015]])</f>
        <v/>
      </c>
      <c r="H136" s="14" t="str">
        <f>IF(ISBLANK(Refsz_Verbräuche[[#This Row],[2016]]),"",Refsz_Verbräuche[[#This Row],[2016]])</f>
        <v/>
      </c>
      <c r="I136" s="14" t="str">
        <f>IF(ISBLANK(Refsz_Verbräuche[[#This Row],[2017]]),"",Refsz_Verbräuche[[#This Row],[2017]])</f>
        <v/>
      </c>
      <c r="J136" s="14" t="str">
        <f>IF(ISBLANK(Refsz_Verbräuche[[#This Row],[2018]]),"",Refsz_Verbräuche[[#This Row],[2018]])</f>
        <v/>
      </c>
      <c r="K136" s="14" t="str">
        <f>IF(ISBLANK(Refsz_Verbräuche[[#This Row],[2019]]),"",Refsz_Verbräuche[[#This Row],[2019]])</f>
        <v/>
      </c>
      <c r="L136" s="14" t="str">
        <f>IF(ISBLANK(Refsz_Verbräuche[[#This Row],[2020]]),"",Refsz_Verbräuche[[#This Row],[2020]])</f>
        <v/>
      </c>
      <c r="M136" s="14" t="str">
        <f>IF(ISBLANK(Refsz_Verbräuche[[#This Row],[2021]]),"",Refsz_Verbräuche[[#This Row],[2021]])</f>
        <v/>
      </c>
      <c r="N136" s="49" t="str">
        <f>IF(Klisz_Verbräuche[[#Headers],[2022]]=$B$14,IF(COUNTIF($G136:Klisz_Verbräuche[[#This Row],[2021]],"&gt;0")&gt;0, AVERAGEIF($G136:Klisz_Verbräuche[[#This Row],[2021]],"&lt;&gt;"), ""),IF($B$14&lt;Klisz_Verbräuche[[#Headers],[2022]],IF(COUNTIF($G136:Klisz_Verbräuche[[#This Row],[2021]],"&gt;0")&gt;0,IF(COUNTIF($G136:Klisz_Verbräuche[[#This Row],[2021]],"&gt;0")&gt;0,Klisz_Verbräuche[[#This Row],[2021]]*(1-$F136)^1, ""), ""),IF($B$14&gt;Klisz_Verbräuche[[#Headers],[2022]],Refsz_Verbräuche[[#This Row],[2022]],"")))</f>
        <v/>
      </c>
      <c r="O136" s="49" t="str">
        <f>IF(Klisz_Verbräuche[[#Headers],[2023]]=$B$14,IF(COUNTIF($G136:Klisz_Verbräuche[[#This Row],[2022]],"&gt;0")&gt;0, AVERAGEIF($G136:Klisz_Verbräuche[[#This Row],[2022]],"&lt;&gt;"), ""),IF($B$14&lt;Klisz_Verbräuche[[#Headers],[2023]],IF(COUNTIF($G136:Klisz_Verbräuche[[#This Row],[2022]],"&gt;0")&gt;0,IF(COUNTIF($G136:Klisz_Verbräuche[[#This Row],[2022]],"&gt;0")&gt;0,Klisz_Verbräuche[[#This Row],[2022]]*(1-$F136)^1, ""), ""),IF($B$14&gt;Klisz_Verbräuche[[#Headers],[2023]],Refsz_Verbräuche[[#This Row],[2023]],"")))</f>
        <v/>
      </c>
      <c r="P136" s="49" t="str">
        <f>IF(Klisz_Verbräuche[[#Headers],[2024]]=$B$14,IF(COUNTIF($G136:Klisz_Verbräuche[[#This Row],[2023]],"&gt;0")&gt;0, AVERAGEIF($G136:Klisz_Verbräuche[[#This Row],[2023]],"&lt;&gt;"), ""),IF($B$14&lt;Klisz_Verbräuche[[#Headers],[2024]],IF(COUNTIF($G136:Klisz_Verbräuche[[#This Row],[2023]],"&gt;0")&gt;0,IF(COUNTIF($G136:Klisz_Verbräuche[[#This Row],[2023]],"&gt;0")&gt;0,Klisz_Verbräuche[[#This Row],[2023]]*(1-$F136)^1, ""), ""),IF($B$14&gt;Klisz_Verbräuche[[#Headers],[2024]],Refsz_Verbräuche[[#This Row],[2024]],"")))</f>
        <v/>
      </c>
      <c r="Q136" s="49" t="str">
        <f>IF(Klisz_Verbräuche[[#Headers],[2025]]=$B$14,IF(COUNTIF($G136:Klisz_Verbräuche[[#This Row],[2024]],"&gt;0")&gt;0, AVERAGEIF($G136:Klisz_Verbräuche[[#This Row],[2024]],"&lt;&gt;"), ""),IF($B$14&lt;Klisz_Verbräuche[[#Headers],[2025]],IF(COUNTIF($G136:Klisz_Verbräuche[[#This Row],[2024]],"&gt;0")&gt;0,IF(COUNTIF($G136:Klisz_Verbräuche[[#This Row],[2024]],"&gt;0")&gt;0,Klisz_Verbräuche[[#This Row],[2024]]*(1-$F136)^1, ""), ""),IF($B$14&gt;Klisz_Verbräuche[[#Headers],[2025]],Refsz_Verbräuche[[#This Row],[2025]],"")))</f>
        <v/>
      </c>
      <c r="R136" s="49" t="str">
        <f>IF(Klisz_Verbräuche[[#Headers],[2026]]=$B$14,IF(COUNTIF($G136:Klisz_Verbräuche[[#This Row],[2025]],"&gt;0")&gt;0, AVERAGEIF($G136:Klisz_Verbräuche[[#This Row],[2025]],"&lt;&gt;"), ""),IF($B$14&lt;Klisz_Verbräuche[[#Headers],[2026]],IF(COUNTIF($G136:Klisz_Verbräuche[[#This Row],[2025]],"&gt;0")&gt;0,IF(COUNTIF($G136:Klisz_Verbräuche[[#This Row],[2025]],"&gt;0")&gt;0,Klisz_Verbräuche[[#This Row],[2025]]*(1-$F136)^1, ""), ""),IF($B$14&gt;Klisz_Verbräuche[[#Headers],[2026]],Refsz_Verbräuche[[#This Row],[2026]],"")))</f>
        <v/>
      </c>
      <c r="S136" s="49" t="str">
        <f>IF(Klisz_Verbräuche[[#Headers],[2027]]=$B$14,IF(COUNTIF($G136:Klisz_Verbräuche[[#This Row],[2026]],"&gt;0")&gt;0, AVERAGEIF($G136:Klisz_Verbräuche[[#This Row],[2026]],"&lt;&gt;"), ""),IF($B$14&lt;Klisz_Verbräuche[[#Headers],[2027]],IF(COUNTIF($G136:Klisz_Verbräuche[[#This Row],[2026]],"&gt;0")&gt;0,IF(COUNTIF($G136:Klisz_Verbräuche[[#This Row],[2026]],"&gt;0")&gt;0,Klisz_Verbräuche[[#This Row],[2026]]*(1-$F136)^1, ""), ""),IF($B$14&gt;Klisz_Verbräuche[[#Headers],[2027]],Refsz_Verbräuche[[#This Row],[2027]],"")))</f>
        <v/>
      </c>
      <c r="T136" s="49" t="str">
        <f>IF(Klisz_Verbräuche[[#Headers],[2028]]=$B$14,IF(COUNTIF($G136:Klisz_Verbräuche[[#This Row],[2027]],"&gt;0")&gt;0, AVERAGEIF($G136:Klisz_Verbräuche[[#This Row],[2027]],"&lt;&gt;"), ""),IF($B$14&lt;Klisz_Verbräuche[[#Headers],[2028]],IF(COUNTIF($G136:Klisz_Verbräuche[[#This Row],[2027]],"&gt;0")&gt;0,IF(COUNTIF($G136:Klisz_Verbräuche[[#This Row],[2027]],"&gt;0")&gt;0,Klisz_Verbräuche[[#This Row],[2027]]*(1-$F136)^1, ""), ""),IF($B$14&gt;Klisz_Verbräuche[[#Headers],[2028]],Refsz_Verbräuche[[#This Row],[2028]],"")))</f>
        <v/>
      </c>
      <c r="U136" s="49" t="str">
        <f>IF(Klisz_Verbräuche[[#Headers],[2029]]=$B$14,IF(COUNTIF($G136:Klisz_Verbräuche[[#This Row],[2028]],"&gt;0")&gt;0, AVERAGEIF($G136:Klisz_Verbräuche[[#This Row],[2028]],"&lt;&gt;"), ""),IF($B$14&lt;Klisz_Verbräuche[[#Headers],[2029]],IF(COUNTIF($G136:Klisz_Verbräuche[[#This Row],[2028]],"&gt;0")&gt;0,IF(COUNTIF($G136:Klisz_Verbräuche[[#This Row],[2028]],"&gt;0")&gt;0,Klisz_Verbräuche[[#This Row],[2028]]*(1-$F136)^1, ""), ""),IF($B$14&gt;Klisz_Verbräuche[[#Headers],[2029]],Refsz_Verbräuche[[#This Row],[2029]],"")))</f>
        <v/>
      </c>
      <c r="V136" s="49" t="str">
        <f>IF(Klisz_Verbräuche[[#Headers],[2030]]=$B$14,IF(COUNTIF($G136:Klisz_Verbräuche[[#This Row],[2029]],"&gt;0")&gt;0, AVERAGEIF($G136:Klisz_Verbräuche[[#This Row],[2029]],"&lt;&gt;"), ""),IF($B$14&lt;Klisz_Verbräuche[[#Headers],[2030]],IF(COUNTIF($G136:Klisz_Verbräuche[[#This Row],[2029]],"&gt;0")&gt;0,IF(COUNTIF($G136:Klisz_Verbräuche[[#This Row],[2029]],"&gt;0")&gt;0,Klisz_Verbräuche[[#This Row],[2029]]*(1-$F136)^1, ""), ""),IF($B$14&gt;Klisz_Verbräuche[[#Headers],[2030]],Refsz_Verbräuche[[#This Row],[2030]],"")))</f>
        <v/>
      </c>
      <c r="W136" s="49" t="str">
        <f>IF(Klisz_Verbräuche[[#Headers],[2035]]=$B$14,IF(COUNTIF($G136:Klisz_Verbräuche[[#This Row],[2030]],"&gt;0")&gt;0, AVERAGEIF($G136:Klisz_Verbräuche[[#This Row],[2030]],"&lt;&gt;"), ""),IF($B$14&lt;Klisz_Verbräuche[[#Headers],[2035]],IF(COUNTIF($G136:Klisz_Verbräuche[[#This Row],[2030]],"&gt;0")&gt;0,IF(COUNTIF($G136:Klisz_Verbräuche[[#This Row],[2030]],"&gt;0")&gt;0,Klisz_Verbräuche[[#This Row],[2030]]*(1-$F136)^5, ""), ""),IF($B$14&gt;Klisz_Verbräuche[[#Headers],[2035]],Refsz_Verbräuche[[#This Row],[2035]],"")))</f>
        <v/>
      </c>
      <c r="X136" s="49" t="str">
        <f>IF(Klisz_Verbräuche[[#Headers],[2040]]=$B$14,IF(COUNTIF($G136:Klisz_Verbräuche[[#This Row],[2035]],"&gt;0")&gt;0, AVERAGEIF($G136:Klisz_Verbräuche[[#This Row],[2035]],"&lt;&gt;"), ""),IF($B$14&lt;Klisz_Verbräuche[[#Headers],[2040]],IF(COUNTIF($G136:Klisz_Verbräuche[[#This Row],[2035]],"&gt;0")&gt;0,IF(COUNTIF($G136:Klisz_Verbräuche[[#This Row],[2035]],"&gt;0")&gt;0,Klisz_Verbräuche[[#This Row],[2035]]*(1-$F136)^5, ""), ""),IF($B$14&gt;Klisz_Verbräuche[[#Headers],[2040]],Refsz_Verbräuche[[#This Row],[2040]],"")))</f>
        <v/>
      </c>
      <c r="Y136" s="49" t="str">
        <f>IF(Klisz_Verbräuche[[#Headers],[2045]]=$B$14,IF(COUNTIF($G136:Klisz_Verbräuche[[#This Row],[2040]],"&gt;0")&gt;0, AVERAGEIF($G136:Klisz_Verbräuche[[#This Row],[2040]],"&lt;&gt;"), ""),IF($B$14&lt;Klisz_Verbräuche[[#Headers],[2045]],IF(COUNTIF($G136:Klisz_Verbräuche[[#This Row],[2040]],"&gt;0")&gt;0,IF(COUNTIF($G136:Klisz_Verbräuche[[#This Row],[2040]],"&gt;0")&gt;0,Klisz_Verbräuche[[#This Row],[2040]]*(1-$F136)^5, ""), ""),IF($B$14&gt;Klisz_Verbräuche[[#Headers],[2045]],Refsz_Verbräuche[[#This Row],[2045]],"")))</f>
        <v/>
      </c>
      <c r="Z136" s="49" t="str">
        <f>IF(Klisz_Verbräuche[[#Headers],[2050]]=$B$14,IF(COUNTIF($G136:Klisz_Verbräuche[[#This Row],[2045]],"&gt;0")&gt;0, AVERAGEIF($G136:Klisz_Verbräuche[[#This Row],[2045]],"&lt;&gt;"), ""),IF($B$14&lt;Klisz_Verbräuche[[#Headers],[2050]],IF(COUNTIF($G136:Klisz_Verbräuche[[#This Row],[2045]],"&gt;0")&gt;0,IF(COUNTIF($G136:Klisz_Verbräuche[[#This Row],[2045]],"&gt;0")&gt;0,Klisz_Verbräuche[[#This Row],[2045]]*(1-$F136)^5, ""), ""),IF($B$14&gt;Klisz_Verbräuche[[#Headers],[2050]],Refsz_Verbräuche[[#This Row],[2050]],"")))</f>
        <v/>
      </c>
      <c r="AA136" s="14"/>
    </row>
    <row r="137" spans="2:27">
      <c r="B137" s="14">
        <v>120</v>
      </c>
      <c r="C137" s="197" t="str">
        <f>Refsz_Verbräuche[[#This Row],[Handlungsfeld]]</f>
        <v>Baugüter</v>
      </c>
      <c r="D137" s="19" t="str">
        <f>Refsz_Verbräuche[[#This Row],[Datenpunkt]]</f>
        <v>Glas (flach)</v>
      </c>
      <c r="E137" s="26" t="str">
        <f>Refsz_Verbräuche[[#This Row],[Einheit]]</f>
        <v>kg</v>
      </c>
      <c r="F137" s="108"/>
      <c r="G137" s="14" t="str">
        <f>IF(ISBLANK(Refsz_Verbräuche[[#This Row],[2015]]),"",Refsz_Verbräuche[[#This Row],[2015]])</f>
        <v/>
      </c>
      <c r="H137" s="14" t="str">
        <f>IF(ISBLANK(Refsz_Verbräuche[[#This Row],[2016]]),"",Refsz_Verbräuche[[#This Row],[2016]])</f>
        <v/>
      </c>
      <c r="I137" s="14" t="str">
        <f>IF(ISBLANK(Refsz_Verbräuche[[#This Row],[2017]]),"",Refsz_Verbräuche[[#This Row],[2017]])</f>
        <v/>
      </c>
      <c r="J137" s="14" t="str">
        <f>IF(ISBLANK(Refsz_Verbräuche[[#This Row],[2018]]),"",Refsz_Verbräuche[[#This Row],[2018]])</f>
        <v/>
      </c>
      <c r="K137" s="14" t="str">
        <f>IF(ISBLANK(Refsz_Verbräuche[[#This Row],[2019]]),"",Refsz_Verbräuche[[#This Row],[2019]])</f>
        <v/>
      </c>
      <c r="L137" s="14" t="str">
        <f>IF(ISBLANK(Refsz_Verbräuche[[#This Row],[2020]]),"",Refsz_Verbräuche[[#This Row],[2020]])</f>
        <v/>
      </c>
      <c r="M137" s="14" t="str">
        <f>IF(ISBLANK(Refsz_Verbräuche[[#This Row],[2021]]),"",Refsz_Verbräuche[[#This Row],[2021]])</f>
        <v/>
      </c>
      <c r="N137" s="49" t="str">
        <f>IF(Klisz_Verbräuche[[#Headers],[2022]]=$B$14,IF(COUNTIF($G137:Klisz_Verbräuche[[#This Row],[2021]],"&gt;0")&gt;0, AVERAGEIF($G137:Klisz_Verbräuche[[#This Row],[2021]],"&lt;&gt;"), ""),IF($B$14&lt;Klisz_Verbräuche[[#Headers],[2022]],IF(COUNTIF($G137:Klisz_Verbräuche[[#This Row],[2021]],"&gt;0")&gt;0,IF(COUNTIF($G137:Klisz_Verbräuche[[#This Row],[2021]],"&gt;0")&gt;0,Klisz_Verbräuche[[#This Row],[2021]]*(1-$F137)^1, ""), ""),IF($B$14&gt;Klisz_Verbräuche[[#Headers],[2022]],Refsz_Verbräuche[[#This Row],[2022]],"")))</f>
        <v/>
      </c>
      <c r="O137" s="49" t="str">
        <f>IF(Klisz_Verbräuche[[#Headers],[2023]]=$B$14,IF(COUNTIF($G137:Klisz_Verbräuche[[#This Row],[2022]],"&gt;0")&gt;0, AVERAGEIF($G137:Klisz_Verbräuche[[#This Row],[2022]],"&lt;&gt;"), ""),IF($B$14&lt;Klisz_Verbräuche[[#Headers],[2023]],IF(COUNTIF($G137:Klisz_Verbräuche[[#This Row],[2022]],"&gt;0")&gt;0,IF(COUNTIF($G137:Klisz_Verbräuche[[#This Row],[2022]],"&gt;0")&gt;0,Klisz_Verbräuche[[#This Row],[2022]]*(1-$F137)^1, ""), ""),IF($B$14&gt;Klisz_Verbräuche[[#Headers],[2023]],Refsz_Verbräuche[[#This Row],[2023]],"")))</f>
        <v/>
      </c>
      <c r="P137" s="49" t="str">
        <f>IF(Klisz_Verbräuche[[#Headers],[2024]]=$B$14,IF(COUNTIF($G137:Klisz_Verbräuche[[#This Row],[2023]],"&gt;0")&gt;0, AVERAGEIF($G137:Klisz_Verbräuche[[#This Row],[2023]],"&lt;&gt;"), ""),IF($B$14&lt;Klisz_Verbräuche[[#Headers],[2024]],IF(COUNTIF($G137:Klisz_Verbräuche[[#This Row],[2023]],"&gt;0")&gt;0,IF(COUNTIF($G137:Klisz_Verbräuche[[#This Row],[2023]],"&gt;0")&gt;0,Klisz_Verbräuche[[#This Row],[2023]]*(1-$F137)^1, ""), ""),IF($B$14&gt;Klisz_Verbräuche[[#Headers],[2024]],Refsz_Verbräuche[[#This Row],[2024]],"")))</f>
        <v/>
      </c>
      <c r="Q137" s="49" t="str">
        <f>IF(Klisz_Verbräuche[[#Headers],[2025]]=$B$14,IF(COUNTIF($G137:Klisz_Verbräuche[[#This Row],[2024]],"&gt;0")&gt;0, AVERAGEIF($G137:Klisz_Verbräuche[[#This Row],[2024]],"&lt;&gt;"), ""),IF($B$14&lt;Klisz_Verbräuche[[#Headers],[2025]],IF(COUNTIF($G137:Klisz_Verbräuche[[#This Row],[2024]],"&gt;0")&gt;0,IF(COUNTIF($G137:Klisz_Verbräuche[[#This Row],[2024]],"&gt;0")&gt;0,Klisz_Verbräuche[[#This Row],[2024]]*(1-$F137)^1, ""), ""),IF($B$14&gt;Klisz_Verbräuche[[#Headers],[2025]],Refsz_Verbräuche[[#This Row],[2025]],"")))</f>
        <v/>
      </c>
      <c r="R137" s="49" t="str">
        <f>IF(Klisz_Verbräuche[[#Headers],[2026]]=$B$14,IF(COUNTIF($G137:Klisz_Verbräuche[[#This Row],[2025]],"&gt;0")&gt;0, AVERAGEIF($G137:Klisz_Verbräuche[[#This Row],[2025]],"&lt;&gt;"), ""),IF($B$14&lt;Klisz_Verbräuche[[#Headers],[2026]],IF(COUNTIF($G137:Klisz_Verbräuche[[#This Row],[2025]],"&gt;0")&gt;0,IF(COUNTIF($G137:Klisz_Verbräuche[[#This Row],[2025]],"&gt;0")&gt;0,Klisz_Verbräuche[[#This Row],[2025]]*(1-$F137)^1, ""), ""),IF($B$14&gt;Klisz_Verbräuche[[#Headers],[2026]],Refsz_Verbräuche[[#This Row],[2026]],"")))</f>
        <v/>
      </c>
      <c r="S137" s="49" t="str">
        <f>IF(Klisz_Verbräuche[[#Headers],[2027]]=$B$14,IF(COUNTIF($G137:Klisz_Verbräuche[[#This Row],[2026]],"&gt;0")&gt;0, AVERAGEIF($G137:Klisz_Verbräuche[[#This Row],[2026]],"&lt;&gt;"), ""),IF($B$14&lt;Klisz_Verbräuche[[#Headers],[2027]],IF(COUNTIF($G137:Klisz_Verbräuche[[#This Row],[2026]],"&gt;0")&gt;0,IF(COUNTIF($G137:Klisz_Verbräuche[[#This Row],[2026]],"&gt;0")&gt;0,Klisz_Verbräuche[[#This Row],[2026]]*(1-$F137)^1, ""), ""),IF($B$14&gt;Klisz_Verbräuche[[#Headers],[2027]],Refsz_Verbräuche[[#This Row],[2027]],"")))</f>
        <v/>
      </c>
      <c r="T137" s="49" t="str">
        <f>IF(Klisz_Verbräuche[[#Headers],[2028]]=$B$14,IF(COUNTIF($G137:Klisz_Verbräuche[[#This Row],[2027]],"&gt;0")&gt;0, AVERAGEIF($G137:Klisz_Verbräuche[[#This Row],[2027]],"&lt;&gt;"), ""),IF($B$14&lt;Klisz_Verbräuche[[#Headers],[2028]],IF(COUNTIF($G137:Klisz_Verbräuche[[#This Row],[2027]],"&gt;0")&gt;0,IF(COUNTIF($G137:Klisz_Verbräuche[[#This Row],[2027]],"&gt;0")&gt;0,Klisz_Verbräuche[[#This Row],[2027]]*(1-$F137)^1, ""), ""),IF($B$14&gt;Klisz_Verbräuche[[#Headers],[2028]],Refsz_Verbräuche[[#This Row],[2028]],"")))</f>
        <v/>
      </c>
      <c r="U137" s="49" t="str">
        <f>IF(Klisz_Verbräuche[[#Headers],[2029]]=$B$14,IF(COUNTIF($G137:Klisz_Verbräuche[[#This Row],[2028]],"&gt;0")&gt;0, AVERAGEIF($G137:Klisz_Verbräuche[[#This Row],[2028]],"&lt;&gt;"), ""),IF($B$14&lt;Klisz_Verbräuche[[#Headers],[2029]],IF(COUNTIF($G137:Klisz_Verbräuche[[#This Row],[2028]],"&gt;0")&gt;0,IF(COUNTIF($G137:Klisz_Verbräuche[[#This Row],[2028]],"&gt;0")&gt;0,Klisz_Verbräuche[[#This Row],[2028]]*(1-$F137)^1, ""), ""),IF($B$14&gt;Klisz_Verbräuche[[#Headers],[2029]],Refsz_Verbräuche[[#This Row],[2029]],"")))</f>
        <v/>
      </c>
      <c r="V137" s="49" t="str">
        <f>IF(Klisz_Verbräuche[[#Headers],[2030]]=$B$14,IF(COUNTIF($G137:Klisz_Verbräuche[[#This Row],[2029]],"&gt;0")&gt;0, AVERAGEIF($G137:Klisz_Verbräuche[[#This Row],[2029]],"&lt;&gt;"), ""),IF($B$14&lt;Klisz_Verbräuche[[#Headers],[2030]],IF(COUNTIF($G137:Klisz_Verbräuche[[#This Row],[2029]],"&gt;0")&gt;0,IF(COUNTIF($G137:Klisz_Verbräuche[[#This Row],[2029]],"&gt;0")&gt;0,Klisz_Verbräuche[[#This Row],[2029]]*(1-$F137)^1, ""), ""),IF($B$14&gt;Klisz_Verbräuche[[#Headers],[2030]],Refsz_Verbräuche[[#This Row],[2030]],"")))</f>
        <v/>
      </c>
      <c r="W137" s="49" t="str">
        <f>IF(Klisz_Verbräuche[[#Headers],[2035]]=$B$14,IF(COUNTIF($G137:Klisz_Verbräuche[[#This Row],[2030]],"&gt;0")&gt;0, AVERAGEIF($G137:Klisz_Verbräuche[[#This Row],[2030]],"&lt;&gt;"), ""),IF($B$14&lt;Klisz_Verbräuche[[#Headers],[2035]],IF(COUNTIF($G137:Klisz_Verbräuche[[#This Row],[2030]],"&gt;0")&gt;0,IF(COUNTIF($G137:Klisz_Verbräuche[[#This Row],[2030]],"&gt;0")&gt;0,Klisz_Verbräuche[[#This Row],[2030]]*(1-$F137)^5, ""), ""),IF($B$14&gt;Klisz_Verbräuche[[#Headers],[2035]],Refsz_Verbräuche[[#This Row],[2035]],"")))</f>
        <v/>
      </c>
      <c r="X137" s="49" t="str">
        <f>IF(Klisz_Verbräuche[[#Headers],[2040]]=$B$14,IF(COUNTIF($G137:Klisz_Verbräuche[[#This Row],[2035]],"&gt;0")&gt;0, AVERAGEIF($G137:Klisz_Verbräuche[[#This Row],[2035]],"&lt;&gt;"), ""),IF($B$14&lt;Klisz_Verbräuche[[#Headers],[2040]],IF(COUNTIF($G137:Klisz_Verbräuche[[#This Row],[2035]],"&gt;0")&gt;0,IF(COUNTIF($G137:Klisz_Verbräuche[[#This Row],[2035]],"&gt;0")&gt;0,Klisz_Verbräuche[[#This Row],[2035]]*(1-$F137)^5, ""), ""),IF($B$14&gt;Klisz_Verbräuche[[#Headers],[2040]],Refsz_Verbräuche[[#This Row],[2040]],"")))</f>
        <v/>
      </c>
      <c r="Y137" s="49" t="str">
        <f>IF(Klisz_Verbräuche[[#Headers],[2045]]=$B$14,IF(COUNTIF($G137:Klisz_Verbräuche[[#This Row],[2040]],"&gt;0")&gt;0, AVERAGEIF($G137:Klisz_Verbräuche[[#This Row],[2040]],"&lt;&gt;"), ""),IF($B$14&lt;Klisz_Verbräuche[[#Headers],[2045]],IF(COUNTIF($G137:Klisz_Verbräuche[[#This Row],[2040]],"&gt;0")&gt;0,IF(COUNTIF($G137:Klisz_Verbräuche[[#This Row],[2040]],"&gt;0")&gt;0,Klisz_Verbräuche[[#This Row],[2040]]*(1-$F137)^5, ""), ""),IF($B$14&gt;Klisz_Verbräuche[[#Headers],[2045]],Refsz_Verbräuche[[#This Row],[2045]],"")))</f>
        <v/>
      </c>
      <c r="Z137" s="49" t="str">
        <f>IF(Klisz_Verbräuche[[#Headers],[2050]]=$B$14,IF(COUNTIF($G137:Klisz_Verbräuche[[#This Row],[2045]],"&gt;0")&gt;0, AVERAGEIF($G137:Klisz_Verbräuche[[#This Row],[2045]],"&lt;&gt;"), ""),IF($B$14&lt;Klisz_Verbräuche[[#Headers],[2050]],IF(COUNTIF($G137:Klisz_Verbräuche[[#This Row],[2045]],"&gt;0")&gt;0,IF(COUNTIF($G137:Klisz_Verbräuche[[#This Row],[2045]],"&gt;0")&gt;0,Klisz_Verbräuche[[#This Row],[2045]]*(1-$F137)^5, ""), ""),IF($B$14&gt;Klisz_Verbräuche[[#Headers],[2050]],Refsz_Verbräuche[[#This Row],[2050]],"")))</f>
        <v/>
      </c>
      <c r="AA137" s="14"/>
    </row>
    <row r="138" spans="2:27">
      <c r="B138" s="14">
        <v>121</v>
      </c>
      <c r="C138" s="197" t="str">
        <f>Refsz_Verbräuche[[#This Row],[Handlungsfeld]]</f>
        <v>Baugüter</v>
      </c>
      <c r="D138" s="19" t="str">
        <f>Refsz_Verbräuche[[#This Row],[Datenpunkt]]</f>
        <v>Gussasphalt</v>
      </c>
      <c r="E138" s="26" t="str">
        <f>Refsz_Verbräuche[[#This Row],[Einheit]]</f>
        <v>kg</v>
      </c>
      <c r="F138" s="108"/>
      <c r="G138" s="14" t="str">
        <f>IF(ISBLANK(Refsz_Verbräuche[[#This Row],[2015]]),"",Refsz_Verbräuche[[#This Row],[2015]])</f>
        <v/>
      </c>
      <c r="H138" s="14" t="str">
        <f>IF(ISBLANK(Refsz_Verbräuche[[#This Row],[2016]]),"",Refsz_Verbräuche[[#This Row],[2016]])</f>
        <v/>
      </c>
      <c r="I138" s="14" t="str">
        <f>IF(ISBLANK(Refsz_Verbräuche[[#This Row],[2017]]),"",Refsz_Verbräuche[[#This Row],[2017]])</f>
        <v/>
      </c>
      <c r="J138" s="14" t="str">
        <f>IF(ISBLANK(Refsz_Verbräuche[[#This Row],[2018]]),"",Refsz_Verbräuche[[#This Row],[2018]])</f>
        <v/>
      </c>
      <c r="K138" s="14" t="str">
        <f>IF(ISBLANK(Refsz_Verbräuche[[#This Row],[2019]]),"",Refsz_Verbräuche[[#This Row],[2019]])</f>
        <v/>
      </c>
      <c r="L138" s="14" t="str">
        <f>IF(ISBLANK(Refsz_Verbräuche[[#This Row],[2020]]),"",Refsz_Verbräuche[[#This Row],[2020]])</f>
        <v/>
      </c>
      <c r="M138" s="14" t="str">
        <f>IF(ISBLANK(Refsz_Verbräuche[[#This Row],[2021]]),"",Refsz_Verbräuche[[#This Row],[2021]])</f>
        <v/>
      </c>
      <c r="N138" s="49" t="str">
        <f>IF(Klisz_Verbräuche[[#Headers],[2022]]=$B$14,IF(COUNTIF($G138:Klisz_Verbräuche[[#This Row],[2021]],"&gt;0")&gt;0, AVERAGEIF($G138:Klisz_Verbräuche[[#This Row],[2021]],"&lt;&gt;"), ""),IF($B$14&lt;Klisz_Verbräuche[[#Headers],[2022]],IF(COUNTIF($G138:Klisz_Verbräuche[[#This Row],[2021]],"&gt;0")&gt;0,IF(COUNTIF($G138:Klisz_Verbräuche[[#This Row],[2021]],"&gt;0")&gt;0,Klisz_Verbräuche[[#This Row],[2021]]*(1-$F138)^1, ""), ""),IF($B$14&gt;Klisz_Verbräuche[[#Headers],[2022]],Refsz_Verbräuche[[#This Row],[2022]],"")))</f>
        <v/>
      </c>
      <c r="O138" s="49" t="str">
        <f>IF(Klisz_Verbräuche[[#Headers],[2023]]=$B$14,IF(COUNTIF($G138:Klisz_Verbräuche[[#This Row],[2022]],"&gt;0")&gt;0, AVERAGEIF($G138:Klisz_Verbräuche[[#This Row],[2022]],"&lt;&gt;"), ""),IF($B$14&lt;Klisz_Verbräuche[[#Headers],[2023]],IF(COUNTIF($G138:Klisz_Verbräuche[[#This Row],[2022]],"&gt;0")&gt;0,IF(COUNTIF($G138:Klisz_Verbräuche[[#This Row],[2022]],"&gt;0")&gt;0,Klisz_Verbräuche[[#This Row],[2022]]*(1-$F138)^1, ""), ""),IF($B$14&gt;Klisz_Verbräuche[[#Headers],[2023]],Refsz_Verbräuche[[#This Row],[2023]],"")))</f>
        <v/>
      </c>
      <c r="P138" s="49" t="str">
        <f>IF(Klisz_Verbräuche[[#Headers],[2024]]=$B$14,IF(COUNTIF($G138:Klisz_Verbräuche[[#This Row],[2023]],"&gt;0")&gt;0, AVERAGEIF($G138:Klisz_Verbräuche[[#This Row],[2023]],"&lt;&gt;"), ""),IF($B$14&lt;Klisz_Verbräuche[[#Headers],[2024]],IF(COUNTIF($G138:Klisz_Verbräuche[[#This Row],[2023]],"&gt;0")&gt;0,IF(COUNTIF($G138:Klisz_Verbräuche[[#This Row],[2023]],"&gt;0")&gt;0,Klisz_Verbräuche[[#This Row],[2023]]*(1-$F138)^1, ""), ""),IF($B$14&gt;Klisz_Verbräuche[[#Headers],[2024]],Refsz_Verbräuche[[#This Row],[2024]],"")))</f>
        <v/>
      </c>
      <c r="Q138" s="49" t="str">
        <f>IF(Klisz_Verbräuche[[#Headers],[2025]]=$B$14,IF(COUNTIF($G138:Klisz_Verbräuche[[#This Row],[2024]],"&gt;0")&gt;0, AVERAGEIF($G138:Klisz_Verbräuche[[#This Row],[2024]],"&lt;&gt;"), ""),IF($B$14&lt;Klisz_Verbräuche[[#Headers],[2025]],IF(COUNTIF($G138:Klisz_Verbräuche[[#This Row],[2024]],"&gt;0")&gt;0,IF(COUNTIF($G138:Klisz_Verbräuche[[#This Row],[2024]],"&gt;0")&gt;0,Klisz_Verbräuche[[#This Row],[2024]]*(1-$F138)^1, ""), ""),IF($B$14&gt;Klisz_Verbräuche[[#Headers],[2025]],Refsz_Verbräuche[[#This Row],[2025]],"")))</f>
        <v/>
      </c>
      <c r="R138" s="49" t="str">
        <f>IF(Klisz_Verbräuche[[#Headers],[2026]]=$B$14,IF(COUNTIF($G138:Klisz_Verbräuche[[#This Row],[2025]],"&gt;0")&gt;0, AVERAGEIF($G138:Klisz_Verbräuche[[#This Row],[2025]],"&lt;&gt;"), ""),IF($B$14&lt;Klisz_Verbräuche[[#Headers],[2026]],IF(COUNTIF($G138:Klisz_Verbräuche[[#This Row],[2025]],"&gt;0")&gt;0,IF(COUNTIF($G138:Klisz_Verbräuche[[#This Row],[2025]],"&gt;0")&gt;0,Klisz_Verbräuche[[#This Row],[2025]]*(1-$F138)^1, ""), ""),IF($B$14&gt;Klisz_Verbräuche[[#Headers],[2026]],Refsz_Verbräuche[[#This Row],[2026]],"")))</f>
        <v/>
      </c>
      <c r="S138" s="49" t="str">
        <f>IF(Klisz_Verbräuche[[#Headers],[2027]]=$B$14,IF(COUNTIF($G138:Klisz_Verbräuche[[#This Row],[2026]],"&gt;0")&gt;0, AVERAGEIF($G138:Klisz_Verbräuche[[#This Row],[2026]],"&lt;&gt;"), ""),IF($B$14&lt;Klisz_Verbräuche[[#Headers],[2027]],IF(COUNTIF($G138:Klisz_Verbräuche[[#This Row],[2026]],"&gt;0")&gt;0,IF(COUNTIF($G138:Klisz_Verbräuche[[#This Row],[2026]],"&gt;0")&gt;0,Klisz_Verbräuche[[#This Row],[2026]]*(1-$F138)^1, ""), ""),IF($B$14&gt;Klisz_Verbräuche[[#Headers],[2027]],Refsz_Verbräuche[[#This Row],[2027]],"")))</f>
        <v/>
      </c>
      <c r="T138" s="49" t="str">
        <f>IF(Klisz_Verbräuche[[#Headers],[2028]]=$B$14,IF(COUNTIF($G138:Klisz_Verbräuche[[#This Row],[2027]],"&gt;0")&gt;0, AVERAGEIF($G138:Klisz_Verbräuche[[#This Row],[2027]],"&lt;&gt;"), ""),IF($B$14&lt;Klisz_Verbräuche[[#Headers],[2028]],IF(COUNTIF($G138:Klisz_Verbräuche[[#This Row],[2027]],"&gt;0")&gt;0,IF(COUNTIF($G138:Klisz_Verbräuche[[#This Row],[2027]],"&gt;0")&gt;0,Klisz_Verbräuche[[#This Row],[2027]]*(1-$F138)^1, ""), ""),IF($B$14&gt;Klisz_Verbräuche[[#Headers],[2028]],Refsz_Verbräuche[[#This Row],[2028]],"")))</f>
        <v/>
      </c>
      <c r="U138" s="49" t="str">
        <f>IF(Klisz_Verbräuche[[#Headers],[2029]]=$B$14,IF(COUNTIF($G138:Klisz_Verbräuche[[#This Row],[2028]],"&gt;0")&gt;0, AVERAGEIF($G138:Klisz_Verbräuche[[#This Row],[2028]],"&lt;&gt;"), ""),IF($B$14&lt;Klisz_Verbräuche[[#Headers],[2029]],IF(COUNTIF($G138:Klisz_Verbräuche[[#This Row],[2028]],"&gt;0")&gt;0,IF(COUNTIF($G138:Klisz_Verbräuche[[#This Row],[2028]],"&gt;0")&gt;0,Klisz_Verbräuche[[#This Row],[2028]]*(1-$F138)^1, ""), ""),IF($B$14&gt;Klisz_Verbräuche[[#Headers],[2029]],Refsz_Verbräuche[[#This Row],[2029]],"")))</f>
        <v/>
      </c>
      <c r="V138" s="49" t="str">
        <f>IF(Klisz_Verbräuche[[#Headers],[2030]]=$B$14,IF(COUNTIF($G138:Klisz_Verbräuche[[#This Row],[2029]],"&gt;0")&gt;0, AVERAGEIF($G138:Klisz_Verbräuche[[#This Row],[2029]],"&lt;&gt;"), ""),IF($B$14&lt;Klisz_Verbräuche[[#Headers],[2030]],IF(COUNTIF($G138:Klisz_Verbräuche[[#This Row],[2029]],"&gt;0")&gt;0,IF(COUNTIF($G138:Klisz_Verbräuche[[#This Row],[2029]],"&gt;0")&gt;0,Klisz_Verbräuche[[#This Row],[2029]]*(1-$F138)^1, ""), ""),IF($B$14&gt;Klisz_Verbräuche[[#Headers],[2030]],Refsz_Verbräuche[[#This Row],[2030]],"")))</f>
        <v/>
      </c>
      <c r="W138" s="49" t="str">
        <f>IF(Klisz_Verbräuche[[#Headers],[2035]]=$B$14,IF(COUNTIF($G138:Klisz_Verbräuche[[#This Row],[2030]],"&gt;0")&gt;0, AVERAGEIF($G138:Klisz_Verbräuche[[#This Row],[2030]],"&lt;&gt;"), ""),IF($B$14&lt;Klisz_Verbräuche[[#Headers],[2035]],IF(COUNTIF($G138:Klisz_Verbräuche[[#This Row],[2030]],"&gt;0")&gt;0,IF(COUNTIF($G138:Klisz_Verbräuche[[#This Row],[2030]],"&gt;0")&gt;0,Klisz_Verbräuche[[#This Row],[2030]]*(1-$F138)^5, ""), ""),IF($B$14&gt;Klisz_Verbräuche[[#Headers],[2035]],Refsz_Verbräuche[[#This Row],[2035]],"")))</f>
        <v/>
      </c>
      <c r="X138" s="49" t="str">
        <f>IF(Klisz_Verbräuche[[#Headers],[2040]]=$B$14,IF(COUNTIF($G138:Klisz_Verbräuche[[#This Row],[2035]],"&gt;0")&gt;0, AVERAGEIF($G138:Klisz_Verbräuche[[#This Row],[2035]],"&lt;&gt;"), ""),IF($B$14&lt;Klisz_Verbräuche[[#Headers],[2040]],IF(COUNTIF($G138:Klisz_Verbräuche[[#This Row],[2035]],"&gt;0")&gt;0,IF(COUNTIF($G138:Klisz_Verbräuche[[#This Row],[2035]],"&gt;0")&gt;0,Klisz_Verbräuche[[#This Row],[2035]]*(1-$F138)^5, ""), ""),IF($B$14&gt;Klisz_Verbräuche[[#Headers],[2040]],Refsz_Verbräuche[[#This Row],[2040]],"")))</f>
        <v/>
      </c>
      <c r="Y138" s="49" t="str">
        <f>IF(Klisz_Verbräuche[[#Headers],[2045]]=$B$14,IF(COUNTIF($G138:Klisz_Verbräuche[[#This Row],[2040]],"&gt;0")&gt;0, AVERAGEIF($G138:Klisz_Verbräuche[[#This Row],[2040]],"&lt;&gt;"), ""),IF($B$14&lt;Klisz_Verbräuche[[#Headers],[2045]],IF(COUNTIF($G138:Klisz_Verbräuche[[#This Row],[2040]],"&gt;0")&gt;0,IF(COUNTIF($G138:Klisz_Verbräuche[[#This Row],[2040]],"&gt;0")&gt;0,Klisz_Verbräuche[[#This Row],[2040]]*(1-$F138)^5, ""), ""),IF($B$14&gt;Klisz_Verbräuche[[#Headers],[2045]],Refsz_Verbräuche[[#This Row],[2045]],"")))</f>
        <v/>
      </c>
      <c r="Z138" s="49" t="str">
        <f>IF(Klisz_Verbräuche[[#Headers],[2050]]=$B$14,IF(COUNTIF($G138:Klisz_Verbräuche[[#This Row],[2045]],"&gt;0")&gt;0, AVERAGEIF($G138:Klisz_Verbräuche[[#This Row],[2045]],"&lt;&gt;"), ""),IF($B$14&lt;Klisz_Verbräuche[[#Headers],[2050]],IF(COUNTIF($G138:Klisz_Verbräuche[[#This Row],[2045]],"&gt;0")&gt;0,IF(COUNTIF($G138:Klisz_Verbräuche[[#This Row],[2045]],"&gt;0")&gt;0,Klisz_Verbräuche[[#This Row],[2045]]*(1-$F138)^5, ""), ""),IF($B$14&gt;Klisz_Verbräuche[[#Headers],[2050]],Refsz_Verbräuche[[#This Row],[2050]],"")))</f>
        <v/>
      </c>
      <c r="AA138" s="14"/>
    </row>
    <row r="139" spans="2:27">
      <c r="B139" s="14">
        <v>122</v>
      </c>
      <c r="C139" s="197" t="str">
        <f>Refsz_Verbräuche[[#This Row],[Handlungsfeld]]</f>
        <v>Baugüter</v>
      </c>
      <c r="D139" s="19" t="str">
        <f>Refsz_Verbräuche[[#This Row],[Datenpunkt]]</f>
        <v>Kalksandstein</v>
      </c>
      <c r="E139" s="26" t="str">
        <f>Refsz_Verbräuche[[#This Row],[Einheit]]</f>
        <v>kg</v>
      </c>
      <c r="F139" s="108"/>
      <c r="G139" s="14" t="str">
        <f>IF(ISBLANK(Refsz_Verbräuche[[#This Row],[2015]]),"",Refsz_Verbräuche[[#This Row],[2015]])</f>
        <v/>
      </c>
      <c r="H139" s="14" t="str">
        <f>IF(ISBLANK(Refsz_Verbräuche[[#This Row],[2016]]),"",Refsz_Verbräuche[[#This Row],[2016]])</f>
        <v/>
      </c>
      <c r="I139" s="14" t="str">
        <f>IF(ISBLANK(Refsz_Verbräuche[[#This Row],[2017]]),"",Refsz_Verbräuche[[#This Row],[2017]])</f>
        <v/>
      </c>
      <c r="J139" s="14" t="str">
        <f>IF(ISBLANK(Refsz_Verbräuche[[#This Row],[2018]]),"",Refsz_Verbräuche[[#This Row],[2018]])</f>
        <v/>
      </c>
      <c r="K139" s="14" t="str">
        <f>IF(ISBLANK(Refsz_Verbräuche[[#This Row],[2019]]),"",Refsz_Verbräuche[[#This Row],[2019]])</f>
        <v/>
      </c>
      <c r="L139" s="14" t="str">
        <f>IF(ISBLANK(Refsz_Verbräuche[[#This Row],[2020]]),"",Refsz_Verbräuche[[#This Row],[2020]])</f>
        <v/>
      </c>
      <c r="M139" s="14" t="str">
        <f>IF(ISBLANK(Refsz_Verbräuche[[#This Row],[2021]]),"",Refsz_Verbräuche[[#This Row],[2021]])</f>
        <v/>
      </c>
      <c r="N139" s="49" t="str">
        <f>IF(Klisz_Verbräuche[[#Headers],[2022]]=$B$14,IF(COUNTIF($G139:Klisz_Verbräuche[[#This Row],[2021]],"&gt;0")&gt;0, AVERAGEIF($G139:Klisz_Verbräuche[[#This Row],[2021]],"&lt;&gt;"), ""),IF($B$14&lt;Klisz_Verbräuche[[#Headers],[2022]],IF(COUNTIF($G139:Klisz_Verbräuche[[#This Row],[2021]],"&gt;0")&gt;0,IF(COUNTIF($G139:Klisz_Verbräuche[[#This Row],[2021]],"&gt;0")&gt;0,Klisz_Verbräuche[[#This Row],[2021]]*(1-$F139)^1, ""), ""),IF($B$14&gt;Klisz_Verbräuche[[#Headers],[2022]],Refsz_Verbräuche[[#This Row],[2022]],"")))</f>
        <v/>
      </c>
      <c r="O139" s="49" t="str">
        <f>IF(Klisz_Verbräuche[[#Headers],[2023]]=$B$14,IF(COUNTIF($G139:Klisz_Verbräuche[[#This Row],[2022]],"&gt;0")&gt;0, AVERAGEIF($G139:Klisz_Verbräuche[[#This Row],[2022]],"&lt;&gt;"), ""),IF($B$14&lt;Klisz_Verbräuche[[#Headers],[2023]],IF(COUNTIF($G139:Klisz_Verbräuche[[#This Row],[2022]],"&gt;0")&gt;0,IF(COUNTIF($G139:Klisz_Verbräuche[[#This Row],[2022]],"&gt;0")&gt;0,Klisz_Verbräuche[[#This Row],[2022]]*(1-$F139)^1, ""), ""),IF($B$14&gt;Klisz_Verbräuche[[#Headers],[2023]],Refsz_Verbräuche[[#This Row],[2023]],"")))</f>
        <v/>
      </c>
      <c r="P139" s="49" t="str">
        <f>IF(Klisz_Verbräuche[[#Headers],[2024]]=$B$14,IF(COUNTIF($G139:Klisz_Verbräuche[[#This Row],[2023]],"&gt;0")&gt;0, AVERAGEIF($G139:Klisz_Verbräuche[[#This Row],[2023]],"&lt;&gt;"), ""),IF($B$14&lt;Klisz_Verbräuche[[#Headers],[2024]],IF(COUNTIF($G139:Klisz_Verbräuche[[#This Row],[2023]],"&gt;0")&gt;0,IF(COUNTIF($G139:Klisz_Verbräuche[[#This Row],[2023]],"&gt;0")&gt;0,Klisz_Verbräuche[[#This Row],[2023]]*(1-$F139)^1, ""), ""),IF($B$14&gt;Klisz_Verbräuche[[#Headers],[2024]],Refsz_Verbräuche[[#This Row],[2024]],"")))</f>
        <v/>
      </c>
      <c r="Q139" s="49" t="str">
        <f>IF(Klisz_Verbräuche[[#Headers],[2025]]=$B$14,IF(COUNTIF($G139:Klisz_Verbräuche[[#This Row],[2024]],"&gt;0")&gt;0, AVERAGEIF($G139:Klisz_Verbräuche[[#This Row],[2024]],"&lt;&gt;"), ""),IF($B$14&lt;Klisz_Verbräuche[[#Headers],[2025]],IF(COUNTIF($G139:Klisz_Verbräuche[[#This Row],[2024]],"&gt;0")&gt;0,IF(COUNTIF($G139:Klisz_Verbräuche[[#This Row],[2024]],"&gt;0")&gt;0,Klisz_Verbräuche[[#This Row],[2024]]*(1-$F139)^1, ""), ""),IF($B$14&gt;Klisz_Verbräuche[[#Headers],[2025]],Refsz_Verbräuche[[#This Row],[2025]],"")))</f>
        <v/>
      </c>
      <c r="R139" s="49" t="str">
        <f>IF(Klisz_Verbräuche[[#Headers],[2026]]=$B$14,IF(COUNTIF($G139:Klisz_Verbräuche[[#This Row],[2025]],"&gt;0")&gt;0, AVERAGEIF($G139:Klisz_Verbräuche[[#This Row],[2025]],"&lt;&gt;"), ""),IF($B$14&lt;Klisz_Verbräuche[[#Headers],[2026]],IF(COUNTIF($G139:Klisz_Verbräuche[[#This Row],[2025]],"&gt;0")&gt;0,IF(COUNTIF($G139:Klisz_Verbräuche[[#This Row],[2025]],"&gt;0")&gt;0,Klisz_Verbräuche[[#This Row],[2025]]*(1-$F139)^1, ""), ""),IF($B$14&gt;Klisz_Verbräuche[[#Headers],[2026]],Refsz_Verbräuche[[#This Row],[2026]],"")))</f>
        <v/>
      </c>
      <c r="S139" s="49" t="str">
        <f>IF(Klisz_Verbräuche[[#Headers],[2027]]=$B$14,IF(COUNTIF($G139:Klisz_Verbräuche[[#This Row],[2026]],"&gt;0")&gt;0, AVERAGEIF($G139:Klisz_Verbräuche[[#This Row],[2026]],"&lt;&gt;"), ""),IF($B$14&lt;Klisz_Verbräuche[[#Headers],[2027]],IF(COUNTIF($G139:Klisz_Verbräuche[[#This Row],[2026]],"&gt;0")&gt;0,IF(COUNTIF($G139:Klisz_Verbräuche[[#This Row],[2026]],"&gt;0")&gt;0,Klisz_Verbräuche[[#This Row],[2026]]*(1-$F139)^1, ""), ""),IF($B$14&gt;Klisz_Verbräuche[[#Headers],[2027]],Refsz_Verbräuche[[#This Row],[2027]],"")))</f>
        <v/>
      </c>
      <c r="T139" s="49" t="str">
        <f>IF(Klisz_Verbräuche[[#Headers],[2028]]=$B$14,IF(COUNTIF($G139:Klisz_Verbräuche[[#This Row],[2027]],"&gt;0")&gt;0, AVERAGEIF($G139:Klisz_Verbräuche[[#This Row],[2027]],"&lt;&gt;"), ""),IF($B$14&lt;Klisz_Verbräuche[[#Headers],[2028]],IF(COUNTIF($G139:Klisz_Verbräuche[[#This Row],[2027]],"&gt;0")&gt;0,IF(COUNTIF($G139:Klisz_Verbräuche[[#This Row],[2027]],"&gt;0")&gt;0,Klisz_Verbräuche[[#This Row],[2027]]*(1-$F139)^1, ""), ""),IF($B$14&gt;Klisz_Verbräuche[[#Headers],[2028]],Refsz_Verbräuche[[#This Row],[2028]],"")))</f>
        <v/>
      </c>
      <c r="U139" s="49" t="str">
        <f>IF(Klisz_Verbräuche[[#Headers],[2029]]=$B$14,IF(COUNTIF($G139:Klisz_Verbräuche[[#This Row],[2028]],"&gt;0")&gt;0, AVERAGEIF($G139:Klisz_Verbräuche[[#This Row],[2028]],"&lt;&gt;"), ""),IF($B$14&lt;Klisz_Verbräuche[[#Headers],[2029]],IF(COUNTIF($G139:Klisz_Verbräuche[[#This Row],[2028]],"&gt;0")&gt;0,IF(COUNTIF($G139:Klisz_Verbräuche[[#This Row],[2028]],"&gt;0")&gt;0,Klisz_Verbräuche[[#This Row],[2028]]*(1-$F139)^1, ""), ""),IF($B$14&gt;Klisz_Verbräuche[[#Headers],[2029]],Refsz_Verbräuche[[#This Row],[2029]],"")))</f>
        <v/>
      </c>
      <c r="V139" s="49" t="str">
        <f>IF(Klisz_Verbräuche[[#Headers],[2030]]=$B$14,IF(COUNTIF($G139:Klisz_Verbräuche[[#This Row],[2029]],"&gt;0")&gt;0, AVERAGEIF($G139:Klisz_Verbräuche[[#This Row],[2029]],"&lt;&gt;"), ""),IF($B$14&lt;Klisz_Verbräuche[[#Headers],[2030]],IF(COUNTIF($G139:Klisz_Verbräuche[[#This Row],[2029]],"&gt;0")&gt;0,IF(COUNTIF($G139:Klisz_Verbräuche[[#This Row],[2029]],"&gt;0")&gt;0,Klisz_Verbräuche[[#This Row],[2029]]*(1-$F139)^1, ""), ""),IF($B$14&gt;Klisz_Verbräuche[[#Headers],[2030]],Refsz_Verbräuche[[#This Row],[2030]],"")))</f>
        <v/>
      </c>
      <c r="W139" s="49" t="str">
        <f>IF(Klisz_Verbräuche[[#Headers],[2035]]=$B$14,IF(COUNTIF($G139:Klisz_Verbräuche[[#This Row],[2030]],"&gt;0")&gt;0, AVERAGEIF($G139:Klisz_Verbräuche[[#This Row],[2030]],"&lt;&gt;"), ""),IF($B$14&lt;Klisz_Verbräuche[[#Headers],[2035]],IF(COUNTIF($G139:Klisz_Verbräuche[[#This Row],[2030]],"&gt;0")&gt;0,IF(COUNTIF($G139:Klisz_Verbräuche[[#This Row],[2030]],"&gt;0")&gt;0,Klisz_Verbräuche[[#This Row],[2030]]*(1-$F139)^5, ""), ""),IF($B$14&gt;Klisz_Verbräuche[[#Headers],[2035]],Refsz_Verbräuche[[#This Row],[2035]],"")))</f>
        <v/>
      </c>
      <c r="X139" s="49" t="str">
        <f>IF(Klisz_Verbräuche[[#Headers],[2040]]=$B$14,IF(COUNTIF($G139:Klisz_Verbräuche[[#This Row],[2035]],"&gt;0")&gt;0, AVERAGEIF($G139:Klisz_Verbräuche[[#This Row],[2035]],"&lt;&gt;"), ""),IF($B$14&lt;Klisz_Verbräuche[[#Headers],[2040]],IF(COUNTIF($G139:Klisz_Verbräuche[[#This Row],[2035]],"&gt;0")&gt;0,IF(COUNTIF($G139:Klisz_Verbräuche[[#This Row],[2035]],"&gt;0")&gt;0,Klisz_Verbräuche[[#This Row],[2035]]*(1-$F139)^5, ""), ""),IF($B$14&gt;Klisz_Verbräuche[[#Headers],[2040]],Refsz_Verbräuche[[#This Row],[2040]],"")))</f>
        <v/>
      </c>
      <c r="Y139" s="49" t="str">
        <f>IF(Klisz_Verbräuche[[#Headers],[2045]]=$B$14,IF(COUNTIF($G139:Klisz_Verbräuche[[#This Row],[2040]],"&gt;0")&gt;0, AVERAGEIF($G139:Klisz_Verbräuche[[#This Row],[2040]],"&lt;&gt;"), ""),IF($B$14&lt;Klisz_Verbräuche[[#Headers],[2045]],IF(COUNTIF($G139:Klisz_Verbräuche[[#This Row],[2040]],"&gt;0")&gt;0,IF(COUNTIF($G139:Klisz_Verbräuche[[#This Row],[2040]],"&gt;0")&gt;0,Klisz_Verbräuche[[#This Row],[2040]]*(1-$F139)^5, ""), ""),IF($B$14&gt;Klisz_Verbräuche[[#Headers],[2045]],Refsz_Verbräuche[[#This Row],[2045]],"")))</f>
        <v/>
      </c>
      <c r="Z139" s="49" t="str">
        <f>IF(Klisz_Verbräuche[[#Headers],[2050]]=$B$14,IF(COUNTIF($G139:Klisz_Verbräuche[[#This Row],[2045]],"&gt;0")&gt;0, AVERAGEIF($G139:Klisz_Verbräuche[[#This Row],[2045]],"&lt;&gt;"), ""),IF($B$14&lt;Klisz_Verbräuche[[#Headers],[2050]],IF(COUNTIF($G139:Klisz_Verbräuche[[#This Row],[2045]],"&gt;0")&gt;0,IF(COUNTIF($G139:Klisz_Verbräuche[[#This Row],[2045]],"&gt;0")&gt;0,Klisz_Verbräuche[[#This Row],[2045]]*(1-$F139)^5, ""), ""),IF($B$14&gt;Klisz_Verbräuche[[#Headers],[2050]],Refsz_Verbräuche[[#This Row],[2050]],"")))</f>
        <v/>
      </c>
      <c r="AA139" s="14"/>
    </row>
    <row r="140" spans="2:27">
      <c r="B140" s="14">
        <v>123</v>
      </c>
      <c r="C140" s="197" t="str">
        <f>Refsz_Verbräuche[[#This Row],[Handlungsfeld]]</f>
        <v>Baugüter</v>
      </c>
      <c r="D140" s="19" t="str">
        <f>Refsz_Verbräuche[[#This Row],[Datenpunkt]]</f>
        <v>Porenbetonstein</v>
      </c>
      <c r="E140" s="26" t="str">
        <f>Refsz_Verbräuche[[#This Row],[Einheit]]</f>
        <v>kg</v>
      </c>
      <c r="F140" s="108"/>
      <c r="G140" s="14" t="str">
        <f>IF(ISBLANK(Refsz_Verbräuche[[#This Row],[2015]]),"",Refsz_Verbräuche[[#This Row],[2015]])</f>
        <v/>
      </c>
      <c r="H140" s="14" t="str">
        <f>IF(ISBLANK(Refsz_Verbräuche[[#This Row],[2016]]),"",Refsz_Verbräuche[[#This Row],[2016]])</f>
        <v/>
      </c>
      <c r="I140" s="14" t="str">
        <f>IF(ISBLANK(Refsz_Verbräuche[[#This Row],[2017]]),"",Refsz_Verbräuche[[#This Row],[2017]])</f>
        <v/>
      </c>
      <c r="J140" s="14" t="str">
        <f>IF(ISBLANK(Refsz_Verbräuche[[#This Row],[2018]]),"",Refsz_Verbräuche[[#This Row],[2018]])</f>
        <v/>
      </c>
      <c r="K140" s="14" t="str">
        <f>IF(ISBLANK(Refsz_Verbräuche[[#This Row],[2019]]),"",Refsz_Verbräuche[[#This Row],[2019]])</f>
        <v/>
      </c>
      <c r="L140" s="14" t="str">
        <f>IF(ISBLANK(Refsz_Verbräuche[[#This Row],[2020]]),"",Refsz_Verbräuche[[#This Row],[2020]])</f>
        <v/>
      </c>
      <c r="M140" s="14" t="str">
        <f>IF(ISBLANK(Refsz_Verbräuche[[#This Row],[2021]]),"",Refsz_Verbräuche[[#This Row],[2021]])</f>
        <v/>
      </c>
      <c r="N140" s="49" t="str">
        <f>IF(Klisz_Verbräuche[[#Headers],[2022]]=$B$14,IF(COUNTIF($G140:Klisz_Verbräuche[[#This Row],[2021]],"&gt;0")&gt;0, AVERAGEIF($G140:Klisz_Verbräuche[[#This Row],[2021]],"&lt;&gt;"), ""),IF($B$14&lt;Klisz_Verbräuche[[#Headers],[2022]],IF(COUNTIF($G140:Klisz_Verbräuche[[#This Row],[2021]],"&gt;0")&gt;0,IF(COUNTIF($G140:Klisz_Verbräuche[[#This Row],[2021]],"&gt;0")&gt;0,Klisz_Verbräuche[[#This Row],[2021]]*(1-$F140)^1, ""), ""),IF($B$14&gt;Klisz_Verbräuche[[#Headers],[2022]],Refsz_Verbräuche[[#This Row],[2022]],"")))</f>
        <v/>
      </c>
      <c r="O140" s="49" t="str">
        <f>IF(Klisz_Verbräuche[[#Headers],[2023]]=$B$14,IF(COUNTIF($G140:Klisz_Verbräuche[[#This Row],[2022]],"&gt;0")&gt;0, AVERAGEIF($G140:Klisz_Verbräuche[[#This Row],[2022]],"&lt;&gt;"), ""),IF($B$14&lt;Klisz_Verbräuche[[#Headers],[2023]],IF(COUNTIF($G140:Klisz_Verbräuche[[#This Row],[2022]],"&gt;0")&gt;0,IF(COUNTIF($G140:Klisz_Verbräuche[[#This Row],[2022]],"&gt;0")&gt;0,Klisz_Verbräuche[[#This Row],[2022]]*(1-$F140)^1, ""), ""),IF($B$14&gt;Klisz_Verbräuche[[#Headers],[2023]],Refsz_Verbräuche[[#This Row],[2023]],"")))</f>
        <v/>
      </c>
      <c r="P140" s="49" t="str">
        <f>IF(Klisz_Verbräuche[[#Headers],[2024]]=$B$14,IF(COUNTIF($G140:Klisz_Verbräuche[[#This Row],[2023]],"&gt;0")&gt;0, AVERAGEIF($G140:Klisz_Verbräuche[[#This Row],[2023]],"&lt;&gt;"), ""),IF($B$14&lt;Klisz_Verbräuche[[#Headers],[2024]],IF(COUNTIF($G140:Klisz_Verbräuche[[#This Row],[2023]],"&gt;0")&gt;0,IF(COUNTIF($G140:Klisz_Verbräuche[[#This Row],[2023]],"&gt;0")&gt;0,Klisz_Verbräuche[[#This Row],[2023]]*(1-$F140)^1, ""), ""),IF($B$14&gt;Klisz_Verbräuche[[#Headers],[2024]],Refsz_Verbräuche[[#This Row],[2024]],"")))</f>
        <v/>
      </c>
      <c r="Q140" s="49" t="str">
        <f>IF(Klisz_Verbräuche[[#Headers],[2025]]=$B$14,IF(COUNTIF($G140:Klisz_Verbräuche[[#This Row],[2024]],"&gt;0")&gt;0, AVERAGEIF($G140:Klisz_Verbräuche[[#This Row],[2024]],"&lt;&gt;"), ""),IF($B$14&lt;Klisz_Verbräuche[[#Headers],[2025]],IF(COUNTIF($G140:Klisz_Verbräuche[[#This Row],[2024]],"&gt;0")&gt;0,IF(COUNTIF($G140:Klisz_Verbräuche[[#This Row],[2024]],"&gt;0")&gt;0,Klisz_Verbräuche[[#This Row],[2024]]*(1-$F140)^1, ""), ""),IF($B$14&gt;Klisz_Verbräuche[[#Headers],[2025]],Refsz_Verbräuche[[#This Row],[2025]],"")))</f>
        <v/>
      </c>
      <c r="R140" s="49" t="str">
        <f>IF(Klisz_Verbräuche[[#Headers],[2026]]=$B$14,IF(COUNTIF($G140:Klisz_Verbräuche[[#This Row],[2025]],"&gt;0")&gt;0, AVERAGEIF($G140:Klisz_Verbräuche[[#This Row],[2025]],"&lt;&gt;"), ""),IF($B$14&lt;Klisz_Verbräuche[[#Headers],[2026]],IF(COUNTIF($G140:Klisz_Verbräuche[[#This Row],[2025]],"&gt;0")&gt;0,IF(COUNTIF($G140:Klisz_Verbräuche[[#This Row],[2025]],"&gt;0")&gt;0,Klisz_Verbräuche[[#This Row],[2025]]*(1-$F140)^1, ""), ""),IF($B$14&gt;Klisz_Verbräuche[[#Headers],[2026]],Refsz_Verbräuche[[#This Row],[2026]],"")))</f>
        <v/>
      </c>
      <c r="S140" s="49" t="str">
        <f>IF(Klisz_Verbräuche[[#Headers],[2027]]=$B$14,IF(COUNTIF($G140:Klisz_Verbräuche[[#This Row],[2026]],"&gt;0")&gt;0, AVERAGEIF($G140:Klisz_Verbräuche[[#This Row],[2026]],"&lt;&gt;"), ""),IF($B$14&lt;Klisz_Verbräuche[[#Headers],[2027]],IF(COUNTIF($G140:Klisz_Verbräuche[[#This Row],[2026]],"&gt;0")&gt;0,IF(COUNTIF($G140:Klisz_Verbräuche[[#This Row],[2026]],"&gt;0")&gt;0,Klisz_Verbräuche[[#This Row],[2026]]*(1-$F140)^1, ""), ""),IF($B$14&gt;Klisz_Verbräuche[[#Headers],[2027]],Refsz_Verbräuche[[#This Row],[2027]],"")))</f>
        <v/>
      </c>
      <c r="T140" s="49" t="str">
        <f>IF(Klisz_Verbräuche[[#Headers],[2028]]=$B$14,IF(COUNTIF($G140:Klisz_Verbräuche[[#This Row],[2027]],"&gt;0")&gt;0, AVERAGEIF($G140:Klisz_Verbräuche[[#This Row],[2027]],"&lt;&gt;"), ""),IF($B$14&lt;Klisz_Verbräuche[[#Headers],[2028]],IF(COUNTIF($G140:Klisz_Verbräuche[[#This Row],[2027]],"&gt;0")&gt;0,IF(COUNTIF($G140:Klisz_Verbräuche[[#This Row],[2027]],"&gt;0")&gt;0,Klisz_Verbräuche[[#This Row],[2027]]*(1-$F140)^1, ""), ""),IF($B$14&gt;Klisz_Verbräuche[[#Headers],[2028]],Refsz_Verbräuche[[#This Row],[2028]],"")))</f>
        <v/>
      </c>
      <c r="U140" s="49" t="str">
        <f>IF(Klisz_Verbräuche[[#Headers],[2029]]=$B$14,IF(COUNTIF($G140:Klisz_Verbräuche[[#This Row],[2028]],"&gt;0")&gt;0, AVERAGEIF($G140:Klisz_Verbräuche[[#This Row],[2028]],"&lt;&gt;"), ""),IF($B$14&lt;Klisz_Verbräuche[[#Headers],[2029]],IF(COUNTIF($G140:Klisz_Verbräuche[[#This Row],[2028]],"&gt;0")&gt;0,IF(COUNTIF($G140:Klisz_Verbräuche[[#This Row],[2028]],"&gt;0")&gt;0,Klisz_Verbräuche[[#This Row],[2028]]*(1-$F140)^1, ""), ""),IF($B$14&gt;Klisz_Verbräuche[[#Headers],[2029]],Refsz_Verbräuche[[#This Row],[2029]],"")))</f>
        <v/>
      </c>
      <c r="V140" s="49" t="str">
        <f>IF(Klisz_Verbräuche[[#Headers],[2030]]=$B$14,IF(COUNTIF($G140:Klisz_Verbräuche[[#This Row],[2029]],"&gt;0")&gt;0, AVERAGEIF($G140:Klisz_Verbräuche[[#This Row],[2029]],"&lt;&gt;"), ""),IF($B$14&lt;Klisz_Verbräuche[[#Headers],[2030]],IF(COUNTIF($G140:Klisz_Verbräuche[[#This Row],[2029]],"&gt;0")&gt;0,IF(COUNTIF($G140:Klisz_Verbräuche[[#This Row],[2029]],"&gt;0")&gt;0,Klisz_Verbräuche[[#This Row],[2029]]*(1-$F140)^1, ""), ""),IF($B$14&gt;Klisz_Verbräuche[[#Headers],[2030]],Refsz_Verbräuche[[#This Row],[2030]],"")))</f>
        <v/>
      </c>
      <c r="W140" s="49" t="str">
        <f>IF(Klisz_Verbräuche[[#Headers],[2035]]=$B$14,IF(COUNTIF($G140:Klisz_Verbräuche[[#This Row],[2030]],"&gt;0")&gt;0, AVERAGEIF($G140:Klisz_Verbräuche[[#This Row],[2030]],"&lt;&gt;"), ""),IF($B$14&lt;Klisz_Verbräuche[[#Headers],[2035]],IF(COUNTIF($G140:Klisz_Verbräuche[[#This Row],[2030]],"&gt;0")&gt;0,IF(COUNTIF($G140:Klisz_Verbräuche[[#This Row],[2030]],"&gt;0")&gt;0,Klisz_Verbräuche[[#This Row],[2030]]*(1-$F140)^5, ""), ""),IF($B$14&gt;Klisz_Verbräuche[[#Headers],[2035]],Refsz_Verbräuche[[#This Row],[2035]],"")))</f>
        <v/>
      </c>
      <c r="X140" s="49" t="str">
        <f>IF(Klisz_Verbräuche[[#Headers],[2040]]=$B$14,IF(COUNTIF($G140:Klisz_Verbräuche[[#This Row],[2035]],"&gt;0")&gt;0, AVERAGEIF($G140:Klisz_Verbräuche[[#This Row],[2035]],"&lt;&gt;"), ""),IF($B$14&lt;Klisz_Verbräuche[[#Headers],[2040]],IF(COUNTIF($G140:Klisz_Verbräuche[[#This Row],[2035]],"&gt;0")&gt;0,IF(COUNTIF($G140:Klisz_Verbräuche[[#This Row],[2035]],"&gt;0")&gt;0,Klisz_Verbräuche[[#This Row],[2035]]*(1-$F140)^5, ""), ""),IF($B$14&gt;Klisz_Verbräuche[[#Headers],[2040]],Refsz_Verbräuche[[#This Row],[2040]],"")))</f>
        <v/>
      </c>
      <c r="Y140" s="49" t="str">
        <f>IF(Klisz_Verbräuche[[#Headers],[2045]]=$B$14,IF(COUNTIF($G140:Klisz_Verbräuche[[#This Row],[2040]],"&gt;0")&gt;0, AVERAGEIF($G140:Klisz_Verbräuche[[#This Row],[2040]],"&lt;&gt;"), ""),IF($B$14&lt;Klisz_Verbräuche[[#Headers],[2045]],IF(COUNTIF($G140:Klisz_Verbräuche[[#This Row],[2040]],"&gt;0")&gt;0,IF(COUNTIF($G140:Klisz_Verbräuche[[#This Row],[2040]],"&gt;0")&gt;0,Klisz_Verbräuche[[#This Row],[2040]]*(1-$F140)^5, ""), ""),IF($B$14&gt;Klisz_Verbräuche[[#Headers],[2045]],Refsz_Verbräuche[[#This Row],[2045]],"")))</f>
        <v/>
      </c>
      <c r="Z140" s="49" t="str">
        <f>IF(Klisz_Verbräuche[[#Headers],[2050]]=$B$14,IF(COUNTIF($G140:Klisz_Verbräuche[[#This Row],[2045]],"&gt;0")&gt;0, AVERAGEIF($G140:Klisz_Verbräuche[[#This Row],[2045]],"&lt;&gt;"), ""),IF($B$14&lt;Klisz_Verbräuche[[#Headers],[2050]],IF(COUNTIF($G140:Klisz_Verbräuche[[#This Row],[2045]],"&gt;0")&gt;0,IF(COUNTIF($G140:Klisz_Verbräuche[[#This Row],[2045]],"&gt;0")&gt;0,Klisz_Verbräuche[[#This Row],[2045]]*(1-$F140)^5, ""), ""),IF($B$14&gt;Klisz_Verbräuche[[#Headers],[2050]],Refsz_Verbräuche[[#This Row],[2050]],"")))</f>
        <v/>
      </c>
      <c r="AA140" s="14"/>
    </row>
    <row r="141" spans="2:27">
      <c r="B141" s="14">
        <v>124</v>
      </c>
      <c r="C141" s="197" t="str">
        <f>Refsz_Verbräuche[[#This Row],[Handlungsfeld]]</f>
        <v>Baugüter</v>
      </c>
      <c r="D141" s="19" t="str">
        <f>Refsz_Verbräuche[[#This Row],[Datenpunkt]]</f>
        <v>Steinwolle</v>
      </c>
      <c r="E141" s="26" t="str">
        <f>Refsz_Verbräuche[[#This Row],[Einheit]]</f>
        <v>kg</v>
      </c>
      <c r="F141" s="108"/>
      <c r="G141" s="14" t="str">
        <f>IF(ISBLANK(Refsz_Verbräuche[[#This Row],[2015]]),"",Refsz_Verbräuche[[#This Row],[2015]])</f>
        <v/>
      </c>
      <c r="H141" s="14" t="str">
        <f>IF(ISBLANK(Refsz_Verbräuche[[#This Row],[2016]]),"",Refsz_Verbräuche[[#This Row],[2016]])</f>
        <v/>
      </c>
      <c r="I141" s="14" t="str">
        <f>IF(ISBLANK(Refsz_Verbräuche[[#This Row],[2017]]),"",Refsz_Verbräuche[[#This Row],[2017]])</f>
        <v/>
      </c>
      <c r="J141" s="14" t="str">
        <f>IF(ISBLANK(Refsz_Verbräuche[[#This Row],[2018]]),"",Refsz_Verbräuche[[#This Row],[2018]])</f>
        <v/>
      </c>
      <c r="K141" s="14" t="str">
        <f>IF(ISBLANK(Refsz_Verbräuche[[#This Row],[2019]]),"",Refsz_Verbräuche[[#This Row],[2019]])</f>
        <v/>
      </c>
      <c r="L141" s="14" t="str">
        <f>IF(ISBLANK(Refsz_Verbräuche[[#This Row],[2020]]),"",Refsz_Verbräuche[[#This Row],[2020]])</f>
        <v/>
      </c>
      <c r="M141" s="14" t="str">
        <f>IF(ISBLANK(Refsz_Verbräuche[[#This Row],[2021]]),"",Refsz_Verbräuche[[#This Row],[2021]])</f>
        <v/>
      </c>
      <c r="N141" s="49" t="str">
        <f>IF(Klisz_Verbräuche[[#Headers],[2022]]=$B$14,IF(COUNTIF($G141:Klisz_Verbräuche[[#This Row],[2021]],"&gt;0")&gt;0, AVERAGEIF($G141:Klisz_Verbräuche[[#This Row],[2021]],"&lt;&gt;"), ""),IF($B$14&lt;Klisz_Verbräuche[[#Headers],[2022]],IF(COUNTIF($G141:Klisz_Verbräuche[[#This Row],[2021]],"&gt;0")&gt;0,IF(COUNTIF($G141:Klisz_Verbräuche[[#This Row],[2021]],"&gt;0")&gt;0,Klisz_Verbräuche[[#This Row],[2021]]*(1-$F141)^1, ""), ""),IF($B$14&gt;Klisz_Verbräuche[[#Headers],[2022]],Refsz_Verbräuche[[#This Row],[2022]],"")))</f>
        <v/>
      </c>
      <c r="O141" s="49" t="str">
        <f>IF(Klisz_Verbräuche[[#Headers],[2023]]=$B$14,IF(COUNTIF($G141:Klisz_Verbräuche[[#This Row],[2022]],"&gt;0")&gt;0, AVERAGEIF($G141:Klisz_Verbräuche[[#This Row],[2022]],"&lt;&gt;"), ""),IF($B$14&lt;Klisz_Verbräuche[[#Headers],[2023]],IF(COUNTIF($G141:Klisz_Verbräuche[[#This Row],[2022]],"&gt;0")&gt;0,IF(COUNTIF($G141:Klisz_Verbräuche[[#This Row],[2022]],"&gt;0")&gt;0,Klisz_Verbräuche[[#This Row],[2022]]*(1-$F141)^1, ""), ""),IF($B$14&gt;Klisz_Verbräuche[[#Headers],[2023]],Refsz_Verbräuche[[#This Row],[2023]],"")))</f>
        <v/>
      </c>
      <c r="P141" s="49" t="str">
        <f>IF(Klisz_Verbräuche[[#Headers],[2024]]=$B$14,IF(COUNTIF($G141:Klisz_Verbräuche[[#This Row],[2023]],"&gt;0")&gt;0, AVERAGEIF($G141:Klisz_Verbräuche[[#This Row],[2023]],"&lt;&gt;"), ""),IF($B$14&lt;Klisz_Verbräuche[[#Headers],[2024]],IF(COUNTIF($G141:Klisz_Verbräuche[[#This Row],[2023]],"&gt;0")&gt;0,IF(COUNTIF($G141:Klisz_Verbräuche[[#This Row],[2023]],"&gt;0")&gt;0,Klisz_Verbräuche[[#This Row],[2023]]*(1-$F141)^1, ""), ""),IF($B$14&gt;Klisz_Verbräuche[[#Headers],[2024]],Refsz_Verbräuche[[#This Row],[2024]],"")))</f>
        <v/>
      </c>
      <c r="Q141" s="49" t="str">
        <f>IF(Klisz_Verbräuche[[#Headers],[2025]]=$B$14,IF(COUNTIF($G141:Klisz_Verbräuche[[#This Row],[2024]],"&gt;0")&gt;0, AVERAGEIF($G141:Klisz_Verbräuche[[#This Row],[2024]],"&lt;&gt;"), ""),IF($B$14&lt;Klisz_Verbräuche[[#Headers],[2025]],IF(COUNTIF($G141:Klisz_Verbräuche[[#This Row],[2024]],"&gt;0")&gt;0,IF(COUNTIF($G141:Klisz_Verbräuche[[#This Row],[2024]],"&gt;0")&gt;0,Klisz_Verbräuche[[#This Row],[2024]]*(1-$F141)^1, ""), ""),IF($B$14&gt;Klisz_Verbräuche[[#Headers],[2025]],Refsz_Verbräuche[[#This Row],[2025]],"")))</f>
        <v/>
      </c>
      <c r="R141" s="49" t="str">
        <f>IF(Klisz_Verbräuche[[#Headers],[2026]]=$B$14,IF(COUNTIF($G141:Klisz_Verbräuche[[#This Row],[2025]],"&gt;0")&gt;0, AVERAGEIF($G141:Klisz_Verbräuche[[#This Row],[2025]],"&lt;&gt;"), ""),IF($B$14&lt;Klisz_Verbräuche[[#Headers],[2026]],IF(COUNTIF($G141:Klisz_Verbräuche[[#This Row],[2025]],"&gt;0")&gt;0,IF(COUNTIF($G141:Klisz_Verbräuche[[#This Row],[2025]],"&gt;0")&gt;0,Klisz_Verbräuche[[#This Row],[2025]]*(1-$F141)^1, ""), ""),IF($B$14&gt;Klisz_Verbräuche[[#Headers],[2026]],Refsz_Verbräuche[[#This Row],[2026]],"")))</f>
        <v/>
      </c>
      <c r="S141" s="49" t="str">
        <f>IF(Klisz_Verbräuche[[#Headers],[2027]]=$B$14,IF(COUNTIF($G141:Klisz_Verbräuche[[#This Row],[2026]],"&gt;0")&gt;0, AVERAGEIF($G141:Klisz_Verbräuche[[#This Row],[2026]],"&lt;&gt;"), ""),IF($B$14&lt;Klisz_Verbräuche[[#Headers],[2027]],IF(COUNTIF($G141:Klisz_Verbräuche[[#This Row],[2026]],"&gt;0")&gt;0,IF(COUNTIF($G141:Klisz_Verbräuche[[#This Row],[2026]],"&gt;0")&gt;0,Klisz_Verbräuche[[#This Row],[2026]]*(1-$F141)^1, ""), ""),IF($B$14&gt;Klisz_Verbräuche[[#Headers],[2027]],Refsz_Verbräuche[[#This Row],[2027]],"")))</f>
        <v/>
      </c>
      <c r="T141" s="49" t="str">
        <f>IF(Klisz_Verbräuche[[#Headers],[2028]]=$B$14,IF(COUNTIF($G141:Klisz_Verbräuche[[#This Row],[2027]],"&gt;0")&gt;0, AVERAGEIF($G141:Klisz_Verbräuche[[#This Row],[2027]],"&lt;&gt;"), ""),IF($B$14&lt;Klisz_Verbräuche[[#Headers],[2028]],IF(COUNTIF($G141:Klisz_Verbräuche[[#This Row],[2027]],"&gt;0")&gt;0,IF(COUNTIF($G141:Klisz_Verbräuche[[#This Row],[2027]],"&gt;0")&gt;0,Klisz_Verbräuche[[#This Row],[2027]]*(1-$F141)^1, ""), ""),IF($B$14&gt;Klisz_Verbräuche[[#Headers],[2028]],Refsz_Verbräuche[[#This Row],[2028]],"")))</f>
        <v/>
      </c>
      <c r="U141" s="49" t="str">
        <f>IF(Klisz_Verbräuche[[#Headers],[2029]]=$B$14,IF(COUNTIF($G141:Klisz_Verbräuche[[#This Row],[2028]],"&gt;0")&gt;0, AVERAGEIF($G141:Klisz_Verbräuche[[#This Row],[2028]],"&lt;&gt;"), ""),IF($B$14&lt;Klisz_Verbräuche[[#Headers],[2029]],IF(COUNTIF($G141:Klisz_Verbräuche[[#This Row],[2028]],"&gt;0")&gt;0,IF(COUNTIF($G141:Klisz_Verbräuche[[#This Row],[2028]],"&gt;0")&gt;0,Klisz_Verbräuche[[#This Row],[2028]]*(1-$F141)^1, ""), ""),IF($B$14&gt;Klisz_Verbräuche[[#Headers],[2029]],Refsz_Verbräuche[[#This Row],[2029]],"")))</f>
        <v/>
      </c>
      <c r="V141" s="49" t="str">
        <f>IF(Klisz_Verbräuche[[#Headers],[2030]]=$B$14,IF(COUNTIF($G141:Klisz_Verbräuche[[#This Row],[2029]],"&gt;0")&gt;0, AVERAGEIF($G141:Klisz_Verbräuche[[#This Row],[2029]],"&lt;&gt;"), ""),IF($B$14&lt;Klisz_Verbräuche[[#Headers],[2030]],IF(COUNTIF($G141:Klisz_Verbräuche[[#This Row],[2029]],"&gt;0")&gt;0,IF(COUNTIF($G141:Klisz_Verbräuche[[#This Row],[2029]],"&gt;0")&gt;0,Klisz_Verbräuche[[#This Row],[2029]]*(1-$F141)^1, ""), ""),IF($B$14&gt;Klisz_Verbräuche[[#Headers],[2030]],Refsz_Verbräuche[[#This Row],[2030]],"")))</f>
        <v/>
      </c>
      <c r="W141" s="49" t="str">
        <f>IF(Klisz_Verbräuche[[#Headers],[2035]]=$B$14,IF(COUNTIF($G141:Klisz_Verbräuche[[#This Row],[2030]],"&gt;0")&gt;0, AVERAGEIF($G141:Klisz_Verbräuche[[#This Row],[2030]],"&lt;&gt;"), ""),IF($B$14&lt;Klisz_Verbräuche[[#Headers],[2035]],IF(COUNTIF($G141:Klisz_Verbräuche[[#This Row],[2030]],"&gt;0")&gt;0,IF(COUNTIF($G141:Klisz_Verbräuche[[#This Row],[2030]],"&gt;0")&gt;0,Klisz_Verbräuche[[#This Row],[2030]]*(1-$F141)^5, ""), ""),IF($B$14&gt;Klisz_Verbräuche[[#Headers],[2035]],Refsz_Verbräuche[[#This Row],[2035]],"")))</f>
        <v/>
      </c>
      <c r="X141" s="49" t="str">
        <f>IF(Klisz_Verbräuche[[#Headers],[2040]]=$B$14,IF(COUNTIF($G141:Klisz_Verbräuche[[#This Row],[2035]],"&gt;0")&gt;0, AVERAGEIF($G141:Klisz_Verbräuche[[#This Row],[2035]],"&lt;&gt;"), ""),IF($B$14&lt;Klisz_Verbräuche[[#Headers],[2040]],IF(COUNTIF($G141:Klisz_Verbräuche[[#This Row],[2035]],"&gt;0")&gt;0,IF(COUNTIF($G141:Klisz_Verbräuche[[#This Row],[2035]],"&gt;0")&gt;0,Klisz_Verbräuche[[#This Row],[2035]]*(1-$F141)^5, ""), ""),IF($B$14&gt;Klisz_Verbräuche[[#Headers],[2040]],Refsz_Verbräuche[[#This Row],[2040]],"")))</f>
        <v/>
      </c>
      <c r="Y141" s="49" t="str">
        <f>IF(Klisz_Verbräuche[[#Headers],[2045]]=$B$14,IF(COUNTIF($G141:Klisz_Verbräuche[[#This Row],[2040]],"&gt;0")&gt;0, AVERAGEIF($G141:Klisz_Verbräuche[[#This Row],[2040]],"&lt;&gt;"), ""),IF($B$14&lt;Klisz_Verbräuche[[#Headers],[2045]],IF(COUNTIF($G141:Klisz_Verbräuche[[#This Row],[2040]],"&gt;0")&gt;0,IF(COUNTIF($G141:Klisz_Verbräuche[[#This Row],[2040]],"&gt;0")&gt;0,Klisz_Verbräuche[[#This Row],[2040]]*(1-$F141)^5, ""), ""),IF($B$14&gt;Klisz_Verbräuche[[#Headers],[2045]],Refsz_Verbräuche[[#This Row],[2045]],"")))</f>
        <v/>
      </c>
      <c r="Z141" s="49" t="str">
        <f>IF(Klisz_Verbräuche[[#Headers],[2050]]=$B$14,IF(COUNTIF($G141:Klisz_Verbräuche[[#This Row],[2045]],"&gt;0")&gt;0, AVERAGEIF($G141:Klisz_Verbräuche[[#This Row],[2045]],"&lt;&gt;"), ""),IF($B$14&lt;Klisz_Verbräuche[[#Headers],[2050]],IF(COUNTIF($G141:Klisz_Verbräuche[[#This Row],[2045]],"&gt;0")&gt;0,IF(COUNTIF($G141:Klisz_Verbräuche[[#This Row],[2045]],"&gt;0")&gt;0,Klisz_Verbräuche[[#This Row],[2045]]*(1-$F141)^5, ""), ""),IF($B$14&gt;Klisz_Verbräuche[[#Headers],[2050]],Refsz_Verbräuche[[#This Row],[2050]],"")))</f>
        <v/>
      </c>
      <c r="AA141" s="14"/>
    </row>
    <row r="142" spans="2:27">
      <c r="B142" s="14">
        <v>125</v>
      </c>
      <c r="C142" s="197" t="str">
        <f>Refsz_Verbräuche[[#This Row],[Handlungsfeld]]</f>
        <v>Baugüter</v>
      </c>
      <c r="D142" s="19" t="str">
        <f>Refsz_Verbräuche[[#This Row],[Datenpunkt]]</f>
        <v>Tonziegel (fürs Dach)</v>
      </c>
      <c r="E142" s="26" t="str">
        <f>Refsz_Verbräuche[[#This Row],[Einheit]]</f>
        <v>kg</v>
      </c>
      <c r="F142" s="108"/>
      <c r="G142" s="14" t="str">
        <f>IF(ISBLANK(Refsz_Verbräuche[[#This Row],[2015]]),"",Refsz_Verbräuche[[#This Row],[2015]])</f>
        <v/>
      </c>
      <c r="H142" s="14" t="str">
        <f>IF(ISBLANK(Refsz_Verbräuche[[#This Row],[2016]]),"",Refsz_Verbräuche[[#This Row],[2016]])</f>
        <v/>
      </c>
      <c r="I142" s="14" t="str">
        <f>IF(ISBLANK(Refsz_Verbräuche[[#This Row],[2017]]),"",Refsz_Verbräuche[[#This Row],[2017]])</f>
        <v/>
      </c>
      <c r="J142" s="14" t="str">
        <f>IF(ISBLANK(Refsz_Verbräuche[[#This Row],[2018]]),"",Refsz_Verbräuche[[#This Row],[2018]])</f>
        <v/>
      </c>
      <c r="K142" s="14" t="str">
        <f>IF(ISBLANK(Refsz_Verbräuche[[#This Row],[2019]]),"",Refsz_Verbräuche[[#This Row],[2019]])</f>
        <v/>
      </c>
      <c r="L142" s="14" t="str">
        <f>IF(ISBLANK(Refsz_Verbräuche[[#This Row],[2020]]),"",Refsz_Verbräuche[[#This Row],[2020]])</f>
        <v/>
      </c>
      <c r="M142" s="14" t="str">
        <f>IF(ISBLANK(Refsz_Verbräuche[[#This Row],[2021]]),"",Refsz_Verbräuche[[#This Row],[2021]])</f>
        <v/>
      </c>
      <c r="N142" s="49" t="str">
        <f>IF(Klisz_Verbräuche[[#Headers],[2022]]=$B$14,IF(COUNTIF($G142:Klisz_Verbräuche[[#This Row],[2021]],"&gt;0")&gt;0, AVERAGEIF($G142:Klisz_Verbräuche[[#This Row],[2021]],"&lt;&gt;"), ""),IF($B$14&lt;Klisz_Verbräuche[[#Headers],[2022]],IF(COUNTIF($G142:Klisz_Verbräuche[[#This Row],[2021]],"&gt;0")&gt;0,IF(COUNTIF($G142:Klisz_Verbräuche[[#This Row],[2021]],"&gt;0")&gt;0,Klisz_Verbräuche[[#This Row],[2021]]*(1-$F142)^1, ""), ""),IF($B$14&gt;Klisz_Verbräuche[[#Headers],[2022]],Refsz_Verbräuche[[#This Row],[2022]],"")))</f>
        <v/>
      </c>
      <c r="O142" s="49" t="str">
        <f>IF(Klisz_Verbräuche[[#Headers],[2023]]=$B$14,IF(COUNTIF($G142:Klisz_Verbräuche[[#This Row],[2022]],"&gt;0")&gt;0, AVERAGEIF($G142:Klisz_Verbräuche[[#This Row],[2022]],"&lt;&gt;"), ""),IF($B$14&lt;Klisz_Verbräuche[[#Headers],[2023]],IF(COUNTIF($G142:Klisz_Verbräuche[[#This Row],[2022]],"&gt;0")&gt;0,IF(COUNTIF($G142:Klisz_Verbräuche[[#This Row],[2022]],"&gt;0")&gt;0,Klisz_Verbräuche[[#This Row],[2022]]*(1-$F142)^1, ""), ""),IF($B$14&gt;Klisz_Verbräuche[[#Headers],[2023]],Refsz_Verbräuche[[#This Row],[2023]],"")))</f>
        <v/>
      </c>
      <c r="P142" s="49" t="str">
        <f>IF(Klisz_Verbräuche[[#Headers],[2024]]=$B$14,IF(COUNTIF($G142:Klisz_Verbräuche[[#This Row],[2023]],"&gt;0")&gt;0, AVERAGEIF($G142:Klisz_Verbräuche[[#This Row],[2023]],"&lt;&gt;"), ""),IF($B$14&lt;Klisz_Verbräuche[[#Headers],[2024]],IF(COUNTIF($G142:Klisz_Verbräuche[[#This Row],[2023]],"&gt;0")&gt;0,IF(COUNTIF($G142:Klisz_Verbräuche[[#This Row],[2023]],"&gt;0")&gt;0,Klisz_Verbräuche[[#This Row],[2023]]*(1-$F142)^1, ""), ""),IF($B$14&gt;Klisz_Verbräuche[[#Headers],[2024]],Refsz_Verbräuche[[#This Row],[2024]],"")))</f>
        <v/>
      </c>
      <c r="Q142" s="49" t="str">
        <f>IF(Klisz_Verbräuche[[#Headers],[2025]]=$B$14,IF(COUNTIF($G142:Klisz_Verbräuche[[#This Row],[2024]],"&gt;0")&gt;0, AVERAGEIF($G142:Klisz_Verbräuche[[#This Row],[2024]],"&lt;&gt;"), ""),IF($B$14&lt;Klisz_Verbräuche[[#Headers],[2025]],IF(COUNTIF($G142:Klisz_Verbräuche[[#This Row],[2024]],"&gt;0")&gt;0,IF(COUNTIF($G142:Klisz_Verbräuche[[#This Row],[2024]],"&gt;0")&gt;0,Klisz_Verbräuche[[#This Row],[2024]]*(1-$F142)^1, ""), ""),IF($B$14&gt;Klisz_Verbräuche[[#Headers],[2025]],Refsz_Verbräuche[[#This Row],[2025]],"")))</f>
        <v/>
      </c>
      <c r="R142" s="49" t="str">
        <f>IF(Klisz_Verbräuche[[#Headers],[2026]]=$B$14,IF(COUNTIF($G142:Klisz_Verbräuche[[#This Row],[2025]],"&gt;0")&gt;0, AVERAGEIF($G142:Klisz_Verbräuche[[#This Row],[2025]],"&lt;&gt;"), ""),IF($B$14&lt;Klisz_Verbräuche[[#Headers],[2026]],IF(COUNTIF($G142:Klisz_Verbräuche[[#This Row],[2025]],"&gt;0")&gt;0,IF(COUNTIF($G142:Klisz_Verbräuche[[#This Row],[2025]],"&gt;0")&gt;0,Klisz_Verbräuche[[#This Row],[2025]]*(1-$F142)^1, ""), ""),IF($B$14&gt;Klisz_Verbräuche[[#Headers],[2026]],Refsz_Verbräuche[[#This Row],[2026]],"")))</f>
        <v/>
      </c>
      <c r="S142" s="49" t="str">
        <f>IF(Klisz_Verbräuche[[#Headers],[2027]]=$B$14,IF(COUNTIF($G142:Klisz_Verbräuche[[#This Row],[2026]],"&gt;0")&gt;0, AVERAGEIF($G142:Klisz_Verbräuche[[#This Row],[2026]],"&lt;&gt;"), ""),IF($B$14&lt;Klisz_Verbräuche[[#Headers],[2027]],IF(COUNTIF($G142:Klisz_Verbräuche[[#This Row],[2026]],"&gt;0")&gt;0,IF(COUNTIF($G142:Klisz_Verbräuche[[#This Row],[2026]],"&gt;0")&gt;0,Klisz_Verbräuche[[#This Row],[2026]]*(1-$F142)^1, ""), ""),IF($B$14&gt;Klisz_Verbräuche[[#Headers],[2027]],Refsz_Verbräuche[[#This Row],[2027]],"")))</f>
        <v/>
      </c>
      <c r="T142" s="49" t="str">
        <f>IF(Klisz_Verbräuche[[#Headers],[2028]]=$B$14,IF(COUNTIF($G142:Klisz_Verbräuche[[#This Row],[2027]],"&gt;0")&gt;0, AVERAGEIF($G142:Klisz_Verbräuche[[#This Row],[2027]],"&lt;&gt;"), ""),IF($B$14&lt;Klisz_Verbräuche[[#Headers],[2028]],IF(COUNTIF($G142:Klisz_Verbräuche[[#This Row],[2027]],"&gt;0")&gt;0,IF(COUNTIF($G142:Klisz_Verbräuche[[#This Row],[2027]],"&gt;0")&gt;0,Klisz_Verbräuche[[#This Row],[2027]]*(1-$F142)^1, ""), ""),IF($B$14&gt;Klisz_Verbräuche[[#Headers],[2028]],Refsz_Verbräuche[[#This Row],[2028]],"")))</f>
        <v/>
      </c>
      <c r="U142" s="49" t="str">
        <f>IF(Klisz_Verbräuche[[#Headers],[2029]]=$B$14,IF(COUNTIF($G142:Klisz_Verbräuche[[#This Row],[2028]],"&gt;0")&gt;0, AVERAGEIF($G142:Klisz_Verbräuche[[#This Row],[2028]],"&lt;&gt;"), ""),IF($B$14&lt;Klisz_Verbräuche[[#Headers],[2029]],IF(COUNTIF($G142:Klisz_Verbräuche[[#This Row],[2028]],"&gt;0")&gt;0,IF(COUNTIF($G142:Klisz_Verbräuche[[#This Row],[2028]],"&gt;0")&gt;0,Klisz_Verbräuche[[#This Row],[2028]]*(1-$F142)^1, ""), ""),IF($B$14&gt;Klisz_Verbräuche[[#Headers],[2029]],Refsz_Verbräuche[[#This Row],[2029]],"")))</f>
        <v/>
      </c>
      <c r="V142" s="49" t="str">
        <f>IF(Klisz_Verbräuche[[#Headers],[2030]]=$B$14,IF(COUNTIF($G142:Klisz_Verbräuche[[#This Row],[2029]],"&gt;0")&gt;0, AVERAGEIF($G142:Klisz_Verbräuche[[#This Row],[2029]],"&lt;&gt;"), ""),IF($B$14&lt;Klisz_Verbräuche[[#Headers],[2030]],IF(COUNTIF($G142:Klisz_Verbräuche[[#This Row],[2029]],"&gt;0")&gt;0,IF(COUNTIF($G142:Klisz_Verbräuche[[#This Row],[2029]],"&gt;0")&gt;0,Klisz_Verbräuche[[#This Row],[2029]]*(1-$F142)^1, ""), ""),IF($B$14&gt;Klisz_Verbräuche[[#Headers],[2030]],Refsz_Verbräuche[[#This Row],[2030]],"")))</f>
        <v/>
      </c>
      <c r="W142" s="49" t="str">
        <f>IF(Klisz_Verbräuche[[#Headers],[2035]]=$B$14,IF(COUNTIF($G142:Klisz_Verbräuche[[#This Row],[2030]],"&gt;0")&gt;0, AVERAGEIF($G142:Klisz_Verbräuche[[#This Row],[2030]],"&lt;&gt;"), ""),IF($B$14&lt;Klisz_Verbräuche[[#Headers],[2035]],IF(COUNTIF($G142:Klisz_Verbräuche[[#This Row],[2030]],"&gt;0")&gt;0,IF(COUNTIF($G142:Klisz_Verbräuche[[#This Row],[2030]],"&gt;0")&gt;0,Klisz_Verbräuche[[#This Row],[2030]]*(1-$F142)^5, ""), ""),IF($B$14&gt;Klisz_Verbräuche[[#Headers],[2035]],Refsz_Verbräuche[[#This Row],[2035]],"")))</f>
        <v/>
      </c>
      <c r="X142" s="49" t="str">
        <f>IF(Klisz_Verbräuche[[#Headers],[2040]]=$B$14,IF(COUNTIF($G142:Klisz_Verbräuche[[#This Row],[2035]],"&gt;0")&gt;0, AVERAGEIF($G142:Klisz_Verbräuche[[#This Row],[2035]],"&lt;&gt;"), ""),IF($B$14&lt;Klisz_Verbräuche[[#Headers],[2040]],IF(COUNTIF($G142:Klisz_Verbräuche[[#This Row],[2035]],"&gt;0")&gt;0,IF(COUNTIF($G142:Klisz_Verbräuche[[#This Row],[2035]],"&gt;0")&gt;0,Klisz_Verbräuche[[#This Row],[2035]]*(1-$F142)^5, ""), ""),IF($B$14&gt;Klisz_Verbräuche[[#Headers],[2040]],Refsz_Verbräuche[[#This Row],[2040]],"")))</f>
        <v/>
      </c>
      <c r="Y142" s="49" t="str">
        <f>IF(Klisz_Verbräuche[[#Headers],[2045]]=$B$14,IF(COUNTIF($G142:Klisz_Verbräuche[[#This Row],[2040]],"&gt;0")&gt;0, AVERAGEIF($G142:Klisz_Verbräuche[[#This Row],[2040]],"&lt;&gt;"), ""),IF($B$14&lt;Klisz_Verbräuche[[#Headers],[2045]],IF(COUNTIF($G142:Klisz_Verbräuche[[#This Row],[2040]],"&gt;0")&gt;0,IF(COUNTIF($G142:Klisz_Verbräuche[[#This Row],[2040]],"&gt;0")&gt;0,Klisz_Verbräuche[[#This Row],[2040]]*(1-$F142)^5, ""), ""),IF($B$14&gt;Klisz_Verbräuche[[#Headers],[2045]],Refsz_Verbräuche[[#This Row],[2045]],"")))</f>
        <v/>
      </c>
      <c r="Z142" s="49" t="str">
        <f>IF(Klisz_Verbräuche[[#Headers],[2050]]=$B$14,IF(COUNTIF($G142:Klisz_Verbräuche[[#This Row],[2045]],"&gt;0")&gt;0, AVERAGEIF($G142:Klisz_Verbräuche[[#This Row],[2045]],"&lt;&gt;"), ""),IF($B$14&lt;Klisz_Verbräuche[[#Headers],[2050]],IF(COUNTIF($G142:Klisz_Verbräuche[[#This Row],[2045]],"&gt;0")&gt;0,IF(COUNTIF($G142:Klisz_Verbräuche[[#This Row],[2045]],"&gt;0")&gt;0,Klisz_Verbräuche[[#This Row],[2045]]*(1-$F142)^5, ""), ""),IF($B$14&gt;Klisz_Verbräuche[[#Headers],[2050]],Refsz_Verbräuche[[#This Row],[2050]],"")))</f>
        <v/>
      </c>
      <c r="AA142" s="14"/>
    </row>
    <row r="143" spans="2:27">
      <c r="B143" s="14">
        <v>126</v>
      </c>
      <c r="C143" s="197" t="str">
        <f>Refsz_Verbräuche[[#This Row],[Handlungsfeld]]</f>
        <v>Baugüter</v>
      </c>
      <c r="D143" s="19" t="str">
        <f>Refsz_Verbräuche[[#This Row],[Datenpunkt]]</f>
        <v>Zement (Portland)</v>
      </c>
      <c r="E143" s="26" t="str">
        <f>Refsz_Verbräuche[[#This Row],[Einheit]]</f>
        <v>kg</v>
      </c>
      <c r="F143" s="108"/>
      <c r="G143" s="14" t="str">
        <f>IF(ISBLANK(Refsz_Verbräuche[[#This Row],[2015]]),"",Refsz_Verbräuche[[#This Row],[2015]])</f>
        <v/>
      </c>
      <c r="H143" s="14" t="str">
        <f>IF(ISBLANK(Refsz_Verbräuche[[#This Row],[2016]]),"",Refsz_Verbräuche[[#This Row],[2016]])</f>
        <v/>
      </c>
      <c r="I143" s="14" t="str">
        <f>IF(ISBLANK(Refsz_Verbräuche[[#This Row],[2017]]),"",Refsz_Verbräuche[[#This Row],[2017]])</f>
        <v/>
      </c>
      <c r="J143" s="14" t="str">
        <f>IF(ISBLANK(Refsz_Verbräuche[[#This Row],[2018]]),"",Refsz_Verbräuche[[#This Row],[2018]])</f>
        <v/>
      </c>
      <c r="K143" s="14" t="str">
        <f>IF(ISBLANK(Refsz_Verbräuche[[#This Row],[2019]]),"",Refsz_Verbräuche[[#This Row],[2019]])</f>
        <v/>
      </c>
      <c r="L143" s="14" t="str">
        <f>IF(ISBLANK(Refsz_Verbräuche[[#This Row],[2020]]),"",Refsz_Verbräuche[[#This Row],[2020]])</f>
        <v/>
      </c>
      <c r="M143" s="14" t="str">
        <f>IF(ISBLANK(Refsz_Verbräuche[[#This Row],[2021]]),"",Refsz_Verbräuche[[#This Row],[2021]])</f>
        <v/>
      </c>
      <c r="N143" s="49" t="str">
        <f>IF(Klisz_Verbräuche[[#Headers],[2022]]=$B$14,IF(COUNTIF($G143:Klisz_Verbräuche[[#This Row],[2021]],"&gt;0")&gt;0, AVERAGEIF($G143:Klisz_Verbräuche[[#This Row],[2021]],"&lt;&gt;"), ""),IF($B$14&lt;Klisz_Verbräuche[[#Headers],[2022]],IF(COUNTIF($G143:Klisz_Verbräuche[[#This Row],[2021]],"&gt;0")&gt;0,IF(COUNTIF($G143:Klisz_Verbräuche[[#This Row],[2021]],"&gt;0")&gt;0,Klisz_Verbräuche[[#This Row],[2021]]*(1-$F143)^1, ""), ""),IF($B$14&gt;Klisz_Verbräuche[[#Headers],[2022]],Refsz_Verbräuche[[#This Row],[2022]],"")))</f>
        <v/>
      </c>
      <c r="O143" s="49" t="str">
        <f>IF(Klisz_Verbräuche[[#Headers],[2023]]=$B$14,IF(COUNTIF($G143:Klisz_Verbräuche[[#This Row],[2022]],"&gt;0")&gt;0, AVERAGEIF($G143:Klisz_Verbräuche[[#This Row],[2022]],"&lt;&gt;"), ""),IF($B$14&lt;Klisz_Verbräuche[[#Headers],[2023]],IF(COUNTIF($G143:Klisz_Verbräuche[[#This Row],[2022]],"&gt;0")&gt;0,IF(COUNTIF($G143:Klisz_Verbräuche[[#This Row],[2022]],"&gt;0")&gt;0,Klisz_Verbräuche[[#This Row],[2022]]*(1-$F143)^1, ""), ""),IF($B$14&gt;Klisz_Verbräuche[[#Headers],[2023]],Refsz_Verbräuche[[#This Row],[2023]],"")))</f>
        <v/>
      </c>
      <c r="P143" s="49" t="str">
        <f>IF(Klisz_Verbräuche[[#Headers],[2024]]=$B$14,IF(COUNTIF($G143:Klisz_Verbräuche[[#This Row],[2023]],"&gt;0")&gt;0, AVERAGEIF($G143:Klisz_Verbräuche[[#This Row],[2023]],"&lt;&gt;"), ""),IF($B$14&lt;Klisz_Verbräuche[[#Headers],[2024]],IF(COUNTIF($G143:Klisz_Verbräuche[[#This Row],[2023]],"&gt;0")&gt;0,IF(COUNTIF($G143:Klisz_Verbräuche[[#This Row],[2023]],"&gt;0")&gt;0,Klisz_Verbräuche[[#This Row],[2023]]*(1-$F143)^1, ""), ""),IF($B$14&gt;Klisz_Verbräuche[[#Headers],[2024]],Refsz_Verbräuche[[#This Row],[2024]],"")))</f>
        <v/>
      </c>
      <c r="Q143" s="49" t="str">
        <f>IF(Klisz_Verbräuche[[#Headers],[2025]]=$B$14,IF(COUNTIF($G143:Klisz_Verbräuche[[#This Row],[2024]],"&gt;0")&gt;0, AVERAGEIF($G143:Klisz_Verbräuche[[#This Row],[2024]],"&lt;&gt;"), ""),IF($B$14&lt;Klisz_Verbräuche[[#Headers],[2025]],IF(COUNTIF($G143:Klisz_Verbräuche[[#This Row],[2024]],"&gt;0")&gt;0,IF(COUNTIF($G143:Klisz_Verbräuche[[#This Row],[2024]],"&gt;0")&gt;0,Klisz_Verbräuche[[#This Row],[2024]]*(1-$F143)^1, ""), ""),IF($B$14&gt;Klisz_Verbräuche[[#Headers],[2025]],Refsz_Verbräuche[[#This Row],[2025]],"")))</f>
        <v/>
      </c>
      <c r="R143" s="49" t="str">
        <f>IF(Klisz_Verbräuche[[#Headers],[2026]]=$B$14,IF(COUNTIF($G143:Klisz_Verbräuche[[#This Row],[2025]],"&gt;0")&gt;0, AVERAGEIF($G143:Klisz_Verbräuche[[#This Row],[2025]],"&lt;&gt;"), ""),IF($B$14&lt;Klisz_Verbräuche[[#Headers],[2026]],IF(COUNTIF($G143:Klisz_Verbräuche[[#This Row],[2025]],"&gt;0")&gt;0,IF(COUNTIF($G143:Klisz_Verbräuche[[#This Row],[2025]],"&gt;0")&gt;0,Klisz_Verbräuche[[#This Row],[2025]]*(1-$F143)^1, ""), ""),IF($B$14&gt;Klisz_Verbräuche[[#Headers],[2026]],Refsz_Verbräuche[[#This Row],[2026]],"")))</f>
        <v/>
      </c>
      <c r="S143" s="49" t="str">
        <f>IF(Klisz_Verbräuche[[#Headers],[2027]]=$B$14,IF(COUNTIF($G143:Klisz_Verbräuche[[#This Row],[2026]],"&gt;0")&gt;0, AVERAGEIF($G143:Klisz_Verbräuche[[#This Row],[2026]],"&lt;&gt;"), ""),IF($B$14&lt;Klisz_Verbräuche[[#Headers],[2027]],IF(COUNTIF($G143:Klisz_Verbräuche[[#This Row],[2026]],"&gt;0")&gt;0,IF(COUNTIF($G143:Klisz_Verbräuche[[#This Row],[2026]],"&gt;0")&gt;0,Klisz_Verbräuche[[#This Row],[2026]]*(1-$F143)^1, ""), ""),IF($B$14&gt;Klisz_Verbräuche[[#Headers],[2027]],Refsz_Verbräuche[[#This Row],[2027]],"")))</f>
        <v/>
      </c>
      <c r="T143" s="49" t="str">
        <f>IF(Klisz_Verbräuche[[#Headers],[2028]]=$B$14,IF(COUNTIF($G143:Klisz_Verbräuche[[#This Row],[2027]],"&gt;0")&gt;0, AVERAGEIF($G143:Klisz_Verbräuche[[#This Row],[2027]],"&lt;&gt;"), ""),IF($B$14&lt;Klisz_Verbräuche[[#Headers],[2028]],IF(COUNTIF($G143:Klisz_Verbräuche[[#This Row],[2027]],"&gt;0")&gt;0,IF(COUNTIF($G143:Klisz_Verbräuche[[#This Row],[2027]],"&gt;0")&gt;0,Klisz_Verbräuche[[#This Row],[2027]]*(1-$F143)^1, ""), ""),IF($B$14&gt;Klisz_Verbräuche[[#Headers],[2028]],Refsz_Verbräuche[[#This Row],[2028]],"")))</f>
        <v/>
      </c>
      <c r="U143" s="49" t="str">
        <f>IF(Klisz_Verbräuche[[#Headers],[2029]]=$B$14,IF(COUNTIF($G143:Klisz_Verbräuche[[#This Row],[2028]],"&gt;0")&gt;0, AVERAGEIF($G143:Klisz_Verbräuche[[#This Row],[2028]],"&lt;&gt;"), ""),IF($B$14&lt;Klisz_Verbräuche[[#Headers],[2029]],IF(COUNTIF($G143:Klisz_Verbräuche[[#This Row],[2028]],"&gt;0")&gt;0,IF(COUNTIF($G143:Klisz_Verbräuche[[#This Row],[2028]],"&gt;0")&gt;0,Klisz_Verbräuche[[#This Row],[2028]]*(1-$F143)^1, ""), ""),IF($B$14&gt;Klisz_Verbräuche[[#Headers],[2029]],Refsz_Verbräuche[[#This Row],[2029]],"")))</f>
        <v/>
      </c>
      <c r="V143" s="49" t="str">
        <f>IF(Klisz_Verbräuche[[#Headers],[2030]]=$B$14,IF(COUNTIF($G143:Klisz_Verbräuche[[#This Row],[2029]],"&gt;0")&gt;0, AVERAGEIF($G143:Klisz_Verbräuche[[#This Row],[2029]],"&lt;&gt;"), ""),IF($B$14&lt;Klisz_Verbräuche[[#Headers],[2030]],IF(COUNTIF($G143:Klisz_Verbräuche[[#This Row],[2029]],"&gt;0")&gt;0,IF(COUNTIF($G143:Klisz_Verbräuche[[#This Row],[2029]],"&gt;0")&gt;0,Klisz_Verbräuche[[#This Row],[2029]]*(1-$F143)^1, ""), ""),IF($B$14&gt;Klisz_Verbräuche[[#Headers],[2030]],Refsz_Verbräuche[[#This Row],[2030]],"")))</f>
        <v/>
      </c>
      <c r="W143" s="49" t="str">
        <f>IF(Klisz_Verbräuche[[#Headers],[2035]]=$B$14,IF(COUNTIF($G143:Klisz_Verbräuche[[#This Row],[2030]],"&gt;0")&gt;0, AVERAGEIF($G143:Klisz_Verbräuche[[#This Row],[2030]],"&lt;&gt;"), ""),IF($B$14&lt;Klisz_Verbräuche[[#Headers],[2035]],IF(COUNTIF($G143:Klisz_Verbräuche[[#This Row],[2030]],"&gt;0")&gt;0,IF(COUNTIF($G143:Klisz_Verbräuche[[#This Row],[2030]],"&gt;0")&gt;0,Klisz_Verbräuche[[#This Row],[2030]]*(1-$F143)^5, ""), ""),IF($B$14&gt;Klisz_Verbräuche[[#Headers],[2035]],Refsz_Verbräuche[[#This Row],[2035]],"")))</f>
        <v/>
      </c>
      <c r="X143" s="49" t="str">
        <f>IF(Klisz_Verbräuche[[#Headers],[2040]]=$B$14,IF(COUNTIF($G143:Klisz_Verbräuche[[#This Row],[2035]],"&gt;0")&gt;0, AVERAGEIF($G143:Klisz_Verbräuche[[#This Row],[2035]],"&lt;&gt;"), ""),IF($B$14&lt;Klisz_Verbräuche[[#Headers],[2040]],IF(COUNTIF($G143:Klisz_Verbräuche[[#This Row],[2035]],"&gt;0")&gt;0,IF(COUNTIF($G143:Klisz_Verbräuche[[#This Row],[2035]],"&gt;0")&gt;0,Klisz_Verbräuche[[#This Row],[2035]]*(1-$F143)^5, ""), ""),IF($B$14&gt;Klisz_Verbräuche[[#Headers],[2040]],Refsz_Verbräuche[[#This Row],[2040]],"")))</f>
        <v/>
      </c>
      <c r="Y143" s="49" t="str">
        <f>IF(Klisz_Verbräuche[[#Headers],[2045]]=$B$14,IF(COUNTIF($G143:Klisz_Verbräuche[[#This Row],[2040]],"&gt;0")&gt;0, AVERAGEIF($G143:Klisz_Verbräuche[[#This Row],[2040]],"&lt;&gt;"), ""),IF($B$14&lt;Klisz_Verbräuche[[#Headers],[2045]],IF(COUNTIF($G143:Klisz_Verbräuche[[#This Row],[2040]],"&gt;0")&gt;0,IF(COUNTIF($G143:Klisz_Verbräuche[[#This Row],[2040]],"&gt;0")&gt;0,Klisz_Verbräuche[[#This Row],[2040]]*(1-$F143)^5, ""), ""),IF($B$14&gt;Klisz_Verbräuche[[#Headers],[2045]],Refsz_Verbräuche[[#This Row],[2045]],"")))</f>
        <v/>
      </c>
      <c r="Z143" s="49" t="str">
        <f>IF(Klisz_Verbräuche[[#Headers],[2050]]=$B$14,IF(COUNTIF($G143:Klisz_Verbräuche[[#This Row],[2045]],"&gt;0")&gt;0, AVERAGEIF($G143:Klisz_Verbräuche[[#This Row],[2045]],"&lt;&gt;"), ""),IF($B$14&lt;Klisz_Verbräuche[[#Headers],[2050]],IF(COUNTIF($G143:Klisz_Verbräuche[[#This Row],[2045]],"&gt;0")&gt;0,IF(COUNTIF($G143:Klisz_Verbräuche[[#This Row],[2045]],"&gt;0")&gt;0,Klisz_Verbräuche[[#This Row],[2045]]*(1-$F143)^5, ""), ""),IF($B$14&gt;Klisz_Verbräuche[[#Headers],[2050]],Refsz_Verbräuche[[#This Row],[2050]],"")))</f>
        <v/>
      </c>
      <c r="AA143" s="14"/>
    </row>
    <row r="144" spans="2:27">
      <c r="B144" s="14">
        <v>127</v>
      </c>
      <c r="C144" s="197" t="str">
        <f>Refsz_Verbräuche[[#This Row],[Handlungsfeld]]</f>
        <v>Baugüter</v>
      </c>
      <c r="D144" s="19" t="str">
        <f>Refsz_Verbräuche[[#This Row],[Datenpunkt]]</f>
        <v>Kies</v>
      </c>
      <c r="E144" s="26" t="str">
        <f>Refsz_Verbräuche[[#This Row],[Einheit]]</f>
        <v>kg</v>
      </c>
      <c r="F144" s="108"/>
      <c r="G144" s="14" t="str">
        <f>IF(ISBLANK(Refsz_Verbräuche[[#This Row],[2015]]),"",Refsz_Verbräuche[[#This Row],[2015]])</f>
        <v/>
      </c>
      <c r="H144" s="14" t="str">
        <f>IF(ISBLANK(Refsz_Verbräuche[[#This Row],[2016]]),"",Refsz_Verbräuche[[#This Row],[2016]])</f>
        <v/>
      </c>
      <c r="I144" s="14" t="str">
        <f>IF(ISBLANK(Refsz_Verbräuche[[#This Row],[2017]]),"",Refsz_Verbräuche[[#This Row],[2017]])</f>
        <v/>
      </c>
      <c r="J144" s="14" t="str">
        <f>IF(ISBLANK(Refsz_Verbräuche[[#This Row],[2018]]),"",Refsz_Verbräuche[[#This Row],[2018]])</f>
        <v/>
      </c>
      <c r="K144" s="14" t="str">
        <f>IF(ISBLANK(Refsz_Verbräuche[[#This Row],[2019]]),"",Refsz_Verbräuche[[#This Row],[2019]])</f>
        <v/>
      </c>
      <c r="L144" s="14" t="str">
        <f>IF(ISBLANK(Refsz_Verbräuche[[#This Row],[2020]]),"",Refsz_Verbräuche[[#This Row],[2020]])</f>
        <v/>
      </c>
      <c r="M144" s="14" t="str">
        <f>IF(ISBLANK(Refsz_Verbräuche[[#This Row],[2021]]),"",Refsz_Verbräuche[[#This Row],[2021]])</f>
        <v/>
      </c>
      <c r="N144" s="49" t="str">
        <f>IF(Klisz_Verbräuche[[#Headers],[2022]]=$B$14,IF(COUNTIF($G144:Klisz_Verbräuche[[#This Row],[2021]],"&gt;0")&gt;0, AVERAGEIF($G144:Klisz_Verbräuche[[#This Row],[2021]],"&lt;&gt;"), ""),IF($B$14&lt;Klisz_Verbräuche[[#Headers],[2022]],IF(COUNTIF($G144:Klisz_Verbräuche[[#This Row],[2021]],"&gt;0")&gt;0,IF(COUNTIF($G144:Klisz_Verbräuche[[#This Row],[2021]],"&gt;0")&gt;0,Klisz_Verbräuche[[#This Row],[2021]]*(1-$F144)^1, ""), ""),IF($B$14&gt;Klisz_Verbräuche[[#Headers],[2022]],Refsz_Verbräuche[[#This Row],[2022]],"")))</f>
        <v/>
      </c>
      <c r="O144" s="49" t="str">
        <f>IF(Klisz_Verbräuche[[#Headers],[2023]]=$B$14,IF(COUNTIF($G144:Klisz_Verbräuche[[#This Row],[2022]],"&gt;0")&gt;0, AVERAGEIF($G144:Klisz_Verbräuche[[#This Row],[2022]],"&lt;&gt;"), ""),IF($B$14&lt;Klisz_Verbräuche[[#Headers],[2023]],IF(COUNTIF($G144:Klisz_Verbräuche[[#This Row],[2022]],"&gt;0")&gt;0,IF(COUNTIF($G144:Klisz_Verbräuche[[#This Row],[2022]],"&gt;0")&gt;0,Klisz_Verbräuche[[#This Row],[2022]]*(1-$F144)^1, ""), ""),IF($B$14&gt;Klisz_Verbräuche[[#Headers],[2023]],Refsz_Verbräuche[[#This Row],[2023]],"")))</f>
        <v/>
      </c>
      <c r="P144" s="49" t="str">
        <f>IF(Klisz_Verbräuche[[#Headers],[2024]]=$B$14,IF(COUNTIF($G144:Klisz_Verbräuche[[#This Row],[2023]],"&gt;0")&gt;0, AVERAGEIF($G144:Klisz_Verbräuche[[#This Row],[2023]],"&lt;&gt;"), ""),IF($B$14&lt;Klisz_Verbräuche[[#Headers],[2024]],IF(COUNTIF($G144:Klisz_Verbräuche[[#This Row],[2023]],"&gt;0")&gt;0,IF(COUNTIF($G144:Klisz_Verbräuche[[#This Row],[2023]],"&gt;0")&gt;0,Klisz_Verbräuche[[#This Row],[2023]]*(1-$F144)^1, ""), ""),IF($B$14&gt;Klisz_Verbräuche[[#Headers],[2024]],Refsz_Verbräuche[[#This Row],[2024]],"")))</f>
        <v/>
      </c>
      <c r="Q144" s="49" t="str">
        <f>IF(Klisz_Verbräuche[[#Headers],[2025]]=$B$14,IF(COUNTIF($G144:Klisz_Verbräuche[[#This Row],[2024]],"&gt;0")&gt;0, AVERAGEIF($G144:Klisz_Verbräuche[[#This Row],[2024]],"&lt;&gt;"), ""),IF($B$14&lt;Klisz_Verbräuche[[#Headers],[2025]],IF(COUNTIF($G144:Klisz_Verbräuche[[#This Row],[2024]],"&gt;0")&gt;0,IF(COUNTIF($G144:Klisz_Verbräuche[[#This Row],[2024]],"&gt;0")&gt;0,Klisz_Verbräuche[[#This Row],[2024]]*(1-$F144)^1, ""), ""),IF($B$14&gt;Klisz_Verbräuche[[#Headers],[2025]],Refsz_Verbräuche[[#This Row],[2025]],"")))</f>
        <v/>
      </c>
      <c r="R144" s="49" t="str">
        <f>IF(Klisz_Verbräuche[[#Headers],[2026]]=$B$14,IF(COUNTIF($G144:Klisz_Verbräuche[[#This Row],[2025]],"&gt;0")&gt;0, AVERAGEIF($G144:Klisz_Verbräuche[[#This Row],[2025]],"&lt;&gt;"), ""),IF($B$14&lt;Klisz_Verbräuche[[#Headers],[2026]],IF(COUNTIF($G144:Klisz_Verbräuche[[#This Row],[2025]],"&gt;0")&gt;0,IF(COUNTIF($G144:Klisz_Verbräuche[[#This Row],[2025]],"&gt;0")&gt;0,Klisz_Verbräuche[[#This Row],[2025]]*(1-$F144)^1, ""), ""),IF($B$14&gt;Klisz_Verbräuche[[#Headers],[2026]],Refsz_Verbräuche[[#This Row],[2026]],"")))</f>
        <v/>
      </c>
      <c r="S144" s="49" t="str">
        <f>IF(Klisz_Verbräuche[[#Headers],[2027]]=$B$14,IF(COUNTIF($G144:Klisz_Verbräuche[[#This Row],[2026]],"&gt;0")&gt;0, AVERAGEIF($G144:Klisz_Verbräuche[[#This Row],[2026]],"&lt;&gt;"), ""),IF($B$14&lt;Klisz_Verbräuche[[#Headers],[2027]],IF(COUNTIF($G144:Klisz_Verbräuche[[#This Row],[2026]],"&gt;0")&gt;0,IF(COUNTIF($G144:Klisz_Verbräuche[[#This Row],[2026]],"&gt;0")&gt;0,Klisz_Verbräuche[[#This Row],[2026]]*(1-$F144)^1, ""), ""),IF($B$14&gt;Klisz_Verbräuche[[#Headers],[2027]],Refsz_Verbräuche[[#This Row],[2027]],"")))</f>
        <v/>
      </c>
      <c r="T144" s="49" t="str">
        <f>IF(Klisz_Verbräuche[[#Headers],[2028]]=$B$14,IF(COUNTIF($G144:Klisz_Verbräuche[[#This Row],[2027]],"&gt;0")&gt;0, AVERAGEIF($G144:Klisz_Verbräuche[[#This Row],[2027]],"&lt;&gt;"), ""),IF($B$14&lt;Klisz_Verbräuche[[#Headers],[2028]],IF(COUNTIF($G144:Klisz_Verbräuche[[#This Row],[2027]],"&gt;0")&gt;0,IF(COUNTIF($G144:Klisz_Verbräuche[[#This Row],[2027]],"&gt;0")&gt;0,Klisz_Verbräuche[[#This Row],[2027]]*(1-$F144)^1, ""), ""),IF($B$14&gt;Klisz_Verbräuche[[#Headers],[2028]],Refsz_Verbräuche[[#This Row],[2028]],"")))</f>
        <v/>
      </c>
      <c r="U144" s="49" t="str">
        <f>IF(Klisz_Verbräuche[[#Headers],[2029]]=$B$14,IF(COUNTIF($G144:Klisz_Verbräuche[[#This Row],[2028]],"&gt;0")&gt;0, AVERAGEIF($G144:Klisz_Verbräuche[[#This Row],[2028]],"&lt;&gt;"), ""),IF($B$14&lt;Klisz_Verbräuche[[#Headers],[2029]],IF(COUNTIF($G144:Klisz_Verbräuche[[#This Row],[2028]],"&gt;0")&gt;0,IF(COUNTIF($G144:Klisz_Verbräuche[[#This Row],[2028]],"&gt;0")&gt;0,Klisz_Verbräuche[[#This Row],[2028]]*(1-$F144)^1, ""), ""),IF($B$14&gt;Klisz_Verbräuche[[#Headers],[2029]],Refsz_Verbräuche[[#This Row],[2029]],"")))</f>
        <v/>
      </c>
      <c r="V144" s="49" t="str">
        <f>IF(Klisz_Verbräuche[[#Headers],[2030]]=$B$14,IF(COUNTIF($G144:Klisz_Verbräuche[[#This Row],[2029]],"&gt;0")&gt;0, AVERAGEIF($G144:Klisz_Verbräuche[[#This Row],[2029]],"&lt;&gt;"), ""),IF($B$14&lt;Klisz_Verbräuche[[#Headers],[2030]],IF(COUNTIF($G144:Klisz_Verbräuche[[#This Row],[2029]],"&gt;0")&gt;0,IF(COUNTIF($G144:Klisz_Verbräuche[[#This Row],[2029]],"&gt;0")&gt;0,Klisz_Verbräuche[[#This Row],[2029]]*(1-$F144)^1, ""), ""),IF($B$14&gt;Klisz_Verbräuche[[#Headers],[2030]],Refsz_Verbräuche[[#This Row],[2030]],"")))</f>
        <v/>
      </c>
      <c r="W144" s="49" t="str">
        <f>IF(Klisz_Verbräuche[[#Headers],[2035]]=$B$14,IF(COUNTIF($G144:Klisz_Verbräuche[[#This Row],[2030]],"&gt;0")&gt;0, AVERAGEIF($G144:Klisz_Verbräuche[[#This Row],[2030]],"&lt;&gt;"), ""),IF($B$14&lt;Klisz_Verbräuche[[#Headers],[2035]],IF(COUNTIF($G144:Klisz_Verbräuche[[#This Row],[2030]],"&gt;0")&gt;0,IF(COUNTIF($G144:Klisz_Verbräuche[[#This Row],[2030]],"&gt;0")&gt;0,Klisz_Verbräuche[[#This Row],[2030]]*(1-$F144)^5, ""), ""),IF($B$14&gt;Klisz_Verbräuche[[#Headers],[2035]],Refsz_Verbräuche[[#This Row],[2035]],"")))</f>
        <v/>
      </c>
      <c r="X144" s="49" t="str">
        <f>IF(Klisz_Verbräuche[[#Headers],[2040]]=$B$14,IF(COUNTIF($G144:Klisz_Verbräuche[[#This Row],[2035]],"&gt;0")&gt;0, AVERAGEIF($G144:Klisz_Verbräuche[[#This Row],[2035]],"&lt;&gt;"), ""),IF($B$14&lt;Klisz_Verbräuche[[#Headers],[2040]],IF(COUNTIF($G144:Klisz_Verbräuche[[#This Row],[2035]],"&gt;0")&gt;0,IF(COUNTIF($G144:Klisz_Verbräuche[[#This Row],[2035]],"&gt;0")&gt;0,Klisz_Verbräuche[[#This Row],[2035]]*(1-$F144)^5, ""), ""),IF($B$14&gt;Klisz_Verbräuche[[#Headers],[2040]],Refsz_Verbräuche[[#This Row],[2040]],"")))</f>
        <v/>
      </c>
      <c r="Y144" s="49" t="str">
        <f>IF(Klisz_Verbräuche[[#Headers],[2045]]=$B$14,IF(COUNTIF($G144:Klisz_Verbräuche[[#This Row],[2040]],"&gt;0")&gt;0, AVERAGEIF($G144:Klisz_Verbräuche[[#This Row],[2040]],"&lt;&gt;"), ""),IF($B$14&lt;Klisz_Verbräuche[[#Headers],[2045]],IF(COUNTIF($G144:Klisz_Verbräuche[[#This Row],[2040]],"&gt;0")&gt;0,IF(COUNTIF($G144:Klisz_Verbräuche[[#This Row],[2040]],"&gt;0")&gt;0,Klisz_Verbräuche[[#This Row],[2040]]*(1-$F144)^5, ""), ""),IF($B$14&gt;Klisz_Verbräuche[[#Headers],[2045]],Refsz_Verbräuche[[#This Row],[2045]],"")))</f>
        <v/>
      </c>
      <c r="Z144" s="49" t="str">
        <f>IF(Klisz_Verbräuche[[#Headers],[2050]]=$B$14,IF(COUNTIF($G144:Klisz_Verbräuche[[#This Row],[2045]],"&gt;0")&gt;0, AVERAGEIF($G144:Klisz_Verbräuche[[#This Row],[2045]],"&lt;&gt;"), ""),IF($B$14&lt;Klisz_Verbräuche[[#Headers],[2050]],IF(COUNTIF($G144:Klisz_Verbräuche[[#This Row],[2045]],"&gt;0")&gt;0,IF(COUNTIF($G144:Klisz_Verbräuche[[#This Row],[2045]],"&gt;0")&gt;0,Klisz_Verbräuche[[#This Row],[2045]]*(1-$F144)^5, ""), ""),IF($B$14&gt;Klisz_Verbräuche[[#Headers],[2050]],Refsz_Verbräuche[[#This Row],[2050]],"")))</f>
        <v/>
      </c>
      <c r="AA144" s="14"/>
    </row>
    <row r="145" spans="2:27">
      <c r="B145" s="14">
        <v>128</v>
      </c>
      <c r="C145" s="197" t="str">
        <f>Refsz_Verbräuche[[#This Row],[Handlungsfeld]]</f>
        <v>Baugüter</v>
      </c>
      <c r="D145" s="19" t="str">
        <f>Refsz_Verbräuche[[#This Row],[Datenpunkt]]</f>
        <v>Sand</v>
      </c>
      <c r="E145" s="26" t="str">
        <f>Refsz_Verbräuche[[#This Row],[Einheit]]</f>
        <v>kg</v>
      </c>
      <c r="F145" s="108"/>
      <c r="G145" s="14" t="str">
        <f>IF(ISBLANK(Refsz_Verbräuche[[#This Row],[2015]]),"",Refsz_Verbräuche[[#This Row],[2015]])</f>
        <v/>
      </c>
      <c r="H145" s="14" t="str">
        <f>IF(ISBLANK(Refsz_Verbräuche[[#This Row],[2016]]),"",Refsz_Verbräuche[[#This Row],[2016]])</f>
        <v/>
      </c>
      <c r="I145" s="14" t="str">
        <f>IF(ISBLANK(Refsz_Verbräuche[[#This Row],[2017]]),"",Refsz_Verbräuche[[#This Row],[2017]])</f>
        <v/>
      </c>
      <c r="J145" s="14" t="str">
        <f>IF(ISBLANK(Refsz_Verbräuche[[#This Row],[2018]]),"",Refsz_Verbräuche[[#This Row],[2018]])</f>
        <v/>
      </c>
      <c r="K145" s="14" t="str">
        <f>IF(ISBLANK(Refsz_Verbräuche[[#This Row],[2019]]),"",Refsz_Verbräuche[[#This Row],[2019]])</f>
        <v/>
      </c>
      <c r="L145" s="14" t="str">
        <f>IF(ISBLANK(Refsz_Verbräuche[[#This Row],[2020]]),"",Refsz_Verbräuche[[#This Row],[2020]])</f>
        <v/>
      </c>
      <c r="M145" s="14" t="str">
        <f>IF(ISBLANK(Refsz_Verbräuche[[#This Row],[2021]]),"",Refsz_Verbräuche[[#This Row],[2021]])</f>
        <v/>
      </c>
      <c r="N145" s="49" t="str">
        <f>IF(Klisz_Verbräuche[[#Headers],[2022]]=$B$14,IF(COUNTIF($G145:Klisz_Verbräuche[[#This Row],[2021]],"&gt;0")&gt;0, AVERAGEIF($G145:Klisz_Verbräuche[[#This Row],[2021]],"&lt;&gt;"), ""),IF($B$14&lt;Klisz_Verbräuche[[#Headers],[2022]],IF(COUNTIF($G145:Klisz_Verbräuche[[#This Row],[2021]],"&gt;0")&gt;0,IF(COUNTIF($G145:Klisz_Verbräuche[[#This Row],[2021]],"&gt;0")&gt;0,Klisz_Verbräuche[[#This Row],[2021]]*(1-$F145)^1, ""), ""),IF($B$14&gt;Klisz_Verbräuche[[#Headers],[2022]],Refsz_Verbräuche[[#This Row],[2022]],"")))</f>
        <v/>
      </c>
      <c r="O145" s="49" t="str">
        <f>IF(Klisz_Verbräuche[[#Headers],[2023]]=$B$14,IF(COUNTIF($G145:Klisz_Verbräuche[[#This Row],[2022]],"&gt;0")&gt;0, AVERAGEIF($G145:Klisz_Verbräuche[[#This Row],[2022]],"&lt;&gt;"), ""),IF($B$14&lt;Klisz_Verbräuche[[#Headers],[2023]],IF(COUNTIF($G145:Klisz_Verbräuche[[#This Row],[2022]],"&gt;0")&gt;0,IF(COUNTIF($G145:Klisz_Verbräuche[[#This Row],[2022]],"&gt;0")&gt;0,Klisz_Verbräuche[[#This Row],[2022]]*(1-$F145)^1, ""), ""),IF($B$14&gt;Klisz_Verbräuche[[#Headers],[2023]],Refsz_Verbräuche[[#This Row],[2023]],"")))</f>
        <v/>
      </c>
      <c r="P145" s="49" t="str">
        <f>IF(Klisz_Verbräuche[[#Headers],[2024]]=$B$14,IF(COUNTIF($G145:Klisz_Verbräuche[[#This Row],[2023]],"&gt;0")&gt;0, AVERAGEIF($G145:Klisz_Verbräuche[[#This Row],[2023]],"&lt;&gt;"), ""),IF($B$14&lt;Klisz_Verbräuche[[#Headers],[2024]],IF(COUNTIF($G145:Klisz_Verbräuche[[#This Row],[2023]],"&gt;0")&gt;0,IF(COUNTIF($G145:Klisz_Verbräuche[[#This Row],[2023]],"&gt;0")&gt;0,Klisz_Verbräuche[[#This Row],[2023]]*(1-$F145)^1, ""), ""),IF($B$14&gt;Klisz_Verbräuche[[#Headers],[2024]],Refsz_Verbräuche[[#This Row],[2024]],"")))</f>
        <v/>
      </c>
      <c r="Q145" s="49" t="str">
        <f>IF(Klisz_Verbräuche[[#Headers],[2025]]=$B$14,IF(COUNTIF($G145:Klisz_Verbräuche[[#This Row],[2024]],"&gt;0")&gt;0, AVERAGEIF($G145:Klisz_Verbräuche[[#This Row],[2024]],"&lt;&gt;"), ""),IF($B$14&lt;Klisz_Verbräuche[[#Headers],[2025]],IF(COUNTIF($G145:Klisz_Verbräuche[[#This Row],[2024]],"&gt;0")&gt;0,IF(COUNTIF($G145:Klisz_Verbräuche[[#This Row],[2024]],"&gt;0")&gt;0,Klisz_Verbräuche[[#This Row],[2024]]*(1-$F145)^1, ""), ""),IF($B$14&gt;Klisz_Verbräuche[[#Headers],[2025]],Refsz_Verbräuche[[#This Row],[2025]],"")))</f>
        <v/>
      </c>
      <c r="R145" s="49" t="str">
        <f>IF(Klisz_Verbräuche[[#Headers],[2026]]=$B$14,IF(COUNTIF($G145:Klisz_Verbräuche[[#This Row],[2025]],"&gt;0")&gt;0, AVERAGEIF($G145:Klisz_Verbräuche[[#This Row],[2025]],"&lt;&gt;"), ""),IF($B$14&lt;Klisz_Verbräuche[[#Headers],[2026]],IF(COUNTIF($G145:Klisz_Verbräuche[[#This Row],[2025]],"&gt;0")&gt;0,IF(COUNTIF($G145:Klisz_Verbräuche[[#This Row],[2025]],"&gt;0")&gt;0,Klisz_Verbräuche[[#This Row],[2025]]*(1-$F145)^1, ""), ""),IF($B$14&gt;Klisz_Verbräuche[[#Headers],[2026]],Refsz_Verbräuche[[#This Row],[2026]],"")))</f>
        <v/>
      </c>
      <c r="S145" s="49" t="str">
        <f>IF(Klisz_Verbräuche[[#Headers],[2027]]=$B$14,IF(COUNTIF($G145:Klisz_Verbräuche[[#This Row],[2026]],"&gt;0")&gt;0, AVERAGEIF($G145:Klisz_Verbräuche[[#This Row],[2026]],"&lt;&gt;"), ""),IF($B$14&lt;Klisz_Verbräuche[[#Headers],[2027]],IF(COUNTIF($G145:Klisz_Verbräuche[[#This Row],[2026]],"&gt;0")&gt;0,IF(COUNTIF($G145:Klisz_Verbräuche[[#This Row],[2026]],"&gt;0")&gt;0,Klisz_Verbräuche[[#This Row],[2026]]*(1-$F145)^1, ""), ""),IF($B$14&gt;Klisz_Verbräuche[[#Headers],[2027]],Refsz_Verbräuche[[#This Row],[2027]],"")))</f>
        <v/>
      </c>
      <c r="T145" s="49" t="str">
        <f>IF(Klisz_Verbräuche[[#Headers],[2028]]=$B$14,IF(COUNTIF($G145:Klisz_Verbräuche[[#This Row],[2027]],"&gt;0")&gt;0, AVERAGEIF($G145:Klisz_Verbräuche[[#This Row],[2027]],"&lt;&gt;"), ""),IF($B$14&lt;Klisz_Verbräuche[[#Headers],[2028]],IF(COUNTIF($G145:Klisz_Verbräuche[[#This Row],[2027]],"&gt;0")&gt;0,IF(COUNTIF($G145:Klisz_Verbräuche[[#This Row],[2027]],"&gt;0")&gt;0,Klisz_Verbräuche[[#This Row],[2027]]*(1-$F145)^1, ""), ""),IF($B$14&gt;Klisz_Verbräuche[[#Headers],[2028]],Refsz_Verbräuche[[#This Row],[2028]],"")))</f>
        <v/>
      </c>
      <c r="U145" s="49" t="str">
        <f>IF(Klisz_Verbräuche[[#Headers],[2029]]=$B$14,IF(COUNTIF($G145:Klisz_Verbräuche[[#This Row],[2028]],"&gt;0")&gt;0, AVERAGEIF($G145:Klisz_Verbräuche[[#This Row],[2028]],"&lt;&gt;"), ""),IF($B$14&lt;Klisz_Verbräuche[[#Headers],[2029]],IF(COUNTIF($G145:Klisz_Verbräuche[[#This Row],[2028]],"&gt;0")&gt;0,IF(COUNTIF($G145:Klisz_Verbräuche[[#This Row],[2028]],"&gt;0")&gt;0,Klisz_Verbräuche[[#This Row],[2028]]*(1-$F145)^1, ""), ""),IF($B$14&gt;Klisz_Verbräuche[[#Headers],[2029]],Refsz_Verbräuche[[#This Row],[2029]],"")))</f>
        <v/>
      </c>
      <c r="V145" s="49" t="str">
        <f>IF(Klisz_Verbräuche[[#Headers],[2030]]=$B$14,IF(COUNTIF($G145:Klisz_Verbräuche[[#This Row],[2029]],"&gt;0")&gt;0, AVERAGEIF($G145:Klisz_Verbräuche[[#This Row],[2029]],"&lt;&gt;"), ""),IF($B$14&lt;Klisz_Verbräuche[[#Headers],[2030]],IF(COUNTIF($G145:Klisz_Verbräuche[[#This Row],[2029]],"&gt;0")&gt;0,IF(COUNTIF($G145:Klisz_Verbräuche[[#This Row],[2029]],"&gt;0")&gt;0,Klisz_Verbräuche[[#This Row],[2029]]*(1-$F145)^1, ""), ""),IF($B$14&gt;Klisz_Verbräuche[[#Headers],[2030]],Refsz_Verbräuche[[#This Row],[2030]],"")))</f>
        <v/>
      </c>
      <c r="W145" s="49" t="str">
        <f>IF(Klisz_Verbräuche[[#Headers],[2035]]=$B$14,IF(COUNTIF($G145:Klisz_Verbräuche[[#This Row],[2030]],"&gt;0")&gt;0, AVERAGEIF($G145:Klisz_Verbräuche[[#This Row],[2030]],"&lt;&gt;"), ""),IF($B$14&lt;Klisz_Verbräuche[[#Headers],[2035]],IF(COUNTIF($G145:Klisz_Verbräuche[[#This Row],[2030]],"&gt;0")&gt;0,IF(COUNTIF($G145:Klisz_Verbräuche[[#This Row],[2030]],"&gt;0")&gt;0,Klisz_Verbräuche[[#This Row],[2030]]*(1-$F145)^5, ""), ""),IF($B$14&gt;Klisz_Verbräuche[[#Headers],[2035]],Refsz_Verbräuche[[#This Row],[2035]],"")))</f>
        <v/>
      </c>
      <c r="X145" s="49" t="str">
        <f>IF(Klisz_Verbräuche[[#Headers],[2040]]=$B$14,IF(COUNTIF($G145:Klisz_Verbräuche[[#This Row],[2035]],"&gt;0")&gt;0, AVERAGEIF($G145:Klisz_Verbräuche[[#This Row],[2035]],"&lt;&gt;"), ""),IF($B$14&lt;Klisz_Verbräuche[[#Headers],[2040]],IF(COUNTIF($G145:Klisz_Verbräuche[[#This Row],[2035]],"&gt;0")&gt;0,IF(COUNTIF($G145:Klisz_Verbräuche[[#This Row],[2035]],"&gt;0")&gt;0,Klisz_Verbräuche[[#This Row],[2035]]*(1-$F145)^5, ""), ""),IF($B$14&gt;Klisz_Verbräuche[[#Headers],[2040]],Refsz_Verbräuche[[#This Row],[2040]],"")))</f>
        <v/>
      </c>
      <c r="Y145" s="49" t="str">
        <f>IF(Klisz_Verbräuche[[#Headers],[2045]]=$B$14,IF(COUNTIF($G145:Klisz_Verbräuche[[#This Row],[2040]],"&gt;0")&gt;0, AVERAGEIF($G145:Klisz_Verbräuche[[#This Row],[2040]],"&lt;&gt;"), ""),IF($B$14&lt;Klisz_Verbräuche[[#Headers],[2045]],IF(COUNTIF($G145:Klisz_Verbräuche[[#This Row],[2040]],"&gt;0")&gt;0,IF(COUNTIF($G145:Klisz_Verbräuche[[#This Row],[2040]],"&gt;0")&gt;0,Klisz_Verbräuche[[#This Row],[2040]]*(1-$F145)^5, ""), ""),IF($B$14&gt;Klisz_Verbräuche[[#Headers],[2045]],Refsz_Verbräuche[[#This Row],[2045]],"")))</f>
        <v/>
      </c>
      <c r="Z145" s="49" t="str">
        <f>IF(Klisz_Verbräuche[[#Headers],[2050]]=$B$14,IF(COUNTIF($G145:Klisz_Verbräuche[[#This Row],[2045]],"&gt;0")&gt;0, AVERAGEIF($G145:Klisz_Verbräuche[[#This Row],[2045]],"&lt;&gt;"), ""),IF($B$14&lt;Klisz_Verbräuche[[#Headers],[2050]],IF(COUNTIF($G145:Klisz_Verbräuche[[#This Row],[2045]],"&gt;0")&gt;0,IF(COUNTIF($G145:Klisz_Verbräuche[[#This Row],[2045]],"&gt;0")&gt;0,Klisz_Verbräuche[[#This Row],[2045]]*(1-$F145)^5, ""), ""),IF($B$14&gt;Klisz_Verbräuche[[#Headers],[2050]],Refsz_Verbräuche[[#This Row],[2050]],"")))</f>
        <v/>
      </c>
      <c r="AA145" s="14"/>
    </row>
    <row r="146" spans="2:27">
      <c r="B146" s="14">
        <v>129</v>
      </c>
      <c r="C146" s="197" t="str">
        <f>Refsz_Verbräuche[[#This Row],[Handlungsfeld]]</f>
        <v>Baugüter</v>
      </c>
      <c r="D146" s="19" t="str">
        <f>Refsz_Verbräuche[[#This Row],[Datenpunkt]]</f>
        <v>Kupferdraht</v>
      </c>
      <c r="E146" s="26" t="str">
        <f>Refsz_Verbräuche[[#This Row],[Einheit]]</f>
        <v>kg</v>
      </c>
      <c r="F146" s="108"/>
      <c r="G146" s="14" t="str">
        <f>IF(ISBLANK(Refsz_Verbräuche[[#This Row],[2015]]),"",Refsz_Verbräuche[[#This Row],[2015]])</f>
        <v/>
      </c>
      <c r="H146" s="14" t="str">
        <f>IF(ISBLANK(Refsz_Verbräuche[[#This Row],[2016]]),"",Refsz_Verbräuche[[#This Row],[2016]])</f>
        <v/>
      </c>
      <c r="I146" s="14" t="str">
        <f>IF(ISBLANK(Refsz_Verbräuche[[#This Row],[2017]]),"",Refsz_Verbräuche[[#This Row],[2017]])</f>
        <v/>
      </c>
      <c r="J146" s="14" t="str">
        <f>IF(ISBLANK(Refsz_Verbräuche[[#This Row],[2018]]),"",Refsz_Verbräuche[[#This Row],[2018]])</f>
        <v/>
      </c>
      <c r="K146" s="14" t="str">
        <f>IF(ISBLANK(Refsz_Verbräuche[[#This Row],[2019]]),"",Refsz_Verbräuche[[#This Row],[2019]])</f>
        <v/>
      </c>
      <c r="L146" s="14" t="str">
        <f>IF(ISBLANK(Refsz_Verbräuche[[#This Row],[2020]]),"",Refsz_Verbräuche[[#This Row],[2020]])</f>
        <v/>
      </c>
      <c r="M146" s="14" t="str">
        <f>IF(ISBLANK(Refsz_Verbräuche[[#This Row],[2021]]),"",Refsz_Verbräuche[[#This Row],[2021]])</f>
        <v/>
      </c>
      <c r="N146" s="49" t="str">
        <f>IF(Klisz_Verbräuche[[#Headers],[2022]]=$B$14,IF(COUNTIF($G146:Klisz_Verbräuche[[#This Row],[2021]],"&gt;0")&gt;0, AVERAGEIF($G146:Klisz_Verbräuche[[#This Row],[2021]],"&lt;&gt;"), ""),IF($B$14&lt;Klisz_Verbräuche[[#Headers],[2022]],IF(COUNTIF($G146:Klisz_Verbräuche[[#This Row],[2021]],"&gt;0")&gt;0,IF(COUNTIF($G146:Klisz_Verbräuche[[#This Row],[2021]],"&gt;0")&gt;0,Klisz_Verbräuche[[#This Row],[2021]]*(1-$F146)^1, ""), ""),IF($B$14&gt;Klisz_Verbräuche[[#Headers],[2022]],Refsz_Verbräuche[[#This Row],[2022]],"")))</f>
        <v/>
      </c>
      <c r="O146" s="49" t="str">
        <f>IF(Klisz_Verbräuche[[#Headers],[2023]]=$B$14,IF(COUNTIF($G146:Klisz_Verbräuche[[#This Row],[2022]],"&gt;0")&gt;0, AVERAGEIF($G146:Klisz_Verbräuche[[#This Row],[2022]],"&lt;&gt;"), ""),IF($B$14&lt;Klisz_Verbräuche[[#Headers],[2023]],IF(COUNTIF($G146:Klisz_Verbräuche[[#This Row],[2022]],"&gt;0")&gt;0,IF(COUNTIF($G146:Klisz_Verbräuche[[#This Row],[2022]],"&gt;0")&gt;0,Klisz_Verbräuche[[#This Row],[2022]]*(1-$F146)^1, ""), ""),IF($B$14&gt;Klisz_Verbräuche[[#Headers],[2023]],Refsz_Verbräuche[[#This Row],[2023]],"")))</f>
        <v/>
      </c>
      <c r="P146" s="49" t="str">
        <f>IF(Klisz_Verbräuche[[#Headers],[2024]]=$B$14,IF(COUNTIF($G146:Klisz_Verbräuche[[#This Row],[2023]],"&gt;0")&gt;0, AVERAGEIF($G146:Klisz_Verbräuche[[#This Row],[2023]],"&lt;&gt;"), ""),IF($B$14&lt;Klisz_Verbräuche[[#Headers],[2024]],IF(COUNTIF($G146:Klisz_Verbräuche[[#This Row],[2023]],"&gt;0")&gt;0,IF(COUNTIF($G146:Klisz_Verbräuche[[#This Row],[2023]],"&gt;0")&gt;0,Klisz_Verbräuche[[#This Row],[2023]]*(1-$F146)^1, ""), ""),IF($B$14&gt;Klisz_Verbräuche[[#Headers],[2024]],Refsz_Verbräuche[[#This Row],[2024]],"")))</f>
        <v/>
      </c>
      <c r="Q146" s="49" t="str">
        <f>IF(Klisz_Verbräuche[[#Headers],[2025]]=$B$14,IF(COUNTIF($G146:Klisz_Verbräuche[[#This Row],[2024]],"&gt;0")&gt;0, AVERAGEIF($G146:Klisz_Verbräuche[[#This Row],[2024]],"&lt;&gt;"), ""),IF($B$14&lt;Klisz_Verbräuche[[#Headers],[2025]],IF(COUNTIF($G146:Klisz_Verbräuche[[#This Row],[2024]],"&gt;0")&gt;0,IF(COUNTIF($G146:Klisz_Verbräuche[[#This Row],[2024]],"&gt;0")&gt;0,Klisz_Verbräuche[[#This Row],[2024]]*(1-$F146)^1, ""), ""),IF($B$14&gt;Klisz_Verbräuche[[#Headers],[2025]],Refsz_Verbräuche[[#This Row],[2025]],"")))</f>
        <v/>
      </c>
      <c r="R146" s="49" t="str">
        <f>IF(Klisz_Verbräuche[[#Headers],[2026]]=$B$14,IF(COUNTIF($G146:Klisz_Verbräuche[[#This Row],[2025]],"&gt;0")&gt;0, AVERAGEIF($G146:Klisz_Verbräuche[[#This Row],[2025]],"&lt;&gt;"), ""),IF($B$14&lt;Klisz_Verbräuche[[#Headers],[2026]],IF(COUNTIF($G146:Klisz_Verbräuche[[#This Row],[2025]],"&gt;0")&gt;0,IF(COUNTIF($G146:Klisz_Verbräuche[[#This Row],[2025]],"&gt;0")&gt;0,Klisz_Verbräuche[[#This Row],[2025]]*(1-$F146)^1, ""), ""),IF($B$14&gt;Klisz_Verbräuche[[#Headers],[2026]],Refsz_Verbräuche[[#This Row],[2026]],"")))</f>
        <v/>
      </c>
      <c r="S146" s="49" t="str">
        <f>IF(Klisz_Verbräuche[[#Headers],[2027]]=$B$14,IF(COUNTIF($G146:Klisz_Verbräuche[[#This Row],[2026]],"&gt;0")&gt;0, AVERAGEIF($G146:Klisz_Verbräuche[[#This Row],[2026]],"&lt;&gt;"), ""),IF($B$14&lt;Klisz_Verbräuche[[#Headers],[2027]],IF(COUNTIF($G146:Klisz_Verbräuche[[#This Row],[2026]],"&gt;0")&gt;0,IF(COUNTIF($G146:Klisz_Verbräuche[[#This Row],[2026]],"&gt;0")&gt;0,Klisz_Verbräuche[[#This Row],[2026]]*(1-$F146)^1, ""), ""),IF($B$14&gt;Klisz_Verbräuche[[#Headers],[2027]],Refsz_Verbräuche[[#This Row],[2027]],"")))</f>
        <v/>
      </c>
      <c r="T146" s="49" t="str">
        <f>IF(Klisz_Verbräuche[[#Headers],[2028]]=$B$14,IF(COUNTIF($G146:Klisz_Verbräuche[[#This Row],[2027]],"&gt;0")&gt;0, AVERAGEIF($G146:Klisz_Verbräuche[[#This Row],[2027]],"&lt;&gt;"), ""),IF($B$14&lt;Klisz_Verbräuche[[#Headers],[2028]],IF(COUNTIF($G146:Klisz_Verbräuche[[#This Row],[2027]],"&gt;0")&gt;0,IF(COUNTIF($G146:Klisz_Verbräuche[[#This Row],[2027]],"&gt;0")&gt;0,Klisz_Verbräuche[[#This Row],[2027]]*(1-$F146)^1, ""), ""),IF($B$14&gt;Klisz_Verbräuche[[#Headers],[2028]],Refsz_Verbräuche[[#This Row],[2028]],"")))</f>
        <v/>
      </c>
      <c r="U146" s="49" t="str">
        <f>IF(Klisz_Verbräuche[[#Headers],[2029]]=$B$14,IF(COUNTIF($G146:Klisz_Verbräuche[[#This Row],[2028]],"&gt;0")&gt;0, AVERAGEIF($G146:Klisz_Verbräuche[[#This Row],[2028]],"&lt;&gt;"), ""),IF($B$14&lt;Klisz_Verbräuche[[#Headers],[2029]],IF(COUNTIF($G146:Klisz_Verbräuche[[#This Row],[2028]],"&gt;0")&gt;0,IF(COUNTIF($G146:Klisz_Verbräuche[[#This Row],[2028]],"&gt;0")&gt;0,Klisz_Verbräuche[[#This Row],[2028]]*(1-$F146)^1, ""), ""),IF($B$14&gt;Klisz_Verbräuche[[#Headers],[2029]],Refsz_Verbräuche[[#This Row],[2029]],"")))</f>
        <v/>
      </c>
      <c r="V146" s="49" t="str">
        <f>IF(Klisz_Verbräuche[[#Headers],[2030]]=$B$14,IF(COUNTIF($G146:Klisz_Verbräuche[[#This Row],[2029]],"&gt;0")&gt;0, AVERAGEIF($G146:Klisz_Verbräuche[[#This Row],[2029]],"&lt;&gt;"), ""),IF($B$14&lt;Klisz_Verbräuche[[#Headers],[2030]],IF(COUNTIF($G146:Klisz_Verbräuche[[#This Row],[2029]],"&gt;0")&gt;0,IF(COUNTIF($G146:Klisz_Verbräuche[[#This Row],[2029]],"&gt;0")&gt;0,Klisz_Verbräuche[[#This Row],[2029]]*(1-$F146)^1, ""), ""),IF($B$14&gt;Klisz_Verbräuche[[#Headers],[2030]],Refsz_Verbräuche[[#This Row],[2030]],"")))</f>
        <v/>
      </c>
      <c r="W146" s="49" t="str">
        <f>IF(Klisz_Verbräuche[[#Headers],[2035]]=$B$14,IF(COUNTIF($G146:Klisz_Verbräuche[[#This Row],[2030]],"&gt;0")&gt;0, AVERAGEIF($G146:Klisz_Verbräuche[[#This Row],[2030]],"&lt;&gt;"), ""),IF($B$14&lt;Klisz_Verbräuche[[#Headers],[2035]],IF(COUNTIF($G146:Klisz_Verbräuche[[#This Row],[2030]],"&gt;0")&gt;0,IF(COUNTIF($G146:Klisz_Verbräuche[[#This Row],[2030]],"&gt;0")&gt;0,Klisz_Verbräuche[[#This Row],[2030]]*(1-$F146)^5, ""), ""),IF($B$14&gt;Klisz_Verbräuche[[#Headers],[2035]],Refsz_Verbräuche[[#This Row],[2035]],"")))</f>
        <v/>
      </c>
      <c r="X146" s="49" t="str">
        <f>IF(Klisz_Verbräuche[[#Headers],[2040]]=$B$14,IF(COUNTIF($G146:Klisz_Verbräuche[[#This Row],[2035]],"&gt;0")&gt;0, AVERAGEIF($G146:Klisz_Verbräuche[[#This Row],[2035]],"&lt;&gt;"), ""),IF($B$14&lt;Klisz_Verbräuche[[#Headers],[2040]],IF(COUNTIF($G146:Klisz_Verbräuche[[#This Row],[2035]],"&gt;0")&gt;0,IF(COUNTIF($G146:Klisz_Verbräuche[[#This Row],[2035]],"&gt;0")&gt;0,Klisz_Verbräuche[[#This Row],[2035]]*(1-$F146)^5, ""), ""),IF($B$14&gt;Klisz_Verbräuche[[#Headers],[2040]],Refsz_Verbräuche[[#This Row],[2040]],"")))</f>
        <v/>
      </c>
      <c r="Y146" s="49" t="str">
        <f>IF(Klisz_Verbräuche[[#Headers],[2045]]=$B$14,IF(COUNTIF($G146:Klisz_Verbräuche[[#This Row],[2040]],"&gt;0")&gt;0, AVERAGEIF($G146:Klisz_Verbräuche[[#This Row],[2040]],"&lt;&gt;"), ""),IF($B$14&lt;Klisz_Verbräuche[[#Headers],[2045]],IF(COUNTIF($G146:Klisz_Verbräuche[[#This Row],[2040]],"&gt;0")&gt;0,IF(COUNTIF($G146:Klisz_Verbräuche[[#This Row],[2040]],"&gt;0")&gt;0,Klisz_Verbräuche[[#This Row],[2040]]*(1-$F146)^5, ""), ""),IF($B$14&gt;Klisz_Verbräuche[[#Headers],[2045]],Refsz_Verbräuche[[#This Row],[2045]],"")))</f>
        <v/>
      </c>
      <c r="Z146" s="49" t="str">
        <f>IF(Klisz_Verbräuche[[#Headers],[2050]]=$B$14,IF(COUNTIF($G146:Klisz_Verbräuche[[#This Row],[2045]],"&gt;0")&gt;0, AVERAGEIF($G146:Klisz_Verbräuche[[#This Row],[2045]],"&lt;&gt;"), ""),IF($B$14&lt;Klisz_Verbräuche[[#Headers],[2050]],IF(COUNTIF($G146:Klisz_Verbräuche[[#This Row],[2045]],"&gt;0")&gt;0,IF(COUNTIF($G146:Klisz_Verbräuche[[#This Row],[2045]],"&gt;0")&gt;0,Klisz_Verbräuche[[#This Row],[2045]]*(1-$F146)^5, ""), ""),IF($B$14&gt;Klisz_Verbräuche[[#Headers],[2050]],Refsz_Verbräuche[[#This Row],[2050]],"")))</f>
        <v/>
      </c>
      <c r="AA146" s="14"/>
    </row>
    <row r="147" spans="2:27">
      <c r="B147" s="14">
        <v>130</v>
      </c>
      <c r="C147" s="197" t="str">
        <f>Refsz_Verbräuche[[#This Row],[Handlungsfeld]]</f>
        <v>Baugüter</v>
      </c>
      <c r="D147" s="19" t="str">
        <f>Refsz_Verbräuche[[#This Row],[Datenpunkt]]</f>
        <v>Kupferrohr</v>
      </c>
      <c r="E147" s="26" t="str">
        <f>Refsz_Verbräuche[[#This Row],[Einheit]]</f>
        <v>kg</v>
      </c>
      <c r="F147" s="108"/>
      <c r="G147" s="14" t="str">
        <f>IF(ISBLANK(Refsz_Verbräuche[[#This Row],[2015]]),"",Refsz_Verbräuche[[#This Row],[2015]])</f>
        <v/>
      </c>
      <c r="H147" s="14" t="str">
        <f>IF(ISBLANK(Refsz_Verbräuche[[#This Row],[2016]]),"",Refsz_Verbräuche[[#This Row],[2016]])</f>
        <v/>
      </c>
      <c r="I147" s="14" t="str">
        <f>IF(ISBLANK(Refsz_Verbräuche[[#This Row],[2017]]),"",Refsz_Verbräuche[[#This Row],[2017]])</f>
        <v/>
      </c>
      <c r="J147" s="14" t="str">
        <f>IF(ISBLANK(Refsz_Verbräuche[[#This Row],[2018]]),"",Refsz_Verbräuche[[#This Row],[2018]])</f>
        <v/>
      </c>
      <c r="K147" s="14" t="str">
        <f>IF(ISBLANK(Refsz_Verbräuche[[#This Row],[2019]]),"",Refsz_Verbräuche[[#This Row],[2019]])</f>
        <v/>
      </c>
      <c r="L147" s="14" t="str">
        <f>IF(ISBLANK(Refsz_Verbräuche[[#This Row],[2020]]),"",Refsz_Verbräuche[[#This Row],[2020]])</f>
        <v/>
      </c>
      <c r="M147" s="14" t="str">
        <f>IF(ISBLANK(Refsz_Verbräuche[[#This Row],[2021]]),"",Refsz_Verbräuche[[#This Row],[2021]])</f>
        <v/>
      </c>
      <c r="N147" s="49" t="str">
        <f>IF(Klisz_Verbräuche[[#Headers],[2022]]=$B$14,IF(COUNTIF($G147:Klisz_Verbräuche[[#This Row],[2021]],"&gt;0")&gt;0, AVERAGEIF($G147:Klisz_Verbräuche[[#This Row],[2021]],"&lt;&gt;"), ""),IF($B$14&lt;Klisz_Verbräuche[[#Headers],[2022]],IF(COUNTIF($G147:Klisz_Verbräuche[[#This Row],[2021]],"&gt;0")&gt;0,IF(COUNTIF($G147:Klisz_Verbräuche[[#This Row],[2021]],"&gt;0")&gt;0,Klisz_Verbräuche[[#This Row],[2021]]*(1-$F147)^1, ""), ""),IF($B$14&gt;Klisz_Verbräuche[[#Headers],[2022]],Refsz_Verbräuche[[#This Row],[2022]],"")))</f>
        <v/>
      </c>
      <c r="O147" s="49" t="str">
        <f>IF(Klisz_Verbräuche[[#Headers],[2023]]=$B$14,IF(COUNTIF($G147:Klisz_Verbräuche[[#This Row],[2022]],"&gt;0")&gt;0, AVERAGEIF($G147:Klisz_Verbräuche[[#This Row],[2022]],"&lt;&gt;"), ""),IF($B$14&lt;Klisz_Verbräuche[[#Headers],[2023]],IF(COUNTIF($G147:Klisz_Verbräuche[[#This Row],[2022]],"&gt;0")&gt;0,IF(COUNTIF($G147:Klisz_Verbräuche[[#This Row],[2022]],"&gt;0")&gt;0,Klisz_Verbräuche[[#This Row],[2022]]*(1-$F147)^1, ""), ""),IF($B$14&gt;Klisz_Verbräuche[[#Headers],[2023]],Refsz_Verbräuche[[#This Row],[2023]],"")))</f>
        <v/>
      </c>
      <c r="P147" s="49" t="str">
        <f>IF(Klisz_Verbräuche[[#Headers],[2024]]=$B$14,IF(COUNTIF($G147:Klisz_Verbräuche[[#This Row],[2023]],"&gt;0")&gt;0, AVERAGEIF($G147:Klisz_Verbräuche[[#This Row],[2023]],"&lt;&gt;"), ""),IF($B$14&lt;Klisz_Verbräuche[[#Headers],[2024]],IF(COUNTIF($G147:Klisz_Verbräuche[[#This Row],[2023]],"&gt;0")&gt;0,IF(COUNTIF($G147:Klisz_Verbräuche[[#This Row],[2023]],"&gt;0")&gt;0,Klisz_Verbräuche[[#This Row],[2023]]*(1-$F147)^1, ""), ""),IF($B$14&gt;Klisz_Verbräuche[[#Headers],[2024]],Refsz_Verbräuche[[#This Row],[2024]],"")))</f>
        <v/>
      </c>
      <c r="Q147" s="49" t="str">
        <f>IF(Klisz_Verbräuche[[#Headers],[2025]]=$B$14,IF(COUNTIF($G147:Klisz_Verbräuche[[#This Row],[2024]],"&gt;0")&gt;0, AVERAGEIF($G147:Klisz_Verbräuche[[#This Row],[2024]],"&lt;&gt;"), ""),IF($B$14&lt;Klisz_Verbräuche[[#Headers],[2025]],IF(COUNTIF($G147:Klisz_Verbräuche[[#This Row],[2024]],"&gt;0")&gt;0,IF(COUNTIF($G147:Klisz_Verbräuche[[#This Row],[2024]],"&gt;0")&gt;0,Klisz_Verbräuche[[#This Row],[2024]]*(1-$F147)^1, ""), ""),IF($B$14&gt;Klisz_Verbräuche[[#Headers],[2025]],Refsz_Verbräuche[[#This Row],[2025]],"")))</f>
        <v/>
      </c>
      <c r="R147" s="49" t="str">
        <f>IF(Klisz_Verbräuche[[#Headers],[2026]]=$B$14,IF(COUNTIF($G147:Klisz_Verbräuche[[#This Row],[2025]],"&gt;0")&gt;0, AVERAGEIF($G147:Klisz_Verbräuche[[#This Row],[2025]],"&lt;&gt;"), ""),IF($B$14&lt;Klisz_Verbräuche[[#Headers],[2026]],IF(COUNTIF($G147:Klisz_Verbräuche[[#This Row],[2025]],"&gt;0")&gt;0,IF(COUNTIF($G147:Klisz_Verbräuche[[#This Row],[2025]],"&gt;0")&gt;0,Klisz_Verbräuche[[#This Row],[2025]]*(1-$F147)^1, ""), ""),IF($B$14&gt;Klisz_Verbräuche[[#Headers],[2026]],Refsz_Verbräuche[[#This Row],[2026]],"")))</f>
        <v/>
      </c>
      <c r="S147" s="49" t="str">
        <f>IF(Klisz_Verbräuche[[#Headers],[2027]]=$B$14,IF(COUNTIF($G147:Klisz_Verbräuche[[#This Row],[2026]],"&gt;0")&gt;0, AVERAGEIF($G147:Klisz_Verbräuche[[#This Row],[2026]],"&lt;&gt;"), ""),IF($B$14&lt;Klisz_Verbräuche[[#Headers],[2027]],IF(COUNTIF($G147:Klisz_Verbräuche[[#This Row],[2026]],"&gt;0")&gt;0,IF(COUNTIF($G147:Klisz_Verbräuche[[#This Row],[2026]],"&gt;0")&gt;0,Klisz_Verbräuche[[#This Row],[2026]]*(1-$F147)^1, ""), ""),IF($B$14&gt;Klisz_Verbräuche[[#Headers],[2027]],Refsz_Verbräuche[[#This Row],[2027]],"")))</f>
        <v/>
      </c>
      <c r="T147" s="49" t="str">
        <f>IF(Klisz_Verbräuche[[#Headers],[2028]]=$B$14,IF(COUNTIF($G147:Klisz_Verbräuche[[#This Row],[2027]],"&gt;0")&gt;0, AVERAGEIF($G147:Klisz_Verbräuche[[#This Row],[2027]],"&lt;&gt;"), ""),IF($B$14&lt;Klisz_Verbräuche[[#Headers],[2028]],IF(COUNTIF($G147:Klisz_Verbräuche[[#This Row],[2027]],"&gt;0")&gt;0,IF(COUNTIF($G147:Klisz_Verbräuche[[#This Row],[2027]],"&gt;0")&gt;0,Klisz_Verbräuche[[#This Row],[2027]]*(1-$F147)^1, ""), ""),IF($B$14&gt;Klisz_Verbräuche[[#Headers],[2028]],Refsz_Verbräuche[[#This Row],[2028]],"")))</f>
        <v/>
      </c>
      <c r="U147" s="49" t="str">
        <f>IF(Klisz_Verbräuche[[#Headers],[2029]]=$B$14,IF(COUNTIF($G147:Klisz_Verbräuche[[#This Row],[2028]],"&gt;0")&gt;0, AVERAGEIF($G147:Klisz_Verbräuche[[#This Row],[2028]],"&lt;&gt;"), ""),IF($B$14&lt;Klisz_Verbräuche[[#Headers],[2029]],IF(COUNTIF($G147:Klisz_Verbräuche[[#This Row],[2028]],"&gt;0")&gt;0,IF(COUNTIF($G147:Klisz_Verbräuche[[#This Row],[2028]],"&gt;0")&gt;0,Klisz_Verbräuche[[#This Row],[2028]]*(1-$F147)^1, ""), ""),IF($B$14&gt;Klisz_Verbräuche[[#Headers],[2029]],Refsz_Verbräuche[[#This Row],[2029]],"")))</f>
        <v/>
      </c>
      <c r="V147" s="49" t="str">
        <f>IF(Klisz_Verbräuche[[#Headers],[2030]]=$B$14,IF(COUNTIF($G147:Klisz_Verbräuche[[#This Row],[2029]],"&gt;0")&gt;0, AVERAGEIF($G147:Klisz_Verbräuche[[#This Row],[2029]],"&lt;&gt;"), ""),IF($B$14&lt;Klisz_Verbräuche[[#Headers],[2030]],IF(COUNTIF($G147:Klisz_Verbräuche[[#This Row],[2029]],"&gt;0")&gt;0,IF(COUNTIF($G147:Klisz_Verbräuche[[#This Row],[2029]],"&gt;0")&gt;0,Klisz_Verbräuche[[#This Row],[2029]]*(1-$F147)^1, ""), ""),IF($B$14&gt;Klisz_Verbräuche[[#Headers],[2030]],Refsz_Verbräuche[[#This Row],[2030]],"")))</f>
        <v/>
      </c>
      <c r="W147" s="49" t="str">
        <f>IF(Klisz_Verbräuche[[#Headers],[2035]]=$B$14,IF(COUNTIF($G147:Klisz_Verbräuche[[#This Row],[2030]],"&gt;0")&gt;0, AVERAGEIF($G147:Klisz_Verbräuche[[#This Row],[2030]],"&lt;&gt;"), ""),IF($B$14&lt;Klisz_Verbräuche[[#Headers],[2035]],IF(COUNTIF($G147:Klisz_Verbräuche[[#This Row],[2030]],"&gt;0")&gt;0,IF(COUNTIF($G147:Klisz_Verbräuche[[#This Row],[2030]],"&gt;0")&gt;0,Klisz_Verbräuche[[#This Row],[2030]]*(1-$F147)^5, ""), ""),IF($B$14&gt;Klisz_Verbräuche[[#Headers],[2035]],Refsz_Verbräuche[[#This Row],[2035]],"")))</f>
        <v/>
      </c>
      <c r="X147" s="49" t="str">
        <f>IF(Klisz_Verbräuche[[#Headers],[2040]]=$B$14,IF(COUNTIF($G147:Klisz_Verbräuche[[#This Row],[2035]],"&gt;0")&gt;0, AVERAGEIF($G147:Klisz_Verbräuche[[#This Row],[2035]],"&lt;&gt;"), ""),IF($B$14&lt;Klisz_Verbräuche[[#Headers],[2040]],IF(COUNTIF($G147:Klisz_Verbräuche[[#This Row],[2035]],"&gt;0")&gt;0,IF(COUNTIF($G147:Klisz_Verbräuche[[#This Row],[2035]],"&gt;0")&gt;0,Klisz_Verbräuche[[#This Row],[2035]]*(1-$F147)^5, ""), ""),IF($B$14&gt;Klisz_Verbräuche[[#Headers],[2040]],Refsz_Verbräuche[[#This Row],[2040]],"")))</f>
        <v/>
      </c>
      <c r="Y147" s="49" t="str">
        <f>IF(Klisz_Verbräuche[[#Headers],[2045]]=$B$14,IF(COUNTIF($G147:Klisz_Verbräuche[[#This Row],[2040]],"&gt;0")&gt;0, AVERAGEIF($G147:Klisz_Verbräuche[[#This Row],[2040]],"&lt;&gt;"), ""),IF($B$14&lt;Klisz_Verbräuche[[#Headers],[2045]],IF(COUNTIF($G147:Klisz_Verbräuche[[#This Row],[2040]],"&gt;0")&gt;0,IF(COUNTIF($G147:Klisz_Verbräuche[[#This Row],[2040]],"&gt;0")&gt;0,Klisz_Verbräuche[[#This Row],[2040]]*(1-$F147)^5, ""), ""),IF($B$14&gt;Klisz_Verbräuche[[#Headers],[2045]],Refsz_Verbräuche[[#This Row],[2045]],"")))</f>
        <v/>
      </c>
      <c r="Z147" s="49" t="str">
        <f>IF(Klisz_Verbräuche[[#Headers],[2050]]=$B$14,IF(COUNTIF($G147:Klisz_Verbräuche[[#This Row],[2045]],"&gt;0")&gt;0, AVERAGEIF($G147:Klisz_Verbräuche[[#This Row],[2045]],"&lt;&gt;"), ""),IF($B$14&lt;Klisz_Verbräuche[[#Headers],[2050]],IF(COUNTIF($G147:Klisz_Verbräuche[[#This Row],[2045]],"&gt;0")&gt;0,IF(COUNTIF($G147:Klisz_Verbräuche[[#This Row],[2045]],"&gt;0")&gt;0,Klisz_Verbräuche[[#This Row],[2045]]*(1-$F147)^5, ""), ""),IF($B$14&gt;Klisz_Verbräuche[[#Headers],[2050]],Refsz_Verbräuche[[#This Row],[2050]],"")))</f>
        <v/>
      </c>
      <c r="AA147" s="14"/>
    </row>
    <row r="148" spans="2:27">
      <c r="B148" s="14">
        <v>131</v>
      </c>
      <c r="C148" s="197" t="str">
        <f>Refsz_Verbräuche[[#This Row],[Handlungsfeld]]</f>
        <v>Baugüter</v>
      </c>
      <c r="D148" s="19" t="str">
        <f>Refsz_Verbräuche[[#This Row],[Datenpunkt]]</f>
        <v>Stahl-Blech</v>
      </c>
      <c r="E148" s="26" t="str">
        <f>Refsz_Verbräuche[[#This Row],[Einheit]]</f>
        <v>kg</v>
      </c>
      <c r="F148" s="108"/>
      <c r="G148" s="14" t="str">
        <f>IF(ISBLANK(Refsz_Verbräuche[[#This Row],[2015]]),"",Refsz_Verbräuche[[#This Row],[2015]])</f>
        <v/>
      </c>
      <c r="H148" s="14" t="str">
        <f>IF(ISBLANK(Refsz_Verbräuche[[#This Row],[2016]]),"",Refsz_Verbräuche[[#This Row],[2016]])</f>
        <v/>
      </c>
      <c r="I148" s="14" t="str">
        <f>IF(ISBLANK(Refsz_Verbräuche[[#This Row],[2017]]),"",Refsz_Verbräuche[[#This Row],[2017]])</f>
        <v/>
      </c>
      <c r="J148" s="14" t="str">
        <f>IF(ISBLANK(Refsz_Verbräuche[[#This Row],[2018]]),"",Refsz_Verbräuche[[#This Row],[2018]])</f>
        <v/>
      </c>
      <c r="K148" s="14" t="str">
        <f>IF(ISBLANK(Refsz_Verbräuche[[#This Row],[2019]]),"",Refsz_Verbräuche[[#This Row],[2019]])</f>
        <v/>
      </c>
      <c r="L148" s="14" t="str">
        <f>IF(ISBLANK(Refsz_Verbräuche[[#This Row],[2020]]),"",Refsz_Verbräuche[[#This Row],[2020]])</f>
        <v/>
      </c>
      <c r="M148" s="14" t="str">
        <f>IF(ISBLANK(Refsz_Verbräuche[[#This Row],[2021]]),"",Refsz_Verbräuche[[#This Row],[2021]])</f>
        <v/>
      </c>
      <c r="N148" s="49" t="str">
        <f>IF(Klisz_Verbräuche[[#Headers],[2022]]=$B$14,IF(COUNTIF($G148:Klisz_Verbräuche[[#This Row],[2021]],"&gt;0")&gt;0, AVERAGEIF($G148:Klisz_Verbräuche[[#This Row],[2021]],"&lt;&gt;"), ""),IF($B$14&lt;Klisz_Verbräuche[[#Headers],[2022]],IF(COUNTIF($G148:Klisz_Verbräuche[[#This Row],[2021]],"&gt;0")&gt;0,IF(COUNTIF($G148:Klisz_Verbräuche[[#This Row],[2021]],"&gt;0")&gt;0,Klisz_Verbräuche[[#This Row],[2021]]*(1-$F148)^1, ""), ""),IF($B$14&gt;Klisz_Verbräuche[[#Headers],[2022]],Refsz_Verbräuche[[#This Row],[2022]],"")))</f>
        <v/>
      </c>
      <c r="O148" s="49" t="str">
        <f>IF(Klisz_Verbräuche[[#Headers],[2023]]=$B$14,IF(COUNTIF($G148:Klisz_Verbräuche[[#This Row],[2022]],"&gt;0")&gt;0, AVERAGEIF($G148:Klisz_Verbräuche[[#This Row],[2022]],"&lt;&gt;"), ""),IF($B$14&lt;Klisz_Verbräuche[[#Headers],[2023]],IF(COUNTIF($G148:Klisz_Verbräuche[[#This Row],[2022]],"&gt;0")&gt;0,IF(COUNTIF($G148:Klisz_Verbräuche[[#This Row],[2022]],"&gt;0")&gt;0,Klisz_Verbräuche[[#This Row],[2022]]*(1-$F148)^1, ""), ""),IF($B$14&gt;Klisz_Verbräuche[[#Headers],[2023]],Refsz_Verbräuche[[#This Row],[2023]],"")))</f>
        <v/>
      </c>
      <c r="P148" s="49" t="str">
        <f>IF(Klisz_Verbräuche[[#Headers],[2024]]=$B$14,IF(COUNTIF($G148:Klisz_Verbräuche[[#This Row],[2023]],"&gt;0")&gt;0, AVERAGEIF($G148:Klisz_Verbräuche[[#This Row],[2023]],"&lt;&gt;"), ""),IF($B$14&lt;Klisz_Verbräuche[[#Headers],[2024]],IF(COUNTIF($G148:Klisz_Verbräuche[[#This Row],[2023]],"&gt;0")&gt;0,IF(COUNTIF($G148:Klisz_Verbräuche[[#This Row],[2023]],"&gt;0")&gt;0,Klisz_Verbräuche[[#This Row],[2023]]*(1-$F148)^1, ""), ""),IF($B$14&gt;Klisz_Verbräuche[[#Headers],[2024]],Refsz_Verbräuche[[#This Row],[2024]],"")))</f>
        <v/>
      </c>
      <c r="Q148" s="49" t="str">
        <f>IF(Klisz_Verbräuche[[#Headers],[2025]]=$B$14,IF(COUNTIF($G148:Klisz_Verbräuche[[#This Row],[2024]],"&gt;0")&gt;0, AVERAGEIF($G148:Klisz_Verbräuche[[#This Row],[2024]],"&lt;&gt;"), ""),IF($B$14&lt;Klisz_Verbräuche[[#Headers],[2025]],IF(COUNTIF($G148:Klisz_Verbräuche[[#This Row],[2024]],"&gt;0")&gt;0,IF(COUNTIF($G148:Klisz_Verbräuche[[#This Row],[2024]],"&gt;0")&gt;0,Klisz_Verbräuche[[#This Row],[2024]]*(1-$F148)^1, ""), ""),IF($B$14&gt;Klisz_Verbräuche[[#Headers],[2025]],Refsz_Verbräuche[[#This Row],[2025]],"")))</f>
        <v/>
      </c>
      <c r="R148" s="49" t="str">
        <f>IF(Klisz_Verbräuche[[#Headers],[2026]]=$B$14,IF(COUNTIF($G148:Klisz_Verbräuche[[#This Row],[2025]],"&gt;0")&gt;0, AVERAGEIF($G148:Klisz_Verbräuche[[#This Row],[2025]],"&lt;&gt;"), ""),IF($B$14&lt;Klisz_Verbräuche[[#Headers],[2026]],IF(COUNTIF($G148:Klisz_Verbräuche[[#This Row],[2025]],"&gt;0")&gt;0,IF(COUNTIF($G148:Klisz_Verbräuche[[#This Row],[2025]],"&gt;0")&gt;0,Klisz_Verbräuche[[#This Row],[2025]]*(1-$F148)^1, ""), ""),IF($B$14&gt;Klisz_Verbräuche[[#Headers],[2026]],Refsz_Verbräuche[[#This Row],[2026]],"")))</f>
        <v/>
      </c>
      <c r="S148" s="49" t="str">
        <f>IF(Klisz_Verbräuche[[#Headers],[2027]]=$B$14,IF(COUNTIF($G148:Klisz_Verbräuche[[#This Row],[2026]],"&gt;0")&gt;0, AVERAGEIF($G148:Klisz_Verbräuche[[#This Row],[2026]],"&lt;&gt;"), ""),IF($B$14&lt;Klisz_Verbräuche[[#Headers],[2027]],IF(COUNTIF($G148:Klisz_Verbräuche[[#This Row],[2026]],"&gt;0")&gt;0,IF(COUNTIF($G148:Klisz_Verbräuche[[#This Row],[2026]],"&gt;0")&gt;0,Klisz_Verbräuche[[#This Row],[2026]]*(1-$F148)^1, ""), ""),IF($B$14&gt;Klisz_Verbräuche[[#Headers],[2027]],Refsz_Verbräuche[[#This Row],[2027]],"")))</f>
        <v/>
      </c>
      <c r="T148" s="49" t="str">
        <f>IF(Klisz_Verbräuche[[#Headers],[2028]]=$B$14,IF(COUNTIF($G148:Klisz_Verbräuche[[#This Row],[2027]],"&gt;0")&gt;0, AVERAGEIF($G148:Klisz_Verbräuche[[#This Row],[2027]],"&lt;&gt;"), ""),IF($B$14&lt;Klisz_Verbräuche[[#Headers],[2028]],IF(COUNTIF($G148:Klisz_Verbräuche[[#This Row],[2027]],"&gt;0")&gt;0,IF(COUNTIF($G148:Klisz_Verbräuche[[#This Row],[2027]],"&gt;0")&gt;0,Klisz_Verbräuche[[#This Row],[2027]]*(1-$F148)^1, ""), ""),IF($B$14&gt;Klisz_Verbräuche[[#Headers],[2028]],Refsz_Verbräuche[[#This Row],[2028]],"")))</f>
        <v/>
      </c>
      <c r="U148" s="49" t="str">
        <f>IF(Klisz_Verbräuche[[#Headers],[2029]]=$B$14,IF(COUNTIF($G148:Klisz_Verbräuche[[#This Row],[2028]],"&gt;0")&gt;0, AVERAGEIF($G148:Klisz_Verbräuche[[#This Row],[2028]],"&lt;&gt;"), ""),IF($B$14&lt;Klisz_Verbräuche[[#Headers],[2029]],IF(COUNTIF($G148:Klisz_Verbräuche[[#This Row],[2028]],"&gt;0")&gt;0,IF(COUNTIF($G148:Klisz_Verbräuche[[#This Row],[2028]],"&gt;0")&gt;0,Klisz_Verbräuche[[#This Row],[2028]]*(1-$F148)^1, ""), ""),IF($B$14&gt;Klisz_Verbräuche[[#Headers],[2029]],Refsz_Verbräuche[[#This Row],[2029]],"")))</f>
        <v/>
      </c>
      <c r="V148" s="49" t="str">
        <f>IF(Klisz_Verbräuche[[#Headers],[2030]]=$B$14,IF(COUNTIF($G148:Klisz_Verbräuche[[#This Row],[2029]],"&gt;0")&gt;0, AVERAGEIF($G148:Klisz_Verbräuche[[#This Row],[2029]],"&lt;&gt;"), ""),IF($B$14&lt;Klisz_Verbräuche[[#Headers],[2030]],IF(COUNTIF($G148:Klisz_Verbräuche[[#This Row],[2029]],"&gt;0")&gt;0,IF(COUNTIF($G148:Klisz_Verbräuche[[#This Row],[2029]],"&gt;0")&gt;0,Klisz_Verbräuche[[#This Row],[2029]]*(1-$F148)^1, ""), ""),IF($B$14&gt;Klisz_Verbräuche[[#Headers],[2030]],Refsz_Verbräuche[[#This Row],[2030]],"")))</f>
        <v/>
      </c>
      <c r="W148" s="49" t="str">
        <f>IF(Klisz_Verbräuche[[#Headers],[2035]]=$B$14,IF(COUNTIF($G148:Klisz_Verbräuche[[#This Row],[2030]],"&gt;0")&gt;0, AVERAGEIF($G148:Klisz_Verbräuche[[#This Row],[2030]],"&lt;&gt;"), ""),IF($B$14&lt;Klisz_Verbräuche[[#Headers],[2035]],IF(COUNTIF($G148:Klisz_Verbräuche[[#This Row],[2030]],"&gt;0")&gt;0,IF(COUNTIF($G148:Klisz_Verbräuche[[#This Row],[2030]],"&gt;0")&gt;0,Klisz_Verbräuche[[#This Row],[2030]]*(1-$F148)^5, ""), ""),IF($B$14&gt;Klisz_Verbräuche[[#Headers],[2035]],Refsz_Verbräuche[[#This Row],[2035]],"")))</f>
        <v/>
      </c>
      <c r="X148" s="49" t="str">
        <f>IF(Klisz_Verbräuche[[#Headers],[2040]]=$B$14,IF(COUNTIF($G148:Klisz_Verbräuche[[#This Row],[2035]],"&gt;0")&gt;0, AVERAGEIF($G148:Klisz_Verbräuche[[#This Row],[2035]],"&lt;&gt;"), ""),IF($B$14&lt;Klisz_Verbräuche[[#Headers],[2040]],IF(COUNTIF($G148:Klisz_Verbräuche[[#This Row],[2035]],"&gt;0")&gt;0,IF(COUNTIF($G148:Klisz_Verbräuche[[#This Row],[2035]],"&gt;0")&gt;0,Klisz_Verbräuche[[#This Row],[2035]]*(1-$F148)^5, ""), ""),IF($B$14&gt;Klisz_Verbräuche[[#Headers],[2040]],Refsz_Verbräuche[[#This Row],[2040]],"")))</f>
        <v/>
      </c>
      <c r="Y148" s="49" t="str">
        <f>IF(Klisz_Verbräuche[[#Headers],[2045]]=$B$14,IF(COUNTIF($G148:Klisz_Verbräuche[[#This Row],[2040]],"&gt;0")&gt;0, AVERAGEIF($G148:Klisz_Verbräuche[[#This Row],[2040]],"&lt;&gt;"), ""),IF($B$14&lt;Klisz_Verbräuche[[#Headers],[2045]],IF(COUNTIF($G148:Klisz_Verbräuche[[#This Row],[2040]],"&gt;0")&gt;0,IF(COUNTIF($G148:Klisz_Verbräuche[[#This Row],[2040]],"&gt;0")&gt;0,Klisz_Verbräuche[[#This Row],[2040]]*(1-$F148)^5, ""), ""),IF($B$14&gt;Klisz_Verbräuche[[#Headers],[2045]],Refsz_Verbräuche[[#This Row],[2045]],"")))</f>
        <v/>
      </c>
      <c r="Z148" s="49" t="str">
        <f>IF(Klisz_Verbräuche[[#Headers],[2050]]=$B$14,IF(COUNTIF($G148:Klisz_Verbräuche[[#This Row],[2045]],"&gt;0")&gt;0, AVERAGEIF($G148:Klisz_Verbräuche[[#This Row],[2045]],"&lt;&gt;"), ""),IF($B$14&lt;Klisz_Verbräuche[[#Headers],[2050]],IF(COUNTIF($G148:Klisz_Verbräuche[[#This Row],[2045]],"&gt;0")&gt;0,IF(COUNTIF($G148:Klisz_Verbräuche[[#This Row],[2045]],"&gt;0")&gt;0,Klisz_Verbräuche[[#This Row],[2045]]*(1-$F148)^5, ""), ""),IF($B$14&gt;Klisz_Verbräuche[[#Headers],[2050]],Refsz_Verbräuche[[#This Row],[2050]],"")))</f>
        <v/>
      </c>
      <c r="AA148" s="14"/>
    </row>
    <row r="149" spans="2:27">
      <c r="B149" s="14">
        <v>132</v>
      </c>
      <c r="C149" s="197" t="str">
        <f>Refsz_Verbräuche[[#This Row],[Handlungsfeld]]</f>
        <v>Baugüter</v>
      </c>
      <c r="D149" s="19" t="str">
        <f>Refsz_Verbräuche[[#This Row],[Datenpunkt]]</f>
        <v>Stahl-Blech verzinkt</v>
      </c>
      <c r="E149" s="26" t="str">
        <f>Refsz_Verbräuche[[#This Row],[Einheit]]</f>
        <v>kg</v>
      </c>
      <c r="F149" s="108"/>
      <c r="G149" s="14" t="str">
        <f>IF(ISBLANK(Refsz_Verbräuche[[#This Row],[2015]]),"",Refsz_Verbräuche[[#This Row],[2015]])</f>
        <v/>
      </c>
      <c r="H149" s="14" t="str">
        <f>IF(ISBLANK(Refsz_Verbräuche[[#This Row],[2016]]),"",Refsz_Verbräuche[[#This Row],[2016]])</f>
        <v/>
      </c>
      <c r="I149" s="14" t="str">
        <f>IF(ISBLANK(Refsz_Verbräuche[[#This Row],[2017]]),"",Refsz_Verbräuche[[#This Row],[2017]])</f>
        <v/>
      </c>
      <c r="J149" s="14" t="str">
        <f>IF(ISBLANK(Refsz_Verbräuche[[#This Row],[2018]]),"",Refsz_Verbräuche[[#This Row],[2018]])</f>
        <v/>
      </c>
      <c r="K149" s="14" t="str">
        <f>IF(ISBLANK(Refsz_Verbräuche[[#This Row],[2019]]),"",Refsz_Verbräuche[[#This Row],[2019]])</f>
        <v/>
      </c>
      <c r="L149" s="14" t="str">
        <f>IF(ISBLANK(Refsz_Verbräuche[[#This Row],[2020]]),"",Refsz_Verbräuche[[#This Row],[2020]])</f>
        <v/>
      </c>
      <c r="M149" s="14" t="str">
        <f>IF(ISBLANK(Refsz_Verbräuche[[#This Row],[2021]]),"",Refsz_Verbräuche[[#This Row],[2021]])</f>
        <v/>
      </c>
      <c r="N149" s="49" t="str">
        <f>IF(Klisz_Verbräuche[[#Headers],[2022]]=$B$14,IF(COUNTIF($G149:Klisz_Verbräuche[[#This Row],[2021]],"&gt;0")&gt;0, AVERAGEIF($G149:Klisz_Verbräuche[[#This Row],[2021]],"&lt;&gt;"), ""),IF($B$14&lt;Klisz_Verbräuche[[#Headers],[2022]],IF(COUNTIF($G149:Klisz_Verbräuche[[#This Row],[2021]],"&gt;0")&gt;0,IF(COUNTIF($G149:Klisz_Verbräuche[[#This Row],[2021]],"&gt;0")&gt;0,Klisz_Verbräuche[[#This Row],[2021]]*(1-$F149)^1, ""), ""),IF($B$14&gt;Klisz_Verbräuche[[#Headers],[2022]],Refsz_Verbräuche[[#This Row],[2022]],"")))</f>
        <v/>
      </c>
      <c r="O149" s="49" t="str">
        <f>IF(Klisz_Verbräuche[[#Headers],[2023]]=$B$14,IF(COUNTIF($G149:Klisz_Verbräuche[[#This Row],[2022]],"&gt;0")&gt;0, AVERAGEIF($G149:Klisz_Verbräuche[[#This Row],[2022]],"&lt;&gt;"), ""),IF($B$14&lt;Klisz_Verbräuche[[#Headers],[2023]],IF(COUNTIF($G149:Klisz_Verbräuche[[#This Row],[2022]],"&gt;0")&gt;0,IF(COUNTIF($G149:Klisz_Verbräuche[[#This Row],[2022]],"&gt;0")&gt;0,Klisz_Verbräuche[[#This Row],[2022]]*(1-$F149)^1, ""), ""),IF($B$14&gt;Klisz_Verbräuche[[#Headers],[2023]],Refsz_Verbräuche[[#This Row],[2023]],"")))</f>
        <v/>
      </c>
      <c r="P149" s="49" t="str">
        <f>IF(Klisz_Verbräuche[[#Headers],[2024]]=$B$14,IF(COUNTIF($G149:Klisz_Verbräuche[[#This Row],[2023]],"&gt;0")&gt;0, AVERAGEIF($G149:Klisz_Verbräuche[[#This Row],[2023]],"&lt;&gt;"), ""),IF($B$14&lt;Klisz_Verbräuche[[#Headers],[2024]],IF(COUNTIF($G149:Klisz_Verbräuche[[#This Row],[2023]],"&gt;0")&gt;0,IF(COUNTIF($G149:Klisz_Verbräuche[[#This Row],[2023]],"&gt;0")&gt;0,Klisz_Verbräuche[[#This Row],[2023]]*(1-$F149)^1, ""), ""),IF($B$14&gt;Klisz_Verbräuche[[#Headers],[2024]],Refsz_Verbräuche[[#This Row],[2024]],"")))</f>
        <v/>
      </c>
      <c r="Q149" s="49" t="str">
        <f>IF(Klisz_Verbräuche[[#Headers],[2025]]=$B$14,IF(COUNTIF($G149:Klisz_Verbräuche[[#This Row],[2024]],"&gt;0")&gt;0, AVERAGEIF($G149:Klisz_Verbräuche[[#This Row],[2024]],"&lt;&gt;"), ""),IF($B$14&lt;Klisz_Verbräuche[[#Headers],[2025]],IF(COUNTIF($G149:Klisz_Verbräuche[[#This Row],[2024]],"&gt;0")&gt;0,IF(COUNTIF($G149:Klisz_Verbräuche[[#This Row],[2024]],"&gt;0")&gt;0,Klisz_Verbräuche[[#This Row],[2024]]*(1-$F149)^1, ""), ""),IF($B$14&gt;Klisz_Verbräuche[[#Headers],[2025]],Refsz_Verbräuche[[#This Row],[2025]],"")))</f>
        <v/>
      </c>
      <c r="R149" s="49" t="str">
        <f>IF(Klisz_Verbräuche[[#Headers],[2026]]=$B$14,IF(COUNTIF($G149:Klisz_Verbräuche[[#This Row],[2025]],"&gt;0")&gt;0, AVERAGEIF($G149:Klisz_Verbräuche[[#This Row],[2025]],"&lt;&gt;"), ""),IF($B$14&lt;Klisz_Verbräuche[[#Headers],[2026]],IF(COUNTIF($G149:Klisz_Verbräuche[[#This Row],[2025]],"&gt;0")&gt;0,IF(COUNTIF($G149:Klisz_Verbräuche[[#This Row],[2025]],"&gt;0")&gt;0,Klisz_Verbräuche[[#This Row],[2025]]*(1-$F149)^1, ""), ""),IF($B$14&gt;Klisz_Verbräuche[[#Headers],[2026]],Refsz_Verbräuche[[#This Row],[2026]],"")))</f>
        <v/>
      </c>
      <c r="S149" s="49" t="str">
        <f>IF(Klisz_Verbräuche[[#Headers],[2027]]=$B$14,IF(COUNTIF($G149:Klisz_Verbräuche[[#This Row],[2026]],"&gt;0")&gt;0, AVERAGEIF($G149:Klisz_Verbräuche[[#This Row],[2026]],"&lt;&gt;"), ""),IF($B$14&lt;Klisz_Verbräuche[[#Headers],[2027]],IF(COUNTIF($G149:Klisz_Verbräuche[[#This Row],[2026]],"&gt;0")&gt;0,IF(COUNTIF($G149:Klisz_Verbräuche[[#This Row],[2026]],"&gt;0")&gt;0,Klisz_Verbräuche[[#This Row],[2026]]*(1-$F149)^1, ""), ""),IF($B$14&gt;Klisz_Verbräuche[[#Headers],[2027]],Refsz_Verbräuche[[#This Row],[2027]],"")))</f>
        <v/>
      </c>
      <c r="T149" s="49" t="str">
        <f>IF(Klisz_Verbräuche[[#Headers],[2028]]=$B$14,IF(COUNTIF($G149:Klisz_Verbräuche[[#This Row],[2027]],"&gt;0")&gt;0, AVERAGEIF($G149:Klisz_Verbräuche[[#This Row],[2027]],"&lt;&gt;"), ""),IF($B$14&lt;Klisz_Verbräuche[[#Headers],[2028]],IF(COUNTIF($G149:Klisz_Verbräuche[[#This Row],[2027]],"&gt;0")&gt;0,IF(COUNTIF($G149:Klisz_Verbräuche[[#This Row],[2027]],"&gt;0")&gt;0,Klisz_Verbräuche[[#This Row],[2027]]*(1-$F149)^1, ""), ""),IF($B$14&gt;Klisz_Verbräuche[[#Headers],[2028]],Refsz_Verbräuche[[#This Row],[2028]],"")))</f>
        <v/>
      </c>
      <c r="U149" s="49" t="str">
        <f>IF(Klisz_Verbräuche[[#Headers],[2029]]=$B$14,IF(COUNTIF($G149:Klisz_Verbräuche[[#This Row],[2028]],"&gt;0")&gt;0, AVERAGEIF($G149:Klisz_Verbräuche[[#This Row],[2028]],"&lt;&gt;"), ""),IF($B$14&lt;Klisz_Verbräuche[[#Headers],[2029]],IF(COUNTIF($G149:Klisz_Verbräuche[[#This Row],[2028]],"&gt;0")&gt;0,IF(COUNTIF($G149:Klisz_Verbräuche[[#This Row],[2028]],"&gt;0")&gt;0,Klisz_Verbräuche[[#This Row],[2028]]*(1-$F149)^1, ""), ""),IF($B$14&gt;Klisz_Verbräuche[[#Headers],[2029]],Refsz_Verbräuche[[#This Row],[2029]],"")))</f>
        <v/>
      </c>
      <c r="V149" s="49" t="str">
        <f>IF(Klisz_Verbräuche[[#Headers],[2030]]=$B$14,IF(COUNTIF($G149:Klisz_Verbräuche[[#This Row],[2029]],"&gt;0")&gt;0, AVERAGEIF($G149:Klisz_Verbräuche[[#This Row],[2029]],"&lt;&gt;"), ""),IF($B$14&lt;Klisz_Verbräuche[[#Headers],[2030]],IF(COUNTIF($G149:Klisz_Verbräuche[[#This Row],[2029]],"&gt;0")&gt;0,IF(COUNTIF($G149:Klisz_Verbräuche[[#This Row],[2029]],"&gt;0")&gt;0,Klisz_Verbräuche[[#This Row],[2029]]*(1-$F149)^1, ""), ""),IF($B$14&gt;Klisz_Verbräuche[[#Headers],[2030]],Refsz_Verbräuche[[#This Row],[2030]],"")))</f>
        <v/>
      </c>
      <c r="W149" s="49" t="str">
        <f>IF(Klisz_Verbräuche[[#Headers],[2035]]=$B$14,IF(COUNTIF($G149:Klisz_Verbräuche[[#This Row],[2030]],"&gt;0")&gt;0, AVERAGEIF($G149:Klisz_Verbräuche[[#This Row],[2030]],"&lt;&gt;"), ""),IF($B$14&lt;Klisz_Verbräuche[[#Headers],[2035]],IF(COUNTIF($G149:Klisz_Verbräuche[[#This Row],[2030]],"&gt;0")&gt;0,IF(COUNTIF($G149:Klisz_Verbräuche[[#This Row],[2030]],"&gt;0")&gt;0,Klisz_Verbräuche[[#This Row],[2030]]*(1-$F149)^5, ""), ""),IF($B$14&gt;Klisz_Verbräuche[[#Headers],[2035]],Refsz_Verbräuche[[#This Row],[2035]],"")))</f>
        <v/>
      </c>
      <c r="X149" s="49" t="str">
        <f>IF(Klisz_Verbräuche[[#Headers],[2040]]=$B$14,IF(COUNTIF($G149:Klisz_Verbräuche[[#This Row],[2035]],"&gt;0")&gt;0, AVERAGEIF($G149:Klisz_Verbräuche[[#This Row],[2035]],"&lt;&gt;"), ""),IF($B$14&lt;Klisz_Verbräuche[[#Headers],[2040]],IF(COUNTIF($G149:Klisz_Verbräuche[[#This Row],[2035]],"&gt;0")&gt;0,IF(COUNTIF($G149:Klisz_Verbräuche[[#This Row],[2035]],"&gt;0")&gt;0,Klisz_Verbräuche[[#This Row],[2035]]*(1-$F149)^5, ""), ""),IF($B$14&gt;Klisz_Verbräuche[[#Headers],[2040]],Refsz_Verbräuche[[#This Row],[2040]],"")))</f>
        <v/>
      </c>
      <c r="Y149" s="49" t="str">
        <f>IF(Klisz_Verbräuche[[#Headers],[2045]]=$B$14,IF(COUNTIF($G149:Klisz_Verbräuche[[#This Row],[2040]],"&gt;0")&gt;0, AVERAGEIF($G149:Klisz_Verbräuche[[#This Row],[2040]],"&lt;&gt;"), ""),IF($B$14&lt;Klisz_Verbräuche[[#Headers],[2045]],IF(COUNTIF($G149:Klisz_Verbräuche[[#This Row],[2040]],"&gt;0")&gt;0,IF(COUNTIF($G149:Klisz_Verbräuche[[#This Row],[2040]],"&gt;0")&gt;0,Klisz_Verbräuche[[#This Row],[2040]]*(1-$F149)^5, ""), ""),IF($B$14&gt;Klisz_Verbräuche[[#Headers],[2045]],Refsz_Verbräuche[[#This Row],[2045]],"")))</f>
        <v/>
      </c>
      <c r="Z149" s="49" t="str">
        <f>IF(Klisz_Verbräuche[[#Headers],[2050]]=$B$14,IF(COUNTIF($G149:Klisz_Verbräuche[[#This Row],[2045]],"&gt;0")&gt;0, AVERAGEIF($G149:Klisz_Verbräuche[[#This Row],[2045]],"&lt;&gt;"), ""),IF($B$14&lt;Klisz_Verbräuche[[#Headers],[2050]],IF(COUNTIF($G149:Klisz_Verbräuche[[#This Row],[2045]],"&gt;0")&gt;0,IF(COUNTIF($G149:Klisz_Verbräuche[[#This Row],[2045]],"&gt;0")&gt;0,Klisz_Verbräuche[[#This Row],[2045]]*(1-$F149)^5, ""), ""),IF($B$14&gt;Klisz_Verbräuche[[#Headers],[2050]],Refsz_Verbräuche[[#This Row],[2050]],"")))</f>
        <v/>
      </c>
      <c r="AA149" s="14"/>
    </row>
    <row r="150" spans="2:27">
      <c r="B150" s="14">
        <v>133</v>
      </c>
      <c r="C150" s="197" t="str">
        <f>Refsz_Verbräuche[[#This Row],[Handlungsfeld]]</f>
        <v>Baugüter</v>
      </c>
      <c r="D150" s="19" t="str">
        <f>Refsz_Verbräuche[[#This Row],[Datenpunkt]]</f>
        <v>Stahl-Elektro</v>
      </c>
      <c r="E150" s="26" t="str">
        <f>Refsz_Verbräuche[[#This Row],[Einheit]]</f>
        <v>kg</v>
      </c>
      <c r="F150" s="108"/>
      <c r="G150" s="14" t="str">
        <f>IF(ISBLANK(Refsz_Verbräuche[[#This Row],[2015]]),"",Refsz_Verbräuche[[#This Row],[2015]])</f>
        <v/>
      </c>
      <c r="H150" s="14" t="str">
        <f>IF(ISBLANK(Refsz_Verbräuche[[#This Row],[2016]]),"",Refsz_Verbräuche[[#This Row],[2016]])</f>
        <v/>
      </c>
      <c r="I150" s="14" t="str">
        <f>IF(ISBLANK(Refsz_Verbräuche[[#This Row],[2017]]),"",Refsz_Verbräuche[[#This Row],[2017]])</f>
        <v/>
      </c>
      <c r="J150" s="14" t="str">
        <f>IF(ISBLANK(Refsz_Verbräuche[[#This Row],[2018]]),"",Refsz_Verbräuche[[#This Row],[2018]])</f>
        <v/>
      </c>
      <c r="K150" s="14" t="str">
        <f>IF(ISBLANK(Refsz_Verbräuche[[#This Row],[2019]]),"",Refsz_Verbräuche[[#This Row],[2019]])</f>
        <v/>
      </c>
      <c r="L150" s="14" t="str">
        <f>IF(ISBLANK(Refsz_Verbräuche[[#This Row],[2020]]),"",Refsz_Verbräuche[[#This Row],[2020]])</f>
        <v/>
      </c>
      <c r="M150" s="14" t="str">
        <f>IF(ISBLANK(Refsz_Verbräuche[[#This Row],[2021]]),"",Refsz_Verbräuche[[#This Row],[2021]])</f>
        <v/>
      </c>
      <c r="N150" s="49" t="str">
        <f>IF(Klisz_Verbräuche[[#Headers],[2022]]=$B$14,IF(COUNTIF($G150:Klisz_Verbräuche[[#This Row],[2021]],"&gt;0")&gt;0, AVERAGEIF($G150:Klisz_Verbräuche[[#This Row],[2021]],"&lt;&gt;"), ""),IF($B$14&lt;Klisz_Verbräuche[[#Headers],[2022]],IF(COUNTIF($G150:Klisz_Verbräuche[[#This Row],[2021]],"&gt;0")&gt;0,IF(COUNTIF($G150:Klisz_Verbräuche[[#This Row],[2021]],"&gt;0")&gt;0,Klisz_Verbräuche[[#This Row],[2021]]*(1-$F150)^1, ""), ""),IF($B$14&gt;Klisz_Verbräuche[[#Headers],[2022]],Refsz_Verbräuche[[#This Row],[2022]],"")))</f>
        <v/>
      </c>
      <c r="O150" s="49" t="str">
        <f>IF(Klisz_Verbräuche[[#Headers],[2023]]=$B$14,IF(COUNTIF($G150:Klisz_Verbräuche[[#This Row],[2022]],"&gt;0")&gt;0, AVERAGEIF($G150:Klisz_Verbräuche[[#This Row],[2022]],"&lt;&gt;"), ""),IF($B$14&lt;Klisz_Verbräuche[[#Headers],[2023]],IF(COUNTIF($G150:Klisz_Verbräuche[[#This Row],[2022]],"&gt;0")&gt;0,IF(COUNTIF($G150:Klisz_Verbräuche[[#This Row],[2022]],"&gt;0")&gt;0,Klisz_Verbräuche[[#This Row],[2022]]*(1-$F150)^1, ""), ""),IF($B$14&gt;Klisz_Verbräuche[[#Headers],[2023]],Refsz_Verbräuche[[#This Row],[2023]],"")))</f>
        <v/>
      </c>
      <c r="P150" s="49" t="str">
        <f>IF(Klisz_Verbräuche[[#Headers],[2024]]=$B$14,IF(COUNTIF($G150:Klisz_Verbräuche[[#This Row],[2023]],"&gt;0")&gt;0, AVERAGEIF($G150:Klisz_Verbräuche[[#This Row],[2023]],"&lt;&gt;"), ""),IF($B$14&lt;Klisz_Verbräuche[[#Headers],[2024]],IF(COUNTIF($G150:Klisz_Verbräuche[[#This Row],[2023]],"&gt;0")&gt;0,IF(COUNTIF($G150:Klisz_Verbräuche[[#This Row],[2023]],"&gt;0")&gt;0,Klisz_Verbräuche[[#This Row],[2023]]*(1-$F150)^1, ""), ""),IF($B$14&gt;Klisz_Verbräuche[[#Headers],[2024]],Refsz_Verbräuche[[#This Row],[2024]],"")))</f>
        <v/>
      </c>
      <c r="Q150" s="49" t="str">
        <f>IF(Klisz_Verbräuche[[#Headers],[2025]]=$B$14,IF(COUNTIF($G150:Klisz_Verbräuche[[#This Row],[2024]],"&gt;0")&gt;0, AVERAGEIF($G150:Klisz_Verbräuche[[#This Row],[2024]],"&lt;&gt;"), ""),IF($B$14&lt;Klisz_Verbräuche[[#Headers],[2025]],IF(COUNTIF($G150:Klisz_Verbräuche[[#This Row],[2024]],"&gt;0")&gt;0,IF(COUNTIF($G150:Klisz_Verbräuche[[#This Row],[2024]],"&gt;0")&gt;0,Klisz_Verbräuche[[#This Row],[2024]]*(1-$F150)^1, ""), ""),IF($B$14&gt;Klisz_Verbräuche[[#Headers],[2025]],Refsz_Verbräuche[[#This Row],[2025]],"")))</f>
        <v/>
      </c>
      <c r="R150" s="49" t="str">
        <f>IF(Klisz_Verbräuche[[#Headers],[2026]]=$B$14,IF(COUNTIF($G150:Klisz_Verbräuche[[#This Row],[2025]],"&gt;0")&gt;0, AVERAGEIF($G150:Klisz_Verbräuche[[#This Row],[2025]],"&lt;&gt;"), ""),IF($B$14&lt;Klisz_Verbräuche[[#Headers],[2026]],IF(COUNTIF($G150:Klisz_Verbräuche[[#This Row],[2025]],"&gt;0")&gt;0,IF(COUNTIF($G150:Klisz_Verbräuche[[#This Row],[2025]],"&gt;0")&gt;0,Klisz_Verbräuche[[#This Row],[2025]]*(1-$F150)^1, ""), ""),IF($B$14&gt;Klisz_Verbräuche[[#Headers],[2026]],Refsz_Verbräuche[[#This Row],[2026]],"")))</f>
        <v/>
      </c>
      <c r="S150" s="49" t="str">
        <f>IF(Klisz_Verbräuche[[#Headers],[2027]]=$B$14,IF(COUNTIF($G150:Klisz_Verbräuche[[#This Row],[2026]],"&gt;0")&gt;0, AVERAGEIF($G150:Klisz_Verbräuche[[#This Row],[2026]],"&lt;&gt;"), ""),IF($B$14&lt;Klisz_Verbräuche[[#Headers],[2027]],IF(COUNTIF($G150:Klisz_Verbräuche[[#This Row],[2026]],"&gt;0")&gt;0,IF(COUNTIF($G150:Klisz_Verbräuche[[#This Row],[2026]],"&gt;0")&gt;0,Klisz_Verbräuche[[#This Row],[2026]]*(1-$F150)^1, ""), ""),IF($B$14&gt;Klisz_Verbräuche[[#Headers],[2027]],Refsz_Verbräuche[[#This Row],[2027]],"")))</f>
        <v/>
      </c>
      <c r="T150" s="49" t="str">
        <f>IF(Klisz_Verbräuche[[#Headers],[2028]]=$B$14,IF(COUNTIF($G150:Klisz_Verbräuche[[#This Row],[2027]],"&gt;0")&gt;0, AVERAGEIF($G150:Klisz_Verbräuche[[#This Row],[2027]],"&lt;&gt;"), ""),IF($B$14&lt;Klisz_Verbräuche[[#Headers],[2028]],IF(COUNTIF($G150:Klisz_Verbräuche[[#This Row],[2027]],"&gt;0")&gt;0,IF(COUNTIF($G150:Klisz_Verbräuche[[#This Row],[2027]],"&gt;0")&gt;0,Klisz_Verbräuche[[#This Row],[2027]]*(1-$F150)^1, ""), ""),IF($B$14&gt;Klisz_Verbräuche[[#Headers],[2028]],Refsz_Verbräuche[[#This Row],[2028]],"")))</f>
        <v/>
      </c>
      <c r="U150" s="49" t="str">
        <f>IF(Klisz_Verbräuche[[#Headers],[2029]]=$B$14,IF(COUNTIF($G150:Klisz_Verbräuche[[#This Row],[2028]],"&gt;0")&gt;0, AVERAGEIF($G150:Klisz_Verbräuche[[#This Row],[2028]],"&lt;&gt;"), ""),IF($B$14&lt;Klisz_Verbräuche[[#Headers],[2029]],IF(COUNTIF($G150:Klisz_Verbräuche[[#This Row],[2028]],"&gt;0")&gt;0,IF(COUNTIF($G150:Klisz_Verbräuche[[#This Row],[2028]],"&gt;0")&gt;0,Klisz_Verbräuche[[#This Row],[2028]]*(1-$F150)^1, ""), ""),IF($B$14&gt;Klisz_Verbräuche[[#Headers],[2029]],Refsz_Verbräuche[[#This Row],[2029]],"")))</f>
        <v/>
      </c>
      <c r="V150" s="49" t="str">
        <f>IF(Klisz_Verbräuche[[#Headers],[2030]]=$B$14,IF(COUNTIF($G150:Klisz_Verbräuche[[#This Row],[2029]],"&gt;0")&gt;0, AVERAGEIF($G150:Klisz_Verbräuche[[#This Row],[2029]],"&lt;&gt;"), ""),IF($B$14&lt;Klisz_Verbräuche[[#Headers],[2030]],IF(COUNTIF($G150:Klisz_Verbräuche[[#This Row],[2029]],"&gt;0")&gt;0,IF(COUNTIF($G150:Klisz_Verbräuche[[#This Row],[2029]],"&gt;0")&gt;0,Klisz_Verbräuche[[#This Row],[2029]]*(1-$F150)^1, ""), ""),IF($B$14&gt;Klisz_Verbräuche[[#Headers],[2030]],Refsz_Verbräuche[[#This Row],[2030]],"")))</f>
        <v/>
      </c>
      <c r="W150" s="49" t="str">
        <f>IF(Klisz_Verbräuche[[#Headers],[2035]]=$B$14,IF(COUNTIF($G150:Klisz_Verbräuche[[#This Row],[2030]],"&gt;0")&gt;0, AVERAGEIF($G150:Klisz_Verbräuche[[#This Row],[2030]],"&lt;&gt;"), ""),IF($B$14&lt;Klisz_Verbräuche[[#Headers],[2035]],IF(COUNTIF($G150:Klisz_Verbräuche[[#This Row],[2030]],"&gt;0")&gt;0,IF(COUNTIF($G150:Klisz_Verbräuche[[#This Row],[2030]],"&gt;0")&gt;0,Klisz_Verbräuche[[#This Row],[2030]]*(1-$F150)^5, ""), ""),IF($B$14&gt;Klisz_Verbräuche[[#Headers],[2035]],Refsz_Verbräuche[[#This Row],[2035]],"")))</f>
        <v/>
      </c>
      <c r="X150" s="49" t="str">
        <f>IF(Klisz_Verbräuche[[#Headers],[2040]]=$B$14,IF(COUNTIF($G150:Klisz_Verbräuche[[#This Row],[2035]],"&gt;0")&gt;0, AVERAGEIF($G150:Klisz_Verbräuche[[#This Row],[2035]],"&lt;&gt;"), ""),IF($B$14&lt;Klisz_Verbräuche[[#Headers],[2040]],IF(COUNTIF($G150:Klisz_Verbräuche[[#This Row],[2035]],"&gt;0")&gt;0,IF(COUNTIF($G150:Klisz_Verbräuche[[#This Row],[2035]],"&gt;0")&gt;0,Klisz_Verbräuche[[#This Row],[2035]]*(1-$F150)^5, ""), ""),IF($B$14&gt;Klisz_Verbräuche[[#Headers],[2040]],Refsz_Verbräuche[[#This Row],[2040]],"")))</f>
        <v/>
      </c>
      <c r="Y150" s="49" t="str">
        <f>IF(Klisz_Verbräuche[[#Headers],[2045]]=$B$14,IF(COUNTIF($G150:Klisz_Verbräuche[[#This Row],[2040]],"&gt;0")&gt;0, AVERAGEIF($G150:Klisz_Verbräuche[[#This Row],[2040]],"&lt;&gt;"), ""),IF($B$14&lt;Klisz_Verbräuche[[#Headers],[2045]],IF(COUNTIF($G150:Klisz_Verbräuche[[#This Row],[2040]],"&gt;0")&gt;0,IF(COUNTIF($G150:Klisz_Verbräuche[[#This Row],[2040]],"&gt;0")&gt;0,Klisz_Verbräuche[[#This Row],[2040]]*(1-$F150)^5, ""), ""),IF($B$14&gt;Klisz_Verbräuche[[#Headers],[2045]],Refsz_Verbräuche[[#This Row],[2045]],"")))</f>
        <v/>
      </c>
      <c r="Z150" s="49" t="str">
        <f>IF(Klisz_Verbräuche[[#Headers],[2050]]=$B$14,IF(COUNTIF($G150:Klisz_Verbräuche[[#This Row],[2045]],"&gt;0")&gt;0, AVERAGEIF($G150:Klisz_Verbräuche[[#This Row],[2045]],"&lt;&gt;"), ""),IF($B$14&lt;Klisz_Verbräuche[[#Headers],[2050]],IF(COUNTIF($G150:Klisz_Verbräuche[[#This Row],[2045]],"&gt;0")&gt;0,IF(COUNTIF($G150:Klisz_Verbräuche[[#This Row],[2045]],"&gt;0")&gt;0,Klisz_Verbräuche[[#This Row],[2045]]*(1-$F150)^5, ""), ""),IF($B$14&gt;Klisz_Verbräuche[[#Headers],[2050]],Refsz_Verbräuche[[#This Row],[2050]],"")))</f>
        <v/>
      </c>
      <c r="AA150" s="14"/>
    </row>
    <row r="151" spans="2:27">
      <c r="B151" s="14">
        <v>134</v>
      </c>
      <c r="C151" s="197" t="str">
        <f>Refsz_Verbräuche[[#This Row],[Handlungsfeld]]</f>
        <v>Baugüter</v>
      </c>
      <c r="D151" s="19" t="str">
        <f>Refsz_Verbräuche[[#This Row],[Datenpunkt]]</f>
        <v>Stahl-mix</v>
      </c>
      <c r="E151" s="26" t="str">
        <f>Refsz_Verbräuche[[#This Row],[Einheit]]</f>
        <v>kg</v>
      </c>
      <c r="F151" s="108"/>
      <c r="G151" s="14" t="str">
        <f>IF(ISBLANK(Refsz_Verbräuche[[#This Row],[2015]]),"",Refsz_Verbräuche[[#This Row],[2015]])</f>
        <v/>
      </c>
      <c r="H151" s="14" t="str">
        <f>IF(ISBLANK(Refsz_Verbräuche[[#This Row],[2016]]),"",Refsz_Verbräuche[[#This Row],[2016]])</f>
        <v/>
      </c>
      <c r="I151" s="14" t="str">
        <f>IF(ISBLANK(Refsz_Verbräuche[[#This Row],[2017]]),"",Refsz_Verbräuche[[#This Row],[2017]])</f>
        <v/>
      </c>
      <c r="J151" s="14" t="str">
        <f>IF(ISBLANK(Refsz_Verbräuche[[#This Row],[2018]]),"",Refsz_Verbräuche[[#This Row],[2018]])</f>
        <v/>
      </c>
      <c r="K151" s="14" t="str">
        <f>IF(ISBLANK(Refsz_Verbräuche[[#This Row],[2019]]),"",Refsz_Verbräuche[[#This Row],[2019]])</f>
        <v/>
      </c>
      <c r="L151" s="14" t="str">
        <f>IF(ISBLANK(Refsz_Verbräuche[[#This Row],[2020]]),"",Refsz_Verbräuche[[#This Row],[2020]])</f>
        <v/>
      </c>
      <c r="M151" s="14" t="str">
        <f>IF(ISBLANK(Refsz_Verbräuche[[#This Row],[2021]]),"",Refsz_Verbräuche[[#This Row],[2021]])</f>
        <v/>
      </c>
      <c r="N151" s="49" t="str">
        <f>IF(Klisz_Verbräuche[[#Headers],[2022]]=$B$14,IF(COUNTIF($G151:Klisz_Verbräuche[[#This Row],[2021]],"&gt;0")&gt;0, AVERAGEIF($G151:Klisz_Verbräuche[[#This Row],[2021]],"&lt;&gt;"), ""),IF($B$14&lt;Klisz_Verbräuche[[#Headers],[2022]],IF(COUNTIF($G151:Klisz_Verbräuche[[#This Row],[2021]],"&gt;0")&gt;0,IF(COUNTIF($G151:Klisz_Verbräuche[[#This Row],[2021]],"&gt;0")&gt;0,Klisz_Verbräuche[[#This Row],[2021]]*(1-$F151)^1, ""), ""),IF($B$14&gt;Klisz_Verbräuche[[#Headers],[2022]],Refsz_Verbräuche[[#This Row],[2022]],"")))</f>
        <v/>
      </c>
      <c r="O151" s="49" t="str">
        <f>IF(Klisz_Verbräuche[[#Headers],[2023]]=$B$14,IF(COUNTIF($G151:Klisz_Verbräuche[[#This Row],[2022]],"&gt;0")&gt;0, AVERAGEIF($G151:Klisz_Verbräuche[[#This Row],[2022]],"&lt;&gt;"), ""),IF($B$14&lt;Klisz_Verbräuche[[#Headers],[2023]],IF(COUNTIF($G151:Klisz_Verbräuche[[#This Row],[2022]],"&gt;0")&gt;0,IF(COUNTIF($G151:Klisz_Verbräuche[[#This Row],[2022]],"&gt;0")&gt;0,Klisz_Verbräuche[[#This Row],[2022]]*(1-$F151)^1, ""), ""),IF($B$14&gt;Klisz_Verbräuche[[#Headers],[2023]],Refsz_Verbräuche[[#This Row],[2023]],"")))</f>
        <v/>
      </c>
      <c r="P151" s="49" t="str">
        <f>IF(Klisz_Verbräuche[[#Headers],[2024]]=$B$14,IF(COUNTIF($G151:Klisz_Verbräuche[[#This Row],[2023]],"&gt;0")&gt;0, AVERAGEIF($G151:Klisz_Verbräuche[[#This Row],[2023]],"&lt;&gt;"), ""),IF($B$14&lt;Klisz_Verbräuche[[#Headers],[2024]],IF(COUNTIF($G151:Klisz_Verbräuche[[#This Row],[2023]],"&gt;0")&gt;0,IF(COUNTIF($G151:Klisz_Verbräuche[[#This Row],[2023]],"&gt;0")&gt;0,Klisz_Verbräuche[[#This Row],[2023]]*(1-$F151)^1, ""), ""),IF($B$14&gt;Klisz_Verbräuche[[#Headers],[2024]],Refsz_Verbräuche[[#This Row],[2024]],"")))</f>
        <v/>
      </c>
      <c r="Q151" s="49" t="str">
        <f>IF(Klisz_Verbräuche[[#Headers],[2025]]=$B$14,IF(COUNTIF($G151:Klisz_Verbräuche[[#This Row],[2024]],"&gt;0")&gt;0, AVERAGEIF($G151:Klisz_Verbräuche[[#This Row],[2024]],"&lt;&gt;"), ""),IF($B$14&lt;Klisz_Verbräuche[[#Headers],[2025]],IF(COUNTIF($G151:Klisz_Verbräuche[[#This Row],[2024]],"&gt;0")&gt;0,IF(COUNTIF($G151:Klisz_Verbräuche[[#This Row],[2024]],"&gt;0")&gt;0,Klisz_Verbräuche[[#This Row],[2024]]*(1-$F151)^1, ""), ""),IF($B$14&gt;Klisz_Verbräuche[[#Headers],[2025]],Refsz_Verbräuche[[#This Row],[2025]],"")))</f>
        <v/>
      </c>
      <c r="R151" s="49" t="str">
        <f>IF(Klisz_Verbräuche[[#Headers],[2026]]=$B$14,IF(COUNTIF($G151:Klisz_Verbräuche[[#This Row],[2025]],"&gt;0")&gt;0, AVERAGEIF($G151:Klisz_Verbräuche[[#This Row],[2025]],"&lt;&gt;"), ""),IF($B$14&lt;Klisz_Verbräuche[[#Headers],[2026]],IF(COUNTIF($G151:Klisz_Verbräuche[[#This Row],[2025]],"&gt;0")&gt;0,IF(COUNTIF($G151:Klisz_Verbräuche[[#This Row],[2025]],"&gt;0")&gt;0,Klisz_Verbräuche[[#This Row],[2025]]*(1-$F151)^1, ""), ""),IF($B$14&gt;Klisz_Verbräuche[[#Headers],[2026]],Refsz_Verbräuche[[#This Row],[2026]],"")))</f>
        <v/>
      </c>
      <c r="S151" s="49" t="str">
        <f>IF(Klisz_Verbräuche[[#Headers],[2027]]=$B$14,IF(COUNTIF($G151:Klisz_Verbräuche[[#This Row],[2026]],"&gt;0")&gt;0, AVERAGEIF($G151:Klisz_Verbräuche[[#This Row],[2026]],"&lt;&gt;"), ""),IF($B$14&lt;Klisz_Verbräuche[[#Headers],[2027]],IF(COUNTIF($G151:Klisz_Verbräuche[[#This Row],[2026]],"&gt;0")&gt;0,IF(COUNTIF($G151:Klisz_Verbräuche[[#This Row],[2026]],"&gt;0")&gt;0,Klisz_Verbräuche[[#This Row],[2026]]*(1-$F151)^1, ""), ""),IF($B$14&gt;Klisz_Verbräuche[[#Headers],[2027]],Refsz_Verbräuche[[#This Row],[2027]],"")))</f>
        <v/>
      </c>
      <c r="T151" s="49" t="str">
        <f>IF(Klisz_Verbräuche[[#Headers],[2028]]=$B$14,IF(COUNTIF($G151:Klisz_Verbräuche[[#This Row],[2027]],"&gt;0")&gt;0, AVERAGEIF($G151:Klisz_Verbräuche[[#This Row],[2027]],"&lt;&gt;"), ""),IF($B$14&lt;Klisz_Verbräuche[[#Headers],[2028]],IF(COUNTIF($G151:Klisz_Verbräuche[[#This Row],[2027]],"&gt;0")&gt;0,IF(COUNTIF($G151:Klisz_Verbräuche[[#This Row],[2027]],"&gt;0")&gt;0,Klisz_Verbräuche[[#This Row],[2027]]*(1-$F151)^1, ""), ""),IF($B$14&gt;Klisz_Verbräuche[[#Headers],[2028]],Refsz_Verbräuche[[#This Row],[2028]],"")))</f>
        <v/>
      </c>
      <c r="U151" s="49" t="str">
        <f>IF(Klisz_Verbräuche[[#Headers],[2029]]=$B$14,IF(COUNTIF($G151:Klisz_Verbräuche[[#This Row],[2028]],"&gt;0")&gt;0, AVERAGEIF($G151:Klisz_Verbräuche[[#This Row],[2028]],"&lt;&gt;"), ""),IF($B$14&lt;Klisz_Verbräuche[[#Headers],[2029]],IF(COUNTIF($G151:Klisz_Verbräuche[[#This Row],[2028]],"&gt;0")&gt;0,IF(COUNTIF($G151:Klisz_Verbräuche[[#This Row],[2028]],"&gt;0")&gt;0,Klisz_Verbräuche[[#This Row],[2028]]*(1-$F151)^1, ""), ""),IF($B$14&gt;Klisz_Verbräuche[[#Headers],[2029]],Refsz_Verbräuche[[#This Row],[2029]],"")))</f>
        <v/>
      </c>
      <c r="V151" s="49" t="str">
        <f>IF(Klisz_Verbräuche[[#Headers],[2030]]=$B$14,IF(COUNTIF($G151:Klisz_Verbräuche[[#This Row],[2029]],"&gt;0")&gt;0, AVERAGEIF($G151:Klisz_Verbräuche[[#This Row],[2029]],"&lt;&gt;"), ""),IF($B$14&lt;Klisz_Verbräuche[[#Headers],[2030]],IF(COUNTIF($G151:Klisz_Verbräuche[[#This Row],[2029]],"&gt;0")&gt;0,IF(COUNTIF($G151:Klisz_Verbräuche[[#This Row],[2029]],"&gt;0")&gt;0,Klisz_Verbräuche[[#This Row],[2029]]*(1-$F151)^1, ""), ""),IF($B$14&gt;Klisz_Verbräuche[[#Headers],[2030]],Refsz_Verbräuche[[#This Row],[2030]],"")))</f>
        <v/>
      </c>
      <c r="W151" s="49" t="str">
        <f>IF(Klisz_Verbräuche[[#Headers],[2035]]=$B$14,IF(COUNTIF($G151:Klisz_Verbräuche[[#This Row],[2030]],"&gt;0")&gt;0, AVERAGEIF($G151:Klisz_Verbräuche[[#This Row],[2030]],"&lt;&gt;"), ""),IF($B$14&lt;Klisz_Verbräuche[[#Headers],[2035]],IF(COUNTIF($G151:Klisz_Verbräuche[[#This Row],[2030]],"&gt;0")&gt;0,IF(COUNTIF($G151:Klisz_Verbräuche[[#This Row],[2030]],"&gt;0")&gt;0,Klisz_Verbräuche[[#This Row],[2030]]*(1-$F151)^5, ""), ""),IF($B$14&gt;Klisz_Verbräuche[[#Headers],[2035]],Refsz_Verbräuche[[#This Row],[2035]],"")))</f>
        <v/>
      </c>
      <c r="X151" s="49" t="str">
        <f>IF(Klisz_Verbräuche[[#Headers],[2040]]=$B$14,IF(COUNTIF($G151:Klisz_Verbräuche[[#This Row],[2035]],"&gt;0")&gt;0, AVERAGEIF($G151:Klisz_Verbräuche[[#This Row],[2035]],"&lt;&gt;"), ""),IF($B$14&lt;Klisz_Verbräuche[[#Headers],[2040]],IF(COUNTIF($G151:Klisz_Verbräuche[[#This Row],[2035]],"&gt;0")&gt;0,IF(COUNTIF($G151:Klisz_Verbräuche[[#This Row],[2035]],"&gt;0")&gt;0,Klisz_Verbräuche[[#This Row],[2035]]*(1-$F151)^5, ""), ""),IF($B$14&gt;Klisz_Verbräuche[[#Headers],[2040]],Refsz_Verbräuche[[#This Row],[2040]],"")))</f>
        <v/>
      </c>
      <c r="Y151" s="49" t="str">
        <f>IF(Klisz_Verbräuche[[#Headers],[2045]]=$B$14,IF(COUNTIF($G151:Klisz_Verbräuche[[#This Row],[2040]],"&gt;0")&gt;0, AVERAGEIF($G151:Klisz_Verbräuche[[#This Row],[2040]],"&lt;&gt;"), ""),IF($B$14&lt;Klisz_Verbräuche[[#Headers],[2045]],IF(COUNTIF($G151:Klisz_Verbräuche[[#This Row],[2040]],"&gt;0")&gt;0,IF(COUNTIF($G151:Klisz_Verbräuche[[#This Row],[2040]],"&gt;0")&gt;0,Klisz_Verbräuche[[#This Row],[2040]]*(1-$F151)^5, ""), ""),IF($B$14&gt;Klisz_Verbräuche[[#Headers],[2045]],Refsz_Verbräuche[[#This Row],[2045]],"")))</f>
        <v/>
      </c>
      <c r="Z151" s="49" t="str">
        <f>IF(Klisz_Verbräuche[[#Headers],[2050]]=$B$14,IF(COUNTIF($G151:Klisz_Verbräuche[[#This Row],[2045]],"&gt;0")&gt;0, AVERAGEIF($G151:Klisz_Verbräuche[[#This Row],[2045]],"&lt;&gt;"), ""),IF($B$14&lt;Klisz_Verbräuche[[#Headers],[2050]],IF(COUNTIF($G151:Klisz_Verbräuche[[#This Row],[2045]],"&gt;0")&gt;0,IF(COUNTIF($G151:Klisz_Verbräuche[[#This Row],[2045]],"&gt;0")&gt;0,Klisz_Verbräuche[[#This Row],[2045]]*(1-$F151)^5, ""), ""),IF($B$14&gt;Klisz_Verbräuche[[#Headers],[2050]],Refsz_Verbräuche[[#This Row],[2050]],"")))</f>
        <v/>
      </c>
      <c r="AA151" s="14"/>
    </row>
    <row r="152" spans="2:27">
      <c r="B152" s="14">
        <v>135</v>
      </c>
      <c r="C152" s="197" t="str">
        <f>Refsz_Verbräuche[[#This Row],[Handlungsfeld]]</f>
        <v>Baugüter</v>
      </c>
      <c r="D152" s="19" t="str">
        <f>Refsz_Verbräuche[[#This Row],[Datenpunkt]]</f>
        <v>Beton</v>
      </c>
      <c r="E152" s="26" t="str">
        <f>Refsz_Verbräuche[[#This Row],[Einheit]]</f>
        <v>kg</v>
      </c>
      <c r="F152" s="108"/>
      <c r="G152" s="14" t="str">
        <f>IF(ISBLANK(Refsz_Verbräuche[[#This Row],[2015]]),"",Refsz_Verbräuche[[#This Row],[2015]])</f>
        <v/>
      </c>
      <c r="H152" s="14" t="str">
        <f>IF(ISBLANK(Refsz_Verbräuche[[#This Row],[2016]]),"",Refsz_Verbräuche[[#This Row],[2016]])</f>
        <v/>
      </c>
      <c r="I152" s="14" t="str">
        <f>IF(ISBLANK(Refsz_Verbräuche[[#This Row],[2017]]),"",Refsz_Verbräuche[[#This Row],[2017]])</f>
        <v/>
      </c>
      <c r="J152" s="14" t="str">
        <f>IF(ISBLANK(Refsz_Verbräuche[[#This Row],[2018]]),"",Refsz_Verbräuche[[#This Row],[2018]])</f>
        <v/>
      </c>
      <c r="K152" s="14" t="str">
        <f>IF(ISBLANK(Refsz_Verbräuche[[#This Row],[2019]]),"",Refsz_Verbräuche[[#This Row],[2019]])</f>
        <v/>
      </c>
      <c r="L152" s="14" t="str">
        <f>IF(ISBLANK(Refsz_Verbräuche[[#This Row],[2020]]),"",Refsz_Verbräuche[[#This Row],[2020]])</f>
        <v/>
      </c>
      <c r="M152" s="14" t="str">
        <f>IF(ISBLANK(Refsz_Verbräuche[[#This Row],[2021]]),"",Refsz_Verbräuche[[#This Row],[2021]])</f>
        <v/>
      </c>
      <c r="N152" s="49" t="str">
        <f>IF(Klisz_Verbräuche[[#Headers],[2022]]=$B$14,IF(COUNTIF($G152:Klisz_Verbräuche[[#This Row],[2021]],"&gt;0")&gt;0, AVERAGEIF($G152:Klisz_Verbräuche[[#This Row],[2021]],"&lt;&gt;"), ""),IF($B$14&lt;Klisz_Verbräuche[[#Headers],[2022]],IF(COUNTIF($G152:Klisz_Verbräuche[[#This Row],[2021]],"&gt;0")&gt;0,IF(COUNTIF($G152:Klisz_Verbräuche[[#This Row],[2021]],"&gt;0")&gt;0,Klisz_Verbräuche[[#This Row],[2021]]*(1-$F152)^1, ""), ""),IF($B$14&gt;Klisz_Verbräuche[[#Headers],[2022]],Refsz_Verbräuche[[#This Row],[2022]],"")))</f>
        <v/>
      </c>
      <c r="O152" s="49" t="str">
        <f>IF(Klisz_Verbräuche[[#Headers],[2023]]=$B$14,IF(COUNTIF($G152:Klisz_Verbräuche[[#This Row],[2022]],"&gt;0")&gt;0, AVERAGEIF($G152:Klisz_Verbräuche[[#This Row],[2022]],"&lt;&gt;"), ""),IF($B$14&lt;Klisz_Verbräuche[[#Headers],[2023]],IF(COUNTIF($G152:Klisz_Verbräuche[[#This Row],[2022]],"&gt;0")&gt;0,IF(COUNTIF($G152:Klisz_Verbräuche[[#This Row],[2022]],"&gt;0")&gt;0,Klisz_Verbräuche[[#This Row],[2022]]*(1-$F152)^1, ""), ""),IF($B$14&gt;Klisz_Verbräuche[[#Headers],[2023]],Refsz_Verbräuche[[#This Row],[2023]],"")))</f>
        <v/>
      </c>
      <c r="P152" s="49" t="str">
        <f>IF(Klisz_Verbräuche[[#Headers],[2024]]=$B$14,IF(COUNTIF($G152:Klisz_Verbräuche[[#This Row],[2023]],"&gt;0")&gt;0, AVERAGEIF($G152:Klisz_Verbräuche[[#This Row],[2023]],"&lt;&gt;"), ""),IF($B$14&lt;Klisz_Verbräuche[[#Headers],[2024]],IF(COUNTIF($G152:Klisz_Verbräuche[[#This Row],[2023]],"&gt;0")&gt;0,IF(COUNTIF($G152:Klisz_Verbräuche[[#This Row],[2023]],"&gt;0")&gt;0,Klisz_Verbräuche[[#This Row],[2023]]*(1-$F152)^1, ""), ""),IF($B$14&gt;Klisz_Verbräuche[[#Headers],[2024]],Refsz_Verbräuche[[#This Row],[2024]],"")))</f>
        <v/>
      </c>
      <c r="Q152" s="49" t="str">
        <f>IF(Klisz_Verbräuche[[#Headers],[2025]]=$B$14,IF(COUNTIF($G152:Klisz_Verbräuche[[#This Row],[2024]],"&gt;0")&gt;0, AVERAGEIF($G152:Klisz_Verbräuche[[#This Row],[2024]],"&lt;&gt;"), ""),IF($B$14&lt;Klisz_Verbräuche[[#Headers],[2025]],IF(COUNTIF($G152:Klisz_Verbräuche[[#This Row],[2024]],"&gt;0")&gt;0,IF(COUNTIF($G152:Klisz_Verbräuche[[#This Row],[2024]],"&gt;0")&gt;0,Klisz_Verbräuche[[#This Row],[2024]]*(1-$F152)^1, ""), ""),IF($B$14&gt;Klisz_Verbräuche[[#Headers],[2025]],Refsz_Verbräuche[[#This Row],[2025]],"")))</f>
        <v/>
      </c>
      <c r="R152" s="49" t="str">
        <f>IF(Klisz_Verbräuche[[#Headers],[2026]]=$B$14,IF(COUNTIF($G152:Klisz_Verbräuche[[#This Row],[2025]],"&gt;0")&gt;0, AVERAGEIF($G152:Klisz_Verbräuche[[#This Row],[2025]],"&lt;&gt;"), ""),IF($B$14&lt;Klisz_Verbräuche[[#Headers],[2026]],IF(COUNTIF($G152:Klisz_Verbräuche[[#This Row],[2025]],"&gt;0")&gt;0,IF(COUNTIF($G152:Klisz_Verbräuche[[#This Row],[2025]],"&gt;0")&gt;0,Klisz_Verbräuche[[#This Row],[2025]]*(1-$F152)^1, ""), ""),IF($B$14&gt;Klisz_Verbräuche[[#Headers],[2026]],Refsz_Verbräuche[[#This Row],[2026]],"")))</f>
        <v/>
      </c>
      <c r="S152" s="49" t="str">
        <f>IF(Klisz_Verbräuche[[#Headers],[2027]]=$B$14,IF(COUNTIF($G152:Klisz_Verbräuche[[#This Row],[2026]],"&gt;0")&gt;0, AVERAGEIF($G152:Klisz_Verbräuche[[#This Row],[2026]],"&lt;&gt;"), ""),IF($B$14&lt;Klisz_Verbräuche[[#Headers],[2027]],IF(COUNTIF($G152:Klisz_Verbräuche[[#This Row],[2026]],"&gt;0")&gt;0,IF(COUNTIF($G152:Klisz_Verbräuche[[#This Row],[2026]],"&gt;0")&gt;0,Klisz_Verbräuche[[#This Row],[2026]]*(1-$F152)^1, ""), ""),IF($B$14&gt;Klisz_Verbräuche[[#Headers],[2027]],Refsz_Verbräuche[[#This Row],[2027]],"")))</f>
        <v/>
      </c>
      <c r="T152" s="49" t="str">
        <f>IF(Klisz_Verbräuche[[#Headers],[2028]]=$B$14,IF(COUNTIF($G152:Klisz_Verbräuche[[#This Row],[2027]],"&gt;0")&gt;0, AVERAGEIF($G152:Klisz_Verbräuche[[#This Row],[2027]],"&lt;&gt;"), ""),IF($B$14&lt;Klisz_Verbräuche[[#Headers],[2028]],IF(COUNTIF($G152:Klisz_Verbräuche[[#This Row],[2027]],"&gt;0")&gt;0,IF(COUNTIF($G152:Klisz_Verbräuche[[#This Row],[2027]],"&gt;0")&gt;0,Klisz_Verbräuche[[#This Row],[2027]]*(1-$F152)^1, ""), ""),IF($B$14&gt;Klisz_Verbräuche[[#Headers],[2028]],Refsz_Verbräuche[[#This Row],[2028]],"")))</f>
        <v/>
      </c>
      <c r="U152" s="49" t="str">
        <f>IF(Klisz_Verbräuche[[#Headers],[2029]]=$B$14,IF(COUNTIF($G152:Klisz_Verbräuche[[#This Row],[2028]],"&gt;0")&gt;0, AVERAGEIF($G152:Klisz_Verbräuche[[#This Row],[2028]],"&lt;&gt;"), ""),IF($B$14&lt;Klisz_Verbräuche[[#Headers],[2029]],IF(COUNTIF($G152:Klisz_Verbräuche[[#This Row],[2028]],"&gt;0")&gt;0,IF(COUNTIF($G152:Klisz_Verbräuche[[#This Row],[2028]],"&gt;0")&gt;0,Klisz_Verbräuche[[#This Row],[2028]]*(1-$F152)^1, ""), ""),IF($B$14&gt;Klisz_Verbräuche[[#Headers],[2029]],Refsz_Verbräuche[[#This Row],[2029]],"")))</f>
        <v/>
      </c>
      <c r="V152" s="49" t="str">
        <f>IF(Klisz_Verbräuche[[#Headers],[2030]]=$B$14,IF(COUNTIF($G152:Klisz_Verbräuche[[#This Row],[2029]],"&gt;0")&gt;0, AVERAGEIF($G152:Klisz_Verbräuche[[#This Row],[2029]],"&lt;&gt;"), ""),IF($B$14&lt;Klisz_Verbräuche[[#Headers],[2030]],IF(COUNTIF($G152:Klisz_Verbräuche[[#This Row],[2029]],"&gt;0")&gt;0,IF(COUNTIF($G152:Klisz_Verbräuche[[#This Row],[2029]],"&gt;0")&gt;0,Klisz_Verbräuche[[#This Row],[2029]]*(1-$F152)^1, ""), ""),IF($B$14&gt;Klisz_Verbräuche[[#Headers],[2030]],Refsz_Verbräuche[[#This Row],[2030]],"")))</f>
        <v/>
      </c>
      <c r="W152" s="49" t="str">
        <f>IF(Klisz_Verbräuche[[#Headers],[2035]]=$B$14,IF(COUNTIF($G152:Klisz_Verbräuche[[#This Row],[2030]],"&gt;0")&gt;0, AVERAGEIF($G152:Klisz_Verbräuche[[#This Row],[2030]],"&lt;&gt;"), ""),IF($B$14&lt;Klisz_Verbräuche[[#Headers],[2035]],IF(COUNTIF($G152:Klisz_Verbräuche[[#This Row],[2030]],"&gt;0")&gt;0,IF(COUNTIF($G152:Klisz_Verbräuche[[#This Row],[2030]],"&gt;0")&gt;0,Klisz_Verbräuche[[#This Row],[2030]]*(1-$F152)^5, ""), ""),IF($B$14&gt;Klisz_Verbräuche[[#Headers],[2035]],Refsz_Verbräuche[[#This Row],[2035]],"")))</f>
        <v/>
      </c>
      <c r="X152" s="49" t="str">
        <f>IF(Klisz_Verbräuche[[#Headers],[2040]]=$B$14,IF(COUNTIF($G152:Klisz_Verbräuche[[#This Row],[2035]],"&gt;0")&gt;0, AVERAGEIF($G152:Klisz_Verbräuche[[#This Row],[2035]],"&lt;&gt;"), ""),IF($B$14&lt;Klisz_Verbräuche[[#Headers],[2040]],IF(COUNTIF($G152:Klisz_Verbräuche[[#This Row],[2035]],"&gt;0")&gt;0,IF(COUNTIF($G152:Klisz_Verbräuche[[#This Row],[2035]],"&gt;0")&gt;0,Klisz_Verbräuche[[#This Row],[2035]]*(1-$F152)^5, ""), ""),IF($B$14&gt;Klisz_Verbräuche[[#Headers],[2040]],Refsz_Verbräuche[[#This Row],[2040]],"")))</f>
        <v/>
      </c>
      <c r="Y152" s="49" t="str">
        <f>IF(Klisz_Verbräuche[[#Headers],[2045]]=$B$14,IF(COUNTIF($G152:Klisz_Verbräuche[[#This Row],[2040]],"&gt;0")&gt;0, AVERAGEIF($G152:Klisz_Verbräuche[[#This Row],[2040]],"&lt;&gt;"), ""),IF($B$14&lt;Klisz_Verbräuche[[#Headers],[2045]],IF(COUNTIF($G152:Klisz_Verbräuche[[#This Row],[2040]],"&gt;0")&gt;0,IF(COUNTIF($G152:Klisz_Verbräuche[[#This Row],[2040]],"&gt;0")&gt;0,Klisz_Verbräuche[[#This Row],[2040]]*(1-$F152)^5, ""), ""),IF($B$14&gt;Klisz_Verbräuche[[#Headers],[2045]],Refsz_Verbräuche[[#This Row],[2045]],"")))</f>
        <v/>
      </c>
      <c r="Z152" s="49" t="str">
        <f>IF(Klisz_Verbräuche[[#Headers],[2050]]=$B$14,IF(COUNTIF($G152:Klisz_Verbräuche[[#This Row],[2045]],"&gt;0")&gt;0, AVERAGEIF($G152:Klisz_Verbräuche[[#This Row],[2045]],"&lt;&gt;"), ""),IF($B$14&lt;Klisz_Verbräuche[[#Headers],[2050]],IF(COUNTIF($G152:Klisz_Verbräuche[[#This Row],[2045]],"&gt;0")&gt;0,IF(COUNTIF($G152:Klisz_Verbräuche[[#This Row],[2045]],"&gt;0")&gt;0,Klisz_Verbräuche[[#This Row],[2045]]*(1-$F152)^5, ""), ""),IF($B$14&gt;Klisz_Verbräuche[[#Headers],[2050]],Refsz_Verbräuche[[#This Row],[2050]],"")))</f>
        <v/>
      </c>
      <c r="AA152" s="14"/>
    </row>
    <row r="153" spans="2:27">
      <c r="B153" s="14">
        <v>136</v>
      </c>
      <c r="C153" s="197" t="str">
        <f>Refsz_Verbräuche[[#This Row],[Handlungsfeld]]</f>
        <v>Baugüter</v>
      </c>
      <c r="D153" s="19" t="str">
        <f>Refsz_Verbräuche[[#This Row],[Datenpunkt]]</f>
        <v>Glaswolle</v>
      </c>
      <c r="E153" s="26" t="str">
        <f>Refsz_Verbräuche[[#This Row],[Einheit]]</f>
        <v>kg</v>
      </c>
      <c r="F153" s="108"/>
      <c r="G153" s="14" t="str">
        <f>IF(ISBLANK(Refsz_Verbräuche[[#This Row],[2015]]),"",Refsz_Verbräuche[[#This Row],[2015]])</f>
        <v/>
      </c>
      <c r="H153" s="14" t="str">
        <f>IF(ISBLANK(Refsz_Verbräuche[[#This Row],[2016]]),"",Refsz_Verbräuche[[#This Row],[2016]])</f>
        <v/>
      </c>
      <c r="I153" s="14" t="str">
        <f>IF(ISBLANK(Refsz_Verbräuche[[#This Row],[2017]]),"",Refsz_Verbräuche[[#This Row],[2017]])</f>
        <v/>
      </c>
      <c r="J153" s="14" t="str">
        <f>IF(ISBLANK(Refsz_Verbräuche[[#This Row],[2018]]),"",Refsz_Verbräuche[[#This Row],[2018]])</f>
        <v/>
      </c>
      <c r="K153" s="14" t="str">
        <f>IF(ISBLANK(Refsz_Verbräuche[[#This Row],[2019]]),"",Refsz_Verbräuche[[#This Row],[2019]])</f>
        <v/>
      </c>
      <c r="L153" s="14" t="str">
        <f>IF(ISBLANK(Refsz_Verbräuche[[#This Row],[2020]]),"",Refsz_Verbräuche[[#This Row],[2020]])</f>
        <v/>
      </c>
      <c r="M153" s="14" t="str">
        <f>IF(ISBLANK(Refsz_Verbräuche[[#This Row],[2021]]),"",Refsz_Verbräuche[[#This Row],[2021]])</f>
        <v/>
      </c>
      <c r="N153" s="49" t="str">
        <f>IF(Klisz_Verbräuche[[#Headers],[2022]]=$B$14,IF(COUNTIF($G153:Klisz_Verbräuche[[#This Row],[2021]],"&gt;0")&gt;0, AVERAGEIF($G153:Klisz_Verbräuche[[#This Row],[2021]],"&lt;&gt;"), ""),IF($B$14&lt;Klisz_Verbräuche[[#Headers],[2022]],IF(COUNTIF($G153:Klisz_Verbräuche[[#This Row],[2021]],"&gt;0")&gt;0,IF(COUNTIF($G153:Klisz_Verbräuche[[#This Row],[2021]],"&gt;0")&gt;0,Klisz_Verbräuche[[#This Row],[2021]]*(1-$F153)^1, ""), ""),IF($B$14&gt;Klisz_Verbräuche[[#Headers],[2022]],Refsz_Verbräuche[[#This Row],[2022]],"")))</f>
        <v/>
      </c>
      <c r="O153" s="49" t="str">
        <f>IF(Klisz_Verbräuche[[#Headers],[2023]]=$B$14,IF(COUNTIF($G153:Klisz_Verbräuche[[#This Row],[2022]],"&gt;0")&gt;0, AVERAGEIF($G153:Klisz_Verbräuche[[#This Row],[2022]],"&lt;&gt;"), ""),IF($B$14&lt;Klisz_Verbräuche[[#Headers],[2023]],IF(COUNTIF($G153:Klisz_Verbräuche[[#This Row],[2022]],"&gt;0")&gt;0,IF(COUNTIF($G153:Klisz_Verbräuche[[#This Row],[2022]],"&gt;0")&gt;0,Klisz_Verbräuche[[#This Row],[2022]]*(1-$F153)^1, ""), ""),IF($B$14&gt;Klisz_Verbräuche[[#Headers],[2023]],Refsz_Verbräuche[[#This Row],[2023]],"")))</f>
        <v/>
      </c>
      <c r="P153" s="49" t="str">
        <f>IF(Klisz_Verbräuche[[#Headers],[2024]]=$B$14,IF(COUNTIF($G153:Klisz_Verbräuche[[#This Row],[2023]],"&gt;0")&gt;0, AVERAGEIF($G153:Klisz_Verbräuche[[#This Row],[2023]],"&lt;&gt;"), ""),IF($B$14&lt;Klisz_Verbräuche[[#Headers],[2024]],IF(COUNTIF($G153:Klisz_Verbräuche[[#This Row],[2023]],"&gt;0")&gt;0,IF(COUNTIF($G153:Klisz_Verbräuche[[#This Row],[2023]],"&gt;0")&gt;0,Klisz_Verbräuche[[#This Row],[2023]]*(1-$F153)^1, ""), ""),IF($B$14&gt;Klisz_Verbräuche[[#Headers],[2024]],Refsz_Verbräuche[[#This Row],[2024]],"")))</f>
        <v/>
      </c>
      <c r="Q153" s="49" t="str">
        <f>IF(Klisz_Verbräuche[[#Headers],[2025]]=$B$14,IF(COUNTIF($G153:Klisz_Verbräuche[[#This Row],[2024]],"&gt;0")&gt;0, AVERAGEIF($G153:Klisz_Verbräuche[[#This Row],[2024]],"&lt;&gt;"), ""),IF($B$14&lt;Klisz_Verbräuche[[#Headers],[2025]],IF(COUNTIF($G153:Klisz_Verbräuche[[#This Row],[2024]],"&gt;0")&gt;0,IF(COUNTIF($G153:Klisz_Verbräuche[[#This Row],[2024]],"&gt;0")&gt;0,Klisz_Verbräuche[[#This Row],[2024]]*(1-$F153)^1, ""), ""),IF($B$14&gt;Klisz_Verbräuche[[#Headers],[2025]],Refsz_Verbräuche[[#This Row],[2025]],"")))</f>
        <v/>
      </c>
      <c r="R153" s="49" t="str">
        <f>IF(Klisz_Verbräuche[[#Headers],[2026]]=$B$14,IF(COUNTIF($G153:Klisz_Verbräuche[[#This Row],[2025]],"&gt;0")&gt;0, AVERAGEIF($G153:Klisz_Verbräuche[[#This Row],[2025]],"&lt;&gt;"), ""),IF($B$14&lt;Klisz_Verbräuche[[#Headers],[2026]],IF(COUNTIF($G153:Klisz_Verbräuche[[#This Row],[2025]],"&gt;0")&gt;0,IF(COUNTIF($G153:Klisz_Verbräuche[[#This Row],[2025]],"&gt;0")&gt;0,Klisz_Verbräuche[[#This Row],[2025]]*(1-$F153)^1, ""), ""),IF($B$14&gt;Klisz_Verbräuche[[#Headers],[2026]],Refsz_Verbräuche[[#This Row],[2026]],"")))</f>
        <v/>
      </c>
      <c r="S153" s="49" t="str">
        <f>IF(Klisz_Verbräuche[[#Headers],[2027]]=$B$14,IF(COUNTIF($G153:Klisz_Verbräuche[[#This Row],[2026]],"&gt;0")&gt;0, AVERAGEIF($G153:Klisz_Verbräuche[[#This Row],[2026]],"&lt;&gt;"), ""),IF($B$14&lt;Klisz_Verbräuche[[#Headers],[2027]],IF(COUNTIF($G153:Klisz_Verbräuche[[#This Row],[2026]],"&gt;0")&gt;0,IF(COUNTIF($G153:Klisz_Verbräuche[[#This Row],[2026]],"&gt;0")&gt;0,Klisz_Verbräuche[[#This Row],[2026]]*(1-$F153)^1, ""), ""),IF($B$14&gt;Klisz_Verbräuche[[#Headers],[2027]],Refsz_Verbräuche[[#This Row],[2027]],"")))</f>
        <v/>
      </c>
      <c r="T153" s="49" t="str">
        <f>IF(Klisz_Verbräuche[[#Headers],[2028]]=$B$14,IF(COUNTIF($G153:Klisz_Verbräuche[[#This Row],[2027]],"&gt;0")&gt;0, AVERAGEIF($G153:Klisz_Verbräuche[[#This Row],[2027]],"&lt;&gt;"), ""),IF($B$14&lt;Klisz_Verbräuche[[#Headers],[2028]],IF(COUNTIF($G153:Klisz_Verbräuche[[#This Row],[2027]],"&gt;0")&gt;0,IF(COUNTIF($G153:Klisz_Verbräuche[[#This Row],[2027]],"&gt;0")&gt;0,Klisz_Verbräuche[[#This Row],[2027]]*(1-$F153)^1, ""), ""),IF($B$14&gt;Klisz_Verbräuche[[#Headers],[2028]],Refsz_Verbräuche[[#This Row],[2028]],"")))</f>
        <v/>
      </c>
      <c r="U153" s="49" t="str">
        <f>IF(Klisz_Verbräuche[[#Headers],[2029]]=$B$14,IF(COUNTIF($G153:Klisz_Verbräuche[[#This Row],[2028]],"&gt;0")&gt;0, AVERAGEIF($G153:Klisz_Verbräuche[[#This Row],[2028]],"&lt;&gt;"), ""),IF($B$14&lt;Klisz_Verbräuche[[#Headers],[2029]],IF(COUNTIF($G153:Klisz_Verbräuche[[#This Row],[2028]],"&gt;0")&gt;0,IF(COUNTIF($G153:Klisz_Verbräuche[[#This Row],[2028]],"&gt;0")&gt;0,Klisz_Verbräuche[[#This Row],[2028]]*(1-$F153)^1, ""), ""),IF($B$14&gt;Klisz_Verbräuche[[#Headers],[2029]],Refsz_Verbräuche[[#This Row],[2029]],"")))</f>
        <v/>
      </c>
      <c r="V153" s="49" t="str">
        <f>IF(Klisz_Verbräuche[[#Headers],[2030]]=$B$14,IF(COUNTIF($G153:Klisz_Verbräuche[[#This Row],[2029]],"&gt;0")&gt;0, AVERAGEIF($G153:Klisz_Verbräuche[[#This Row],[2029]],"&lt;&gt;"), ""),IF($B$14&lt;Klisz_Verbräuche[[#Headers],[2030]],IF(COUNTIF($G153:Klisz_Verbräuche[[#This Row],[2029]],"&gt;0")&gt;0,IF(COUNTIF($G153:Klisz_Verbräuche[[#This Row],[2029]],"&gt;0")&gt;0,Klisz_Verbräuche[[#This Row],[2029]]*(1-$F153)^1, ""), ""),IF($B$14&gt;Klisz_Verbräuche[[#Headers],[2030]],Refsz_Verbräuche[[#This Row],[2030]],"")))</f>
        <v/>
      </c>
      <c r="W153" s="49" t="str">
        <f>IF(Klisz_Verbräuche[[#Headers],[2035]]=$B$14,IF(COUNTIF($G153:Klisz_Verbräuche[[#This Row],[2030]],"&gt;0")&gt;0, AVERAGEIF($G153:Klisz_Verbräuche[[#This Row],[2030]],"&lt;&gt;"), ""),IF($B$14&lt;Klisz_Verbräuche[[#Headers],[2035]],IF(COUNTIF($G153:Klisz_Verbräuche[[#This Row],[2030]],"&gt;0")&gt;0,IF(COUNTIF($G153:Klisz_Verbräuche[[#This Row],[2030]],"&gt;0")&gt;0,Klisz_Verbräuche[[#This Row],[2030]]*(1-$F153)^5, ""), ""),IF($B$14&gt;Klisz_Verbräuche[[#Headers],[2035]],Refsz_Verbräuche[[#This Row],[2035]],"")))</f>
        <v/>
      </c>
      <c r="X153" s="49" t="str">
        <f>IF(Klisz_Verbräuche[[#Headers],[2040]]=$B$14,IF(COUNTIF($G153:Klisz_Verbräuche[[#This Row],[2035]],"&gt;0")&gt;0, AVERAGEIF($G153:Klisz_Verbräuche[[#This Row],[2035]],"&lt;&gt;"), ""),IF($B$14&lt;Klisz_Verbräuche[[#Headers],[2040]],IF(COUNTIF($G153:Klisz_Verbräuche[[#This Row],[2035]],"&gt;0")&gt;0,IF(COUNTIF($G153:Klisz_Verbräuche[[#This Row],[2035]],"&gt;0")&gt;0,Klisz_Verbräuche[[#This Row],[2035]]*(1-$F153)^5, ""), ""),IF($B$14&gt;Klisz_Verbräuche[[#Headers],[2040]],Refsz_Verbräuche[[#This Row],[2040]],"")))</f>
        <v/>
      </c>
      <c r="Y153" s="49" t="str">
        <f>IF(Klisz_Verbräuche[[#Headers],[2045]]=$B$14,IF(COUNTIF($G153:Klisz_Verbräuche[[#This Row],[2040]],"&gt;0")&gt;0, AVERAGEIF($G153:Klisz_Verbräuche[[#This Row],[2040]],"&lt;&gt;"), ""),IF($B$14&lt;Klisz_Verbräuche[[#Headers],[2045]],IF(COUNTIF($G153:Klisz_Verbräuche[[#This Row],[2040]],"&gt;0")&gt;0,IF(COUNTIF($G153:Klisz_Verbräuche[[#This Row],[2040]],"&gt;0")&gt;0,Klisz_Verbräuche[[#This Row],[2040]]*(1-$F153)^5, ""), ""),IF($B$14&gt;Klisz_Verbräuche[[#Headers],[2045]],Refsz_Verbräuche[[#This Row],[2045]],"")))</f>
        <v/>
      </c>
      <c r="Z153" s="49" t="str">
        <f>IF(Klisz_Verbräuche[[#Headers],[2050]]=$B$14,IF(COUNTIF($G153:Klisz_Verbräuche[[#This Row],[2045]],"&gt;0")&gt;0, AVERAGEIF($G153:Klisz_Verbräuche[[#This Row],[2045]],"&lt;&gt;"), ""),IF($B$14&lt;Klisz_Verbräuche[[#Headers],[2050]],IF(COUNTIF($G153:Klisz_Verbräuche[[#This Row],[2045]],"&gt;0")&gt;0,IF(COUNTIF($G153:Klisz_Verbräuche[[#This Row],[2045]],"&gt;0")&gt;0,Klisz_Verbräuche[[#This Row],[2045]]*(1-$F153)^5, ""), ""),IF($B$14&gt;Klisz_Verbräuche[[#Headers],[2050]],Refsz_Verbräuche[[#This Row],[2050]],"")))</f>
        <v/>
      </c>
      <c r="AA153" s="14"/>
    </row>
    <row r="154" spans="2:27">
      <c r="B154" s="14">
        <v>137</v>
      </c>
      <c r="C154" s="197" t="str">
        <f>Refsz_Verbräuche[[#This Row],[Handlungsfeld]]</f>
        <v>Baugüter</v>
      </c>
      <c r="D154" s="19" t="str">
        <f>Refsz_Verbräuche[[#This Row],[Datenpunkt]]</f>
        <v>Konstruktionsvollholz</v>
      </c>
      <c r="E154" s="26" t="str">
        <f>Refsz_Verbräuche[[#This Row],[Einheit]]</f>
        <v>m³</v>
      </c>
      <c r="F154" s="108"/>
      <c r="G154" s="14" t="str">
        <f>IF(ISBLANK(Refsz_Verbräuche[[#This Row],[2015]]),"",Refsz_Verbräuche[[#This Row],[2015]])</f>
        <v/>
      </c>
      <c r="H154" s="14" t="str">
        <f>IF(ISBLANK(Refsz_Verbräuche[[#This Row],[2016]]),"",Refsz_Verbräuche[[#This Row],[2016]])</f>
        <v/>
      </c>
      <c r="I154" s="14" t="str">
        <f>IF(ISBLANK(Refsz_Verbräuche[[#This Row],[2017]]),"",Refsz_Verbräuche[[#This Row],[2017]])</f>
        <v/>
      </c>
      <c r="J154" s="14" t="str">
        <f>IF(ISBLANK(Refsz_Verbräuche[[#This Row],[2018]]),"",Refsz_Verbräuche[[#This Row],[2018]])</f>
        <v/>
      </c>
      <c r="K154" s="14" t="str">
        <f>IF(ISBLANK(Refsz_Verbräuche[[#This Row],[2019]]),"",Refsz_Verbräuche[[#This Row],[2019]])</f>
        <v/>
      </c>
      <c r="L154" s="14" t="str">
        <f>IF(ISBLANK(Refsz_Verbräuche[[#This Row],[2020]]),"",Refsz_Verbräuche[[#This Row],[2020]])</f>
        <v/>
      </c>
      <c r="M154" s="14" t="str">
        <f>IF(ISBLANK(Refsz_Verbräuche[[#This Row],[2021]]),"",Refsz_Verbräuche[[#This Row],[2021]])</f>
        <v/>
      </c>
      <c r="N154" s="49" t="str">
        <f>IF(Klisz_Verbräuche[[#Headers],[2022]]=$B$14,IF(COUNTIF($G154:Klisz_Verbräuche[[#This Row],[2021]],"&gt;0")&gt;0, AVERAGEIF($G154:Klisz_Verbräuche[[#This Row],[2021]],"&lt;&gt;"), ""),IF($B$14&lt;Klisz_Verbräuche[[#Headers],[2022]],IF(COUNTIF($G154:Klisz_Verbräuche[[#This Row],[2021]],"&gt;0")&gt;0,IF(COUNTIF($G154:Klisz_Verbräuche[[#This Row],[2021]],"&gt;0")&gt;0,Klisz_Verbräuche[[#This Row],[2021]]*(1-$F154)^1, ""), ""),IF($B$14&gt;Klisz_Verbräuche[[#Headers],[2022]],Refsz_Verbräuche[[#This Row],[2022]],"")))</f>
        <v/>
      </c>
      <c r="O154" s="49" t="str">
        <f>IF(Klisz_Verbräuche[[#Headers],[2023]]=$B$14,IF(COUNTIF($G154:Klisz_Verbräuche[[#This Row],[2022]],"&gt;0")&gt;0, AVERAGEIF($G154:Klisz_Verbräuche[[#This Row],[2022]],"&lt;&gt;"), ""),IF($B$14&lt;Klisz_Verbräuche[[#Headers],[2023]],IF(COUNTIF($G154:Klisz_Verbräuche[[#This Row],[2022]],"&gt;0")&gt;0,IF(COUNTIF($G154:Klisz_Verbräuche[[#This Row],[2022]],"&gt;0")&gt;0,Klisz_Verbräuche[[#This Row],[2022]]*(1-$F154)^1, ""), ""),IF($B$14&gt;Klisz_Verbräuche[[#Headers],[2023]],Refsz_Verbräuche[[#This Row],[2023]],"")))</f>
        <v/>
      </c>
      <c r="P154" s="49" t="str">
        <f>IF(Klisz_Verbräuche[[#Headers],[2024]]=$B$14,IF(COUNTIF($G154:Klisz_Verbräuche[[#This Row],[2023]],"&gt;0")&gt;0, AVERAGEIF($G154:Klisz_Verbräuche[[#This Row],[2023]],"&lt;&gt;"), ""),IF($B$14&lt;Klisz_Verbräuche[[#Headers],[2024]],IF(COUNTIF($G154:Klisz_Verbräuche[[#This Row],[2023]],"&gt;0")&gt;0,IF(COUNTIF($G154:Klisz_Verbräuche[[#This Row],[2023]],"&gt;0")&gt;0,Klisz_Verbräuche[[#This Row],[2023]]*(1-$F154)^1, ""), ""),IF($B$14&gt;Klisz_Verbräuche[[#Headers],[2024]],Refsz_Verbräuche[[#This Row],[2024]],"")))</f>
        <v/>
      </c>
      <c r="Q154" s="49" t="str">
        <f>IF(Klisz_Verbräuche[[#Headers],[2025]]=$B$14,IF(COUNTIF($G154:Klisz_Verbräuche[[#This Row],[2024]],"&gt;0")&gt;0, AVERAGEIF($G154:Klisz_Verbräuche[[#This Row],[2024]],"&lt;&gt;"), ""),IF($B$14&lt;Klisz_Verbräuche[[#Headers],[2025]],IF(COUNTIF($G154:Klisz_Verbräuche[[#This Row],[2024]],"&gt;0")&gt;0,IF(COUNTIF($G154:Klisz_Verbräuche[[#This Row],[2024]],"&gt;0")&gt;0,Klisz_Verbräuche[[#This Row],[2024]]*(1-$F154)^1, ""), ""),IF($B$14&gt;Klisz_Verbräuche[[#Headers],[2025]],Refsz_Verbräuche[[#This Row],[2025]],"")))</f>
        <v/>
      </c>
      <c r="R154" s="49" t="str">
        <f>IF(Klisz_Verbräuche[[#Headers],[2026]]=$B$14,IF(COUNTIF($G154:Klisz_Verbräuche[[#This Row],[2025]],"&gt;0")&gt;0, AVERAGEIF($G154:Klisz_Verbräuche[[#This Row],[2025]],"&lt;&gt;"), ""),IF($B$14&lt;Klisz_Verbräuche[[#Headers],[2026]],IF(COUNTIF($G154:Klisz_Verbräuche[[#This Row],[2025]],"&gt;0")&gt;0,IF(COUNTIF($G154:Klisz_Verbräuche[[#This Row],[2025]],"&gt;0")&gt;0,Klisz_Verbräuche[[#This Row],[2025]]*(1-$F154)^1, ""), ""),IF($B$14&gt;Klisz_Verbräuche[[#Headers],[2026]],Refsz_Verbräuche[[#This Row],[2026]],"")))</f>
        <v/>
      </c>
      <c r="S154" s="49" t="str">
        <f>IF(Klisz_Verbräuche[[#Headers],[2027]]=$B$14,IF(COUNTIF($G154:Klisz_Verbräuche[[#This Row],[2026]],"&gt;0")&gt;0, AVERAGEIF($G154:Klisz_Verbräuche[[#This Row],[2026]],"&lt;&gt;"), ""),IF($B$14&lt;Klisz_Verbräuche[[#Headers],[2027]],IF(COUNTIF($G154:Klisz_Verbräuche[[#This Row],[2026]],"&gt;0")&gt;0,IF(COUNTIF($G154:Klisz_Verbräuche[[#This Row],[2026]],"&gt;0")&gt;0,Klisz_Verbräuche[[#This Row],[2026]]*(1-$F154)^1, ""), ""),IF($B$14&gt;Klisz_Verbräuche[[#Headers],[2027]],Refsz_Verbräuche[[#This Row],[2027]],"")))</f>
        <v/>
      </c>
      <c r="T154" s="49" t="str">
        <f>IF(Klisz_Verbräuche[[#Headers],[2028]]=$B$14,IF(COUNTIF($G154:Klisz_Verbräuche[[#This Row],[2027]],"&gt;0")&gt;0, AVERAGEIF($G154:Klisz_Verbräuche[[#This Row],[2027]],"&lt;&gt;"), ""),IF($B$14&lt;Klisz_Verbräuche[[#Headers],[2028]],IF(COUNTIF($G154:Klisz_Verbräuche[[#This Row],[2027]],"&gt;0")&gt;0,IF(COUNTIF($G154:Klisz_Verbräuche[[#This Row],[2027]],"&gt;0")&gt;0,Klisz_Verbräuche[[#This Row],[2027]]*(1-$F154)^1, ""), ""),IF($B$14&gt;Klisz_Verbräuche[[#Headers],[2028]],Refsz_Verbräuche[[#This Row],[2028]],"")))</f>
        <v/>
      </c>
      <c r="U154" s="49" t="str">
        <f>IF(Klisz_Verbräuche[[#Headers],[2029]]=$B$14,IF(COUNTIF($G154:Klisz_Verbräuche[[#This Row],[2028]],"&gt;0")&gt;0, AVERAGEIF($G154:Klisz_Verbräuche[[#This Row],[2028]],"&lt;&gt;"), ""),IF($B$14&lt;Klisz_Verbräuche[[#Headers],[2029]],IF(COUNTIF($G154:Klisz_Verbräuche[[#This Row],[2028]],"&gt;0")&gt;0,IF(COUNTIF($G154:Klisz_Verbräuche[[#This Row],[2028]],"&gt;0")&gt;0,Klisz_Verbräuche[[#This Row],[2028]]*(1-$F154)^1, ""), ""),IF($B$14&gt;Klisz_Verbräuche[[#Headers],[2029]],Refsz_Verbräuche[[#This Row],[2029]],"")))</f>
        <v/>
      </c>
      <c r="V154" s="49" t="str">
        <f>IF(Klisz_Verbräuche[[#Headers],[2030]]=$B$14,IF(COUNTIF($G154:Klisz_Verbräuche[[#This Row],[2029]],"&gt;0")&gt;0, AVERAGEIF($G154:Klisz_Verbräuche[[#This Row],[2029]],"&lt;&gt;"), ""),IF($B$14&lt;Klisz_Verbräuche[[#Headers],[2030]],IF(COUNTIF($G154:Klisz_Verbräuche[[#This Row],[2029]],"&gt;0")&gt;0,IF(COUNTIF($G154:Klisz_Verbräuche[[#This Row],[2029]],"&gt;0")&gt;0,Klisz_Verbräuche[[#This Row],[2029]]*(1-$F154)^1, ""), ""),IF($B$14&gt;Klisz_Verbräuche[[#Headers],[2030]],Refsz_Verbräuche[[#This Row],[2030]],"")))</f>
        <v/>
      </c>
      <c r="W154" s="49" t="str">
        <f>IF(Klisz_Verbräuche[[#Headers],[2035]]=$B$14,IF(COUNTIF($G154:Klisz_Verbräuche[[#This Row],[2030]],"&gt;0")&gt;0, AVERAGEIF($G154:Klisz_Verbräuche[[#This Row],[2030]],"&lt;&gt;"), ""),IF($B$14&lt;Klisz_Verbräuche[[#Headers],[2035]],IF(COUNTIF($G154:Klisz_Verbräuche[[#This Row],[2030]],"&gt;0")&gt;0,IF(COUNTIF($G154:Klisz_Verbräuche[[#This Row],[2030]],"&gt;0")&gt;0,Klisz_Verbräuche[[#This Row],[2030]]*(1-$F154)^5, ""), ""),IF($B$14&gt;Klisz_Verbräuche[[#Headers],[2035]],Refsz_Verbräuche[[#This Row],[2035]],"")))</f>
        <v/>
      </c>
      <c r="X154" s="49" t="str">
        <f>IF(Klisz_Verbräuche[[#Headers],[2040]]=$B$14,IF(COUNTIF($G154:Klisz_Verbräuche[[#This Row],[2035]],"&gt;0")&gt;0, AVERAGEIF($G154:Klisz_Verbräuche[[#This Row],[2035]],"&lt;&gt;"), ""),IF($B$14&lt;Klisz_Verbräuche[[#Headers],[2040]],IF(COUNTIF($G154:Klisz_Verbräuche[[#This Row],[2035]],"&gt;0")&gt;0,IF(COUNTIF($G154:Klisz_Verbräuche[[#This Row],[2035]],"&gt;0")&gt;0,Klisz_Verbräuche[[#This Row],[2035]]*(1-$F154)^5, ""), ""),IF($B$14&gt;Klisz_Verbräuche[[#Headers],[2040]],Refsz_Verbräuche[[#This Row],[2040]],"")))</f>
        <v/>
      </c>
      <c r="Y154" s="49" t="str">
        <f>IF(Klisz_Verbräuche[[#Headers],[2045]]=$B$14,IF(COUNTIF($G154:Klisz_Verbräuche[[#This Row],[2040]],"&gt;0")&gt;0, AVERAGEIF($G154:Klisz_Verbräuche[[#This Row],[2040]],"&lt;&gt;"), ""),IF($B$14&lt;Klisz_Verbräuche[[#Headers],[2045]],IF(COUNTIF($G154:Klisz_Verbräuche[[#This Row],[2040]],"&gt;0")&gt;0,IF(COUNTIF($G154:Klisz_Verbräuche[[#This Row],[2040]],"&gt;0")&gt;0,Klisz_Verbräuche[[#This Row],[2040]]*(1-$F154)^5, ""), ""),IF($B$14&gt;Klisz_Verbräuche[[#Headers],[2045]],Refsz_Verbräuche[[#This Row],[2045]],"")))</f>
        <v/>
      </c>
      <c r="Z154" s="49" t="str">
        <f>IF(Klisz_Verbräuche[[#Headers],[2050]]=$B$14,IF(COUNTIF($G154:Klisz_Verbräuche[[#This Row],[2045]],"&gt;0")&gt;0, AVERAGEIF($G154:Klisz_Verbräuche[[#This Row],[2045]],"&lt;&gt;"), ""),IF($B$14&lt;Klisz_Verbräuche[[#Headers],[2050]],IF(COUNTIF($G154:Klisz_Verbräuche[[#This Row],[2045]],"&gt;0")&gt;0,IF(COUNTIF($G154:Klisz_Verbräuche[[#This Row],[2045]],"&gt;0")&gt;0,Klisz_Verbräuche[[#This Row],[2045]]*(1-$F154)^5, ""), ""),IF($B$14&gt;Klisz_Verbräuche[[#Headers],[2050]],Refsz_Verbräuche[[#This Row],[2050]],"")))</f>
        <v/>
      </c>
      <c r="AA154" s="14"/>
    </row>
    <row r="155" spans="2:27">
      <c r="B155" s="14">
        <v>138</v>
      </c>
      <c r="C155" s="197" t="str">
        <f>Refsz_Verbräuche[[#This Row],[Handlungsfeld]]</f>
        <v>Baugüter</v>
      </c>
      <c r="D155" s="19" t="str">
        <f>Refsz_Verbräuche[[#This Row],[Datenpunkt]]</f>
        <v>Spanplatte</v>
      </c>
      <c r="E155" s="26" t="str">
        <f>Refsz_Verbräuche[[#This Row],[Einheit]]</f>
        <v>kg</v>
      </c>
      <c r="F155" s="108"/>
      <c r="G155" s="14" t="str">
        <f>IF(ISBLANK(Refsz_Verbräuche[[#This Row],[2015]]),"",Refsz_Verbräuche[[#This Row],[2015]])</f>
        <v/>
      </c>
      <c r="H155" s="14" t="str">
        <f>IF(ISBLANK(Refsz_Verbräuche[[#This Row],[2016]]),"",Refsz_Verbräuche[[#This Row],[2016]])</f>
        <v/>
      </c>
      <c r="I155" s="14" t="str">
        <f>IF(ISBLANK(Refsz_Verbräuche[[#This Row],[2017]]),"",Refsz_Verbräuche[[#This Row],[2017]])</f>
        <v/>
      </c>
      <c r="J155" s="14" t="str">
        <f>IF(ISBLANK(Refsz_Verbräuche[[#This Row],[2018]]),"",Refsz_Verbräuche[[#This Row],[2018]])</f>
        <v/>
      </c>
      <c r="K155" s="14" t="str">
        <f>IF(ISBLANK(Refsz_Verbräuche[[#This Row],[2019]]),"",Refsz_Verbräuche[[#This Row],[2019]])</f>
        <v/>
      </c>
      <c r="L155" s="14" t="str">
        <f>IF(ISBLANK(Refsz_Verbräuche[[#This Row],[2020]]),"",Refsz_Verbräuche[[#This Row],[2020]])</f>
        <v/>
      </c>
      <c r="M155" s="14" t="str">
        <f>IF(ISBLANK(Refsz_Verbräuche[[#This Row],[2021]]),"",Refsz_Verbräuche[[#This Row],[2021]])</f>
        <v/>
      </c>
      <c r="N155" s="49" t="str">
        <f>IF(Klisz_Verbräuche[[#Headers],[2022]]=$B$14,IF(COUNTIF($G155:Klisz_Verbräuche[[#This Row],[2021]],"&gt;0")&gt;0, AVERAGEIF($G155:Klisz_Verbräuche[[#This Row],[2021]],"&lt;&gt;"), ""),IF($B$14&lt;Klisz_Verbräuche[[#Headers],[2022]],IF(COUNTIF($G155:Klisz_Verbräuche[[#This Row],[2021]],"&gt;0")&gt;0,IF(COUNTIF($G155:Klisz_Verbräuche[[#This Row],[2021]],"&gt;0")&gt;0,Klisz_Verbräuche[[#This Row],[2021]]*(1-$F155)^1, ""), ""),IF($B$14&gt;Klisz_Verbräuche[[#Headers],[2022]],Refsz_Verbräuche[[#This Row],[2022]],"")))</f>
        <v/>
      </c>
      <c r="O155" s="49" t="str">
        <f>IF(Klisz_Verbräuche[[#Headers],[2023]]=$B$14,IF(COUNTIF($G155:Klisz_Verbräuche[[#This Row],[2022]],"&gt;0")&gt;0, AVERAGEIF($G155:Klisz_Verbräuche[[#This Row],[2022]],"&lt;&gt;"), ""),IF($B$14&lt;Klisz_Verbräuche[[#Headers],[2023]],IF(COUNTIF($G155:Klisz_Verbräuche[[#This Row],[2022]],"&gt;0")&gt;0,IF(COUNTIF($G155:Klisz_Verbräuche[[#This Row],[2022]],"&gt;0")&gt;0,Klisz_Verbräuche[[#This Row],[2022]]*(1-$F155)^1, ""), ""),IF($B$14&gt;Klisz_Verbräuche[[#Headers],[2023]],Refsz_Verbräuche[[#This Row],[2023]],"")))</f>
        <v/>
      </c>
      <c r="P155" s="49" t="str">
        <f>IF(Klisz_Verbräuche[[#Headers],[2024]]=$B$14,IF(COUNTIF($G155:Klisz_Verbräuche[[#This Row],[2023]],"&gt;0")&gt;0, AVERAGEIF($G155:Klisz_Verbräuche[[#This Row],[2023]],"&lt;&gt;"), ""),IF($B$14&lt;Klisz_Verbräuche[[#Headers],[2024]],IF(COUNTIF($G155:Klisz_Verbräuche[[#This Row],[2023]],"&gt;0")&gt;0,IF(COUNTIF($G155:Klisz_Verbräuche[[#This Row],[2023]],"&gt;0")&gt;0,Klisz_Verbräuche[[#This Row],[2023]]*(1-$F155)^1, ""), ""),IF($B$14&gt;Klisz_Verbräuche[[#Headers],[2024]],Refsz_Verbräuche[[#This Row],[2024]],"")))</f>
        <v/>
      </c>
      <c r="Q155" s="49" t="str">
        <f>IF(Klisz_Verbräuche[[#Headers],[2025]]=$B$14,IF(COUNTIF($G155:Klisz_Verbräuche[[#This Row],[2024]],"&gt;0")&gt;0, AVERAGEIF($G155:Klisz_Verbräuche[[#This Row],[2024]],"&lt;&gt;"), ""),IF($B$14&lt;Klisz_Verbräuche[[#Headers],[2025]],IF(COUNTIF($G155:Klisz_Verbräuche[[#This Row],[2024]],"&gt;0")&gt;0,IF(COUNTIF($G155:Klisz_Verbräuche[[#This Row],[2024]],"&gt;0")&gt;0,Klisz_Verbräuche[[#This Row],[2024]]*(1-$F155)^1, ""), ""),IF($B$14&gt;Klisz_Verbräuche[[#Headers],[2025]],Refsz_Verbräuche[[#This Row],[2025]],"")))</f>
        <v/>
      </c>
      <c r="R155" s="49" t="str">
        <f>IF(Klisz_Verbräuche[[#Headers],[2026]]=$B$14,IF(COUNTIF($G155:Klisz_Verbräuche[[#This Row],[2025]],"&gt;0")&gt;0, AVERAGEIF($G155:Klisz_Verbräuche[[#This Row],[2025]],"&lt;&gt;"), ""),IF($B$14&lt;Klisz_Verbräuche[[#Headers],[2026]],IF(COUNTIF($G155:Klisz_Verbräuche[[#This Row],[2025]],"&gt;0")&gt;0,IF(COUNTIF($G155:Klisz_Verbräuche[[#This Row],[2025]],"&gt;0")&gt;0,Klisz_Verbräuche[[#This Row],[2025]]*(1-$F155)^1, ""), ""),IF($B$14&gt;Klisz_Verbräuche[[#Headers],[2026]],Refsz_Verbräuche[[#This Row],[2026]],"")))</f>
        <v/>
      </c>
      <c r="S155" s="49" t="str">
        <f>IF(Klisz_Verbräuche[[#Headers],[2027]]=$B$14,IF(COUNTIF($G155:Klisz_Verbräuche[[#This Row],[2026]],"&gt;0")&gt;0, AVERAGEIF($G155:Klisz_Verbräuche[[#This Row],[2026]],"&lt;&gt;"), ""),IF($B$14&lt;Klisz_Verbräuche[[#Headers],[2027]],IF(COUNTIF($G155:Klisz_Verbräuche[[#This Row],[2026]],"&gt;0")&gt;0,IF(COUNTIF($G155:Klisz_Verbräuche[[#This Row],[2026]],"&gt;0")&gt;0,Klisz_Verbräuche[[#This Row],[2026]]*(1-$F155)^1, ""), ""),IF($B$14&gt;Klisz_Verbräuche[[#Headers],[2027]],Refsz_Verbräuche[[#This Row],[2027]],"")))</f>
        <v/>
      </c>
      <c r="T155" s="49" t="str">
        <f>IF(Klisz_Verbräuche[[#Headers],[2028]]=$B$14,IF(COUNTIF($G155:Klisz_Verbräuche[[#This Row],[2027]],"&gt;0")&gt;0, AVERAGEIF($G155:Klisz_Verbräuche[[#This Row],[2027]],"&lt;&gt;"), ""),IF($B$14&lt;Klisz_Verbräuche[[#Headers],[2028]],IF(COUNTIF($G155:Klisz_Verbräuche[[#This Row],[2027]],"&gt;0")&gt;0,IF(COUNTIF($G155:Klisz_Verbräuche[[#This Row],[2027]],"&gt;0")&gt;0,Klisz_Verbräuche[[#This Row],[2027]]*(1-$F155)^1, ""), ""),IF($B$14&gt;Klisz_Verbräuche[[#Headers],[2028]],Refsz_Verbräuche[[#This Row],[2028]],"")))</f>
        <v/>
      </c>
      <c r="U155" s="49" t="str">
        <f>IF(Klisz_Verbräuche[[#Headers],[2029]]=$B$14,IF(COUNTIF($G155:Klisz_Verbräuche[[#This Row],[2028]],"&gt;0")&gt;0, AVERAGEIF($G155:Klisz_Verbräuche[[#This Row],[2028]],"&lt;&gt;"), ""),IF($B$14&lt;Klisz_Verbräuche[[#Headers],[2029]],IF(COUNTIF($G155:Klisz_Verbräuche[[#This Row],[2028]],"&gt;0")&gt;0,IF(COUNTIF($G155:Klisz_Verbräuche[[#This Row],[2028]],"&gt;0")&gt;0,Klisz_Verbräuche[[#This Row],[2028]]*(1-$F155)^1, ""), ""),IF($B$14&gt;Klisz_Verbräuche[[#Headers],[2029]],Refsz_Verbräuche[[#This Row],[2029]],"")))</f>
        <v/>
      </c>
      <c r="V155" s="49" t="str">
        <f>IF(Klisz_Verbräuche[[#Headers],[2030]]=$B$14,IF(COUNTIF($G155:Klisz_Verbräuche[[#This Row],[2029]],"&gt;0")&gt;0, AVERAGEIF($G155:Klisz_Verbräuche[[#This Row],[2029]],"&lt;&gt;"), ""),IF($B$14&lt;Klisz_Verbräuche[[#Headers],[2030]],IF(COUNTIF($G155:Klisz_Verbräuche[[#This Row],[2029]],"&gt;0")&gt;0,IF(COUNTIF($G155:Klisz_Verbräuche[[#This Row],[2029]],"&gt;0")&gt;0,Klisz_Verbräuche[[#This Row],[2029]]*(1-$F155)^1, ""), ""),IF($B$14&gt;Klisz_Verbräuche[[#Headers],[2030]],Refsz_Verbräuche[[#This Row],[2030]],"")))</f>
        <v/>
      </c>
      <c r="W155" s="49" t="str">
        <f>IF(Klisz_Verbräuche[[#Headers],[2035]]=$B$14,IF(COUNTIF($G155:Klisz_Verbräuche[[#This Row],[2030]],"&gt;0")&gt;0, AVERAGEIF($G155:Klisz_Verbräuche[[#This Row],[2030]],"&lt;&gt;"), ""),IF($B$14&lt;Klisz_Verbräuche[[#Headers],[2035]],IF(COUNTIF($G155:Klisz_Verbräuche[[#This Row],[2030]],"&gt;0")&gt;0,IF(COUNTIF($G155:Klisz_Verbräuche[[#This Row],[2030]],"&gt;0")&gt;0,Klisz_Verbräuche[[#This Row],[2030]]*(1-$F155)^5, ""), ""),IF($B$14&gt;Klisz_Verbräuche[[#Headers],[2035]],Refsz_Verbräuche[[#This Row],[2035]],"")))</f>
        <v/>
      </c>
      <c r="X155" s="49" t="str">
        <f>IF(Klisz_Verbräuche[[#Headers],[2040]]=$B$14,IF(COUNTIF($G155:Klisz_Verbräuche[[#This Row],[2035]],"&gt;0")&gt;0, AVERAGEIF($G155:Klisz_Verbräuche[[#This Row],[2035]],"&lt;&gt;"), ""),IF($B$14&lt;Klisz_Verbräuche[[#Headers],[2040]],IF(COUNTIF($G155:Klisz_Verbräuche[[#This Row],[2035]],"&gt;0")&gt;0,IF(COUNTIF($G155:Klisz_Verbräuche[[#This Row],[2035]],"&gt;0")&gt;0,Klisz_Verbräuche[[#This Row],[2035]]*(1-$F155)^5, ""), ""),IF($B$14&gt;Klisz_Verbräuche[[#Headers],[2040]],Refsz_Verbräuche[[#This Row],[2040]],"")))</f>
        <v/>
      </c>
      <c r="Y155" s="49" t="str">
        <f>IF(Klisz_Verbräuche[[#Headers],[2045]]=$B$14,IF(COUNTIF($G155:Klisz_Verbräuche[[#This Row],[2040]],"&gt;0")&gt;0, AVERAGEIF($G155:Klisz_Verbräuche[[#This Row],[2040]],"&lt;&gt;"), ""),IF($B$14&lt;Klisz_Verbräuche[[#Headers],[2045]],IF(COUNTIF($G155:Klisz_Verbräuche[[#This Row],[2040]],"&gt;0")&gt;0,IF(COUNTIF($G155:Klisz_Verbräuche[[#This Row],[2040]],"&gt;0")&gt;0,Klisz_Verbräuche[[#This Row],[2040]]*(1-$F155)^5, ""), ""),IF($B$14&gt;Klisz_Verbräuche[[#Headers],[2045]],Refsz_Verbräuche[[#This Row],[2045]],"")))</f>
        <v/>
      </c>
      <c r="Z155" s="49" t="str">
        <f>IF(Klisz_Verbräuche[[#Headers],[2050]]=$B$14,IF(COUNTIF($G155:Klisz_Verbräuche[[#This Row],[2045]],"&gt;0")&gt;0, AVERAGEIF($G155:Klisz_Verbräuche[[#This Row],[2045]],"&lt;&gt;"), ""),IF($B$14&lt;Klisz_Verbräuche[[#Headers],[2050]],IF(COUNTIF($G155:Klisz_Verbräuche[[#This Row],[2045]],"&gt;0")&gt;0,IF(COUNTIF($G155:Klisz_Verbräuche[[#This Row],[2045]],"&gt;0")&gt;0,Klisz_Verbräuche[[#This Row],[2045]]*(1-$F155)^5, ""), ""),IF($B$14&gt;Klisz_Verbräuche[[#Headers],[2050]],Refsz_Verbräuche[[#This Row],[2050]],"")))</f>
        <v/>
      </c>
      <c r="AA155" s="14"/>
    </row>
    <row r="156" spans="2:27">
      <c r="B156" s="14">
        <v>139</v>
      </c>
      <c r="C156" s="197" t="str">
        <f>Refsz_Verbräuche[[#This Row],[Handlungsfeld]]</f>
        <v>Baugüter</v>
      </c>
      <c r="D156" s="19" t="str">
        <f>Refsz_Verbräuche[[#This Row],[Datenpunkt]]</f>
        <v>Perlit</v>
      </c>
      <c r="E156" s="26" t="str">
        <f>Refsz_Verbräuche[[#This Row],[Einheit]]</f>
        <v>kg</v>
      </c>
      <c r="F156" s="108"/>
      <c r="G156" s="14" t="str">
        <f>IF(ISBLANK(Refsz_Verbräuche[[#This Row],[2015]]),"",Refsz_Verbräuche[[#This Row],[2015]])</f>
        <v/>
      </c>
      <c r="H156" s="14" t="str">
        <f>IF(ISBLANK(Refsz_Verbräuche[[#This Row],[2016]]),"",Refsz_Verbräuche[[#This Row],[2016]])</f>
        <v/>
      </c>
      <c r="I156" s="14" t="str">
        <f>IF(ISBLANK(Refsz_Verbräuche[[#This Row],[2017]]),"",Refsz_Verbräuche[[#This Row],[2017]])</f>
        <v/>
      </c>
      <c r="J156" s="14" t="str">
        <f>IF(ISBLANK(Refsz_Verbräuche[[#This Row],[2018]]),"",Refsz_Verbräuche[[#This Row],[2018]])</f>
        <v/>
      </c>
      <c r="K156" s="14" t="str">
        <f>IF(ISBLANK(Refsz_Verbräuche[[#This Row],[2019]]),"",Refsz_Verbräuche[[#This Row],[2019]])</f>
        <v/>
      </c>
      <c r="L156" s="14" t="str">
        <f>IF(ISBLANK(Refsz_Verbräuche[[#This Row],[2020]]),"",Refsz_Verbräuche[[#This Row],[2020]])</f>
        <v/>
      </c>
      <c r="M156" s="14" t="str">
        <f>IF(ISBLANK(Refsz_Verbräuche[[#This Row],[2021]]),"",Refsz_Verbräuche[[#This Row],[2021]])</f>
        <v/>
      </c>
      <c r="N156" s="49" t="str">
        <f>IF(Klisz_Verbräuche[[#Headers],[2022]]=$B$14,IF(COUNTIF($G156:Klisz_Verbräuche[[#This Row],[2021]],"&gt;0")&gt;0, AVERAGEIF($G156:Klisz_Verbräuche[[#This Row],[2021]],"&lt;&gt;"), ""),IF($B$14&lt;Klisz_Verbräuche[[#Headers],[2022]],IF(COUNTIF($G156:Klisz_Verbräuche[[#This Row],[2021]],"&gt;0")&gt;0,IF(COUNTIF($G156:Klisz_Verbräuche[[#This Row],[2021]],"&gt;0")&gt;0,Klisz_Verbräuche[[#This Row],[2021]]*(1-$F156)^1, ""), ""),IF($B$14&gt;Klisz_Verbräuche[[#Headers],[2022]],Refsz_Verbräuche[[#This Row],[2022]],"")))</f>
        <v/>
      </c>
      <c r="O156" s="49" t="str">
        <f>IF(Klisz_Verbräuche[[#Headers],[2023]]=$B$14,IF(COUNTIF($G156:Klisz_Verbräuche[[#This Row],[2022]],"&gt;0")&gt;0, AVERAGEIF($G156:Klisz_Verbräuche[[#This Row],[2022]],"&lt;&gt;"), ""),IF($B$14&lt;Klisz_Verbräuche[[#Headers],[2023]],IF(COUNTIF($G156:Klisz_Verbräuche[[#This Row],[2022]],"&gt;0")&gt;0,IF(COUNTIF($G156:Klisz_Verbräuche[[#This Row],[2022]],"&gt;0")&gt;0,Klisz_Verbräuche[[#This Row],[2022]]*(1-$F156)^1, ""), ""),IF($B$14&gt;Klisz_Verbräuche[[#Headers],[2023]],Refsz_Verbräuche[[#This Row],[2023]],"")))</f>
        <v/>
      </c>
      <c r="P156" s="49" t="str">
        <f>IF(Klisz_Verbräuche[[#Headers],[2024]]=$B$14,IF(COUNTIF($G156:Klisz_Verbräuche[[#This Row],[2023]],"&gt;0")&gt;0, AVERAGEIF($G156:Klisz_Verbräuche[[#This Row],[2023]],"&lt;&gt;"), ""),IF($B$14&lt;Klisz_Verbräuche[[#Headers],[2024]],IF(COUNTIF($G156:Klisz_Verbräuche[[#This Row],[2023]],"&gt;0")&gt;0,IF(COUNTIF($G156:Klisz_Verbräuche[[#This Row],[2023]],"&gt;0")&gt;0,Klisz_Verbräuche[[#This Row],[2023]]*(1-$F156)^1, ""), ""),IF($B$14&gt;Klisz_Verbräuche[[#Headers],[2024]],Refsz_Verbräuche[[#This Row],[2024]],"")))</f>
        <v/>
      </c>
      <c r="Q156" s="49" t="str">
        <f>IF(Klisz_Verbräuche[[#Headers],[2025]]=$B$14,IF(COUNTIF($G156:Klisz_Verbräuche[[#This Row],[2024]],"&gt;0")&gt;0, AVERAGEIF($G156:Klisz_Verbräuche[[#This Row],[2024]],"&lt;&gt;"), ""),IF($B$14&lt;Klisz_Verbräuche[[#Headers],[2025]],IF(COUNTIF($G156:Klisz_Verbräuche[[#This Row],[2024]],"&gt;0")&gt;0,IF(COUNTIF($G156:Klisz_Verbräuche[[#This Row],[2024]],"&gt;0")&gt;0,Klisz_Verbräuche[[#This Row],[2024]]*(1-$F156)^1, ""), ""),IF($B$14&gt;Klisz_Verbräuche[[#Headers],[2025]],Refsz_Verbräuche[[#This Row],[2025]],"")))</f>
        <v/>
      </c>
      <c r="R156" s="49" t="str">
        <f>IF(Klisz_Verbräuche[[#Headers],[2026]]=$B$14,IF(COUNTIF($G156:Klisz_Verbräuche[[#This Row],[2025]],"&gt;0")&gt;0, AVERAGEIF($G156:Klisz_Verbräuche[[#This Row],[2025]],"&lt;&gt;"), ""),IF($B$14&lt;Klisz_Verbräuche[[#Headers],[2026]],IF(COUNTIF($G156:Klisz_Verbräuche[[#This Row],[2025]],"&gt;0")&gt;0,IF(COUNTIF($G156:Klisz_Verbräuche[[#This Row],[2025]],"&gt;0")&gt;0,Klisz_Verbräuche[[#This Row],[2025]]*(1-$F156)^1, ""), ""),IF($B$14&gt;Klisz_Verbräuche[[#Headers],[2026]],Refsz_Verbräuche[[#This Row],[2026]],"")))</f>
        <v/>
      </c>
      <c r="S156" s="49" t="str">
        <f>IF(Klisz_Verbräuche[[#Headers],[2027]]=$B$14,IF(COUNTIF($G156:Klisz_Verbräuche[[#This Row],[2026]],"&gt;0")&gt;0, AVERAGEIF($G156:Klisz_Verbräuche[[#This Row],[2026]],"&lt;&gt;"), ""),IF($B$14&lt;Klisz_Verbräuche[[#Headers],[2027]],IF(COUNTIF($G156:Klisz_Verbräuche[[#This Row],[2026]],"&gt;0")&gt;0,IF(COUNTIF($G156:Klisz_Verbräuche[[#This Row],[2026]],"&gt;0")&gt;0,Klisz_Verbräuche[[#This Row],[2026]]*(1-$F156)^1, ""), ""),IF($B$14&gt;Klisz_Verbräuche[[#Headers],[2027]],Refsz_Verbräuche[[#This Row],[2027]],"")))</f>
        <v/>
      </c>
      <c r="T156" s="49" t="str">
        <f>IF(Klisz_Verbräuche[[#Headers],[2028]]=$B$14,IF(COUNTIF($G156:Klisz_Verbräuche[[#This Row],[2027]],"&gt;0")&gt;0, AVERAGEIF($G156:Klisz_Verbräuche[[#This Row],[2027]],"&lt;&gt;"), ""),IF($B$14&lt;Klisz_Verbräuche[[#Headers],[2028]],IF(COUNTIF($G156:Klisz_Verbräuche[[#This Row],[2027]],"&gt;0")&gt;0,IF(COUNTIF($G156:Klisz_Verbräuche[[#This Row],[2027]],"&gt;0")&gt;0,Klisz_Verbräuche[[#This Row],[2027]]*(1-$F156)^1, ""), ""),IF($B$14&gt;Klisz_Verbräuche[[#Headers],[2028]],Refsz_Verbräuche[[#This Row],[2028]],"")))</f>
        <v/>
      </c>
      <c r="U156" s="49" t="str">
        <f>IF(Klisz_Verbräuche[[#Headers],[2029]]=$B$14,IF(COUNTIF($G156:Klisz_Verbräuche[[#This Row],[2028]],"&gt;0")&gt;0, AVERAGEIF($G156:Klisz_Verbräuche[[#This Row],[2028]],"&lt;&gt;"), ""),IF($B$14&lt;Klisz_Verbräuche[[#Headers],[2029]],IF(COUNTIF($G156:Klisz_Verbräuche[[#This Row],[2028]],"&gt;0")&gt;0,IF(COUNTIF($G156:Klisz_Verbräuche[[#This Row],[2028]],"&gt;0")&gt;0,Klisz_Verbräuche[[#This Row],[2028]]*(1-$F156)^1, ""), ""),IF($B$14&gt;Klisz_Verbräuche[[#Headers],[2029]],Refsz_Verbräuche[[#This Row],[2029]],"")))</f>
        <v/>
      </c>
      <c r="V156" s="49" t="str">
        <f>IF(Klisz_Verbräuche[[#Headers],[2030]]=$B$14,IF(COUNTIF($G156:Klisz_Verbräuche[[#This Row],[2029]],"&gt;0")&gt;0, AVERAGEIF($G156:Klisz_Verbräuche[[#This Row],[2029]],"&lt;&gt;"), ""),IF($B$14&lt;Klisz_Verbräuche[[#Headers],[2030]],IF(COUNTIF($G156:Klisz_Verbräuche[[#This Row],[2029]],"&gt;0")&gt;0,IF(COUNTIF($G156:Klisz_Verbräuche[[#This Row],[2029]],"&gt;0")&gt;0,Klisz_Verbräuche[[#This Row],[2029]]*(1-$F156)^1, ""), ""),IF($B$14&gt;Klisz_Verbräuche[[#Headers],[2030]],Refsz_Verbräuche[[#This Row],[2030]],"")))</f>
        <v/>
      </c>
      <c r="W156" s="49" t="str">
        <f>IF(Klisz_Verbräuche[[#Headers],[2035]]=$B$14,IF(COUNTIF($G156:Klisz_Verbräuche[[#This Row],[2030]],"&gt;0")&gt;0, AVERAGEIF($G156:Klisz_Verbräuche[[#This Row],[2030]],"&lt;&gt;"), ""),IF($B$14&lt;Klisz_Verbräuche[[#Headers],[2035]],IF(COUNTIF($G156:Klisz_Verbräuche[[#This Row],[2030]],"&gt;0")&gt;0,IF(COUNTIF($G156:Klisz_Verbräuche[[#This Row],[2030]],"&gt;0")&gt;0,Klisz_Verbräuche[[#This Row],[2030]]*(1-$F156)^5, ""), ""),IF($B$14&gt;Klisz_Verbräuche[[#Headers],[2035]],Refsz_Verbräuche[[#This Row],[2035]],"")))</f>
        <v/>
      </c>
      <c r="X156" s="49" t="str">
        <f>IF(Klisz_Verbräuche[[#Headers],[2040]]=$B$14,IF(COUNTIF($G156:Klisz_Verbräuche[[#This Row],[2035]],"&gt;0")&gt;0, AVERAGEIF($G156:Klisz_Verbräuche[[#This Row],[2035]],"&lt;&gt;"), ""),IF($B$14&lt;Klisz_Verbräuche[[#Headers],[2040]],IF(COUNTIF($G156:Klisz_Verbräuche[[#This Row],[2035]],"&gt;0")&gt;0,IF(COUNTIF($G156:Klisz_Verbräuche[[#This Row],[2035]],"&gt;0")&gt;0,Klisz_Verbräuche[[#This Row],[2035]]*(1-$F156)^5, ""), ""),IF($B$14&gt;Klisz_Verbräuche[[#Headers],[2040]],Refsz_Verbräuche[[#This Row],[2040]],"")))</f>
        <v/>
      </c>
      <c r="Y156" s="49" t="str">
        <f>IF(Klisz_Verbräuche[[#Headers],[2045]]=$B$14,IF(COUNTIF($G156:Klisz_Verbräuche[[#This Row],[2040]],"&gt;0")&gt;0, AVERAGEIF($G156:Klisz_Verbräuche[[#This Row],[2040]],"&lt;&gt;"), ""),IF($B$14&lt;Klisz_Verbräuche[[#Headers],[2045]],IF(COUNTIF($G156:Klisz_Verbräuche[[#This Row],[2040]],"&gt;0")&gt;0,IF(COUNTIF($G156:Klisz_Verbräuche[[#This Row],[2040]],"&gt;0")&gt;0,Klisz_Verbräuche[[#This Row],[2040]]*(1-$F156)^5, ""), ""),IF($B$14&gt;Klisz_Verbräuche[[#Headers],[2045]],Refsz_Verbräuche[[#This Row],[2045]],"")))</f>
        <v/>
      </c>
      <c r="Z156" s="49" t="str">
        <f>IF(Klisz_Verbräuche[[#Headers],[2050]]=$B$14,IF(COUNTIF($G156:Klisz_Verbräuche[[#This Row],[2045]],"&gt;0")&gt;0, AVERAGEIF($G156:Klisz_Verbräuche[[#This Row],[2045]],"&lt;&gt;"), ""),IF($B$14&lt;Klisz_Verbräuche[[#Headers],[2050]],IF(COUNTIF($G156:Klisz_Verbräuche[[#This Row],[2045]],"&gt;0")&gt;0,IF(COUNTIF($G156:Klisz_Verbräuche[[#This Row],[2045]],"&gt;0")&gt;0,Klisz_Verbräuche[[#This Row],[2045]]*(1-$F156)^5, ""), ""),IF($B$14&gt;Klisz_Verbräuche[[#Headers],[2050]],Refsz_Verbräuche[[#This Row],[2050]],"")))</f>
        <v/>
      </c>
      <c r="AA156" s="14"/>
    </row>
    <row r="157" spans="2:27">
      <c r="B157" s="14">
        <v>140</v>
      </c>
      <c r="C157" s="197" t="str">
        <f>Refsz_Verbräuche[[#This Row],[Handlungsfeld]]</f>
        <v>Baugüter</v>
      </c>
      <c r="D157" s="19" t="str">
        <f>Refsz_Verbräuche[[#This Row],[Datenpunkt]]</f>
        <v>Stahlbeton Fertigteil Decke (20cm Dicke)</v>
      </c>
      <c r="E157" s="26" t="str">
        <f>Refsz_Verbräuche[[#This Row],[Einheit]]</f>
        <v>m²</v>
      </c>
      <c r="F157" s="108"/>
      <c r="G157" s="14" t="str">
        <f>IF(ISBLANK(Refsz_Verbräuche[[#This Row],[2015]]),"",Refsz_Verbräuche[[#This Row],[2015]])</f>
        <v/>
      </c>
      <c r="H157" s="14" t="str">
        <f>IF(ISBLANK(Refsz_Verbräuche[[#This Row],[2016]]),"",Refsz_Verbräuche[[#This Row],[2016]])</f>
        <v/>
      </c>
      <c r="I157" s="14" t="str">
        <f>IF(ISBLANK(Refsz_Verbräuche[[#This Row],[2017]]),"",Refsz_Verbräuche[[#This Row],[2017]])</f>
        <v/>
      </c>
      <c r="J157" s="14" t="str">
        <f>IF(ISBLANK(Refsz_Verbräuche[[#This Row],[2018]]),"",Refsz_Verbräuche[[#This Row],[2018]])</f>
        <v/>
      </c>
      <c r="K157" s="14" t="str">
        <f>IF(ISBLANK(Refsz_Verbräuche[[#This Row],[2019]]),"",Refsz_Verbräuche[[#This Row],[2019]])</f>
        <v/>
      </c>
      <c r="L157" s="14" t="str">
        <f>IF(ISBLANK(Refsz_Verbräuche[[#This Row],[2020]]),"",Refsz_Verbräuche[[#This Row],[2020]])</f>
        <v/>
      </c>
      <c r="M157" s="14" t="str">
        <f>IF(ISBLANK(Refsz_Verbräuche[[#This Row],[2021]]),"",Refsz_Verbräuche[[#This Row],[2021]])</f>
        <v/>
      </c>
      <c r="N157" s="49" t="str">
        <f>IF(Klisz_Verbräuche[[#Headers],[2022]]=$B$14,IF(COUNTIF($G157:Klisz_Verbräuche[[#This Row],[2021]],"&gt;0")&gt;0, AVERAGEIF($G157:Klisz_Verbräuche[[#This Row],[2021]],"&lt;&gt;"), ""),IF($B$14&lt;Klisz_Verbräuche[[#Headers],[2022]],IF(COUNTIF($G157:Klisz_Verbräuche[[#This Row],[2021]],"&gt;0")&gt;0,IF(COUNTIF($G157:Klisz_Verbräuche[[#This Row],[2021]],"&gt;0")&gt;0,Klisz_Verbräuche[[#This Row],[2021]]*(1-$F157)^1, ""), ""),IF($B$14&gt;Klisz_Verbräuche[[#Headers],[2022]],Refsz_Verbräuche[[#This Row],[2022]],"")))</f>
        <v/>
      </c>
      <c r="O157" s="49" t="str">
        <f>IF(Klisz_Verbräuche[[#Headers],[2023]]=$B$14,IF(COUNTIF($G157:Klisz_Verbräuche[[#This Row],[2022]],"&gt;0")&gt;0, AVERAGEIF($G157:Klisz_Verbräuche[[#This Row],[2022]],"&lt;&gt;"), ""),IF($B$14&lt;Klisz_Verbräuche[[#Headers],[2023]],IF(COUNTIF($G157:Klisz_Verbräuche[[#This Row],[2022]],"&gt;0")&gt;0,IF(COUNTIF($G157:Klisz_Verbräuche[[#This Row],[2022]],"&gt;0")&gt;0,Klisz_Verbräuche[[#This Row],[2022]]*(1-$F157)^1, ""), ""),IF($B$14&gt;Klisz_Verbräuche[[#Headers],[2023]],Refsz_Verbräuche[[#This Row],[2023]],"")))</f>
        <v/>
      </c>
      <c r="P157" s="49" t="str">
        <f>IF(Klisz_Verbräuche[[#Headers],[2024]]=$B$14,IF(COUNTIF($G157:Klisz_Verbräuche[[#This Row],[2023]],"&gt;0")&gt;0, AVERAGEIF($G157:Klisz_Verbräuche[[#This Row],[2023]],"&lt;&gt;"), ""),IF($B$14&lt;Klisz_Verbräuche[[#Headers],[2024]],IF(COUNTIF($G157:Klisz_Verbräuche[[#This Row],[2023]],"&gt;0")&gt;0,IF(COUNTIF($G157:Klisz_Verbräuche[[#This Row],[2023]],"&gt;0")&gt;0,Klisz_Verbräuche[[#This Row],[2023]]*(1-$F157)^1, ""), ""),IF($B$14&gt;Klisz_Verbräuche[[#Headers],[2024]],Refsz_Verbräuche[[#This Row],[2024]],"")))</f>
        <v/>
      </c>
      <c r="Q157" s="49" t="str">
        <f>IF(Klisz_Verbräuche[[#Headers],[2025]]=$B$14,IF(COUNTIF($G157:Klisz_Verbräuche[[#This Row],[2024]],"&gt;0")&gt;0, AVERAGEIF($G157:Klisz_Verbräuche[[#This Row],[2024]],"&lt;&gt;"), ""),IF($B$14&lt;Klisz_Verbräuche[[#Headers],[2025]],IF(COUNTIF($G157:Klisz_Verbräuche[[#This Row],[2024]],"&gt;0")&gt;0,IF(COUNTIF($G157:Klisz_Verbräuche[[#This Row],[2024]],"&gt;0")&gt;0,Klisz_Verbräuche[[#This Row],[2024]]*(1-$F157)^1, ""), ""),IF($B$14&gt;Klisz_Verbräuche[[#Headers],[2025]],Refsz_Verbräuche[[#This Row],[2025]],"")))</f>
        <v/>
      </c>
      <c r="R157" s="49" t="str">
        <f>IF(Klisz_Verbräuche[[#Headers],[2026]]=$B$14,IF(COUNTIF($G157:Klisz_Verbräuche[[#This Row],[2025]],"&gt;0")&gt;0, AVERAGEIF($G157:Klisz_Verbräuche[[#This Row],[2025]],"&lt;&gt;"), ""),IF($B$14&lt;Klisz_Verbräuche[[#Headers],[2026]],IF(COUNTIF($G157:Klisz_Verbräuche[[#This Row],[2025]],"&gt;0")&gt;0,IF(COUNTIF($G157:Klisz_Verbräuche[[#This Row],[2025]],"&gt;0")&gt;0,Klisz_Verbräuche[[#This Row],[2025]]*(1-$F157)^1, ""), ""),IF($B$14&gt;Klisz_Verbräuche[[#Headers],[2026]],Refsz_Verbräuche[[#This Row],[2026]],"")))</f>
        <v/>
      </c>
      <c r="S157" s="49" t="str">
        <f>IF(Klisz_Verbräuche[[#Headers],[2027]]=$B$14,IF(COUNTIF($G157:Klisz_Verbräuche[[#This Row],[2026]],"&gt;0")&gt;0, AVERAGEIF($G157:Klisz_Verbräuche[[#This Row],[2026]],"&lt;&gt;"), ""),IF($B$14&lt;Klisz_Verbräuche[[#Headers],[2027]],IF(COUNTIF($G157:Klisz_Verbräuche[[#This Row],[2026]],"&gt;0")&gt;0,IF(COUNTIF($G157:Klisz_Verbräuche[[#This Row],[2026]],"&gt;0")&gt;0,Klisz_Verbräuche[[#This Row],[2026]]*(1-$F157)^1, ""), ""),IF($B$14&gt;Klisz_Verbräuche[[#Headers],[2027]],Refsz_Verbräuche[[#This Row],[2027]],"")))</f>
        <v/>
      </c>
      <c r="T157" s="49" t="str">
        <f>IF(Klisz_Verbräuche[[#Headers],[2028]]=$B$14,IF(COUNTIF($G157:Klisz_Verbräuche[[#This Row],[2027]],"&gt;0")&gt;0, AVERAGEIF($G157:Klisz_Verbräuche[[#This Row],[2027]],"&lt;&gt;"), ""),IF($B$14&lt;Klisz_Verbräuche[[#Headers],[2028]],IF(COUNTIF($G157:Klisz_Verbräuche[[#This Row],[2027]],"&gt;0")&gt;0,IF(COUNTIF($G157:Klisz_Verbräuche[[#This Row],[2027]],"&gt;0")&gt;0,Klisz_Verbräuche[[#This Row],[2027]]*(1-$F157)^1, ""), ""),IF($B$14&gt;Klisz_Verbräuche[[#Headers],[2028]],Refsz_Verbräuche[[#This Row],[2028]],"")))</f>
        <v/>
      </c>
      <c r="U157" s="49" t="str">
        <f>IF(Klisz_Verbräuche[[#Headers],[2029]]=$B$14,IF(COUNTIF($G157:Klisz_Verbräuche[[#This Row],[2028]],"&gt;0")&gt;0, AVERAGEIF($G157:Klisz_Verbräuche[[#This Row],[2028]],"&lt;&gt;"), ""),IF($B$14&lt;Klisz_Verbräuche[[#Headers],[2029]],IF(COUNTIF($G157:Klisz_Verbräuche[[#This Row],[2028]],"&gt;0")&gt;0,IF(COUNTIF($G157:Klisz_Verbräuche[[#This Row],[2028]],"&gt;0")&gt;0,Klisz_Verbräuche[[#This Row],[2028]]*(1-$F157)^1, ""), ""),IF($B$14&gt;Klisz_Verbräuche[[#Headers],[2029]],Refsz_Verbräuche[[#This Row],[2029]],"")))</f>
        <v/>
      </c>
      <c r="V157" s="49" t="str">
        <f>IF(Klisz_Verbräuche[[#Headers],[2030]]=$B$14,IF(COUNTIF($G157:Klisz_Verbräuche[[#This Row],[2029]],"&gt;0")&gt;0, AVERAGEIF($G157:Klisz_Verbräuche[[#This Row],[2029]],"&lt;&gt;"), ""),IF($B$14&lt;Klisz_Verbräuche[[#Headers],[2030]],IF(COUNTIF($G157:Klisz_Verbräuche[[#This Row],[2029]],"&gt;0")&gt;0,IF(COUNTIF($G157:Klisz_Verbräuche[[#This Row],[2029]],"&gt;0")&gt;0,Klisz_Verbräuche[[#This Row],[2029]]*(1-$F157)^1, ""), ""),IF($B$14&gt;Klisz_Verbräuche[[#Headers],[2030]],Refsz_Verbräuche[[#This Row],[2030]],"")))</f>
        <v/>
      </c>
      <c r="W157" s="49" t="str">
        <f>IF(Klisz_Verbräuche[[#Headers],[2035]]=$B$14,IF(COUNTIF($G157:Klisz_Verbräuche[[#This Row],[2030]],"&gt;0")&gt;0, AVERAGEIF($G157:Klisz_Verbräuche[[#This Row],[2030]],"&lt;&gt;"), ""),IF($B$14&lt;Klisz_Verbräuche[[#Headers],[2035]],IF(COUNTIF($G157:Klisz_Verbräuche[[#This Row],[2030]],"&gt;0")&gt;0,IF(COUNTIF($G157:Klisz_Verbräuche[[#This Row],[2030]],"&gt;0")&gt;0,Klisz_Verbräuche[[#This Row],[2030]]*(1-$F157)^5, ""), ""),IF($B$14&gt;Klisz_Verbräuche[[#Headers],[2035]],Refsz_Verbräuche[[#This Row],[2035]],"")))</f>
        <v/>
      </c>
      <c r="X157" s="49" t="str">
        <f>IF(Klisz_Verbräuche[[#Headers],[2040]]=$B$14,IF(COUNTIF($G157:Klisz_Verbräuche[[#This Row],[2035]],"&gt;0")&gt;0, AVERAGEIF($G157:Klisz_Verbräuche[[#This Row],[2035]],"&lt;&gt;"), ""),IF($B$14&lt;Klisz_Verbräuche[[#Headers],[2040]],IF(COUNTIF($G157:Klisz_Verbräuche[[#This Row],[2035]],"&gt;0")&gt;0,IF(COUNTIF($G157:Klisz_Verbräuche[[#This Row],[2035]],"&gt;0")&gt;0,Klisz_Verbräuche[[#This Row],[2035]]*(1-$F157)^5, ""), ""),IF($B$14&gt;Klisz_Verbräuche[[#Headers],[2040]],Refsz_Verbräuche[[#This Row],[2040]],"")))</f>
        <v/>
      </c>
      <c r="Y157" s="49" t="str">
        <f>IF(Klisz_Verbräuche[[#Headers],[2045]]=$B$14,IF(COUNTIF($G157:Klisz_Verbräuche[[#This Row],[2040]],"&gt;0")&gt;0, AVERAGEIF($G157:Klisz_Verbräuche[[#This Row],[2040]],"&lt;&gt;"), ""),IF($B$14&lt;Klisz_Verbräuche[[#Headers],[2045]],IF(COUNTIF($G157:Klisz_Verbräuche[[#This Row],[2040]],"&gt;0")&gt;0,IF(COUNTIF($G157:Klisz_Verbräuche[[#This Row],[2040]],"&gt;0")&gt;0,Klisz_Verbräuche[[#This Row],[2040]]*(1-$F157)^5, ""), ""),IF($B$14&gt;Klisz_Verbräuche[[#Headers],[2045]],Refsz_Verbräuche[[#This Row],[2045]],"")))</f>
        <v/>
      </c>
      <c r="Z157" s="49" t="str">
        <f>IF(Klisz_Verbräuche[[#Headers],[2050]]=$B$14,IF(COUNTIF($G157:Klisz_Verbräuche[[#This Row],[2045]],"&gt;0")&gt;0, AVERAGEIF($G157:Klisz_Verbräuche[[#This Row],[2045]],"&lt;&gt;"), ""),IF($B$14&lt;Klisz_Verbräuche[[#Headers],[2050]],IF(COUNTIF($G157:Klisz_Verbräuche[[#This Row],[2045]],"&gt;0")&gt;0,IF(COUNTIF($G157:Klisz_Verbräuche[[#This Row],[2045]],"&gt;0")&gt;0,Klisz_Verbräuche[[#This Row],[2045]]*(1-$F157)^5, ""), ""),IF($B$14&gt;Klisz_Verbräuche[[#Headers],[2050]],Refsz_Verbräuche[[#This Row],[2050]],"")))</f>
        <v/>
      </c>
      <c r="AA157" s="14"/>
    </row>
    <row r="158" spans="2:27">
      <c r="B158" s="14">
        <v>141</v>
      </c>
      <c r="C158" s="197" t="str">
        <f>Refsz_Verbräuche[[#This Row],[Handlungsfeld]]</f>
        <v>Baugüter</v>
      </c>
      <c r="D158" s="19" t="str">
        <f>Refsz_Verbräuche[[#This Row],[Datenpunkt]]</f>
        <v>Stahlbeton Fertigteil Wand (12cm Dicke)</v>
      </c>
      <c r="E158" s="26" t="str">
        <f>Refsz_Verbräuche[[#This Row],[Einheit]]</f>
        <v>m²</v>
      </c>
      <c r="F158" s="108"/>
      <c r="G158" s="14" t="str">
        <f>IF(ISBLANK(Refsz_Verbräuche[[#This Row],[2015]]),"",Refsz_Verbräuche[[#This Row],[2015]])</f>
        <v/>
      </c>
      <c r="H158" s="14" t="str">
        <f>IF(ISBLANK(Refsz_Verbräuche[[#This Row],[2016]]),"",Refsz_Verbräuche[[#This Row],[2016]])</f>
        <v/>
      </c>
      <c r="I158" s="14" t="str">
        <f>IF(ISBLANK(Refsz_Verbräuche[[#This Row],[2017]]),"",Refsz_Verbräuche[[#This Row],[2017]])</f>
        <v/>
      </c>
      <c r="J158" s="14" t="str">
        <f>IF(ISBLANK(Refsz_Verbräuche[[#This Row],[2018]]),"",Refsz_Verbräuche[[#This Row],[2018]])</f>
        <v/>
      </c>
      <c r="K158" s="14" t="str">
        <f>IF(ISBLANK(Refsz_Verbräuche[[#This Row],[2019]]),"",Refsz_Verbräuche[[#This Row],[2019]])</f>
        <v/>
      </c>
      <c r="L158" s="14" t="str">
        <f>IF(ISBLANK(Refsz_Verbräuche[[#This Row],[2020]]),"",Refsz_Verbräuche[[#This Row],[2020]])</f>
        <v/>
      </c>
      <c r="M158" s="14" t="str">
        <f>IF(ISBLANK(Refsz_Verbräuche[[#This Row],[2021]]),"",Refsz_Verbräuche[[#This Row],[2021]])</f>
        <v/>
      </c>
      <c r="N158" s="49" t="str">
        <f>IF(Klisz_Verbräuche[[#Headers],[2022]]=$B$14,IF(COUNTIF($G158:Klisz_Verbräuche[[#This Row],[2021]],"&gt;0")&gt;0, AVERAGEIF($G158:Klisz_Verbräuche[[#This Row],[2021]],"&lt;&gt;"), ""),IF($B$14&lt;Klisz_Verbräuche[[#Headers],[2022]],IF(COUNTIF($G158:Klisz_Verbräuche[[#This Row],[2021]],"&gt;0")&gt;0,IF(COUNTIF($G158:Klisz_Verbräuche[[#This Row],[2021]],"&gt;0")&gt;0,Klisz_Verbräuche[[#This Row],[2021]]*(1-$F158)^1, ""), ""),IF($B$14&gt;Klisz_Verbräuche[[#Headers],[2022]],Refsz_Verbräuche[[#This Row],[2022]],"")))</f>
        <v/>
      </c>
      <c r="O158" s="49" t="str">
        <f>IF(Klisz_Verbräuche[[#Headers],[2023]]=$B$14,IF(COUNTIF($G158:Klisz_Verbräuche[[#This Row],[2022]],"&gt;0")&gt;0, AVERAGEIF($G158:Klisz_Verbräuche[[#This Row],[2022]],"&lt;&gt;"), ""),IF($B$14&lt;Klisz_Verbräuche[[#Headers],[2023]],IF(COUNTIF($G158:Klisz_Verbräuche[[#This Row],[2022]],"&gt;0")&gt;0,IF(COUNTIF($G158:Klisz_Verbräuche[[#This Row],[2022]],"&gt;0")&gt;0,Klisz_Verbräuche[[#This Row],[2022]]*(1-$F158)^1, ""), ""),IF($B$14&gt;Klisz_Verbräuche[[#Headers],[2023]],Refsz_Verbräuche[[#This Row],[2023]],"")))</f>
        <v/>
      </c>
      <c r="P158" s="49" t="str">
        <f>IF(Klisz_Verbräuche[[#Headers],[2024]]=$B$14,IF(COUNTIF($G158:Klisz_Verbräuche[[#This Row],[2023]],"&gt;0")&gt;0, AVERAGEIF($G158:Klisz_Verbräuche[[#This Row],[2023]],"&lt;&gt;"), ""),IF($B$14&lt;Klisz_Verbräuche[[#Headers],[2024]],IF(COUNTIF($G158:Klisz_Verbräuche[[#This Row],[2023]],"&gt;0")&gt;0,IF(COUNTIF($G158:Klisz_Verbräuche[[#This Row],[2023]],"&gt;0")&gt;0,Klisz_Verbräuche[[#This Row],[2023]]*(1-$F158)^1, ""), ""),IF($B$14&gt;Klisz_Verbräuche[[#Headers],[2024]],Refsz_Verbräuche[[#This Row],[2024]],"")))</f>
        <v/>
      </c>
      <c r="Q158" s="49" t="str">
        <f>IF(Klisz_Verbräuche[[#Headers],[2025]]=$B$14,IF(COUNTIF($G158:Klisz_Verbräuche[[#This Row],[2024]],"&gt;0")&gt;0, AVERAGEIF($G158:Klisz_Verbräuche[[#This Row],[2024]],"&lt;&gt;"), ""),IF($B$14&lt;Klisz_Verbräuche[[#Headers],[2025]],IF(COUNTIF($G158:Klisz_Verbräuche[[#This Row],[2024]],"&gt;0")&gt;0,IF(COUNTIF($G158:Klisz_Verbräuche[[#This Row],[2024]],"&gt;0")&gt;0,Klisz_Verbräuche[[#This Row],[2024]]*(1-$F158)^1, ""), ""),IF($B$14&gt;Klisz_Verbräuche[[#Headers],[2025]],Refsz_Verbräuche[[#This Row],[2025]],"")))</f>
        <v/>
      </c>
      <c r="R158" s="49" t="str">
        <f>IF(Klisz_Verbräuche[[#Headers],[2026]]=$B$14,IF(COUNTIF($G158:Klisz_Verbräuche[[#This Row],[2025]],"&gt;0")&gt;0, AVERAGEIF($G158:Klisz_Verbräuche[[#This Row],[2025]],"&lt;&gt;"), ""),IF($B$14&lt;Klisz_Verbräuche[[#Headers],[2026]],IF(COUNTIF($G158:Klisz_Verbräuche[[#This Row],[2025]],"&gt;0")&gt;0,IF(COUNTIF($G158:Klisz_Verbräuche[[#This Row],[2025]],"&gt;0")&gt;0,Klisz_Verbräuche[[#This Row],[2025]]*(1-$F158)^1, ""), ""),IF($B$14&gt;Klisz_Verbräuche[[#Headers],[2026]],Refsz_Verbräuche[[#This Row],[2026]],"")))</f>
        <v/>
      </c>
      <c r="S158" s="49" t="str">
        <f>IF(Klisz_Verbräuche[[#Headers],[2027]]=$B$14,IF(COUNTIF($G158:Klisz_Verbräuche[[#This Row],[2026]],"&gt;0")&gt;0, AVERAGEIF($G158:Klisz_Verbräuche[[#This Row],[2026]],"&lt;&gt;"), ""),IF($B$14&lt;Klisz_Verbräuche[[#Headers],[2027]],IF(COUNTIF($G158:Klisz_Verbräuche[[#This Row],[2026]],"&gt;0")&gt;0,IF(COUNTIF($G158:Klisz_Verbräuche[[#This Row],[2026]],"&gt;0")&gt;0,Klisz_Verbräuche[[#This Row],[2026]]*(1-$F158)^1, ""), ""),IF($B$14&gt;Klisz_Verbräuche[[#Headers],[2027]],Refsz_Verbräuche[[#This Row],[2027]],"")))</f>
        <v/>
      </c>
      <c r="T158" s="49" t="str">
        <f>IF(Klisz_Verbräuche[[#Headers],[2028]]=$B$14,IF(COUNTIF($G158:Klisz_Verbräuche[[#This Row],[2027]],"&gt;0")&gt;0, AVERAGEIF($G158:Klisz_Verbräuche[[#This Row],[2027]],"&lt;&gt;"), ""),IF($B$14&lt;Klisz_Verbräuche[[#Headers],[2028]],IF(COUNTIF($G158:Klisz_Verbräuche[[#This Row],[2027]],"&gt;0")&gt;0,IF(COUNTIF($G158:Klisz_Verbräuche[[#This Row],[2027]],"&gt;0")&gt;0,Klisz_Verbräuche[[#This Row],[2027]]*(1-$F158)^1, ""), ""),IF($B$14&gt;Klisz_Verbräuche[[#Headers],[2028]],Refsz_Verbräuche[[#This Row],[2028]],"")))</f>
        <v/>
      </c>
      <c r="U158" s="49" t="str">
        <f>IF(Klisz_Verbräuche[[#Headers],[2029]]=$B$14,IF(COUNTIF($G158:Klisz_Verbräuche[[#This Row],[2028]],"&gt;0")&gt;0, AVERAGEIF($G158:Klisz_Verbräuche[[#This Row],[2028]],"&lt;&gt;"), ""),IF($B$14&lt;Klisz_Verbräuche[[#Headers],[2029]],IF(COUNTIF($G158:Klisz_Verbräuche[[#This Row],[2028]],"&gt;0")&gt;0,IF(COUNTIF($G158:Klisz_Verbräuche[[#This Row],[2028]],"&gt;0")&gt;0,Klisz_Verbräuche[[#This Row],[2028]]*(1-$F158)^1, ""), ""),IF($B$14&gt;Klisz_Verbräuche[[#Headers],[2029]],Refsz_Verbräuche[[#This Row],[2029]],"")))</f>
        <v/>
      </c>
      <c r="V158" s="49" t="str">
        <f>IF(Klisz_Verbräuche[[#Headers],[2030]]=$B$14,IF(COUNTIF($G158:Klisz_Verbräuche[[#This Row],[2029]],"&gt;0")&gt;0, AVERAGEIF($G158:Klisz_Verbräuche[[#This Row],[2029]],"&lt;&gt;"), ""),IF($B$14&lt;Klisz_Verbräuche[[#Headers],[2030]],IF(COUNTIF($G158:Klisz_Verbräuche[[#This Row],[2029]],"&gt;0")&gt;0,IF(COUNTIF($G158:Klisz_Verbräuche[[#This Row],[2029]],"&gt;0")&gt;0,Klisz_Verbräuche[[#This Row],[2029]]*(1-$F158)^1, ""), ""),IF($B$14&gt;Klisz_Verbräuche[[#Headers],[2030]],Refsz_Verbräuche[[#This Row],[2030]],"")))</f>
        <v/>
      </c>
      <c r="W158" s="49" t="str">
        <f>IF(Klisz_Verbräuche[[#Headers],[2035]]=$B$14,IF(COUNTIF($G158:Klisz_Verbräuche[[#This Row],[2030]],"&gt;0")&gt;0, AVERAGEIF($G158:Klisz_Verbräuche[[#This Row],[2030]],"&lt;&gt;"), ""),IF($B$14&lt;Klisz_Verbräuche[[#Headers],[2035]],IF(COUNTIF($G158:Klisz_Verbräuche[[#This Row],[2030]],"&gt;0")&gt;0,IF(COUNTIF($G158:Klisz_Verbräuche[[#This Row],[2030]],"&gt;0")&gt;0,Klisz_Verbräuche[[#This Row],[2030]]*(1-$F158)^5, ""), ""),IF($B$14&gt;Klisz_Verbräuche[[#Headers],[2035]],Refsz_Verbräuche[[#This Row],[2035]],"")))</f>
        <v/>
      </c>
      <c r="X158" s="49" t="str">
        <f>IF(Klisz_Verbräuche[[#Headers],[2040]]=$B$14,IF(COUNTIF($G158:Klisz_Verbräuche[[#This Row],[2035]],"&gt;0")&gt;0, AVERAGEIF($G158:Klisz_Verbräuche[[#This Row],[2035]],"&lt;&gt;"), ""),IF($B$14&lt;Klisz_Verbräuche[[#Headers],[2040]],IF(COUNTIF($G158:Klisz_Verbräuche[[#This Row],[2035]],"&gt;0")&gt;0,IF(COUNTIF($G158:Klisz_Verbräuche[[#This Row],[2035]],"&gt;0")&gt;0,Klisz_Verbräuche[[#This Row],[2035]]*(1-$F158)^5, ""), ""),IF($B$14&gt;Klisz_Verbräuche[[#Headers],[2040]],Refsz_Verbräuche[[#This Row],[2040]],"")))</f>
        <v/>
      </c>
      <c r="Y158" s="49" t="str">
        <f>IF(Klisz_Verbräuche[[#Headers],[2045]]=$B$14,IF(COUNTIF($G158:Klisz_Verbräuche[[#This Row],[2040]],"&gt;0")&gt;0, AVERAGEIF($G158:Klisz_Verbräuche[[#This Row],[2040]],"&lt;&gt;"), ""),IF($B$14&lt;Klisz_Verbräuche[[#Headers],[2045]],IF(COUNTIF($G158:Klisz_Verbräuche[[#This Row],[2040]],"&gt;0")&gt;0,IF(COUNTIF($G158:Klisz_Verbräuche[[#This Row],[2040]],"&gt;0")&gt;0,Klisz_Verbräuche[[#This Row],[2040]]*(1-$F158)^5, ""), ""),IF($B$14&gt;Klisz_Verbräuche[[#Headers],[2045]],Refsz_Verbräuche[[#This Row],[2045]],"")))</f>
        <v/>
      </c>
      <c r="Z158" s="49" t="str">
        <f>IF(Klisz_Verbräuche[[#Headers],[2050]]=$B$14,IF(COUNTIF($G158:Klisz_Verbräuche[[#This Row],[2045]],"&gt;0")&gt;0, AVERAGEIF($G158:Klisz_Verbräuche[[#This Row],[2045]],"&lt;&gt;"), ""),IF($B$14&lt;Klisz_Verbräuche[[#Headers],[2050]],IF(COUNTIF($G158:Klisz_Verbräuche[[#This Row],[2045]],"&gt;0")&gt;0,IF(COUNTIF($G158:Klisz_Verbräuche[[#This Row],[2045]],"&gt;0")&gt;0,Klisz_Verbräuche[[#This Row],[2045]]*(1-$F158)^5, ""), ""),IF($B$14&gt;Klisz_Verbräuche[[#Headers],[2050]],Refsz_Verbräuche[[#This Row],[2050]],"")))</f>
        <v/>
      </c>
      <c r="AA158" s="14"/>
    </row>
    <row r="159" spans="2:27">
      <c r="B159" s="14">
        <v>142</v>
      </c>
      <c r="C159" s="197" t="str">
        <f>Refsz_Verbräuche[[#This Row],[Handlungsfeld]]</f>
        <v>Baugüter</v>
      </c>
      <c r="D159" s="19" t="str">
        <f>Refsz_Verbräuche[[#This Row],[Datenpunkt]]</f>
        <v xml:space="preserve">Stahlbeton Fertigteil Treppe (1,1 m Breite, 9 Stufen a 16 cm) </v>
      </c>
      <c r="E159" s="26" t="str">
        <f>Refsz_Verbräuche[[#This Row],[Einheit]]</f>
        <v>Stk</v>
      </c>
      <c r="F159" s="108"/>
      <c r="G159" s="14" t="str">
        <f>IF(ISBLANK(Refsz_Verbräuche[[#This Row],[2015]]),"",Refsz_Verbräuche[[#This Row],[2015]])</f>
        <v/>
      </c>
      <c r="H159" s="14" t="str">
        <f>IF(ISBLANK(Refsz_Verbräuche[[#This Row],[2016]]),"",Refsz_Verbräuche[[#This Row],[2016]])</f>
        <v/>
      </c>
      <c r="I159" s="14" t="str">
        <f>IF(ISBLANK(Refsz_Verbräuche[[#This Row],[2017]]),"",Refsz_Verbräuche[[#This Row],[2017]])</f>
        <v/>
      </c>
      <c r="J159" s="14" t="str">
        <f>IF(ISBLANK(Refsz_Verbräuche[[#This Row],[2018]]),"",Refsz_Verbräuche[[#This Row],[2018]])</f>
        <v/>
      </c>
      <c r="K159" s="14" t="str">
        <f>IF(ISBLANK(Refsz_Verbräuche[[#This Row],[2019]]),"",Refsz_Verbräuche[[#This Row],[2019]])</f>
        <v/>
      </c>
      <c r="L159" s="14" t="str">
        <f>IF(ISBLANK(Refsz_Verbräuche[[#This Row],[2020]]),"",Refsz_Verbräuche[[#This Row],[2020]])</f>
        <v/>
      </c>
      <c r="M159" s="14" t="str">
        <f>IF(ISBLANK(Refsz_Verbräuche[[#This Row],[2021]]),"",Refsz_Verbräuche[[#This Row],[2021]])</f>
        <v/>
      </c>
      <c r="N159" s="49" t="str">
        <f>IF(Klisz_Verbräuche[[#Headers],[2022]]=$B$14,IF(COUNTIF($G159:Klisz_Verbräuche[[#This Row],[2021]],"&gt;0")&gt;0, AVERAGEIF($G159:Klisz_Verbräuche[[#This Row],[2021]],"&lt;&gt;"), ""),IF($B$14&lt;Klisz_Verbräuche[[#Headers],[2022]],IF(COUNTIF($G159:Klisz_Verbräuche[[#This Row],[2021]],"&gt;0")&gt;0,IF(COUNTIF($G159:Klisz_Verbräuche[[#This Row],[2021]],"&gt;0")&gt;0,Klisz_Verbräuche[[#This Row],[2021]]*(1-$F159)^1, ""), ""),IF($B$14&gt;Klisz_Verbräuche[[#Headers],[2022]],Refsz_Verbräuche[[#This Row],[2022]],"")))</f>
        <v/>
      </c>
      <c r="O159" s="49" t="str">
        <f>IF(Klisz_Verbräuche[[#Headers],[2023]]=$B$14,IF(COUNTIF($G159:Klisz_Verbräuche[[#This Row],[2022]],"&gt;0")&gt;0, AVERAGEIF($G159:Klisz_Verbräuche[[#This Row],[2022]],"&lt;&gt;"), ""),IF($B$14&lt;Klisz_Verbräuche[[#Headers],[2023]],IF(COUNTIF($G159:Klisz_Verbräuche[[#This Row],[2022]],"&gt;0")&gt;0,IF(COUNTIF($G159:Klisz_Verbräuche[[#This Row],[2022]],"&gt;0")&gt;0,Klisz_Verbräuche[[#This Row],[2022]]*(1-$F159)^1, ""), ""),IF($B$14&gt;Klisz_Verbräuche[[#Headers],[2023]],Refsz_Verbräuche[[#This Row],[2023]],"")))</f>
        <v/>
      </c>
      <c r="P159" s="49" t="str">
        <f>IF(Klisz_Verbräuche[[#Headers],[2024]]=$B$14,IF(COUNTIF($G159:Klisz_Verbräuche[[#This Row],[2023]],"&gt;0")&gt;0, AVERAGEIF($G159:Klisz_Verbräuche[[#This Row],[2023]],"&lt;&gt;"), ""),IF($B$14&lt;Klisz_Verbräuche[[#Headers],[2024]],IF(COUNTIF($G159:Klisz_Verbräuche[[#This Row],[2023]],"&gt;0")&gt;0,IF(COUNTIF($G159:Klisz_Verbräuche[[#This Row],[2023]],"&gt;0")&gt;0,Klisz_Verbräuche[[#This Row],[2023]]*(1-$F159)^1, ""), ""),IF($B$14&gt;Klisz_Verbräuche[[#Headers],[2024]],Refsz_Verbräuche[[#This Row],[2024]],"")))</f>
        <v/>
      </c>
      <c r="Q159" s="49" t="str">
        <f>IF(Klisz_Verbräuche[[#Headers],[2025]]=$B$14,IF(COUNTIF($G159:Klisz_Verbräuche[[#This Row],[2024]],"&gt;0")&gt;0, AVERAGEIF($G159:Klisz_Verbräuche[[#This Row],[2024]],"&lt;&gt;"), ""),IF($B$14&lt;Klisz_Verbräuche[[#Headers],[2025]],IF(COUNTIF($G159:Klisz_Verbräuche[[#This Row],[2024]],"&gt;0")&gt;0,IF(COUNTIF($G159:Klisz_Verbräuche[[#This Row],[2024]],"&gt;0")&gt;0,Klisz_Verbräuche[[#This Row],[2024]]*(1-$F159)^1, ""), ""),IF($B$14&gt;Klisz_Verbräuche[[#Headers],[2025]],Refsz_Verbräuche[[#This Row],[2025]],"")))</f>
        <v/>
      </c>
      <c r="R159" s="49" t="str">
        <f>IF(Klisz_Verbräuche[[#Headers],[2026]]=$B$14,IF(COUNTIF($G159:Klisz_Verbräuche[[#This Row],[2025]],"&gt;0")&gt;0, AVERAGEIF($G159:Klisz_Verbräuche[[#This Row],[2025]],"&lt;&gt;"), ""),IF($B$14&lt;Klisz_Verbräuche[[#Headers],[2026]],IF(COUNTIF($G159:Klisz_Verbräuche[[#This Row],[2025]],"&gt;0")&gt;0,IF(COUNTIF($G159:Klisz_Verbräuche[[#This Row],[2025]],"&gt;0")&gt;0,Klisz_Verbräuche[[#This Row],[2025]]*(1-$F159)^1, ""), ""),IF($B$14&gt;Klisz_Verbräuche[[#Headers],[2026]],Refsz_Verbräuche[[#This Row],[2026]],"")))</f>
        <v/>
      </c>
      <c r="S159" s="49" t="str">
        <f>IF(Klisz_Verbräuche[[#Headers],[2027]]=$B$14,IF(COUNTIF($G159:Klisz_Verbräuche[[#This Row],[2026]],"&gt;0")&gt;0, AVERAGEIF($G159:Klisz_Verbräuche[[#This Row],[2026]],"&lt;&gt;"), ""),IF($B$14&lt;Klisz_Verbräuche[[#Headers],[2027]],IF(COUNTIF($G159:Klisz_Verbräuche[[#This Row],[2026]],"&gt;0")&gt;0,IF(COUNTIF($G159:Klisz_Verbräuche[[#This Row],[2026]],"&gt;0")&gt;0,Klisz_Verbräuche[[#This Row],[2026]]*(1-$F159)^1, ""), ""),IF($B$14&gt;Klisz_Verbräuche[[#Headers],[2027]],Refsz_Verbräuche[[#This Row],[2027]],"")))</f>
        <v/>
      </c>
      <c r="T159" s="49" t="str">
        <f>IF(Klisz_Verbräuche[[#Headers],[2028]]=$B$14,IF(COUNTIF($G159:Klisz_Verbräuche[[#This Row],[2027]],"&gt;0")&gt;0, AVERAGEIF($G159:Klisz_Verbräuche[[#This Row],[2027]],"&lt;&gt;"), ""),IF($B$14&lt;Klisz_Verbräuche[[#Headers],[2028]],IF(COUNTIF($G159:Klisz_Verbräuche[[#This Row],[2027]],"&gt;0")&gt;0,IF(COUNTIF($G159:Klisz_Verbräuche[[#This Row],[2027]],"&gt;0")&gt;0,Klisz_Verbräuche[[#This Row],[2027]]*(1-$F159)^1, ""), ""),IF($B$14&gt;Klisz_Verbräuche[[#Headers],[2028]],Refsz_Verbräuche[[#This Row],[2028]],"")))</f>
        <v/>
      </c>
      <c r="U159" s="49" t="str">
        <f>IF(Klisz_Verbräuche[[#Headers],[2029]]=$B$14,IF(COUNTIF($G159:Klisz_Verbräuche[[#This Row],[2028]],"&gt;0")&gt;0, AVERAGEIF($G159:Klisz_Verbräuche[[#This Row],[2028]],"&lt;&gt;"), ""),IF($B$14&lt;Klisz_Verbräuche[[#Headers],[2029]],IF(COUNTIF($G159:Klisz_Verbräuche[[#This Row],[2028]],"&gt;0")&gt;0,IF(COUNTIF($G159:Klisz_Verbräuche[[#This Row],[2028]],"&gt;0")&gt;0,Klisz_Verbräuche[[#This Row],[2028]]*(1-$F159)^1, ""), ""),IF($B$14&gt;Klisz_Verbräuche[[#Headers],[2029]],Refsz_Verbräuche[[#This Row],[2029]],"")))</f>
        <v/>
      </c>
      <c r="V159" s="49" t="str">
        <f>IF(Klisz_Verbräuche[[#Headers],[2030]]=$B$14,IF(COUNTIF($G159:Klisz_Verbräuche[[#This Row],[2029]],"&gt;0")&gt;0, AVERAGEIF($G159:Klisz_Verbräuche[[#This Row],[2029]],"&lt;&gt;"), ""),IF($B$14&lt;Klisz_Verbräuche[[#Headers],[2030]],IF(COUNTIF($G159:Klisz_Verbräuche[[#This Row],[2029]],"&gt;0")&gt;0,IF(COUNTIF($G159:Klisz_Verbräuche[[#This Row],[2029]],"&gt;0")&gt;0,Klisz_Verbräuche[[#This Row],[2029]]*(1-$F159)^1, ""), ""),IF($B$14&gt;Klisz_Verbräuche[[#Headers],[2030]],Refsz_Verbräuche[[#This Row],[2030]],"")))</f>
        <v/>
      </c>
      <c r="W159" s="49" t="str">
        <f>IF(Klisz_Verbräuche[[#Headers],[2035]]=$B$14,IF(COUNTIF($G159:Klisz_Verbräuche[[#This Row],[2030]],"&gt;0")&gt;0, AVERAGEIF($G159:Klisz_Verbräuche[[#This Row],[2030]],"&lt;&gt;"), ""),IF($B$14&lt;Klisz_Verbräuche[[#Headers],[2035]],IF(COUNTIF($G159:Klisz_Verbräuche[[#This Row],[2030]],"&gt;0")&gt;0,IF(COUNTIF($G159:Klisz_Verbräuche[[#This Row],[2030]],"&gt;0")&gt;0,Klisz_Verbräuche[[#This Row],[2030]]*(1-$F159)^5, ""), ""),IF($B$14&gt;Klisz_Verbräuche[[#Headers],[2035]],Refsz_Verbräuche[[#This Row],[2035]],"")))</f>
        <v/>
      </c>
      <c r="X159" s="49" t="str">
        <f>IF(Klisz_Verbräuche[[#Headers],[2040]]=$B$14,IF(COUNTIF($G159:Klisz_Verbräuche[[#This Row],[2035]],"&gt;0")&gt;0, AVERAGEIF($G159:Klisz_Verbräuche[[#This Row],[2035]],"&lt;&gt;"), ""),IF($B$14&lt;Klisz_Verbräuche[[#Headers],[2040]],IF(COUNTIF($G159:Klisz_Verbräuche[[#This Row],[2035]],"&gt;0")&gt;0,IF(COUNTIF($G159:Klisz_Verbräuche[[#This Row],[2035]],"&gt;0")&gt;0,Klisz_Verbräuche[[#This Row],[2035]]*(1-$F159)^5, ""), ""),IF($B$14&gt;Klisz_Verbräuche[[#Headers],[2040]],Refsz_Verbräuche[[#This Row],[2040]],"")))</f>
        <v/>
      </c>
      <c r="Y159" s="49" t="str">
        <f>IF(Klisz_Verbräuche[[#Headers],[2045]]=$B$14,IF(COUNTIF($G159:Klisz_Verbräuche[[#This Row],[2040]],"&gt;0")&gt;0, AVERAGEIF($G159:Klisz_Verbräuche[[#This Row],[2040]],"&lt;&gt;"), ""),IF($B$14&lt;Klisz_Verbräuche[[#Headers],[2045]],IF(COUNTIF($G159:Klisz_Verbräuche[[#This Row],[2040]],"&gt;0")&gt;0,IF(COUNTIF($G159:Klisz_Verbräuche[[#This Row],[2040]],"&gt;0")&gt;0,Klisz_Verbräuche[[#This Row],[2040]]*(1-$F159)^5, ""), ""),IF($B$14&gt;Klisz_Verbräuche[[#Headers],[2045]],Refsz_Verbräuche[[#This Row],[2045]],"")))</f>
        <v/>
      </c>
      <c r="Z159" s="49" t="str">
        <f>IF(Klisz_Verbräuche[[#Headers],[2050]]=$B$14,IF(COUNTIF($G159:Klisz_Verbräuche[[#This Row],[2045]],"&gt;0")&gt;0, AVERAGEIF($G159:Klisz_Verbräuche[[#This Row],[2045]],"&lt;&gt;"), ""),IF($B$14&lt;Klisz_Verbräuche[[#Headers],[2050]],IF(COUNTIF($G159:Klisz_Verbräuche[[#This Row],[2045]],"&gt;0")&gt;0,IF(COUNTIF($G159:Klisz_Verbräuche[[#This Row],[2045]],"&gt;0")&gt;0,Klisz_Verbräuche[[#This Row],[2045]]*(1-$F159)^5, ""), ""),IF($B$14&gt;Klisz_Verbräuche[[#Headers],[2050]],Refsz_Verbräuche[[#This Row],[2050]],"")))</f>
        <v/>
      </c>
      <c r="AA159" s="14"/>
    </row>
    <row r="160" spans="2:27">
      <c r="B160" s="14">
        <v>143</v>
      </c>
      <c r="C160" s="197" t="str">
        <f>Refsz_Verbräuche[[#This Row],[Handlungsfeld]]</f>
        <v>Baugüter</v>
      </c>
      <c r="D160" s="19" t="str">
        <f>Refsz_Verbräuche[[#This Row],[Datenpunkt]]</f>
        <v>Mineralwolle</v>
      </c>
      <c r="E160" s="26" t="str">
        <f>Refsz_Verbräuche[[#This Row],[Einheit]]</f>
        <v>m³</v>
      </c>
      <c r="F160" s="108"/>
      <c r="G160" s="14" t="str">
        <f>IF(ISBLANK(Refsz_Verbräuche[[#This Row],[2015]]),"",Refsz_Verbräuche[[#This Row],[2015]])</f>
        <v/>
      </c>
      <c r="H160" s="14" t="str">
        <f>IF(ISBLANK(Refsz_Verbräuche[[#This Row],[2016]]),"",Refsz_Verbräuche[[#This Row],[2016]])</f>
        <v/>
      </c>
      <c r="I160" s="14" t="str">
        <f>IF(ISBLANK(Refsz_Verbräuche[[#This Row],[2017]]),"",Refsz_Verbräuche[[#This Row],[2017]])</f>
        <v/>
      </c>
      <c r="J160" s="14" t="str">
        <f>IF(ISBLANK(Refsz_Verbräuche[[#This Row],[2018]]),"",Refsz_Verbräuche[[#This Row],[2018]])</f>
        <v/>
      </c>
      <c r="K160" s="14" t="str">
        <f>IF(ISBLANK(Refsz_Verbräuche[[#This Row],[2019]]),"",Refsz_Verbräuche[[#This Row],[2019]])</f>
        <v/>
      </c>
      <c r="L160" s="14" t="str">
        <f>IF(ISBLANK(Refsz_Verbräuche[[#This Row],[2020]]),"",Refsz_Verbräuche[[#This Row],[2020]])</f>
        <v/>
      </c>
      <c r="M160" s="14" t="str">
        <f>IF(ISBLANK(Refsz_Verbräuche[[#This Row],[2021]]),"",Refsz_Verbräuche[[#This Row],[2021]])</f>
        <v/>
      </c>
      <c r="N160" s="49" t="str">
        <f>IF(Klisz_Verbräuche[[#Headers],[2022]]=$B$14,IF(COUNTIF($G160:Klisz_Verbräuche[[#This Row],[2021]],"&gt;0")&gt;0, AVERAGEIF($G160:Klisz_Verbräuche[[#This Row],[2021]],"&lt;&gt;"), ""),IF($B$14&lt;Klisz_Verbräuche[[#Headers],[2022]],IF(COUNTIF($G160:Klisz_Verbräuche[[#This Row],[2021]],"&gt;0")&gt;0,IF(COUNTIF($G160:Klisz_Verbräuche[[#This Row],[2021]],"&gt;0")&gt;0,Klisz_Verbräuche[[#This Row],[2021]]*(1-$F160)^1, ""), ""),IF($B$14&gt;Klisz_Verbräuche[[#Headers],[2022]],Refsz_Verbräuche[[#This Row],[2022]],"")))</f>
        <v/>
      </c>
      <c r="O160" s="49" t="str">
        <f>IF(Klisz_Verbräuche[[#Headers],[2023]]=$B$14,IF(COUNTIF($G160:Klisz_Verbräuche[[#This Row],[2022]],"&gt;0")&gt;0, AVERAGEIF($G160:Klisz_Verbräuche[[#This Row],[2022]],"&lt;&gt;"), ""),IF($B$14&lt;Klisz_Verbräuche[[#Headers],[2023]],IF(COUNTIF($G160:Klisz_Verbräuche[[#This Row],[2022]],"&gt;0")&gt;0,IF(COUNTIF($G160:Klisz_Verbräuche[[#This Row],[2022]],"&gt;0")&gt;0,Klisz_Verbräuche[[#This Row],[2022]]*(1-$F160)^1, ""), ""),IF($B$14&gt;Klisz_Verbräuche[[#Headers],[2023]],Refsz_Verbräuche[[#This Row],[2023]],"")))</f>
        <v/>
      </c>
      <c r="P160" s="49" t="str">
        <f>IF(Klisz_Verbräuche[[#Headers],[2024]]=$B$14,IF(COUNTIF($G160:Klisz_Verbräuche[[#This Row],[2023]],"&gt;0")&gt;0, AVERAGEIF($G160:Klisz_Verbräuche[[#This Row],[2023]],"&lt;&gt;"), ""),IF($B$14&lt;Klisz_Verbräuche[[#Headers],[2024]],IF(COUNTIF($G160:Klisz_Verbräuche[[#This Row],[2023]],"&gt;0")&gt;0,IF(COUNTIF($G160:Klisz_Verbräuche[[#This Row],[2023]],"&gt;0")&gt;0,Klisz_Verbräuche[[#This Row],[2023]]*(1-$F160)^1, ""), ""),IF($B$14&gt;Klisz_Verbräuche[[#Headers],[2024]],Refsz_Verbräuche[[#This Row],[2024]],"")))</f>
        <v/>
      </c>
      <c r="Q160" s="49" t="str">
        <f>IF(Klisz_Verbräuche[[#Headers],[2025]]=$B$14,IF(COUNTIF($G160:Klisz_Verbräuche[[#This Row],[2024]],"&gt;0")&gt;0, AVERAGEIF($G160:Klisz_Verbräuche[[#This Row],[2024]],"&lt;&gt;"), ""),IF($B$14&lt;Klisz_Verbräuche[[#Headers],[2025]],IF(COUNTIF($G160:Klisz_Verbräuche[[#This Row],[2024]],"&gt;0")&gt;0,IF(COUNTIF($G160:Klisz_Verbräuche[[#This Row],[2024]],"&gt;0")&gt;0,Klisz_Verbräuche[[#This Row],[2024]]*(1-$F160)^1, ""), ""),IF($B$14&gt;Klisz_Verbräuche[[#Headers],[2025]],Refsz_Verbräuche[[#This Row],[2025]],"")))</f>
        <v/>
      </c>
      <c r="R160" s="49" t="str">
        <f>IF(Klisz_Verbräuche[[#Headers],[2026]]=$B$14,IF(COUNTIF($G160:Klisz_Verbräuche[[#This Row],[2025]],"&gt;0")&gt;0, AVERAGEIF($G160:Klisz_Verbräuche[[#This Row],[2025]],"&lt;&gt;"), ""),IF($B$14&lt;Klisz_Verbräuche[[#Headers],[2026]],IF(COUNTIF($G160:Klisz_Verbräuche[[#This Row],[2025]],"&gt;0")&gt;0,IF(COUNTIF($G160:Klisz_Verbräuche[[#This Row],[2025]],"&gt;0")&gt;0,Klisz_Verbräuche[[#This Row],[2025]]*(1-$F160)^1, ""), ""),IF($B$14&gt;Klisz_Verbräuche[[#Headers],[2026]],Refsz_Verbräuche[[#This Row],[2026]],"")))</f>
        <v/>
      </c>
      <c r="S160" s="49" t="str">
        <f>IF(Klisz_Verbräuche[[#Headers],[2027]]=$B$14,IF(COUNTIF($G160:Klisz_Verbräuche[[#This Row],[2026]],"&gt;0")&gt;0, AVERAGEIF($G160:Klisz_Verbräuche[[#This Row],[2026]],"&lt;&gt;"), ""),IF($B$14&lt;Klisz_Verbräuche[[#Headers],[2027]],IF(COUNTIF($G160:Klisz_Verbräuche[[#This Row],[2026]],"&gt;0")&gt;0,IF(COUNTIF($G160:Klisz_Verbräuche[[#This Row],[2026]],"&gt;0")&gt;0,Klisz_Verbräuche[[#This Row],[2026]]*(1-$F160)^1, ""), ""),IF($B$14&gt;Klisz_Verbräuche[[#Headers],[2027]],Refsz_Verbräuche[[#This Row],[2027]],"")))</f>
        <v/>
      </c>
      <c r="T160" s="49" t="str">
        <f>IF(Klisz_Verbräuche[[#Headers],[2028]]=$B$14,IF(COUNTIF($G160:Klisz_Verbräuche[[#This Row],[2027]],"&gt;0")&gt;0, AVERAGEIF($G160:Klisz_Verbräuche[[#This Row],[2027]],"&lt;&gt;"), ""),IF($B$14&lt;Klisz_Verbräuche[[#Headers],[2028]],IF(COUNTIF($G160:Klisz_Verbräuche[[#This Row],[2027]],"&gt;0")&gt;0,IF(COUNTIF($G160:Klisz_Verbräuche[[#This Row],[2027]],"&gt;0")&gt;0,Klisz_Verbräuche[[#This Row],[2027]]*(1-$F160)^1, ""), ""),IF($B$14&gt;Klisz_Verbräuche[[#Headers],[2028]],Refsz_Verbräuche[[#This Row],[2028]],"")))</f>
        <v/>
      </c>
      <c r="U160" s="49" t="str">
        <f>IF(Klisz_Verbräuche[[#Headers],[2029]]=$B$14,IF(COUNTIF($G160:Klisz_Verbräuche[[#This Row],[2028]],"&gt;0")&gt;0, AVERAGEIF($G160:Klisz_Verbräuche[[#This Row],[2028]],"&lt;&gt;"), ""),IF($B$14&lt;Klisz_Verbräuche[[#Headers],[2029]],IF(COUNTIF($G160:Klisz_Verbräuche[[#This Row],[2028]],"&gt;0")&gt;0,IF(COUNTIF($G160:Klisz_Verbräuche[[#This Row],[2028]],"&gt;0")&gt;0,Klisz_Verbräuche[[#This Row],[2028]]*(1-$F160)^1, ""), ""),IF($B$14&gt;Klisz_Verbräuche[[#Headers],[2029]],Refsz_Verbräuche[[#This Row],[2029]],"")))</f>
        <v/>
      </c>
      <c r="V160" s="49" t="str">
        <f>IF(Klisz_Verbräuche[[#Headers],[2030]]=$B$14,IF(COUNTIF($G160:Klisz_Verbräuche[[#This Row],[2029]],"&gt;0")&gt;0, AVERAGEIF($G160:Klisz_Verbräuche[[#This Row],[2029]],"&lt;&gt;"), ""),IF($B$14&lt;Klisz_Verbräuche[[#Headers],[2030]],IF(COUNTIF($G160:Klisz_Verbräuche[[#This Row],[2029]],"&gt;0")&gt;0,IF(COUNTIF($G160:Klisz_Verbräuche[[#This Row],[2029]],"&gt;0")&gt;0,Klisz_Verbräuche[[#This Row],[2029]]*(1-$F160)^1, ""), ""),IF($B$14&gt;Klisz_Verbräuche[[#Headers],[2030]],Refsz_Verbräuche[[#This Row],[2030]],"")))</f>
        <v/>
      </c>
      <c r="W160" s="49" t="str">
        <f>IF(Klisz_Verbräuche[[#Headers],[2035]]=$B$14,IF(COUNTIF($G160:Klisz_Verbräuche[[#This Row],[2030]],"&gt;0")&gt;0, AVERAGEIF($G160:Klisz_Verbräuche[[#This Row],[2030]],"&lt;&gt;"), ""),IF($B$14&lt;Klisz_Verbräuche[[#Headers],[2035]],IF(COUNTIF($G160:Klisz_Verbräuche[[#This Row],[2030]],"&gt;0")&gt;0,IF(COUNTIF($G160:Klisz_Verbräuche[[#This Row],[2030]],"&gt;0")&gt;0,Klisz_Verbräuche[[#This Row],[2030]]*(1-$F160)^5, ""), ""),IF($B$14&gt;Klisz_Verbräuche[[#Headers],[2035]],Refsz_Verbräuche[[#This Row],[2035]],"")))</f>
        <v/>
      </c>
      <c r="X160" s="49" t="str">
        <f>IF(Klisz_Verbräuche[[#Headers],[2040]]=$B$14,IF(COUNTIF($G160:Klisz_Verbräuche[[#This Row],[2035]],"&gt;0")&gt;0, AVERAGEIF($G160:Klisz_Verbräuche[[#This Row],[2035]],"&lt;&gt;"), ""),IF($B$14&lt;Klisz_Verbräuche[[#Headers],[2040]],IF(COUNTIF($G160:Klisz_Verbräuche[[#This Row],[2035]],"&gt;0")&gt;0,IF(COUNTIF($G160:Klisz_Verbräuche[[#This Row],[2035]],"&gt;0")&gt;0,Klisz_Verbräuche[[#This Row],[2035]]*(1-$F160)^5, ""), ""),IF($B$14&gt;Klisz_Verbräuche[[#Headers],[2040]],Refsz_Verbräuche[[#This Row],[2040]],"")))</f>
        <v/>
      </c>
      <c r="Y160" s="49" t="str">
        <f>IF(Klisz_Verbräuche[[#Headers],[2045]]=$B$14,IF(COUNTIF($G160:Klisz_Verbräuche[[#This Row],[2040]],"&gt;0")&gt;0, AVERAGEIF($G160:Klisz_Verbräuche[[#This Row],[2040]],"&lt;&gt;"), ""),IF($B$14&lt;Klisz_Verbräuche[[#Headers],[2045]],IF(COUNTIF($G160:Klisz_Verbräuche[[#This Row],[2040]],"&gt;0")&gt;0,IF(COUNTIF($G160:Klisz_Verbräuche[[#This Row],[2040]],"&gt;0")&gt;0,Klisz_Verbräuche[[#This Row],[2040]]*(1-$F160)^5, ""), ""),IF($B$14&gt;Klisz_Verbräuche[[#Headers],[2045]],Refsz_Verbräuche[[#This Row],[2045]],"")))</f>
        <v/>
      </c>
      <c r="Z160" s="49" t="str">
        <f>IF(Klisz_Verbräuche[[#Headers],[2050]]=$B$14,IF(COUNTIF($G160:Klisz_Verbräuche[[#This Row],[2045]],"&gt;0")&gt;0, AVERAGEIF($G160:Klisz_Verbräuche[[#This Row],[2045]],"&lt;&gt;"), ""),IF($B$14&lt;Klisz_Verbräuche[[#Headers],[2050]],IF(COUNTIF($G160:Klisz_Verbräuche[[#This Row],[2045]],"&gt;0")&gt;0,IF(COUNTIF($G160:Klisz_Verbräuche[[#This Row],[2045]],"&gt;0")&gt;0,Klisz_Verbräuche[[#This Row],[2045]]*(1-$F160)^5, ""), ""),IF($B$14&gt;Klisz_Verbräuche[[#Headers],[2050]],Refsz_Verbräuche[[#This Row],[2050]],"")))</f>
        <v/>
      </c>
      <c r="AA160" s="14"/>
    </row>
    <row r="161" spans="2:27">
      <c r="B161" s="14">
        <v>144</v>
      </c>
      <c r="C161" s="197" t="str">
        <f>Refsz_Verbräuche[[#This Row],[Handlungsfeld]]</f>
        <v>Baugüter</v>
      </c>
      <c r="D161" s="19" t="str">
        <f>Refsz_Verbräuche[[#This Row],[Datenpunkt]]</f>
        <v>Mauerziegel (ungefüllt)</v>
      </c>
      <c r="E161" s="26" t="str">
        <f>Refsz_Verbräuche[[#This Row],[Einheit]]</f>
        <v>m³</v>
      </c>
      <c r="F161" s="108"/>
      <c r="G161" s="14" t="str">
        <f>IF(ISBLANK(Refsz_Verbräuche[[#This Row],[2015]]),"",Refsz_Verbräuche[[#This Row],[2015]])</f>
        <v/>
      </c>
      <c r="H161" s="14" t="str">
        <f>IF(ISBLANK(Refsz_Verbräuche[[#This Row],[2016]]),"",Refsz_Verbräuche[[#This Row],[2016]])</f>
        <v/>
      </c>
      <c r="I161" s="14" t="str">
        <f>IF(ISBLANK(Refsz_Verbräuche[[#This Row],[2017]]),"",Refsz_Verbräuche[[#This Row],[2017]])</f>
        <v/>
      </c>
      <c r="J161" s="14" t="str">
        <f>IF(ISBLANK(Refsz_Verbräuche[[#This Row],[2018]]),"",Refsz_Verbräuche[[#This Row],[2018]])</f>
        <v/>
      </c>
      <c r="K161" s="14" t="str">
        <f>IF(ISBLANK(Refsz_Verbräuche[[#This Row],[2019]]),"",Refsz_Verbräuche[[#This Row],[2019]])</f>
        <v/>
      </c>
      <c r="L161" s="14" t="str">
        <f>IF(ISBLANK(Refsz_Verbräuche[[#This Row],[2020]]),"",Refsz_Verbräuche[[#This Row],[2020]])</f>
        <v/>
      </c>
      <c r="M161" s="14" t="str">
        <f>IF(ISBLANK(Refsz_Verbräuche[[#This Row],[2021]]),"",Refsz_Verbräuche[[#This Row],[2021]])</f>
        <v/>
      </c>
      <c r="N161" s="49" t="str">
        <f>IF(Klisz_Verbräuche[[#Headers],[2022]]=$B$14,IF(COUNTIF($G161:Klisz_Verbräuche[[#This Row],[2021]],"&gt;0")&gt;0, AVERAGEIF($G161:Klisz_Verbräuche[[#This Row],[2021]],"&lt;&gt;"), ""),IF($B$14&lt;Klisz_Verbräuche[[#Headers],[2022]],IF(COUNTIF($G161:Klisz_Verbräuche[[#This Row],[2021]],"&gt;0")&gt;0,IF(COUNTIF($G161:Klisz_Verbräuche[[#This Row],[2021]],"&gt;0")&gt;0,Klisz_Verbräuche[[#This Row],[2021]]*(1-$F161)^1, ""), ""),IF($B$14&gt;Klisz_Verbräuche[[#Headers],[2022]],Refsz_Verbräuche[[#This Row],[2022]],"")))</f>
        <v/>
      </c>
      <c r="O161" s="49" t="str">
        <f>IF(Klisz_Verbräuche[[#Headers],[2023]]=$B$14,IF(COUNTIF($G161:Klisz_Verbräuche[[#This Row],[2022]],"&gt;0")&gt;0, AVERAGEIF($G161:Klisz_Verbräuche[[#This Row],[2022]],"&lt;&gt;"), ""),IF($B$14&lt;Klisz_Verbräuche[[#Headers],[2023]],IF(COUNTIF($G161:Klisz_Verbräuche[[#This Row],[2022]],"&gt;0")&gt;0,IF(COUNTIF($G161:Klisz_Verbräuche[[#This Row],[2022]],"&gt;0")&gt;0,Klisz_Verbräuche[[#This Row],[2022]]*(1-$F161)^1, ""), ""),IF($B$14&gt;Klisz_Verbräuche[[#Headers],[2023]],Refsz_Verbräuche[[#This Row],[2023]],"")))</f>
        <v/>
      </c>
      <c r="P161" s="49" t="str">
        <f>IF(Klisz_Verbräuche[[#Headers],[2024]]=$B$14,IF(COUNTIF($G161:Klisz_Verbräuche[[#This Row],[2023]],"&gt;0")&gt;0, AVERAGEIF($G161:Klisz_Verbräuche[[#This Row],[2023]],"&lt;&gt;"), ""),IF($B$14&lt;Klisz_Verbräuche[[#Headers],[2024]],IF(COUNTIF($G161:Klisz_Verbräuche[[#This Row],[2023]],"&gt;0")&gt;0,IF(COUNTIF($G161:Klisz_Verbräuche[[#This Row],[2023]],"&gt;0")&gt;0,Klisz_Verbräuche[[#This Row],[2023]]*(1-$F161)^1, ""), ""),IF($B$14&gt;Klisz_Verbräuche[[#Headers],[2024]],Refsz_Verbräuche[[#This Row],[2024]],"")))</f>
        <v/>
      </c>
      <c r="Q161" s="49" t="str">
        <f>IF(Klisz_Verbräuche[[#Headers],[2025]]=$B$14,IF(COUNTIF($G161:Klisz_Verbräuche[[#This Row],[2024]],"&gt;0")&gt;0, AVERAGEIF($G161:Klisz_Verbräuche[[#This Row],[2024]],"&lt;&gt;"), ""),IF($B$14&lt;Klisz_Verbräuche[[#Headers],[2025]],IF(COUNTIF($G161:Klisz_Verbräuche[[#This Row],[2024]],"&gt;0")&gt;0,IF(COUNTIF($G161:Klisz_Verbräuche[[#This Row],[2024]],"&gt;0")&gt;0,Klisz_Verbräuche[[#This Row],[2024]]*(1-$F161)^1, ""), ""),IF($B$14&gt;Klisz_Verbräuche[[#Headers],[2025]],Refsz_Verbräuche[[#This Row],[2025]],"")))</f>
        <v/>
      </c>
      <c r="R161" s="49" t="str">
        <f>IF(Klisz_Verbräuche[[#Headers],[2026]]=$B$14,IF(COUNTIF($G161:Klisz_Verbräuche[[#This Row],[2025]],"&gt;0")&gt;0, AVERAGEIF($G161:Klisz_Verbräuche[[#This Row],[2025]],"&lt;&gt;"), ""),IF($B$14&lt;Klisz_Verbräuche[[#Headers],[2026]],IF(COUNTIF($G161:Klisz_Verbräuche[[#This Row],[2025]],"&gt;0")&gt;0,IF(COUNTIF($G161:Klisz_Verbräuche[[#This Row],[2025]],"&gt;0")&gt;0,Klisz_Verbräuche[[#This Row],[2025]]*(1-$F161)^1, ""), ""),IF($B$14&gt;Klisz_Verbräuche[[#Headers],[2026]],Refsz_Verbräuche[[#This Row],[2026]],"")))</f>
        <v/>
      </c>
      <c r="S161" s="49" t="str">
        <f>IF(Klisz_Verbräuche[[#Headers],[2027]]=$B$14,IF(COUNTIF($G161:Klisz_Verbräuche[[#This Row],[2026]],"&gt;0")&gt;0, AVERAGEIF($G161:Klisz_Verbräuche[[#This Row],[2026]],"&lt;&gt;"), ""),IF($B$14&lt;Klisz_Verbräuche[[#Headers],[2027]],IF(COUNTIF($G161:Klisz_Verbräuche[[#This Row],[2026]],"&gt;0")&gt;0,IF(COUNTIF($G161:Klisz_Verbräuche[[#This Row],[2026]],"&gt;0")&gt;0,Klisz_Verbräuche[[#This Row],[2026]]*(1-$F161)^1, ""), ""),IF($B$14&gt;Klisz_Verbräuche[[#Headers],[2027]],Refsz_Verbräuche[[#This Row],[2027]],"")))</f>
        <v/>
      </c>
      <c r="T161" s="49" t="str">
        <f>IF(Klisz_Verbräuche[[#Headers],[2028]]=$B$14,IF(COUNTIF($G161:Klisz_Verbräuche[[#This Row],[2027]],"&gt;0")&gt;0, AVERAGEIF($G161:Klisz_Verbräuche[[#This Row],[2027]],"&lt;&gt;"), ""),IF($B$14&lt;Klisz_Verbräuche[[#Headers],[2028]],IF(COUNTIF($G161:Klisz_Verbräuche[[#This Row],[2027]],"&gt;0")&gt;0,IF(COUNTIF($G161:Klisz_Verbräuche[[#This Row],[2027]],"&gt;0")&gt;0,Klisz_Verbräuche[[#This Row],[2027]]*(1-$F161)^1, ""), ""),IF($B$14&gt;Klisz_Verbräuche[[#Headers],[2028]],Refsz_Verbräuche[[#This Row],[2028]],"")))</f>
        <v/>
      </c>
      <c r="U161" s="49" t="str">
        <f>IF(Klisz_Verbräuche[[#Headers],[2029]]=$B$14,IF(COUNTIF($G161:Klisz_Verbräuche[[#This Row],[2028]],"&gt;0")&gt;0, AVERAGEIF($G161:Klisz_Verbräuche[[#This Row],[2028]],"&lt;&gt;"), ""),IF($B$14&lt;Klisz_Verbräuche[[#Headers],[2029]],IF(COUNTIF($G161:Klisz_Verbräuche[[#This Row],[2028]],"&gt;0")&gt;0,IF(COUNTIF($G161:Klisz_Verbräuche[[#This Row],[2028]],"&gt;0")&gt;0,Klisz_Verbräuche[[#This Row],[2028]]*(1-$F161)^1, ""), ""),IF($B$14&gt;Klisz_Verbräuche[[#Headers],[2029]],Refsz_Verbräuche[[#This Row],[2029]],"")))</f>
        <v/>
      </c>
      <c r="V161" s="49" t="str">
        <f>IF(Klisz_Verbräuche[[#Headers],[2030]]=$B$14,IF(COUNTIF($G161:Klisz_Verbräuche[[#This Row],[2029]],"&gt;0")&gt;0, AVERAGEIF($G161:Klisz_Verbräuche[[#This Row],[2029]],"&lt;&gt;"), ""),IF($B$14&lt;Klisz_Verbräuche[[#Headers],[2030]],IF(COUNTIF($G161:Klisz_Verbräuche[[#This Row],[2029]],"&gt;0")&gt;0,IF(COUNTIF($G161:Klisz_Verbräuche[[#This Row],[2029]],"&gt;0")&gt;0,Klisz_Verbräuche[[#This Row],[2029]]*(1-$F161)^1, ""), ""),IF($B$14&gt;Klisz_Verbräuche[[#Headers],[2030]],Refsz_Verbräuche[[#This Row],[2030]],"")))</f>
        <v/>
      </c>
      <c r="W161" s="49" t="str">
        <f>IF(Klisz_Verbräuche[[#Headers],[2035]]=$B$14,IF(COUNTIF($G161:Klisz_Verbräuche[[#This Row],[2030]],"&gt;0")&gt;0, AVERAGEIF($G161:Klisz_Verbräuche[[#This Row],[2030]],"&lt;&gt;"), ""),IF($B$14&lt;Klisz_Verbräuche[[#Headers],[2035]],IF(COUNTIF($G161:Klisz_Verbräuche[[#This Row],[2030]],"&gt;0")&gt;0,IF(COUNTIF($G161:Klisz_Verbräuche[[#This Row],[2030]],"&gt;0")&gt;0,Klisz_Verbräuche[[#This Row],[2030]]*(1-$F161)^5, ""), ""),IF($B$14&gt;Klisz_Verbräuche[[#Headers],[2035]],Refsz_Verbräuche[[#This Row],[2035]],"")))</f>
        <v/>
      </c>
      <c r="X161" s="49" t="str">
        <f>IF(Klisz_Verbräuche[[#Headers],[2040]]=$B$14,IF(COUNTIF($G161:Klisz_Verbräuche[[#This Row],[2035]],"&gt;0")&gt;0, AVERAGEIF($G161:Klisz_Verbräuche[[#This Row],[2035]],"&lt;&gt;"), ""),IF($B$14&lt;Klisz_Verbräuche[[#Headers],[2040]],IF(COUNTIF($G161:Klisz_Verbräuche[[#This Row],[2035]],"&gt;0")&gt;0,IF(COUNTIF($G161:Klisz_Verbräuche[[#This Row],[2035]],"&gt;0")&gt;0,Klisz_Verbräuche[[#This Row],[2035]]*(1-$F161)^5, ""), ""),IF($B$14&gt;Klisz_Verbräuche[[#Headers],[2040]],Refsz_Verbräuche[[#This Row],[2040]],"")))</f>
        <v/>
      </c>
      <c r="Y161" s="49" t="str">
        <f>IF(Klisz_Verbräuche[[#Headers],[2045]]=$B$14,IF(COUNTIF($G161:Klisz_Verbräuche[[#This Row],[2040]],"&gt;0")&gt;0, AVERAGEIF($G161:Klisz_Verbräuche[[#This Row],[2040]],"&lt;&gt;"), ""),IF($B$14&lt;Klisz_Verbräuche[[#Headers],[2045]],IF(COUNTIF($G161:Klisz_Verbräuche[[#This Row],[2040]],"&gt;0")&gt;0,IF(COUNTIF($G161:Klisz_Verbräuche[[#This Row],[2040]],"&gt;0")&gt;0,Klisz_Verbräuche[[#This Row],[2040]]*(1-$F161)^5, ""), ""),IF($B$14&gt;Klisz_Verbräuche[[#Headers],[2045]],Refsz_Verbräuche[[#This Row],[2045]],"")))</f>
        <v/>
      </c>
      <c r="Z161" s="49" t="str">
        <f>IF(Klisz_Verbräuche[[#Headers],[2050]]=$B$14,IF(COUNTIF($G161:Klisz_Verbräuche[[#This Row],[2045]],"&gt;0")&gt;0, AVERAGEIF($G161:Klisz_Verbräuche[[#This Row],[2045]],"&lt;&gt;"), ""),IF($B$14&lt;Klisz_Verbräuche[[#Headers],[2050]],IF(COUNTIF($G161:Klisz_Verbräuche[[#This Row],[2045]],"&gt;0")&gt;0,IF(COUNTIF($G161:Klisz_Verbräuche[[#This Row],[2045]],"&gt;0")&gt;0,Klisz_Verbräuche[[#This Row],[2045]]*(1-$F161)^5, ""), ""),IF($B$14&gt;Klisz_Verbräuche[[#Headers],[2050]],Refsz_Verbräuche[[#This Row],[2050]],"")))</f>
        <v/>
      </c>
      <c r="AA161" s="14"/>
    </row>
    <row r="162" spans="2:27">
      <c r="B162" s="14">
        <v>145</v>
      </c>
      <c r="C162" s="197">
        <f>Refsz_Verbräuche[[#This Row],[Handlungsfeld]]</f>
        <v>0</v>
      </c>
      <c r="D162" s="19">
        <f>Refsz_Verbräuche[[#This Row],[Datenpunkt]]</f>
        <v>0</v>
      </c>
      <c r="E162" s="26">
        <f>Refsz_Verbräuche[[#This Row],[Einheit]]</f>
        <v>0</v>
      </c>
      <c r="F162" s="108"/>
      <c r="G162" s="14" t="str">
        <f>IF(ISBLANK(Refsz_Verbräuche[[#This Row],[2015]]),"",Refsz_Verbräuche[[#This Row],[2015]])</f>
        <v/>
      </c>
      <c r="H162" s="14" t="str">
        <f>IF(ISBLANK(Refsz_Verbräuche[[#This Row],[2016]]),"",Refsz_Verbräuche[[#This Row],[2016]])</f>
        <v/>
      </c>
      <c r="I162" s="14" t="str">
        <f>IF(ISBLANK(Refsz_Verbräuche[[#This Row],[2017]]),"",Refsz_Verbräuche[[#This Row],[2017]])</f>
        <v/>
      </c>
      <c r="J162" s="14" t="str">
        <f>IF(ISBLANK(Refsz_Verbräuche[[#This Row],[2018]]),"",Refsz_Verbräuche[[#This Row],[2018]])</f>
        <v/>
      </c>
      <c r="K162" s="14" t="str">
        <f>IF(ISBLANK(Refsz_Verbräuche[[#This Row],[2019]]),"",Refsz_Verbräuche[[#This Row],[2019]])</f>
        <v/>
      </c>
      <c r="L162" s="14" t="str">
        <f>IF(ISBLANK(Refsz_Verbräuche[[#This Row],[2020]]),"",Refsz_Verbräuche[[#This Row],[2020]])</f>
        <v/>
      </c>
      <c r="M162" s="14" t="str">
        <f>IF(ISBLANK(Refsz_Verbräuche[[#This Row],[2021]]),"",Refsz_Verbräuche[[#This Row],[2021]])</f>
        <v/>
      </c>
      <c r="N162" s="49" t="str">
        <f>IF(Klisz_Verbräuche[[#Headers],[2022]]=$B$14,IF(COUNTIF($G162:Klisz_Verbräuche[[#This Row],[2021]],"&gt;0")&gt;0, AVERAGEIF($G162:Klisz_Verbräuche[[#This Row],[2021]],"&lt;&gt;"), ""),IF($B$14&lt;Klisz_Verbräuche[[#Headers],[2022]],IF(COUNTIF($G162:Klisz_Verbräuche[[#This Row],[2021]],"&gt;0")&gt;0,IF(COUNTIF($G162:Klisz_Verbräuche[[#This Row],[2021]],"&gt;0")&gt;0,Klisz_Verbräuche[[#This Row],[2021]]*(1-$F162)^1, ""), ""),IF($B$14&gt;Klisz_Verbräuche[[#Headers],[2022]],Refsz_Verbräuche[[#This Row],[2022]],"")))</f>
        <v/>
      </c>
      <c r="O162" s="49" t="str">
        <f>IF(Klisz_Verbräuche[[#Headers],[2023]]=$B$14,IF(COUNTIF($G162:Klisz_Verbräuche[[#This Row],[2022]],"&gt;0")&gt;0, AVERAGEIF($G162:Klisz_Verbräuche[[#This Row],[2022]],"&lt;&gt;"), ""),IF($B$14&lt;Klisz_Verbräuche[[#Headers],[2023]],IF(COUNTIF($G162:Klisz_Verbräuche[[#This Row],[2022]],"&gt;0")&gt;0,IF(COUNTIF($G162:Klisz_Verbräuche[[#This Row],[2022]],"&gt;0")&gt;0,Klisz_Verbräuche[[#This Row],[2022]]*(1-$F162)^1, ""), ""),IF($B$14&gt;Klisz_Verbräuche[[#Headers],[2023]],Refsz_Verbräuche[[#This Row],[2023]],"")))</f>
        <v/>
      </c>
      <c r="P162" s="49" t="str">
        <f>IF(Klisz_Verbräuche[[#Headers],[2024]]=$B$14,IF(COUNTIF($G162:Klisz_Verbräuche[[#This Row],[2023]],"&gt;0")&gt;0, AVERAGEIF($G162:Klisz_Verbräuche[[#This Row],[2023]],"&lt;&gt;"), ""),IF($B$14&lt;Klisz_Verbräuche[[#Headers],[2024]],IF(COUNTIF($G162:Klisz_Verbräuche[[#This Row],[2023]],"&gt;0")&gt;0,IF(COUNTIF($G162:Klisz_Verbräuche[[#This Row],[2023]],"&gt;0")&gt;0,Klisz_Verbräuche[[#This Row],[2023]]*(1-$F162)^1, ""), ""),IF($B$14&gt;Klisz_Verbräuche[[#Headers],[2024]],Refsz_Verbräuche[[#This Row],[2024]],"")))</f>
        <v/>
      </c>
      <c r="Q162" s="49" t="str">
        <f>IF(Klisz_Verbräuche[[#Headers],[2025]]=$B$14,IF(COUNTIF($G162:Klisz_Verbräuche[[#This Row],[2024]],"&gt;0")&gt;0, AVERAGEIF($G162:Klisz_Verbräuche[[#This Row],[2024]],"&lt;&gt;"), ""),IF($B$14&lt;Klisz_Verbräuche[[#Headers],[2025]],IF(COUNTIF($G162:Klisz_Verbräuche[[#This Row],[2024]],"&gt;0")&gt;0,IF(COUNTIF($G162:Klisz_Verbräuche[[#This Row],[2024]],"&gt;0")&gt;0,Klisz_Verbräuche[[#This Row],[2024]]*(1-$F162)^1, ""), ""),IF($B$14&gt;Klisz_Verbräuche[[#Headers],[2025]],Refsz_Verbräuche[[#This Row],[2025]],"")))</f>
        <v/>
      </c>
      <c r="R162" s="49" t="str">
        <f>IF(Klisz_Verbräuche[[#Headers],[2026]]=$B$14,IF(COUNTIF($G162:Klisz_Verbräuche[[#This Row],[2025]],"&gt;0")&gt;0, AVERAGEIF($G162:Klisz_Verbräuche[[#This Row],[2025]],"&lt;&gt;"), ""),IF($B$14&lt;Klisz_Verbräuche[[#Headers],[2026]],IF(COUNTIF($G162:Klisz_Verbräuche[[#This Row],[2025]],"&gt;0")&gt;0,IF(COUNTIF($G162:Klisz_Verbräuche[[#This Row],[2025]],"&gt;0")&gt;0,Klisz_Verbräuche[[#This Row],[2025]]*(1-$F162)^1, ""), ""),IF($B$14&gt;Klisz_Verbräuche[[#Headers],[2026]],Refsz_Verbräuche[[#This Row],[2026]],"")))</f>
        <v/>
      </c>
      <c r="S162" s="49" t="str">
        <f>IF(Klisz_Verbräuche[[#Headers],[2027]]=$B$14,IF(COUNTIF($G162:Klisz_Verbräuche[[#This Row],[2026]],"&gt;0")&gt;0, AVERAGEIF($G162:Klisz_Verbräuche[[#This Row],[2026]],"&lt;&gt;"), ""),IF($B$14&lt;Klisz_Verbräuche[[#Headers],[2027]],IF(COUNTIF($G162:Klisz_Verbräuche[[#This Row],[2026]],"&gt;0")&gt;0,IF(COUNTIF($G162:Klisz_Verbräuche[[#This Row],[2026]],"&gt;0")&gt;0,Klisz_Verbräuche[[#This Row],[2026]]*(1-$F162)^1, ""), ""),IF($B$14&gt;Klisz_Verbräuche[[#Headers],[2027]],Refsz_Verbräuche[[#This Row],[2027]],"")))</f>
        <v/>
      </c>
      <c r="T162" s="49" t="str">
        <f>IF(Klisz_Verbräuche[[#Headers],[2028]]=$B$14,IF(COUNTIF($G162:Klisz_Verbräuche[[#This Row],[2027]],"&gt;0")&gt;0, AVERAGEIF($G162:Klisz_Verbräuche[[#This Row],[2027]],"&lt;&gt;"), ""),IF($B$14&lt;Klisz_Verbräuche[[#Headers],[2028]],IF(COUNTIF($G162:Klisz_Verbräuche[[#This Row],[2027]],"&gt;0")&gt;0,IF(COUNTIF($G162:Klisz_Verbräuche[[#This Row],[2027]],"&gt;0")&gt;0,Klisz_Verbräuche[[#This Row],[2027]]*(1-$F162)^1, ""), ""),IF($B$14&gt;Klisz_Verbräuche[[#Headers],[2028]],Refsz_Verbräuche[[#This Row],[2028]],"")))</f>
        <v/>
      </c>
      <c r="U162" s="49" t="str">
        <f>IF(Klisz_Verbräuche[[#Headers],[2029]]=$B$14,IF(COUNTIF($G162:Klisz_Verbräuche[[#This Row],[2028]],"&gt;0")&gt;0, AVERAGEIF($G162:Klisz_Verbräuche[[#This Row],[2028]],"&lt;&gt;"), ""),IF($B$14&lt;Klisz_Verbräuche[[#Headers],[2029]],IF(COUNTIF($G162:Klisz_Verbräuche[[#This Row],[2028]],"&gt;0")&gt;0,IF(COUNTIF($G162:Klisz_Verbräuche[[#This Row],[2028]],"&gt;0")&gt;0,Klisz_Verbräuche[[#This Row],[2028]]*(1-$F162)^1, ""), ""),IF($B$14&gt;Klisz_Verbräuche[[#Headers],[2029]],Refsz_Verbräuche[[#This Row],[2029]],"")))</f>
        <v/>
      </c>
      <c r="V162" s="49" t="str">
        <f>IF(Klisz_Verbräuche[[#Headers],[2030]]=$B$14,IF(COUNTIF($G162:Klisz_Verbräuche[[#This Row],[2029]],"&gt;0")&gt;0, AVERAGEIF($G162:Klisz_Verbräuche[[#This Row],[2029]],"&lt;&gt;"), ""),IF($B$14&lt;Klisz_Verbräuche[[#Headers],[2030]],IF(COUNTIF($G162:Klisz_Verbräuche[[#This Row],[2029]],"&gt;0")&gt;0,IF(COUNTIF($G162:Klisz_Verbräuche[[#This Row],[2029]],"&gt;0")&gt;0,Klisz_Verbräuche[[#This Row],[2029]]*(1-$F162)^1, ""), ""),IF($B$14&gt;Klisz_Verbräuche[[#Headers],[2030]],Refsz_Verbräuche[[#This Row],[2030]],"")))</f>
        <v/>
      </c>
      <c r="W162" s="49" t="str">
        <f>IF(Klisz_Verbräuche[[#Headers],[2035]]=$B$14,IF(COUNTIF($G162:Klisz_Verbräuche[[#This Row],[2030]],"&gt;0")&gt;0, AVERAGEIF($G162:Klisz_Verbräuche[[#This Row],[2030]],"&lt;&gt;"), ""),IF($B$14&lt;Klisz_Verbräuche[[#Headers],[2035]],IF(COUNTIF($G162:Klisz_Verbräuche[[#This Row],[2030]],"&gt;0")&gt;0,IF(COUNTIF($G162:Klisz_Verbräuche[[#This Row],[2030]],"&gt;0")&gt;0,Klisz_Verbräuche[[#This Row],[2030]]*(1-$F162)^5, ""), ""),IF($B$14&gt;Klisz_Verbräuche[[#Headers],[2035]],Refsz_Verbräuche[[#This Row],[2035]],"")))</f>
        <v/>
      </c>
      <c r="X162" s="49" t="str">
        <f>IF(Klisz_Verbräuche[[#Headers],[2040]]=$B$14,IF(COUNTIF($G162:Klisz_Verbräuche[[#This Row],[2035]],"&gt;0")&gt;0, AVERAGEIF($G162:Klisz_Verbräuche[[#This Row],[2035]],"&lt;&gt;"), ""),IF($B$14&lt;Klisz_Verbräuche[[#Headers],[2040]],IF(COUNTIF($G162:Klisz_Verbräuche[[#This Row],[2035]],"&gt;0")&gt;0,IF(COUNTIF($G162:Klisz_Verbräuche[[#This Row],[2035]],"&gt;0")&gt;0,Klisz_Verbräuche[[#This Row],[2035]]*(1-$F162)^5, ""), ""),IF($B$14&gt;Klisz_Verbräuche[[#Headers],[2040]],Refsz_Verbräuche[[#This Row],[2040]],"")))</f>
        <v/>
      </c>
      <c r="Y162" s="49" t="str">
        <f>IF(Klisz_Verbräuche[[#Headers],[2045]]=$B$14,IF(COUNTIF($G162:Klisz_Verbräuche[[#This Row],[2040]],"&gt;0")&gt;0, AVERAGEIF($G162:Klisz_Verbräuche[[#This Row],[2040]],"&lt;&gt;"), ""),IF($B$14&lt;Klisz_Verbräuche[[#Headers],[2045]],IF(COUNTIF($G162:Klisz_Verbräuche[[#This Row],[2040]],"&gt;0")&gt;0,IF(COUNTIF($G162:Klisz_Verbräuche[[#This Row],[2040]],"&gt;0")&gt;0,Klisz_Verbräuche[[#This Row],[2040]]*(1-$F162)^5, ""), ""),IF($B$14&gt;Klisz_Verbräuche[[#Headers],[2045]],Refsz_Verbräuche[[#This Row],[2045]],"")))</f>
        <v/>
      </c>
      <c r="Z162" s="49" t="str">
        <f>IF(Klisz_Verbräuche[[#Headers],[2050]]=$B$14,IF(COUNTIF($G162:Klisz_Verbräuche[[#This Row],[2045]],"&gt;0")&gt;0, AVERAGEIF($G162:Klisz_Verbräuche[[#This Row],[2045]],"&lt;&gt;"), ""),IF($B$14&lt;Klisz_Verbräuche[[#Headers],[2050]],IF(COUNTIF($G162:Klisz_Verbräuche[[#This Row],[2045]],"&gt;0")&gt;0,IF(COUNTIF($G162:Klisz_Verbräuche[[#This Row],[2045]],"&gt;0")&gt;0,Klisz_Verbräuche[[#This Row],[2045]]*(1-$F162)^5, ""), ""),IF($B$14&gt;Klisz_Verbräuche[[#Headers],[2050]],Refsz_Verbräuche[[#This Row],[2050]],"")))</f>
        <v/>
      </c>
      <c r="AA162" s="14"/>
    </row>
    <row r="163" spans="2:27">
      <c r="B163" s="14">
        <v>146</v>
      </c>
      <c r="C163" s="197" t="str">
        <f>Refsz_Verbräuche[[#This Row],[Handlungsfeld]]</f>
        <v>Waren mit negativem GWP total</v>
      </c>
      <c r="D163" s="19" t="str">
        <f>Refsz_Verbräuche[[#This Row],[Datenpunkt]]</f>
        <v>Holzfaserdämmpatte (flexibe Matte)</v>
      </c>
      <c r="E163" s="139" t="str">
        <f>Refsz_Verbräuche[[#This Row],[Einheit]]</f>
        <v>m³</v>
      </c>
      <c r="F163" s="108"/>
      <c r="G163" s="14" t="str">
        <f>IF(ISBLANK(Refsz_Verbräuche[[#This Row],[2015]]),"",Refsz_Verbräuche[[#This Row],[2015]])</f>
        <v/>
      </c>
      <c r="H163" s="14" t="str">
        <f>IF(ISBLANK(Refsz_Verbräuche[[#This Row],[2016]]),"",Refsz_Verbräuche[[#This Row],[2016]])</f>
        <v/>
      </c>
      <c r="I163" s="14" t="str">
        <f>IF(ISBLANK(Refsz_Verbräuche[[#This Row],[2017]]),"",Refsz_Verbräuche[[#This Row],[2017]])</f>
        <v/>
      </c>
      <c r="J163" s="14" t="str">
        <f>IF(ISBLANK(Refsz_Verbräuche[[#This Row],[2018]]),"",Refsz_Verbräuche[[#This Row],[2018]])</f>
        <v/>
      </c>
      <c r="K163" s="14" t="str">
        <f>IF(ISBLANK(Refsz_Verbräuche[[#This Row],[2019]]),"",Refsz_Verbräuche[[#This Row],[2019]])</f>
        <v/>
      </c>
      <c r="L163" s="14" t="str">
        <f>IF(ISBLANK(Refsz_Verbräuche[[#This Row],[2020]]),"",Refsz_Verbräuche[[#This Row],[2020]])</f>
        <v/>
      </c>
      <c r="M163" s="14" t="str">
        <f>IF(ISBLANK(Refsz_Verbräuche[[#This Row],[2021]]),"",Refsz_Verbräuche[[#This Row],[2021]])</f>
        <v/>
      </c>
      <c r="N163" s="49" t="str">
        <f>IF(Klisz_Verbräuche[[#Headers],[2022]]=$B$14,IF(COUNTIF($G163:Klisz_Verbräuche[[#This Row],[2021]],"&gt;0")&gt;0, AVERAGEIF($G163:Klisz_Verbräuche[[#This Row],[2021]],"&lt;&gt;"), ""),IF($B$14&lt;Klisz_Verbräuche[[#Headers],[2022]],IF(COUNTIF($G163:Klisz_Verbräuche[[#This Row],[2021]],"&gt;0")&gt;0,IF(COUNTIF($G163:Klisz_Verbräuche[[#This Row],[2021]],"&gt;0")&gt;0,Klisz_Verbräuche[[#This Row],[2021]]*(1-$F163)^1, ""), ""),IF($B$14&gt;Klisz_Verbräuche[[#Headers],[2022]],Refsz_Verbräuche[[#This Row],[2022]],"")))</f>
        <v/>
      </c>
      <c r="O163" s="49" t="str">
        <f>IF(Klisz_Verbräuche[[#Headers],[2023]]=$B$14,IF(COUNTIF($G163:Klisz_Verbräuche[[#This Row],[2022]],"&gt;0")&gt;0, AVERAGEIF($G163:Klisz_Verbräuche[[#This Row],[2022]],"&lt;&gt;"), ""),IF($B$14&lt;Klisz_Verbräuche[[#Headers],[2023]],IF(COUNTIF($G163:Klisz_Verbräuche[[#This Row],[2022]],"&gt;0")&gt;0,IF(COUNTIF($G163:Klisz_Verbräuche[[#This Row],[2022]],"&gt;0")&gt;0,Klisz_Verbräuche[[#This Row],[2022]]*(1-$F163)^1, ""), ""),IF($B$14&gt;Klisz_Verbräuche[[#Headers],[2023]],Refsz_Verbräuche[[#This Row],[2023]],"")))</f>
        <v/>
      </c>
      <c r="P163" s="49" t="str">
        <f>IF(Klisz_Verbräuche[[#Headers],[2024]]=$B$14,IF(COUNTIF($G163:Klisz_Verbräuche[[#This Row],[2023]],"&gt;0")&gt;0, AVERAGEIF($G163:Klisz_Verbräuche[[#This Row],[2023]],"&lt;&gt;"), ""),IF($B$14&lt;Klisz_Verbräuche[[#Headers],[2024]],IF(COUNTIF($G163:Klisz_Verbräuche[[#This Row],[2023]],"&gt;0")&gt;0,IF(COUNTIF($G163:Klisz_Verbräuche[[#This Row],[2023]],"&gt;0")&gt;0,Klisz_Verbräuche[[#This Row],[2023]]*(1-$F163)^1, ""), ""),IF($B$14&gt;Klisz_Verbräuche[[#Headers],[2024]],Refsz_Verbräuche[[#This Row],[2024]],"")))</f>
        <v/>
      </c>
      <c r="Q163" s="49" t="str">
        <f>IF(Klisz_Verbräuche[[#Headers],[2025]]=$B$14,IF(COUNTIF($G163:Klisz_Verbräuche[[#This Row],[2024]],"&gt;0")&gt;0, AVERAGEIF($G163:Klisz_Verbräuche[[#This Row],[2024]],"&lt;&gt;"), ""),IF($B$14&lt;Klisz_Verbräuche[[#Headers],[2025]],IF(COUNTIF($G163:Klisz_Verbräuche[[#This Row],[2024]],"&gt;0")&gt;0,IF(COUNTIF($G163:Klisz_Verbräuche[[#This Row],[2024]],"&gt;0")&gt;0,Klisz_Verbräuche[[#This Row],[2024]]*(1-$F163)^1, ""), ""),IF($B$14&gt;Klisz_Verbräuche[[#Headers],[2025]],Refsz_Verbräuche[[#This Row],[2025]],"")))</f>
        <v/>
      </c>
      <c r="R163" s="49" t="str">
        <f>IF(Klisz_Verbräuche[[#Headers],[2026]]=$B$14,IF(COUNTIF($G163:Klisz_Verbräuche[[#This Row],[2025]],"&gt;0")&gt;0, AVERAGEIF($G163:Klisz_Verbräuche[[#This Row],[2025]],"&lt;&gt;"), ""),IF($B$14&lt;Klisz_Verbräuche[[#Headers],[2026]],IF(COUNTIF($G163:Klisz_Verbräuche[[#This Row],[2025]],"&gt;0")&gt;0,IF(COUNTIF($G163:Klisz_Verbräuche[[#This Row],[2025]],"&gt;0")&gt;0,Klisz_Verbräuche[[#This Row],[2025]]*(1-$F163)^1, ""), ""),IF($B$14&gt;Klisz_Verbräuche[[#Headers],[2026]],Refsz_Verbräuche[[#This Row],[2026]],"")))</f>
        <v/>
      </c>
      <c r="S163" s="49" t="str">
        <f>IF(Klisz_Verbräuche[[#Headers],[2027]]=$B$14,IF(COUNTIF($G163:Klisz_Verbräuche[[#This Row],[2026]],"&gt;0")&gt;0, AVERAGEIF($G163:Klisz_Verbräuche[[#This Row],[2026]],"&lt;&gt;"), ""),IF($B$14&lt;Klisz_Verbräuche[[#Headers],[2027]],IF(COUNTIF($G163:Klisz_Verbräuche[[#This Row],[2026]],"&gt;0")&gt;0,IF(COUNTIF($G163:Klisz_Verbräuche[[#This Row],[2026]],"&gt;0")&gt;0,Klisz_Verbräuche[[#This Row],[2026]]*(1-$F163)^1, ""), ""),IF($B$14&gt;Klisz_Verbräuche[[#Headers],[2027]],Refsz_Verbräuche[[#This Row],[2027]],"")))</f>
        <v/>
      </c>
      <c r="T163" s="49" t="str">
        <f>IF(Klisz_Verbräuche[[#Headers],[2028]]=$B$14,IF(COUNTIF($G163:Klisz_Verbräuche[[#This Row],[2027]],"&gt;0")&gt;0, AVERAGEIF($G163:Klisz_Verbräuche[[#This Row],[2027]],"&lt;&gt;"), ""),IF($B$14&lt;Klisz_Verbräuche[[#Headers],[2028]],IF(COUNTIF($G163:Klisz_Verbräuche[[#This Row],[2027]],"&gt;0")&gt;0,IF(COUNTIF($G163:Klisz_Verbräuche[[#This Row],[2027]],"&gt;0")&gt;0,Klisz_Verbräuche[[#This Row],[2027]]*(1-$F163)^1, ""), ""),IF($B$14&gt;Klisz_Verbräuche[[#Headers],[2028]],Refsz_Verbräuche[[#This Row],[2028]],"")))</f>
        <v/>
      </c>
      <c r="U163" s="49" t="str">
        <f>IF(Klisz_Verbräuche[[#Headers],[2029]]=$B$14,IF(COUNTIF($G163:Klisz_Verbräuche[[#This Row],[2028]],"&gt;0")&gt;0, AVERAGEIF($G163:Klisz_Verbräuche[[#This Row],[2028]],"&lt;&gt;"), ""),IF($B$14&lt;Klisz_Verbräuche[[#Headers],[2029]],IF(COUNTIF($G163:Klisz_Verbräuche[[#This Row],[2028]],"&gt;0")&gt;0,IF(COUNTIF($G163:Klisz_Verbräuche[[#This Row],[2028]],"&gt;0")&gt;0,Klisz_Verbräuche[[#This Row],[2028]]*(1-$F163)^1, ""), ""),IF($B$14&gt;Klisz_Verbräuche[[#Headers],[2029]],Refsz_Verbräuche[[#This Row],[2029]],"")))</f>
        <v/>
      </c>
      <c r="V163" s="49" t="str">
        <f>IF(Klisz_Verbräuche[[#Headers],[2030]]=$B$14,IF(COUNTIF($G163:Klisz_Verbräuche[[#This Row],[2029]],"&gt;0")&gt;0, AVERAGEIF($G163:Klisz_Verbräuche[[#This Row],[2029]],"&lt;&gt;"), ""),IF($B$14&lt;Klisz_Verbräuche[[#Headers],[2030]],IF(COUNTIF($G163:Klisz_Verbräuche[[#This Row],[2029]],"&gt;0")&gt;0,IF(COUNTIF($G163:Klisz_Verbräuche[[#This Row],[2029]],"&gt;0")&gt;0,Klisz_Verbräuche[[#This Row],[2029]]*(1-$F163)^1, ""), ""),IF($B$14&gt;Klisz_Verbräuche[[#Headers],[2030]],Refsz_Verbräuche[[#This Row],[2030]],"")))</f>
        <v/>
      </c>
      <c r="W163" s="49" t="str">
        <f>IF(Klisz_Verbräuche[[#Headers],[2035]]=$B$14,IF(COUNTIF($G163:Klisz_Verbräuche[[#This Row],[2030]],"&gt;0")&gt;0, AVERAGEIF($G163:Klisz_Verbräuche[[#This Row],[2030]],"&lt;&gt;"), ""),IF($B$14&lt;Klisz_Verbräuche[[#Headers],[2035]],IF(COUNTIF($G163:Klisz_Verbräuche[[#This Row],[2030]],"&gt;0")&gt;0,IF(COUNTIF($G163:Klisz_Verbräuche[[#This Row],[2030]],"&gt;0")&gt;0,Klisz_Verbräuche[[#This Row],[2030]]*(1-$F163)^5, ""), ""),IF($B$14&gt;Klisz_Verbräuche[[#Headers],[2035]],Refsz_Verbräuche[[#This Row],[2035]],"")))</f>
        <v/>
      </c>
      <c r="X163" s="49" t="str">
        <f>IF(Klisz_Verbräuche[[#Headers],[2040]]=$B$14,IF(COUNTIF($G163:Klisz_Verbräuche[[#This Row],[2035]],"&gt;0")&gt;0, AVERAGEIF($G163:Klisz_Verbräuche[[#This Row],[2035]],"&lt;&gt;"), ""),IF($B$14&lt;Klisz_Verbräuche[[#Headers],[2040]],IF(COUNTIF($G163:Klisz_Verbräuche[[#This Row],[2035]],"&gt;0")&gt;0,IF(COUNTIF($G163:Klisz_Verbräuche[[#This Row],[2035]],"&gt;0")&gt;0,Klisz_Verbräuche[[#This Row],[2035]]*(1-$F163)^5, ""), ""),IF($B$14&gt;Klisz_Verbräuche[[#Headers],[2040]],Refsz_Verbräuche[[#This Row],[2040]],"")))</f>
        <v/>
      </c>
      <c r="Y163" s="49" t="str">
        <f>IF(Klisz_Verbräuche[[#Headers],[2045]]=$B$14,IF(COUNTIF($G163:Klisz_Verbräuche[[#This Row],[2040]],"&gt;0")&gt;0, AVERAGEIF($G163:Klisz_Verbräuche[[#This Row],[2040]],"&lt;&gt;"), ""),IF($B$14&lt;Klisz_Verbräuche[[#Headers],[2045]],IF(COUNTIF($G163:Klisz_Verbräuche[[#This Row],[2040]],"&gt;0")&gt;0,IF(COUNTIF($G163:Klisz_Verbräuche[[#This Row],[2040]],"&gt;0")&gt;0,Klisz_Verbräuche[[#This Row],[2040]]*(1-$F163)^5, ""), ""),IF($B$14&gt;Klisz_Verbräuche[[#Headers],[2045]],Refsz_Verbräuche[[#This Row],[2045]],"")))</f>
        <v/>
      </c>
      <c r="Z163" s="49" t="str">
        <f>IF(Klisz_Verbräuche[[#Headers],[2050]]=$B$14,IF(COUNTIF($G163:Klisz_Verbräuche[[#This Row],[2045]],"&gt;0")&gt;0, AVERAGEIF($G163:Klisz_Verbräuche[[#This Row],[2045]],"&lt;&gt;"), ""),IF($B$14&lt;Klisz_Verbräuche[[#Headers],[2050]],IF(COUNTIF($G163:Klisz_Verbräuche[[#This Row],[2045]],"&gt;0")&gt;0,IF(COUNTIF($G163:Klisz_Verbräuche[[#This Row],[2045]],"&gt;0")&gt;0,Klisz_Verbräuche[[#This Row],[2045]]*(1-$F163)^5, ""), ""),IF($B$14&gt;Klisz_Verbräuche[[#Headers],[2050]],Refsz_Verbräuche[[#This Row],[2050]],"")))</f>
        <v/>
      </c>
      <c r="AA163" s="14"/>
    </row>
    <row r="164" spans="2:27">
      <c r="B164" s="14">
        <v>147</v>
      </c>
      <c r="C164" s="197">
        <f>Refsz_Verbräuche[[#This Row],[Handlungsfeld]]</f>
        <v>0</v>
      </c>
      <c r="D164" s="19">
        <f>Refsz_Verbräuche[[#This Row],[Datenpunkt]]</f>
        <v>0</v>
      </c>
      <c r="E164" s="26">
        <f>Refsz_Verbräuche[[#This Row],[Einheit]]</f>
        <v>0</v>
      </c>
      <c r="F164" s="108"/>
      <c r="G164" s="14" t="str">
        <f>IF(ISBLANK(Refsz_Verbräuche[[#This Row],[2015]]),"",Refsz_Verbräuche[[#This Row],[2015]])</f>
        <v/>
      </c>
      <c r="H164" s="14" t="str">
        <f>IF(ISBLANK(Refsz_Verbräuche[[#This Row],[2016]]),"",Refsz_Verbräuche[[#This Row],[2016]])</f>
        <v/>
      </c>
      <c r="I164" s="14" t="str">
        <f>IF(ISBLANK(Refsz_Verbräuche[[#This Row],[2017]]),"",Refsz_Verbräuche[[#This Row],[2017]])</f>
        <v/>
      </c>
      <c r="J164" s="14" t="str">
        <f>IF(ISBLANK(Refsz_Verbräuche[[#This Row],[2018]]),"",Refsz_Verbräuche[[#This Row],[2018]])</f>
        <v/>
      </c>
      <c r="K164" s="14" t="str">
        <f>IF(ISBLANK(Refsz_Verbräuche[[#This Row],[2019]]),"",Refsz_Verbräuche[[#This Row],[2019]])</f>
        <v/>
      </c>
      <c r="L164" s="14" t="str">
        <f>IF(ISBLANK(Refsz_Verbräuche[[#This Row],[2020]]),"",Refsz_Verbräuche[[#This Row],[2020]])</f>
        <v/>
      </c>
      <c r="M164" s="14" t="str">
        <f>IF(ISBLANK(Refsz_Verbräuche[[#This Row],[2021]]),"",Refsz_Verbräuche[[#This Row],[2021]])</f>
        <v/>
      </c>
      <c r="N164" s="49" t="str">
        <f>IF(Klisz_Verbräuche[[#Headers],[2022]]=$B$14,IF(COUNTIF($G164:Klisz_Verbräuche[[#This Row],[2021]],"&gt;0")&gt;0, AVERAGEIF($G164:Klisz_Verbräuche[[#This Row],[2021]],"&lt;&gt;"), ""),IF($B$14&lt;Klisz_Verbräuche[[#Headers],[2022]],IF(COUNTIF($G164:Klisz_Verbräuche[[#This Row],[2021]],"&gt;0")&gt;0,IF(COUNTIF($G164:Klisz_Verbräuche[[#This Row],[2021]],"&gt;0")&gt;0,Klisz_Verbräuche[[#This Row],[2021]]*(1-$F164)^1, ""), ""),IF($B$14&gt;Klisz_Verbräuche[[#Headers],[2022]],Refsz_Verbräuche[[#This Row],[2022]],"")))</f>
        <v/>
      </c>
      <c r="O164" s="49" t="str">
        <f>IF(Klisz_Verbräuche[[#Headers],[2023]]=$B$14,IF(COUNTIF($G164:Klisz_Verbräuche[[#This Row],[2022]],"&gt;0")&gt;0, AVERAGEIF($G164:Klisz_Verbräuche[[#This Row],[2022]],"&lt;&gt;"), ""),IF($B$14&lt;Klisz_Verbräuche[[#Headers],[2023]],IF(COUNTIF($G164:Klisz_Verbräuche[[#This Row],[2022]],"&gt;0")&gt;0,IF(COUNTIF($G164:Klisz_Verbräuche[[#This Row],[2022]],"&gt;0")&gt;0,Klisz_Verbräuche[[#This Row],[2022]]*(1-$F164)^1, ""), ""),IF($B$14&gt;Klisz_Verbräuche[[#Headers],[2023]],Refsz_Verbräuche[[#This Row],[2023]],"")))</f>
        <v/>
      </c>
      <c r="P164" s="49" t="str">
        <f>IF(Klisz_Verbräuche[[#Headers],[2024]]=$B$14,IF(COUNTIF($G164:Klisz_Verbräuche[[#This Row],[2023]],"&gt;0")&gt;0, AVERAGEIF($G164:Klisz_Verbräuche[[#This Row],[2023]],"&lt;&gt;"), ""),IF($B$14&lt;Klisz_Verbräuche[[#Headers],[2024]],IF(COUNTIF($G164:Klisz_Verbräuche[[#This Row],[2023]],"&gt;0")&gt;0,IF(COUNTIF($G164:Klisz_Verbräuche[[#This Row],[2023]],"&gt;0")&gt;0,Klisz_Verbräuche[[#This Row],[2023]]*(1-$F164)^1, ""), ""),IF($B$14&gt;Klisz_Verbräuche[[#Headers],[2024]],Refsz_Verbräuche[[#This Row],[2024]],"")))</f>
        <v/>
      </c>
      <c r="Q164" s="49" t="str">
        <f>IF(Klisz_Verbräuche[[#Headers],[2025]]=$B$14,IF(COUNTIF($G164:Klisz_Verbräuche[[#This Row],[2024]],"&gt;0")&gt;0, AVERAGEIF($G164:Klisz_Verbräuche[[#This Row],[2024]],"&lt;&gt;"), ""),IF($B$14&lt;Klisz_Verbräuche[[#Headers],[2025]],IF(COUNTIF($G164:Klisz_Verbräuche[[#This Row],[2024]],"&gt;0")&gt;0,IF(COUNTIF($G164:Klisz_Verbräuche[[#This Row],[2024]],"&gt;0")&gt;0,Klisz_Verbräuche[[#This Row],[2024]]*(1-$F164)^1, ""), ""),IF($B$14&gt;Klisz_Verbräuche[[#Headers],[2025]],Refsz_Verbräuche[[#This Row],[2025]],"")))</f>
        <v/>
      </c>
      <c r="R164" s="49" t="str">
        <f>IF(Klisz_Verbräuche[[#Headers],[2026]]=$B$14,IF(COUNTIF($G164:Klisz_Verbräuche[[#This Row],[2025]],"&gt;0")&gt;0, AVERAGEIF($G164:Klisz_Verbräuche[[#This Row],[2025]],"&lt;&gt;"), ""),IF($B$14&lt;Klisz_Verbräuche[[#Headers],[2026]],IF(COUNTIF($G164:Klisz_Verbräuche[[#This Row],[2025]],"&gt;0")&gt;0,IF(COUNTIF($G164:Klisz_Verbräuche[[#This Row],[2025]],"&gt;0")&gt;0,Klisz_Verbräuche[[#This Row],[2025]]*(1-$F164)^1, ""), ""),IF($B$14&gt;Klisz_Verbräuche[[#Headers],[2026]],Refsz_Verbräuche[[#This Row],[2026]],"")))</f>
        <v/>
      </c>
      <c r="S164" s="49" t="str">
        <f>IF(Klisz_Verbräuche[[#Headers],[2027]]=$B$14,IF(COUNTIF($G164:Klisz_Verbräuche[[#This Row],[2026]],"&gt;0")&gt;0, AVERAGEIF($G164:Klisz_Verbräuche[[#This Row],[2026]],"&lt;&gt;"), ""),IF($B$14&lt;Klisz_Verbräuche[[#Headers],[2027]],IF(COUNTIF($G164:Klisz_Verbräuche[[#This Row],[2026]],"&gt;0")&gt;0,IF(COUNTIF($G164:Klisz_Verbräuche[[#This Row],[2026]],"&gt;0")&gt;0,Klisz_Verbräuche[[#This Row],[2026]]*(1-$F164)^1, ""), ""),IF($B$14&gt;Klisz_Verbräuche[[#Headers],[2027]],Refsz_Verbräuche[[#This Row],[2027]],"")))</f>
        <v/>
      </c>
      <c r="T164" s="49" t="str">
        <f>IF(Klisz_Verbräuche[[#Headers],[2028]]=$B$14,IF(COUNTIF($G164:Klisz_Verbräuche[[#This Row],[2027]],"&gt;0")&gt;0, AVERAGEIF($G164:Klisz_Verbräuche[[#This Row],[2027]],"&lt;&gt;"), ""),IF($B$14&lt;Klisz_Verbräuche[[#Headers],[2028]],IF(COUNTIF($G164:Klisz_Verbräuche[[#This Row],[2027]],"&gt;0")&gt;0,IF(COUNTIF($G164:Klisz_Verbräuche[[#This Row],[2027]],"&gt;0")&gt;0,Klisz_Verbräuche[[#This Row],[2027]]*(1-$F164)^1, ""), ""),IF($B$14&gt;Klisz_Verbräuche[[#Headers],[2028]],Refsz_Verbräuche[[#This Row],[2028]],"")))</f>
        <v/>
      </c>
      <c r="U164" s="49" t="str">
        <f>IF(Klisz_Verbräuche[[#Headers],[2029]]=$B$14,IF(COUNTIF($G164:Klisz_Verbräuche[[#This Row],[2028]],"&gt;0")&gt;0, AVERAGEIF($G164:Klisz_Verbräuche[[#This Row],[2028]],"&lt;&gt;"), ""),IF($B$14&lt;Klisz_Verbräuche[[#Headers],[2029]],IF(COUNTIF($G164:Klisz_Verbräuche[[#This Row],[2028]],"&gt;0")&gt;0,IF(COUNTIF($G164:Klisz_Verbräuche[[#This Row],[2028]],"&gt;0")&gt;0,Klisz_Verbräuche[[#This Row],[2028]]*(1-$F164)^1, ""), ""),IF($B$14&gt;Klisz_Verbräuche[[#Headers],[2029]],Refsz_Verbräuche[[#This Row],[2029]],"")))</f>
        <v/>
      </c>
      <c r="V164" s="49" t="str">
        <f>IF(Klisz_Verbräuche[[#Headers],[2030]]=$B$14,IF(COUNTIF($G164:Klisz_Verbräuche[[#This Row],[2029]],"&gt;0")&gt;0, AVERAGEIF($G164:Klisz_Verbräuche[[#This Row],[2029]],"&lt;&gt;"), ""),IF($B$14&lt;Klisz_Verbräuche[[#Headers],[2030]],IF(COUNTIF($G164:Klisz_Verbräuche[[#This Row],[2029]],"&gt;0")&gt;0,IF(COUNTIF($G164:Klisz_Verbräuche[[#This Row],[2029]],"&gt;0")&gt;0,Klisz_Verbräuche[[#This Row],[2029]]*(1-$F164)^1, ""), ""),IF($B$14&gt;Klisz_Verbräuche[[#Headers],[2030]],Refsz_Verbräuche[[#This Row],[2030]],"")))</f>
        <v/>
      </c>
      <c r="W164" s="49" t="str">
        <f>IF(Klisz_Verbräuche[[#Headers],[2035]]=$B$14,IF(COUNTIF($G164:Klisz_Verbräuche[[#This Row],[2030]],"&gt;0")&gt;0, AVERAGEIF($G164:Klisz_Verbräuche[[#This Row],[2030]],"&lt;&gt;"), ""),IF($B$14&lt;Klisz_Verbräuche[[#Headers],[2035]],IF(COUNTIF($G164:Klisz_Verbräuche[[#This Row],[2030]],"&gt;0")&gt;0,IF(COUNTIF($G164:Klisz_Verbräuche[[#This Row],[2030]],"&gt;0")&gt;0,Klisz_Verbräuche[[#This Row],[2030]]*(1-$F164)^5, ""), ""),IF($B$14&gt;Klisz_Verbräuche[[#Headers],[2035]],Refsz_Verbräuche[[#This Row],[2035]],"")))</f>
        <v/>
      </c>
      <c r="X164" s="49" t="str">
        <f>IF(Klisz_Verbräuche[[#Headers],[2040]]=$B$14,IF(COUNTIF($G164:Klisz_Verbräuche[[#This Row],[2035]],"&gt;0")&gt;0, AVERAGEIF($G164:Klisz_Verbräuche[[#This Row],[2035]],"&lt;&gt;"), ""),IF($B$14&lt;Klisz_Verbräuche[[#Headers],[2040]],IF(COUNTIF($G164:Klisz_Verbräuche[[#This Row],[2035]],"&gt;0")&gt;0,IF(COUNTIF($G164:Klisz_Verbräuche[[#This Row],[2035]],"&gt;0")&gt;0,Klisz_Verbräuche[[#This Row],[2035]]*(1-$F164)^5, ""), ""),IF($B$14&gt;Klisz_Verbräuche[[#Headers],[2040]],Refsz_Verbräuche[[#This Row],[2040]],"")))</f>
        <v/>
      </c>
      <c r="Y164" s="49" t="str">
        <f>IF(Klisz_Verbräuche[[#Headers],[2045]]=$B$14,IF(COUNTIF($G164:Klisz_Verbräuche[[#This Row],[2040]],"&gt;0")&gt;0, AVERAGEIF($G164:Klisz_Verbräuche[[#This Row],[2040]],"&lt;&gt;"), ""),IF($B$14&lt;Klisz_Verbräuche[[#Headers],[2045]],IF(COUNTIF($G164:Klisz_Verbräuche[[#This Row],[2040]],"&gt;0")&gt;0,IF(COUNTIF($G164:Klisz_Verbräuche[[#This Row],[2040]],"&gt;0")&gt;0,Klisz_Verbräuche[[#This Row],[2040]]*(1-$F164)^5, ""), ""),IF($B$14&gt;Klisz_Verbräuche[[#Headers],[2045]],Refsz_Verbräuche[[#This Row],[2045]],"")))</f>
        <v/>
      </c>
      <c r="Z164" s="49" t="str">
        <f>IF(Klisz_Verbräuche[[#Headers],[2050]]=$B$14,IF(COUNTIF($G164:Klisz_Verbräuche[[#This Row],[2045]],"&gt;0")&gt;0, AVERAGEIF($G164:Klisz_Verbräuche[[#This Row],[2045]],"&lt;&gt;"), ""),IF($B$14&lt;Klisz_Verbräuche[[#Headers],[2050]],IF(COUNTIF($G164:Klisz_Verbräuche[[#This Row],[2045]],"&gt;0")&gt;0,IF(COUNTIF($G164:Klisz_Verbräuche[[#This Row],[2045]],"&gt;0")&gt;0,Klisz_Verbräuche[[#This Row],[2045]]*(1-$F164)^5, ""), ""),IF($B$14&gt;Klisz_Verbräuche[[#Headers],[2050]],Refsz_Verbräuche[[#This Row],[2050]],"")))</f>
        <v/>
      </c>
      <c r="AA164" s="14"/>
    </row>
    <row r="165" spans="2:27">
      <c r="B165" s="14">
        <v>148</v>
      </c>
      <c r="C165" s="197" t="str">
        <f>Refsz_Verbräuche[[#This Row],[Handlungsfeld]]</f>
        <v>Kompensation</v>
      </c>
      <c r="D165" s="19" t="str">
        <f>Refsz_Verbräuche[[#This Row],[Datenpunkt]]</f>
        <v>Kompensation</v>
      </c>
      <c r="E165" s="26" t="str">
        <f>Refsz_Verbräuche[[#This Row],[Einheit]]</f>
        <v>t</v>
      </c>
      <c r="F165" s="108"/>
      <c r="G165" s="14" t="str">
        <f>IF(ISBLANK(Refsz_Verbräuche[[#This Row],[2015]]),"",Refsz_Verbräuche[[#This Row],[2015]])</f>
        <v/>
      </c>
      <c r="H165" s="14" t="str">
        <f>IF(ISBLANK(Refsz_Verbräuche[[#This Row],[2016]]),"",Refsz_Verbräuche[[#This Row],[2016]])</f>
        <v/>
      </c>
      <c r="I165" s="14" t="str">
        <f>IF(ISBLANK(Refsz_Verbräuche[[#This Row],[2017]]),"",Refsz_Verbräuche[[#This Row],[2017]])</f>
        <v/>
      </c>
      <c r="J165" s="14" t="str">
        <f>IF(ISBLANK(Refsz_Verbräuche[[#This Row],[2018]]),"",Refsz_Verbräuche[[#This Row],[2018]])</f>
        <v/>
      </c>
      <c r="K165" s="14" t="str">
        <f>IF(ISBLANK(Refsz_Verbräuche[[#This Row],[2019]]),"",Refsz_Verbräuche[[#This Row],[2019]])</f>
        <v/>
      </c>
      <c r="L165" s="14" t="str">
        <f>IF(ISBLANK(Refsz_Verbräuche[[#This Row],[2020]]),"",Refsz_Verbräuche[[#This Row],[2020]])</f>
        <v/>
      </c>
      <c r="M165" s="14" t="str">
        <f>IF(ISBLANK(Refsz_Verbräuche[[#This Row],[2021]]),"",Refsz_Verbräuche[[#This Row],[2021]])</f>
        <v/>
      </c>
      <c r="N165" s="49" t="str">
        <f>IF(Klisz_Verbräuche[[#Headers],[2022]]=$B$14,IF(COUNTIF($G165:Klisz_Verbräuche[[#This Row],[2021]],"&gt;0")&gt;0, AVERAGEIF($G165:Klisz_Verbräuche[[#This Row],[2021]],"&lt;&gt;"), ""),IF($B$14&lt;Klisz_Verbräuche[[#Headers],[2022]],IF(COUNTIF($G165:Klisz_Verbräuche[[#This Row],[2021]],"&gt;0")&gt;0,IF(COUNTIF($G165:Klisz_Verbräuche[[#This Row],[2021]],"&gt;0")&gt;0,Klisz_Verbräuche[[#This Row],[2021]]*(1-$F165)^1, ""), ""),IF($B$14&gt;Klisz_Verbräuche[[#Headers],[2022]],Refsz_Verbräuche[[#This Row],[2022]],"")))</f>
        <v/>
      </c>
      <c r="O165" s="49" t="str">
        <f>IF(Klisz_Verbräuche[[#Headers],[2023]]=$B$14,IF(COUNTIF($G165:Klisz_Verbräuche[[#This Row],[2022]],"&gt;0")&gt;0, AVERAGEIF($G165:Klisz_Verbräuche[[#This Row],[2022]],"&lt;&gt;"), ""),IF($B$14&lt;Klisz_Verbräuche[[#Headers],[2023]],IF(COUNTIF($G165:Klisz_Verbräuche[[#This Row],[2022]],"&gt;0")&gt;0,IF(COUNTIF($G165:Klisz_Verbräuche[[#This Row],[2022]],"&gt;0")&gt;0,Klisz_Verbräuche[[#This Row],[2022]]*(1-$F165)^1, ""), ""),IF($B$14&gt;Klisz_Verbräuche[[#Headers],[2023]],Refsz_Verbräuche[[#This Row],[2023]],"")))</f>
        <v/>
      </c>
      <c r="P165" s="49" t="str">
        <f>IF(Klisz_Verbräuche[[#Headers],[2024]]=$B$14,IF(COUNTIF($G165:Klisz_Verbräuche[[#This Row],[2023]],"&gt;0")&gt;0, AVERAGEIF($G165:Klisz_Verbräuche[[#This Row],[2023]],"&lt;&gt;"), ""),IF($B$14&lt;Klisz_Verbräuche[[#Headers],[2024]],IF(COUNTIF($G165:Klisz_Verbräuche[[#This Row],[2023]],"&gt;0")&gt;0,IF(COUNTIF($G165:Klisz_Verbräuche[[#This Row],[2023]],"&gt;0")&gt;0,Klisz_Verbräuche[[#This Row],[2023]]*(1-$F165)^1, ""), ""),IF($B$14&gt;Klisz_Verbräuche[[#Headers],[2024]],Refsz_Verbräuche[[#This Row],[2024]],"")))</f>
        <v/>
      </c>
      <c r="Q165" s="49" t="str">
        <f>IF(Klisz_Verbräuche[[#Headers],[2025]]=$B$14,IF(COUNTIF($G165:Klisz_Verbräuche[[#This Row],[2024]],"&gt;0")&gt;0, AVERAGEIF($G165:Klisz_Verbräuche[[#This Row],[2024]],"&lt;&gt;"), ""),IF($B$14&lt;Klisz_Verbräuche[[#Headers],[2025]],IF(COUNTIF($G165:Klisz_Verbräuche[[#This Row],[2024]],"&gt;0")&gt;0,IF(COUNTIF($G165:Klisz_Verbräuche[[#This Row],[2024]],"&gt;0")&gt;0,Klisz_Verbräuche[[#This Row],[2024]]*(1-$F165)^1, ""), ""),IF($B$14&gt;Klisz_Verbräuche[[#Headers],[2025]],Refsz_Verbräuche[[#This Row],[2025]],"")))</f>
        <v/>
      </c>
      <c r="R165" s="49" t="str">
        <f>IF(Klisz_Verbräuche[[#Headers],[2026]]=$B$14,IF(COUNTIF($G165:Klisz_Verbräuche[[#This Row],[2025]],"&gt;0")&gt;0, AVERAGEIF($G165:Klisz_Verbräuche[[#This Row],[2025]],"&lt;&gt;"), ""),IF($B$14&lt;Klisz_Verbräuche[[#Headers],[2026]],IF(COUNTIF($G165:Klisz_Verbräuche[[#This Row],[2025]],"&gt;0")&gt;0,IF(COUNTIF($G165:Klisz_Verbräuche[[#This Row],[2025]],"&gt;0")&gt;0,Klisz_Verbräuche[[#This Row],[2025]]*(1-$F165)^1, ""), ""),IF($B$14&gt;Klisz_Verbräuche[[#Headers],[2026]],Refsz_Verbräuche[[#This Row],[2026]],"")))</f>
        <v/>
      </c>
      <c r="S165" s="49" t="str">
        <f>IF(Klisz_Verbräuche[[#Headers],[2027]]=$B$14,IF(COUNTIF($G165:Klisz_Verbräuche[[#This Row],[2026]],"&gt;0")&gt;0, AVERAGEIF($G165:Klisz_Verbräuche[[#This Row],[2026]],"&lt;&gt;"), ""),IF($B$14&lt;Klisz_Verbräuche[[#Headers],[2027]],IF(COUNTIF($G165:Klisz_Verbräuche[[#This Row],[2026]],"&gt;0")&gt;0,IF(COUNTIF($G165:Klisz_Verbräuche[[#This Row],[2026]],"&gt;0")&gt;0,Klisz_Verbräuche[[#This Row],[2026]]*(1-$F165)^1, ""), ""),IF($B$14&gt;Klisz_Verbräuche[[#Headers],[2027]],Refsz_Verbräuche[[#This Row],[2027]],"")))</f>
        <v/>
      </c>
      <c r="T165" s="49" t="str">
        <f>IF(Klisz_Verbräuche[[#Headers],[2028]]=$B$14,IF(COUNTIF($G165:Klisz_Verbräuche[[#This Row],[2027]],"&gt;0")&gt;0, AVERAGEIF($G165:Klisz_Verbräuche[[#This Row],[2027]],"&lt;&gt;"), ""),IF($B$14&lt;Klisz_Verbräuche[[#Headers],[2028]],IF(COUNTIF($G165:Klisz_Verbräuche[[#This Row],[2027]],"&gt;0")&gt;0,IF(COUNTIF($G165:Klisz_Verbräuche[[#This Row],[2027]],"&gt;0")&gt;0,Klisz_Verbräuche[[#This Row],[2027]]*(1-$F165)^1, ""), ""),IF($B$14&gt;Klisz_Verbräuche[[#Headers],[2028]],Refsz_Verbräuche[[#This Row],[2028]],"")))</f>
        <v/>
      </c>
      <c r="U165" s="49" t="str">
        <f>IF(Klisz_Verbräuche[[#Headers],[2029]]=$B$14,IF(COUNTIF($G165:Klisz_Verbräuche[[#This Row],[2028]],"&gt;0")&gt;0, AVERAGEIF($G165:Klisz_Verbräuche[[#This Row],[2028]],"&lt;&gt;"), ""),IF($B$14&lt;Klisz_Verbräuche[[#Headers],[2029]],IF(COUNTIF($G165:Klisz_Verbräuche[[#This Row],[2028]],"&gt;0")&gt;0,IF(COUNTIF($G165:Klisz_Verbräuche[[#This Row],[2028]],"&gt;0")&gt;0,Klisz_Verbräuche[[#This Row],[2028]]*(1-$F165)^1, ""), ""),IF($B$14&gt;Klisz_Verbräuche[[#Headers],[2029]],Refsz_Verbräuche[[#This Row],[2029]],"")))</f>
        <v/>
      </c>
      <c r="V165" s="49" t="str">
        <f>IF(Klisz_Verbräuche[[#Headers],[2030]]=$B$14,IF(COUNTIF($G165:Klisz_Verbräuche[[#This Row],[2029]],"&gt;0")&gt;0, AVERAGEIF($G165:Klisz_Verbräuche[[#This Row],[2029]],"&lt;&gt;"), ""),IF($B$14&lt;Klisz_Verbräuche[[#Headers],[2030]],IF(COUNTIF($G165:Klisz_Verbräuche[[#This Row],[2029]],"&gt;0")&gt;0,IF(COUNTIF($G165:Klisz_Verbräuche[[#This Row],[2029]],"&gt;0")&gt;0,Klisz_Verbräuche[[#This Row],[2029]]*(1-$F165)^1, ""), ""),IF($B$14&gt;Klisz_Verbräuche[[#Headers],[2030]],Refsz_Verbräuche[[#This Row],[2030]],"")))</f>
        <v/>
      </c>
      <c r="W165" s="49" t="str">
        <f>IF(Klisz_Verbräuche[[#Headers],[2035]]=$B$14,IF(COUNTIF($G165:Klisz_Verbräuche[[#This Row],[2030]],"&gt;0")&gt;0, AVERAGEIF($G165:Klisz_Verbräuche[[#This Row],[2030]],"&lt;&gt;"), ""),IF($B$14&lt;Klisz_Verbräuche[[#Headers],[2035]],IF(COUNTIF($G165:Klisz_Verbräuche[[#This Row],[2030]],"&gt;0")&gt;0,IF(COUNTIF($G165:Klisz_Verbräuche[[#This Row],[2030]],"&gt;0")&gt;0,Klisz_Verbräuche[[#This Row],[2030]]*(1-$F165)^5, ""), ""),IF($B$14&gt;Klisz_Verbräuche[[#Headers],[2035]],Refsz_Verbräuche[[#This Row],[2035]],"")))</f>
        <v/>
      </c>
      <c r="X165" s="49" t="str">
        <f>IF(Klisz_Verbräuche[[#Headers],[2040]]=$B$14,IF(COUNTIF($G165:Klisz_Verbräuche[[#This Row],[2035]],"&gt;0")&gt;0, AVERAGEIF($G165:Klisz_Verbräuche[[#This Row],[2035]],"&lt;&gt;"), ""),IF($B$14&lt;Klisz_Verbräuche[[#Headers],[2040]],IF(COUNTIF($G165:Klisz_Verbräuche[[#This Row],[2035]],"&gt;0")&gt;0,IF(COUNTIF($G165:Klisz_Verbräuche[[#This Row],[2035]],"&gt;0")&gt;0,Klisz_Verbräuche[[#This Row],[2035]]*(1-$F165)^5, ""), ""),IF($B$14&gt;Klisz_Verbräuche[[#Headers],[2040]],Refsz_Verbräuche[[#This Row],[2040]],"")))</f>
        <v/>
      </c>
      <c r="Y165" s="49" t="str">
        <f>IF(Klisz_Verbräuche[[#Headers],[2045]]=$B$14,IF(COUNTIF($G165:Klisz_Verbräuche[[#This Row],[2040]],"&gt;0")&gt;0, AVERAGEIF($G165:Klisz_Verbräuche[[#This Row],[2040]],"&lt;&gt;"), ""),IF($B$14&lt;Klisz_Verbräuche[[#Headers],[2045]],IF(COUNTIF($G165:Klisz_Verbräuche[[#This Row],[2040]],"&gt;0")&gt;0,IF(COUNTIF($G165:Klisz_Verbräuche[[#This Row],[2040]],"&gt;0")&gt;0,Klisz_Verbräuche[[#This Row],[2040]]*(1-$F165)^5, ""), ""),IF($B$14&gt;Klisz_Verbräuche[[#Headers],[2045]],Refsz_Verbräuche[[#This Row],[2045]],"")))</f>
        <v/>
      </c>
      <c r="Z165" s="49" t="str">
        <f>IF(Klisz_Verbräuche[[#Headers],[2050]]=$B$14,IF(COUNTIF($G165:Klisz_Verbräuche[[#This Row],[2045]],"&gt;0")&gt;0, AVERAGEIF($G165:Klisz_Verbräuche[[#This Row],[2045]],"&lt;&gt;"), ""),IF($B$14&lt;Klisz_Verbräuche[[#Headers],[2050]],IF(COUNTIF($G165:Klisz_Verbräuche[[#This Row],[2045]],"&gt;0")&gt;0,IF(COUNTIF($G165:Klisz_Verbräuche[[#This Row],[2045]],"&gt;0")&gt;0,Klisz_Verbräuche[[#This Row],[2045]]*(1-$F165)^5, ""), ""),IF($B$14&gt;Klisz_Verbräuche[[#Headers],[2050]],Refsz_Verbräuche[[#This Row],[2050]],"")))</f>
        <v/>
      </c>
      <c r="AA165" s="14"/>
    </row>
    <row r="166" spans="2:27">
      <c r="B166" s="14">
        <v>149</v>
      </c>
      <c r="C166" s="197">
        <f>Refsz_Verbräuche[[#This Row],[Handlungsfeld]]</f>
        <v>0</v>
      </c>
      <c r="D166" s="19">
        <f>Refsz_Verbräuche[[#This Row],[Datenpunkt]]</f>
        <v>0</v>
      </c>
      <c r="E166" s="26">
        <f>Refsz_Verbräuche[[#This Row],[Einheit]]</f>
        <v>0</v>
      </c>
      <c r="F166" s="108"/>
      <c r="G166" s="14" t="str">
        <f>IF(ISBLANK(Refsz_Verbräuche[[#This Row],[2015]]),"",Refsz_Verbräuche[[#This Row],[2015]])</f>
        <v/>
      </c>
      <c r="H166" s="14" t="str">
        <f>IF(ISBLANK(Refsz_Verbräuche[[#This Row],[2016]]),"",Refsz_Verbräuche[[#This Row],[2016]])</f>
        <v/>
      </c>
      <c r="I166" s="14" t="str">
        <f>IF(ISBLANK(Refsz_Verbräuche[[#This Row],[2017]]),"",Refsz_Verbräuche[[#This Row],[2017]])</f>
        <v/>
      </c>
      <c r="J166" s="14" t="str">
        <f>IF(ISBLANK(Refsz_Verbräuche[[#This Row],[2018]]),"",Refsz_Verbräuche[[#This Row],[2018]])</f>
        <v/>
      </c>
      <c r="K166" s="14" t="str">
        <f>IF(ISBLANK(Refsz_Verbräuche[[#This Row],[2019]]),"",Refsz_Verbräuche[[#This Row],[2019]])</f>
        <v/>
      </c>
      <c r="L166" s="14" t="str">
        <f>IF(ISBLANK(Refsz_Verbräuche[[#This Row],[2020]]),"",Refsz_Verbräuche[[#This Row],[2020]])</f>
        <v/>
      </c>
      <c r="M166" s="14" t="str">
        <f>IF(ISBLANK(Refsz_Verbräuche[[#This Row],[2021]]),"",Refsz_Verbräuche[[#This Row],[2021]])</f>
        <v/>
      </c>
      <c r="N166" s="49" t="str">
        <f>IF(Klisz_Verbräuche[[#Headers],[2022]]=$B$14,IF(COUNTIF($G166:Klisz_Verbräuche[[#This Row],[2021]],"&gt;0")&gt;0, AVERAGEIF($G166:Klisz_Verbräuche[[#This Row],[2021]],"&lt;&gt;"), ""),IF($B$14&lt;Klisz_Verbräuche[[#Headers],[2022]],IF(COUNTIF($G166:Klisz_Verbräuche[[#This Row],[2021]],"&gt;0")&gt;0,IF(COUNTIF($G166:Klisz_Verbräuche[[#This Row],[2021]],"&gt;0")&gt;0,Klisz_Verbräuche[[#This Row],[2021]]*(1-$F166)^1, ""), ""),IF($B$14&gt;Klisz_Verbräuche[[#Headers],[2022]],Refsz_Verbräuche[[#This Row],[2022]],"")))</f>
        <v/>
      </c>
      <c r="O166" s="49" t="str">
        <f>IF(Klisz_Verbräuche[[#Headers],[2023]]=$B$14,IF(COUNTIF($G166:Klisz_Verbräuche[[#This Row],[2022]],"&gt;0")&gt;0, AVERAGEIF($G166:Klisz_Verbräuche[[#This Row],[2022]],"&lt;&gt;"), ""),IF($B$14&lt;Klisz_Verbräuche[[#Headers],[2023]],IF(COUNTIF($G166:Klisz_Verbräuche[[#This Row],[2022]],"&gt;0")&gt;0,IF(COUNTIF($G166:Klisz_Verbräuche[[#This Row],[2022]],"&gt;0")&gt;0,Klisz_Verbräuche[[#This Row],[2022]]*(1-$F166)^1, ""), ""),IF($B$14&gt;Klisz_Verbräuche[[#Headers],[2023]],Refsz_Verbräuche[[#This Row],[2023]],"")))</f>
        <v/>
      </c>
      <c r="P166" s="49" t="str">
        <f>IF(Klisz_Verbräuche[[#Headers],[2024]]=$B$14,IF(COUNTIF($G166:Klisz_Verbräuche[[#This Row],[2023]],"&gt;0")&gt;0, AVERAGEIF($G166:Klisz_Verbräuche[[#This Row],[2023]],"&lt;&gt;"), ""),IF($B$14&lt;Klisz_Verbräuche[[#Headers],[2024]],IF(COUNTIF($G166:Klisz_Verbräuche[[#This Row],[2023]],"&gt;0")&gt;0,IF(COUNTIF($G166:Klisz_Verbräuche[[#This Row],[2023]],"&gt;0")&gt;0,Klisz_Verbräuche[[#This Row],[2023]]*(1-$F166)^1, ""), ""),IF($B$14&gt;Klisz_Verbräuche[[#Headers],[2024]],Refsz_Verbräuche[[#This Row],[2024]],"")))</f>
        <v/>
      </c>
      <c r="Q166" s="49" t="str">
        <f>IF(Klisz_Verbräuche[[#Headers],[2025]]=$B$14,IF(COUNTIF($G166:Klisz_Verbräuche[[#This Row],[2024]],"&gt;0")&gt;0, AVERAGEIF($G166:Klisz_Verbräuche[[#This Row],[2024]],"&lt;&gt;"), ""),IF($B$14&lt;Klisz_Verbräuche[[#Headers],[2025]],IF(COUNTIF($G166:Klisz_Verbräuche[[#This Row],[2024]],"&gt;0")&gt;0,IF(COUNTIF($G166:Klisz_Verbräuche[[#This Row],[2024]],"&gt;0")&gt;0,Klisz_Verbräuche[[#This Row],[2024]]*(1-$F166)^1, ""), ""),IF($B$14&gt;Klisz_Verbräuche[[#Headers],[2025]],Refsz_Verbräuche[[#This Row],[2025]],"")))</f>
        <v/>
      </c>
      <c r="R166" s="49" t="str">
        <f>IF(Klisz_Verbräuche[[#Headers],[2026]]=$B$14,IF(COUNTIF($G166:Klisz_Verbräuche[[#This Row],[2025]],"&gt;0")&gt;0, AVERAGEIF($G166:Klisz_Verbräuche[[#This Row],[2025]],"&lt;&gt;"), ""),IF($B$14&lt;Klisz_Verbräuche[[#Headers],[2026]],IF(COUNTIF($G166:Klisz_Verbräuche[[#This Row],[2025]],"&gt;0")&gt;0,IF(COUNTIF($G166:Klisz_Verbräuche[[#This Row],[2025]],"&gt;0")&gt;0,Klisz_Verbräuche[[#This Row],[2025]]*(1-$F166)^1, ""), ""),IF($B$14&gt;Klisz_Verbräuche[[#Headers],[2026]],Refsz_Verbräuche[[#This Row],[2026]],"")))</f>
        <v/>
      </c>
      <c r="S166" s="49" t="str">
        <f>IF(Klisz_Verbräuche[[#Headers],[2027]]=$B$14,IF(COUNTIF($G166:Klisz_Verbräuche[[#This Row],[2026]],"&gt;0")&gt;0, AVERAGEIF($G166:Klisz_Verbräuche[[#This Row],[2026]],"&lt;&gt;"), ""),IF($B$14&lt;Klisz_Verbräuche[[#Headers],[2027]],IF(COUNTIF($G166:Klisz_Verbräuche[[#This Row],[2026]],"&gt;0")&gt;0,IF(COUNTIF($G166:Klisz_Verbräuche[[#This Row],[2026]],"&gt;0")&gt;0,Klisz_Verbräuche[[#This Row],[2026]]*(1-$F166)^1, ""), ""),IF($B$14&gt;Klisz_Verbräuche[[#Headers],[2027]],Refsz_Verbräuche[[#This Row],[2027]],"")))</f>
        <v/>
      </c>
      <c r="T166" s="49" t="str">
        <f>IF(Klisz_Verbräuche[[#Headers],[2028]]=$B$14,IF(COUNTIF($G166:Klisz_Verbräuche[[#This Row],[2027]],"&gt;0")&gt;0, AVERAGEIF($G166:Klisz_Verbräuche[[#This Row],[2027]],"&lt;&gt;"), ""),IF($B$14&lt;Klisz_Verbräuche[[#Headers],[2028]],IF(COUNTIF($G166:Klisz_Verbräuche[[#This Row],[2027]],"&gt;0")&gt;0,IF(COUNTIF($G166:Klisz_Verbräuche[[#This Row],[2027]],"&gt;0")&gt;0,Klisz_Verbräuche[[#This Row],[2027]]*(1-$F166)^1, ""), ""),IF($B$14&gt;Klisz_Verbräuche[[#Headers],[2028]],Refsz_Verbräuche[[#This Row],[2028]],"")))</f>
        <v/>
      </c>
      <c r="U166" s="49" t="str">
        <f>IF(Klisz_Verbräuche[[#Headers],[2029]]=$B$14,IF(COUNTIF($G166:Klisz_Verbräuche[[#This Row],[2028]],"&gt;0")&gt;0, AVERAGEIF($G166:Klisz_Verbräuche[[#This Row],[2028]],"&lt;&gt;"), ""),IF($B$14&lt;Klisz_Verbräuche[[#Headers],[2029]],IF(COUNTIF($G166:Klisz_Verbräuche[[#This Row],[2028]],"&gt;0")&gt;0,IF(COUNTIF($G166:Klisz_Verbräuche[[#This Row],[2028]],"&gt;0")&gt;0,Klisz_Verbräuche[[#This Row],[2028]]*(1-$F166)^1, ""), ""),IF($B$14&gt;Klisz_Verbräuche[[#Headers],[2029]],Refsz_Verbräuche[[#This Row],[2029]],"")))</f>
        <v/>
      </c>
      <c r="V166" s="49" t="str">
        <f>IF(Klisz_Verbräuche[[#Headers],[2030]]=$B$14,IF(COUNTIF($G166:Klisz_Verbräuche[[#This Row],[2029]],"&gt;0")&gt;0, AVERAGEIF($G166:Klisz_Verbräuche[[#This Row],[2029]],"&lt;&gt;"), ""),IF($B$14&lt;Klisz_Verbräuche[[#Headers],[2030]],IF(COUNTIF($G166:Klisz_Verbräuche[[#This Row],[2029]],"&gt;0")&gt;0,IF(COUNTIF($G166:Klisz_Verbräuche[[#This Row],[2029]],"&gt;0")&gt;0,Klisz_Verbräuche[[#This Row],[2029]]*(1-$F166)^1, ""), ""),IF($B$14&gt;Klisz_Verbräuche[[#Headers],[2030]],Refsz_Verbräuche[[#This Row],[2030]],"")))</f>
        <v/>
      </c>
      <c r="W166" s="49" t="str">
        <f>IF(Klisz_Verbräuche[[#Headers],[2035]]=$B$14,IF(COUNTIF($G166:Klisz_Verbräuche[[#This Row],[2030]],"&gt;0")&gt;0, AVERAGEIF($G166:Klisz_Verbräuche[[#This Row],[2030]],"&lt;&gt;"), ""),IF($B$14&lt;Klisz_Verbräuche[[#Headers],[2035]],IF(COUNTIF($G166:Klisz_Verbräuche[[#This Row],[2030]],"&gt;0")&gt;0,IF(COUNTIF($G166:Klisz_Verbräuche[[#This Row],[2030]],"&gt;0")&gt;0,Klisz_Verbräuche[[#This Row],[2030]]*(1-$F166)^5, ""), ""),IF($B$14&gt;Klisz_Verbräuche[[#Headers],[2035]],Refsz_Verbräuche[[#This Row],[2035]],"")))</f>
        <v/>
      </c>
      <c r="X166" s="49" t="str">
        <f>IF(Klisz_Verbräuche[[#Headers],[2040]]=$B$14,IF(COUNTIF($G166:Klisz_Verbräuche[[#This Row],[2035]],"&gt;0")&gt;0, AVERAGEIF($G166:Klisz_Verbräuche[[#This Row],[2035]],"&lt;&gt;"), ""),IF($B$14&lt;Klisz_Verbräuche[[#Headers],[2040]],IF(COUNTIF($G166:Klisz_Verbräuche[[#This Row],[2035]],"&gt;0")&gt;0,IF(COUNTIF($G166:Klisz_Verbräuche[[#This Row],[2035]],"&gt;0")&gt;0,Klisz_Verbräuche[[#This Row],[2035]]*(1-$F166)^5, ""), ""),IF($B$14&gt;Klisz_Verbräuche[[#Headers],[2040]],Refsz_Verbräuche[[#This Row],[2040]],"")))</f>
        <v/>
      </c>
      <c r="Y166" s="49" t="str">
        <f>IF(Klisz_Verbräuche[[#Headers],[2045]]=$B$14,IF(COUNTIF($G166:Klisz_Verbräuche[[#This Row],[2040]],"&gt;0")&gt;0, AVERAGEIF($G166:Klisz_Verbräuche[[#This Row],[2040]],"&lt;&gt;"), ""),IF($B$14&lt;Klisz_Verbräuche[[#Headers],[2045]],IF(COUNTIF($G166:Klisz_Verbräuche[[#This Row],[2040]],"&gt;0")&gt;0,IF(COUNTIF($G166:Klisz_Verbräuche[[#This Row],[2040]],"&gt;0")&gt;0,Klisz_Verbräuche[[#This Row],[2040]]*(1-$F166)^5, ""), ""),IF($B$14&gt;Klisz_Verbräuche[[#Headers],[2045]],Refsz_Verbräuche[[#This Row],[2045]],"")))</f>
        <v/>
      </c>
      <c r="Z166" s="49" t="str">
        <f>IF(Klisz_Verbräuche[[#Headers],[2050]]=$B$14,IF(COUNTIF($G166:Klisz_Verbräuche[[#This Row],[2045]],"&gt;0")&gt;0, AVERAGEIF($G166:Klisz_Verbräuche[[#This Row],[2045]],"&lt;&gt;"), ""),IF($B$14&lt;Klisz_Verbräuche[[#Headers],[2050]],IF(COUNTIF($G166:Klisz_Verbräuche[[#This Row],[2045]],"&gt;0")&gt;0,IF(COUNTIF($G166:Klisz_Verbräuche[[#This Row],[2045]],"&gt;0")&gt;0,Klisz_Verbräuche[[#This Row],[2045]]*(1-$F166)^5, ""), ""),IF($B$14&gt;Klisz_Verbräuche[[#Headers],[2050]],Refsz_Verbräuche[[#This Row],[2050]],"")))</f>
        <v/>
      </c>
      <c r="AA166" s="14"/>
    </row>
    <row r="167" spans="2:27">
      <c r="B167" s="14">
        <v>150</v>
      </c>
      <c r="C167" s="197">
        <f>Refsz_Verbräuche[[#This Row],[Handlungsfeld]]</f>
        <v>0</v>
      </c>
      <c r="D167" s="19">
        <f>Refsz_Verbräuche[[#This Row],[Datenpunkt]]</f>
        <v>0</v>
      </c>
      <c r="E167" s="26">
        <f>Refsz_Verbräuche[[#This Row],[Einheit]]</f>
        <v>0</v>
      </c>
      <c r="F167" s="108"/>
      <c r="G167" s="14" t="str">
        <f>IF(ISBLANK(Refsz_Verbräuche[[#This Row],[2015]]),"",Refsz_Verbräuche[[#This Row],[2015]])</f>
        <v/>
      </c>
      <c r="H167" s="14" t="str">
        <f>IF(ISBLANK(Refsz_Verbräuche[[#This Row],[2016]]),"",Refsz_Verbräuche[[#This Row],[2016]])</f>
        <v/>
      </c>
      <c r="I167" s="14" t="str">
        <f>IF(ISBLANK(Refsz_Verbräuche[[#This Row],[2017]]),"",Refsz_Verbräuche[[#This Row],[2017]])</f>
        <v/>
      </c>
      <c r="J167" s="14" t="str">
        <f>IF(ISBLANK(Refsz_Verbräuche[[#This Row],[2018]]),"",Refsz_Verbräuche[[#This Row],[2018]])</f>
        <v/>
      </c>
      <c r="K167" s="14" t="str">
        <f>IF(ISBLANK(Refsz_Verbräuche[[#This Row],[2019]]),"",Refsz_Verbräuche[[#This Row],[2019]])</f>
        <v/>
      </c>
      <c r="L167" s="14" t="str">
        <f>IF(ISBLANK(Refsz_Verbräuche[[#This Row],[2020]]),"",Refsz_Verbräuche[[#This Row],[2020]])</f>
        <v/>
      </c>
      <c r="M167" s="14" t="str">
        <f>IF(ISBLANK(Refsz_Verbräuche[[#This Row],[2021]]),"",Refsz_Verbräuche[[#This Row],[2021]])</f>
        <v/>
      </c>
      <c r="N167" s="49" t="str">
        <f>IF(Klisz_Verbräuche[[#Headers],[2022]]=$B$14,IF(COUNTIF($G167:Klisz_Verbräuche[[#This Row],[2021]],"&gt;0")&gt;0, AVERAGEIF($G167:Klisz_Verbräuche[[#This Row],[2021]],"&lt;&gt;"), ""),IF($B$14&lt;Klisz_Verbräuche[[#Headers],[2022]],IF(COUNTIF($G167:Klisz_Verbräuche[[#This Row],[2021]],"&gt;0")&gt;0,IF(COUNTIF($G167:Klisz_Verbräuche[[#This Row],[2021]],"&gt;0")&gt;0,Klisz_Verbräuche[[#This Row],[2021]]*(1-$F167)^1, ""), ""),IF($B$14&gt;Klisz_Verbräuche[[#Headers],[2022]],Refsz_Verbräuche[[#This Row],[2022]],"")))</f>
        <v/>
      </c>
      <c r="O167" s="49" t="str">
        <f>IF(Klisz_Verbräuche[[#Headers],[2023]]=$B$14,IF(COUNTIF($G167:Klisz_Verbräuche[[#This Row],[2022]],"&gt;0")&gt;0, AVERAGEIF($G167:Klisz_Verbräuche[[#This Row],[2022]],"&lt;&gt;"), ""),IF($B$14&lt;Klisz_Verbräuche[[#Headers],[2023]],IF(COUNTIF($G167:Klisz_Verbräuche[[#This Row],[2022]],"&gt;0")&gt;0,IF(COUNTIF($G167:Klisz_Verbräuche[[#This Row],[2022]],"&gt;0")&gt;0,Klisz_Verbräuche[[#This Row],[2022]]*(1-$F167)^1, ""), ""),IF($B$14&gt;Klisz_Verbräuche[[#Headers],[2023]],Refsz_Verbräuche[[#This Row],[2023]],"")))</f>
        <v/>
      </c>
      <c r="P167" s="49" t="str">
        <f>IF(Klisz_Verbräuche[[#Headers],[2024]]=$B$14,IF(COUNTIF($G167:Klisz_Verbräuche[[#This Row],[2023]],"&gt;0")&gt;0, AVERAGEIF($G167:Klisz_Verbräuche[[#This Row],[2023]],"&lt;&gt;"), ""),IF($B$14&lt;Klisz_Verbräuche[[#Headers],[2024]],IF(COUNTIF($G167:Klisz_Verbräuche[[#This Row],[2023]],"&gt;0")&gt;0,IF(COUNTIF($G167:Klisz_Verbräuche[[#This Row],[2023]],"&gt;0")&gt;0,Klisz_Verbräuche[[#This Row],[2023]]*(1-$F167)^1, ""), ""),IF($B$14&gt;Klisz_Verbräuche[[#Headers],[2024]],Refsz_Verbräuche[[#This Row],[2024]],"")))</f>
        <v/>
      </c>
      <c r="Q167" s="49" t="str">
        <f>IF(Klisz_Verbräuche[[#Headers],[2025]]=$B$14,IF(COUNTIF($G167:Klisz_Verbräuche[[#This Row],[2024]],"&gt;0")&gt;0, AVERAGEIF($G167:Klisz_Verbräuche[[#This Row],[2024]],"&lt;&gt;"), ""),IF($B$14&lt;Klisz_Verbräuche[[#Headers],[2025]],IF(COUNTIF($G167:Klisz_Verbräuche[[#This Row],[2024]],"&gt;0")&gt;0,IF(COUNTIF($G167:Klisz_Verbräuche[[#This Row],[2024]],"&gt;0")&gt;0,Klisz_Verbräuche[[#This Row],[2024]]*(1-$F167)^1, ""), ""),IF($B$14&gt;Klisz_Verbräuche[[#Headers],[2025]],Refsz_Verbräuche[[#This Row],[2025]],"")))</f>
        <v/>
      </c>
      <c r="R167" s="49" t="str">
        <f>IF(Klisz_Verbräuche[[#Headers],[2026]]=$B$14,IF(COUNTIF($G167:Klisz_Verbräuche[[#This Row],[2025]],"&gt;0")&gt;0, AVERAGEIF($G167:Klisz_Verbräuche[[#This Row],[2025]],"&lt;&gt;"), ""),IF($B$14&lt;Klisz_Verbräuche[[#Headers],[2026]],IF(COUNTIF($G167:Klisz_Verbräuche[[#This Row],[2025]],"&gt;0")&gt;0,IF(COUNTIF($G167:Klisz_Verbräuche[[#This Row],[2025]],"&gt;0")&gt;0,Klisz_Verbräuche[[#This Row],[2025]]*(1-$F167)^1, ""), ""),IF($B$14&gt;Klisz_Verbräuche[[#Headers],[2026]],Refsz_Verbräuche[[#This Row],[2026]],"")))</f>
        <v/>
      </c>
      <c r="S167" s="49" t="str">
        <f>IF(Klisz_Verbräuche[[#Headers],[2027]]=$B$14,IF(COUNTIF($G167:Klisz_Verbräuche[[#This Row],[2026]],"&gt;0")&gt;0, AVERAGEIF($G167:Klisz_Verbräuche[[#This Row],[2026]],"&lt;&gt;"), ""),IF($B$14&lt;Klisz_Verbräuche[[#Headers],[2027]],IF(COUNTIF($G167:Klisz_Verbräuche[[#This Row],[2026]],"&gt;0")&gt;0,IF(COUNTIF($G167:Klisz_Verbräuche[[#This Row],[2026]],"&gt;0")&gt;0,Klisz_Verbräuche[[#This Row],[2026]]*(1-$F167)^1, ""), ""),IF($B$14&gt;Klisz_Verbräuche[[#Headers],[2027]],Refsz_Verbräuche[[#This Row],[2027]],"")))</f>
        <v/>
      </c>
      <c r="T167" s="49" t="str">
        <f>IF(Klisz_Verbräuche[[#Headers],[2028]]=$B$14,IF(COUNTIF($G167:Klisz_Verbräuche[[#This Row],[2027]],"&gt;0")&gt;0, AVERAGEIF($G167:Klisz_Verbräuche[[#This Row],[2027]],"&lt;&gt;"), ""),IF($B$14&lt;Klisz_Verbräuche[[#Headers],[2028]],IF(COUNTIF($G167:Klisz_Verbräuche[[#This Row],[2027]],"&gt;0")&gt;0,IF(COUNTIF($G167:Klisz_Verbräuche[[#This Row],[2027]],"&gt;0")&gt;0,Klisz_Verbräuche[[#This Row],[2027]]*(1-$F167)^1, ""), ""),IF($B$14&gt;Klisz_Verbräuche[[#Headers],[2028]],Refsz_Verbräuche[[#This Row],[2028]],"")))</f>
        <v/>
      </c>
      <c r="U167" s="49" t="str">
        <f>IF(Klisz_Verbräuche[[#Headers],[2029]]=$B$14,IF(COUNTIF($G167:Klisz_Verbräuche[[#This Row],[2028]],"&gt;0")&gt;0, AVERAGEIF($G167:Klisz_Verbräuche[[#This Row],[2028]],"&lt;&gt;"), ""),IF($B$14&lt;Klisz_Verbräuche[[#Headers],[2029]],IF(COUNTIF($G167:Klisz_Verbräuche[[#This Row],[2028]],"&gt;0")&gt;0,IF(COUNTIF($G167:Klisz_Verbräuche[[#This Row],[2028]],"&gt;0")&gt;0,Klisz_Verbräuche[[#This Row],[2028]]*(1-$F167)^1, ""), ""),IF($B$14&gt;Klisz_Verbräuche[[#Headers],[2029]],Refsz_Verbräuche[[#This Row],[2029]],"")))</f>
        <v/>
      </c>
      <c r="V167" s="49" t="str">
        <f>IF(Klisz_Verbräuche[[#Headers],[2030]]=$B$14,IF(COUNTIF($G167:Klisz_Verbräuche[[#This Row],[2029]],"&gt;0")&gt;0, AVERAGEIF($G167:Klisz_Verbräuche[[#This Row],[2029]],"&lt;&gt;"), ""),IF($B$14&lt;Klisz_Verbräuche[[#Headers],[2030]],IF(COUNTIF($G167:Klisz_Verbräuche[[#This Row],[2029]],"&gt;0")&gt;0,IF(COUNTIF($G167:Klisz_Verbräuche[[#This Row],[2029]],"&gt;0")&gt;0,Klisz_Verbräuche[[#This Row],[2029]]*(1-$F167)^1, ""), ""),IF($B$14&gt;Klisz_Verbräuche[[#Headers],[2030]],Refsz_Verbräuche[[#This Row],[2030]],"")))</f>
        <v/>
      </c>
      <c r="W167" s="49" t="str">
        <f>IF(Klisz_Verbräuche[[#Headers],[2035]]=$B$14,IF(COUNTIF($G167:Klisz_Verbräuche[[#This Row],[2030]],"&gt;0")&gt;0, AVERAGEIF($G167:Klisz_Verbräuche[[#This Row],[2030]],"&lt;&gt;"), ""),IF($B$14&lt;Klisz_Verbräuche[[#Headers],[2035]],IF(COUNTIF($G167:Klisz_Verbräuche[[#This Row],[2030]],"&gt;0")&gt;0,IF(COUNTIF($G167:Klisz_Verbräuche[[#This Row],[2030]],"&gt;0")&gt;0,Klisz_Verbräuche[[#This Row],[2030]]*(1-$F167)^5, ""), ""),IF($B$14&gt;Klisz_Verbräuche[[#Headers],[2035]],Refsz_Verbräuche[[#This Row],[2035]],"")))</f>
        <v/>
      </c>
      <c r="X167" s="49" t="str">
        <f>IF(Klisz_Verbräuche[[#Headers],[2040]]=$B$14,IF(COUNTIF($G167:Klisz_Verbräuche[[#This Row],[2035]],"&gt;0")&gt;0, AVERAGEIF($G167:Klisz_Verbräuche[[#This Row],[2035]],"&lt;&gt;"), ""),IF($B$14&lt;Klisz_Verbräuche[[#Headers],[2040]],IF(COUNTIF($G167:Klisz_Verbräuche[[#This Row],[2035]],"&gt;0")&gt;0,IF(COUNTIF($G167:Klisz_Verbräuche[[#This Row],[2035]],"&gt;0")&gt;0,Klisz_Verbräuche[[#This Row],[2035]]*(1-$F167)^5, ""), ""),IF($B$14&gt;Klisz_Verbräuche[[#Headers],[2040]],Refsz_Verbräuche[[#This Row],[2040]],"")))</f>
        <v/>
      </c>
      <c r="Y167" s="49" t="str">
        <f>IF(Klisz_Verbräuche[[#Headers],[2045]]=$B$14,IF(COUNTIF($G167:Klisz_Verbräuche[[#This Row],[2040]],"&gt;0")&gt;0, AVERAGEIF($G167:Klisz_Verbräuche[[#This Row],[2040]],"&lt;&gt;"), ""),IF($B$14&lt;Klisz_Verbräuche[[#Headers],[2045]],IF(COUNTIF($G167:Klisz_Verbräuche[[#This Row],[2040]],"&gt;0")&gt;0,IF(COUNTIF($G167:Klisz_Verbräuche[[#This Row],[2040]],"&gt;0")&gt;0,Klisz_Verbräuche[[#This Row],[2040]]*(1-$F167)^5, ""), ""),IF($B$14&gt;Klisz_Verbräuche[[#Headers],[2045]],Refsz_Verbräuche[[#This Row],[2045]],"")))</f>
        <v/>
      </c>
      <c r="Z167" s="49" t="str">
        <f>IF(Klisz_Verbräuche[[#Headers],[2050]]=$B$14,IF(COUNTIF($G167:Klisz_Verbräuche[[#This Row],[2045]],"&gt;0")&gt;0, AVERAGEIF($G167:Klisz_Verbräuche[[#This Row],[2045]],"&lt;&gt;"), ""),IF($B$14&lt;Klisz_Verbräuche[[#Headers],[2050]],IF(COUNTIF($G167:Klisz_Verbräuche[[#This Row],[2045]],"&gt;0")&gt;0,IF(COUNTIF($G167:Klisz_Verbräuche[[#This Row],[2045]],"&gt;0")&gt;0,Klisz_Verbräuche[[#This Row],[2045]]*(1-$F167)^5, ""), ""),IF($B$14&gt;Klisz_Verbräuche[[#Headers],[2050]],Refsz_Verbräuche[[#This Row],[2050]],"")))</f>
        <v/>
      </c>
      <c r="AA167" s="14"/>
    </row>
    <row r="168" spans="2:27">
      <c r="B168" s="14">
        <v>151</v>
      </c>
      <c r="C168" s="197">
        <f>Refsz_Verbräuche[[#This Row],[Handlungsfeld]]</f>
        <v>0</v>
      </c>
      <c r="D168" s="19">
        <f>Refsz_Verbräuche[[#This Row],[Datenpunkt]]</f>
        <v>0</v>
      </c>
      <c r="E168" s="26">
        <f>Refsz_Verbräuche[[#This Row],[Einheit]]</f>
        <v>0</v>
      </c>
      <c r="F168" s="108"/>
      <c r="G168" s="14" t="str">
        <f>IF(ISBLANK(Refsz_Verbräuche[[#This Row],[2015]]),"",Refsz_Verbräuche[[#This Row],[2015]])</f>
        <v/>
      </c>
      <c r="H168" s="14" t="str">
        <f>IF(ISBLANK(Refsz_Verbräuche[[#This Row],[2016]]),"",Refsz_Verbräuche[[#This Row],[2016]])</f>
        <v/>
      </c>
      <c r="I168" s="14" t="str">
        <f>IF(ISBLANK(Refsz_Verbräuche[[#This Row],[2017]]),"",Refsz_Verbräuche[[#This Row],[2017]])</f>
        <v/>
      </c>
      <c r="J168" s="14" t="str">
        <f>IF(ISBLANK(Refsz_Verbräuche[[#This Row],[2018]]),"",Refsz_Verbräuche[[#This Row],[2018]])</f>
        <v/>
      </c>
      <c r="K168" s="14" t="str">
        <f>IF(ISBLANK(Refsz_Verbräuche[[#This Row],[2019]]),"",Refsz_Verbräuche[[#This Row],[2019]])</f>
        <v/>
      </c>
      <c r="L168" s="14" t="str">
        <f>IF(ISBLANK(Refsz_Verbräuche[[#This Row],[2020]]),"",Refsz_Verbräuche[[#This Row],[2020]])</f>
        <v/>
      </c>
      <c r="M168" s="14" t="str">
        <f>IF(ISBLANK(Refsz_Verbräuche[[#This Row],[2021]]),"",Refsz_Verbräuche[[#This Row],[2021]])</f>
        <v/>
      </c>
      <c r="N168" s="49" t="str">
        <f>IF(Klisz_Verbräuche[[#Headers],[2022]]=$B$14,IF(COUNTIF($G168:Klisz_Verbräuche[[#This Row],[2021]],"&gt;0")&gt;0, AVERAGEIF($G168:Klisz_Verbräuche[[#This Row],[2021]],"&lt;&gt;"), ""),IF($B$14&lt;Klisz_Verbräuche[[#Headers],[2022]],IF(COUNTIF($G168:Klisz_Verbräuche[[#This Row],[2021]],"&gt;0")&gt;0,IF(COUNTIF($G168:Klisz_Verbräuche[[#This Row],[2021]],"&gt;0")&gt;0,Klisz_Verbräuche[[#This Row],[2021]]*(1-$F168)^1, ""), ""),IF($B$14&gt;Klisz_Verbräuche[[#Headers],[2022]],Refsz_Verbräuche[[#This Row],[2022]],"")))</f>
        <v/>
      </c>
      <c r="O168" s="49" t="str">
        <f>IF(Klisz_Verbräuche[[#Headers],[2023]]=$B$14,IF(COUNTIF($G168:Klisz_Verbräuche[[#This Row],[2022]],"&gt;0")&gt;0, AVERAGEIF($G168:Klisz_Verbräuche[[#This Row],[2022]],"&lt;&gt;"), ""),IF($B$14&lt;Klisz_Verbräuche[[#Headers],[2023]],IF(COUNTIF($G168:Klisz_Verbräuche[[#This Row],[2022]],"&gt;0")&gt;0,IF(COUNTIF($G168:Klisz_Verbräuche[[#This Row],[2022]],"&gt;0")&gt;0,Klisz_Verbräuche[[#This Row],[2022]]*(1-$F168)^1, ""), ""),IF($B$14&gt;Klisz_Verbräuche[[#Headers],[2023]],Refsz_Verbräuche[[#This Row],[2023]],"")))</f>
        <v/>
      </c>
      <c r="P168" s="49" t="str">
        <f>IF(Klisz_Verbräuche[[#Headers],[2024]]=$B$14,IF(COUNTIF($G168:Klisz_Verbräuche[[#This Row],[2023]],"&gt;0")&gt;0, AVERAGEIF($G168:Klisz_Verbräuche[[#This Row],[2023]],"&lt;&gt;"), ""),IF($B$14&lt;Klisz_Verbräuche[[#Headers],[2024]],IF(COUNTIF($G168:Klisz_Verbräuche[[#This Row],[2023]],"&gt;0")&gt;0,IF(COUNTIF($G168:Klisz_Verbräuche[[#This Row],[2023]],"&gt;0")&gt;0,Klisz_Verbräuche[[#This Row],[2023]]*(1-$F168)^1, ""), ""),IF($B$14&gt;Klisz_Verbräuche[[#Headers],[2024]],Refsz_Verbräuche[[#This Row],[2024]],"")))</f>
        <v/>
      </c>
      <c r="Q168" s="49" t="str">
        <f>IF(Klisz_Verbräuche[[#Headers],[2025]]=$B$14,IF(COUNTIF($G168:Klisz_Verbräuche[[#This Row],[2024]],"&gt;0")&gt;0, AVERAGEIF($G168:Klisz_Verbräuche[[#This Row],[2024]],"&lt;&gt;"), ""),IF($B$14&lt;Klisz_Verbräuche[[#Headers],[2025]],IF(COUNTIF($G168:Klisz_Verbräuche[[#This Row],[2024]],"&gt;0")&gt;0,IF(COUNTIF($G168:Klisz_Verbräuche[[#This Row],[2024]],"&gt;0")&gt;0,Klisz_Verbräuche[[#This Row],[2024]]*(1-$F168)^1, ""), ""),IF($B$14&gt;Klisz_Verbräuche[[#Headers],[2025]],Refsz_Verbräuche[[#This Row],[2025]],"")))</f>
        <v/>
      </c>
      <c r="R168" s="49" t="str">
        <f>IF(Klisz_Verbräuche[[#Headers],[2026]]=$B$14,IF(COUNTIF($G168:Klisz_Verbräuche[[#This Row],[2025]],"&gt;0")&gt;0, AVERAGEIF($G168:Klisz_Verbräuche[[#This Row],[2025]],"&lt;&gt;"), ""),IF($B$14&lt;Klisz_Verbräuche[[#Headers],[2026]],IF(COUNTIF($G168:Klisz_Verbräuche[[#This Row],[2025]],"&gt;0")&gt;0,IF(COUNTIF($G168:Klisz_Verbräuche[[#This Row],[2025]],"&gt;0")&gt;0,Klisz_Verbräuche[[#This Row],[2025]]*(1-$F168)^1, ""), ""),IF($B$14&gt;Klisz_Verbräuche[[#Headers],[2026]],Refsz_Verbräuche[[#This Row],[2026]],"")))</f>
        <v/>
      </c>
      <c r="S168" s="49" t="str">
        <f>IF(Klisz_Verbräuche[[#Headers],[2027]]=$B$14,IF(COUNTIF($G168:Klisz_Verbräuche[[#This Row],[2026]],"&gt;0")&gt;0, AVERAGEIF($G168:Klisz_Verbräuche[[#This Row],[2026]],"&lt;&gt;"), ""),IF($B$14&lt;Klisz_Verbräuche[[#Headers],[2027]],IF(COUNTIF($G168:Klisz_Verbräuche[[#This Row],[2026]],"&gt;0")&gt;0,IF(COUNTIF($G168:Klisz_Verbräuche[[#This Row],[2026]],"&gt;0")&gt;0,Klisz_Verbräuche[[#This Row],[2026]]*(1-$F168)^1, ""), ""),IF($B$14&gt;Klisz_Verbräuche[[#Headers],[2027]],Refsz_Verbräuche[[#This Row],[2027]],"")))</f>
        <v/>
      </c>
      <c r="T168" s="49" t="str">
        <f>IF(Klisz_Verbräuche[[#Headers],[2028]]=$B$14,IF(COUNTIF($G168:Klisz_Verbräuche[[#This Row],[2027]],"&gt;0")&gt;0, AVERAGEIF($G168:Klisz_Verbräuche[[#This Row],[2027]],"&lt;&gt;"), ""),IF($B$14&lt;Klisz_Verbräuche[[#Headers],[2028]],IF(COUNTIF($G168:Klisz_Verbräuche[[#This Row],[2027]],"&gt;0")&gt;0,IF(COUNTIF($G168:Klisz_Verbräuche[[#This Row],[2027]],"&gt;0")&gt;0,Klisz_Verbräuche[[#This Row],[2027]]*(1-$F168)^1, ""), ""),IF($B$14&gt;Klisz_Verbräuche[[#Headers],[2028]],Refsz_Verbräuche[[#This Row],[2028]],"")))</f>
        <v/>
      </c>
      <c r="U168" s="49" t="str">
        <f>IF(Klisz_Verbräuche[[#Headers],[2029]]=$B$14,IF(COUNTIF($G168:Klisz_Verbräuche[[#This Row],[2028]],"&gt;0")&gt;0, AVERAGEIF($G168:Klisz_Verbräuche[[#This Row],[2028]],"&lt;&gt;"), ""),IF($B$14&lt;Klisz_Verbräuche[[#Headers],[2029]],IF(COUNTIF($G168:Klisz_Verbräuche[[#This Row],[2028]],"&gt;0")&gt;0,IF(COUNTIF($G168:Klisz_Verbräuche[[#This Row],[2028]],"&gt;0")&gt;0,Klisz_Verbräuche[[#This Row],[2028]]*(1-$F168)^1, ""), ""),IF($B$14&gt;Klisz_Verbräuche[[#Headers],[2029]],Refsz_Verbräuche[[#This Row],[2029]],"")))</f>
        <v/>
      </c>
      <c r="V168" s="49" t="str">
        <f>IF(Klisz_Verbräuche[[#Headers],[2030]]=$B$14,IF(COUNTIF($G168:Klisz_Verbräuche[[#This Row],[2029]],"&gt;0")&gt;0, AVERAGEIF($G168:Klisz_Verbräuche[[#This Row],[2029]],"&lt;&gt;"), ""),IF($B$14&lt;Klisz_Verbräuche[[#Headers],[2030]],IF(COUNTIF($G168:Klisz_Verbräuche[[#This Row],[2029]],"&gt;0")&gt;0,IF(COUNTIF($G168:Klisz_Verbräuche[[#This Row],[2029]],"&gt;0")&gt;0,Klisz_Verbräuche[[#This Row],[2029]]*(1-$F168)^1, ""), ""),IF($B$14&gt;Klisz_Verbräuche[[#Headers],[2030]],Refsz_Verbräuche[[#This Row],[2030]],"")))</f>
        <v/>
      </c>
      <c r="W168" s="49" t="str">
        <f>IF(Klisz_Verbräuche[[#Headers],[2035]]=$B$14,IF(COUNTIF($G168:Klisz_Verbräuche[[#This Row],[2030]],"&gt;0")&gt;0, AVERAGEIF($G168:Klisz_Verbräuche[[#This Row],[2030]],"&lt;&gt;"), ""),IF($B$14&lt;Klisz_Verbräuche[[#Headers],[2035]],IF(COUNTIF($G168:Klisz_Verbräuche[[#This Row],[2030]],"&gt;0")&gt;0,IF(COUNTIF($G168:Klisz_Verbräuche[[#This Row],[2030]],"&gt;0")&gt;0,Klisz_Verbräuche[[#This Row],[2030]]*(1-$F168)^5, ""), ""),IF($B$14&gt;Klisz_Verbräuche[[#Headers],[2035]],Refsz_Verbräuche[[#This Row],[2035]],"")))</f>
        <v/>
      </c>
      <c r="X168" s="49" t="str">
        <f>IF(Klisz_Verbräuche[[#Headers],[2040]]=$B$14,IF(COUNTIF($G168:Klisz_Verbräuche[[#This Row],[2035]],"&gt;0")&gt;0, AVERAGEIF($G168:Klisz_Verbräuche[[#This Row],[2035]],"&lt;&gt;"), ""),IF($B$14&lt;Klisz_Verbräuche[[#Headers],[2040]],IF(COUNTIF($G168:Klisz_Verbräuche[[#This Row],[2035]],"&gt;0")&gt;0,IF(COUNTIF($G168:Klisz_Verbräuche[[#This Row],[2035]],"&gt;0")&gt;0,Klisz_Verbräuche[[#This Row],[2035]]*(1-$F168)^5, ""), ""),IF($B$14&gt;Klisz_Verbräuche[[#Headers],[2040]],Refsz_Verbräuche[[#This Row],[2040]],"")))</f>
        <v/>
      </c>
      <c r="Y168" s="49" t="str">
        <f>IF(Klisz_Verbräuche[[#Headers],[2045]]=$B$14,IF(COUNTIF($G168:Klisz_Verbräuche[[#This Row],[2040]],"&gt;0")&gt;0, AVERAGEIF($G168:Klisz_Verbräuche[[#This Row],[2040]],"&lt;&gt;"), ""),IF($B$14&lt;Klisz_Verbräuche[[#Headers],[2045]],IF(COUNTIF($G168:Klisz_Verbräuche[[#This Row],[2040]],"&gt;0")&gt;0,IF(COUNTIF($G168:Klisz_Verbräuche[[#This Row],[2040]],"&gt;0")&gt;0,Klisz_Verbräuche[[#This Row],[2040]]*(1-$F168)^5, ""), ""),IF($B$14&gt;Klisz_Verbräuche[[#Headers],[2045]],Refsz_Verbräuche[[#This Row],[2045]],"")))</f>
        <v/>
      </c>
      <c r="Z168" s="49" t="str">
        <f>IF(Klisz_Verbräuche[[#Headers],[2050]]=$B$14,IF(COUNTIF($G168:Klisz_Verbräuche[[#This Row],[2045]],"&gt;0")&gt;0, AVERAGEIF($G168:Klisz_Verbräuche[[#This Row],[2045]],"&lt;&gt;"), ""),IF($B$14&lt;Klisz_Verbräuche[[#Headers],[2050]],IF(COUNTIF($G168:Klisz_Verbräuche[[#This Row],[2045]],"&gt;0")&gt;0,IF(COUNTIF($G168:Klisz_Verbräuche[[#This Row],[2045]],"&gt;0")&gt;0,Klisz_Verbräuche[[#This Row],[2045]]*(1-$F168)^5, ""), ""),IF($B$14&gt;Klisz_Verbräuche[[#Headers],[2050]],Refsz_Verbräuche[[#This Row],[2050]],"")))</f>
        <v/>
      </c>
      <c r="AA168" s="14"/>
    </row>
    <row r="169" spans="2:27">
      <c r="B169" s="14">
        <v>152</v>
      </c>
      <c r="C169" s="197">
        <f>Refsz_Verbräuche[[#This Row],[Handlungsfeld]]</f>
        <v>0</v>
      </c>
      <c r="D169" s="19">
        <f>Refsz_Verbräuche[[#This Row],[Datenpunkt]]</f>
        <v>0</v>
      </c>
      <c r="E169" s="26">
        <f>Refsz_Verbräuche[[#This Row],[Einheit]]</f>
        <v>0</v>
      </c>
      <c r="F169" s="108"/>
      <c r="G169" s="14" t="str">
        <f>IF(ISBLANK(Refsz_Verbräuche[[#This Row],[2015]]),"",Refsz_Verbräuche[[#This Row],[2015]])</f>
        <v/>
      </c>
      <c r="H169" s="14" t="str">
        <f>IF(ISBLANK(Refsz_Verbräuche[[#This Row],[2016]]),"",Refsz_Verbräuche[[#This Row],[2016]])</f>
        <v/>
      </c>
      <c r="I169" s="14" t="str">
        <f>IF(ISBLANK(Refsz_Verbräuche[[#This Row],[2017]]),"",Refsz_Verbräuche[[#This Row],[2017]])</f>
        <v/>
      </c>
      <c r="J169" s="14" t="str">
        <f>IF(ISBLANK(Refsz_Verbräuche[[#This Row],[2018]]),"",Refsz_Verbräuche[[#This Row],[2018]])</f>
        <v/>
      </c>
      <c r="K169" s="14" t="str">
        <f>IF(ISBLANK(Refsz_Verbräuche[[#This Row],[2019]]),"",Refsz_Verbräuche[[#This Row],[2019]])</f>
        <v/>
      </c>
      <c r="L169" s="14" t="str">
        <f>IF(ISBLANK(Refsz_Verbräuche[[#This Row],[2020]]),"",Refsz_Verbräuche[[#This Row],[2020]])</f>
        <v/>
      </c>
      <c r="M169" s="14" t="str">
        <f>IF(ISBLANK(Refsz_Verbräuche[[#This Row],[2021]]),"",Refsz_Verbräuche[[#This Row],[2021]])</f>
        <v/>
      </c>
      <c r="N169" s="49" t="str">
        <f>IF(Klisz_Verbräuche[[#Headers],[2022]]=$B$14,IF(COUNTIF($G169:Klisz_Verbräuche[[#This Row],[2021]],"&gt;0")&gt;0, AVERAGEIF($G169:Klisz_Verbräuche[[#This Row],[2021]],"&lt;&gt;"), ""),IF($B$14&lt;Klisz_Verbräuche[[#Headers],[2022]],IF(COUNTIF($G169:Klisz_Verbräuche[[#This Row],[2021]],"&gt;0")&gt;0,IF(COUNTIF($G169:Klisz_Verbräuche[[#This Row],[2021]],"&gt;0")&gt;0,Klisz_Verbräuche[[#This Row],[2021]]*(1-$F169)^1, ""), ""),IF($B$14&gt;Klisz_Verbräuche[[#Headers],[2022]],Refsz_Verbräuche[[#This Row],[2022]],"")))</f>
        <v/>
      </c>
      <c r="O169" s="49" t="str">
        <f>IF(Klisz_Verbräuche[[#Headers],[2023]]=$B$14,IF(COUNTIF($G169:Klisz_Verbräuche[[#This Row],[2022]],"&gt;0")&gt;0, AVERAGEIF($G169:Klisz_Verbräuche[[#This Row],[2022]],"&lt;&gt;"), ""),IF($B$14&lt;Klisz_Verbräuche[[#Headers],[2023]],IF(COUNTIF($G169:Klisz_Verbräuche[[#This Row],[2022]],"&gt;0")&gt;0,IF(COUNTIF($G169:Klisz_Verbräuche[[#This Row],[2022]],"&gt;0")&gt;0,Klisz_Verbräuche[[#This Row],[2022]]*(1-$F169)^1, ""), ""),IF($B$14&gt;Klisz_Verbräuche[[#Headers],[2023]],Refsz_Verbräuche[[#This Row],[2023]],"")))</f>
        <v/>
      </c>
      <c r="P169" s="49" t="str">
        <f>IF(Klisz_Verbräuche[[#Headers],[2024]]=$B$14,IF(COUNTIF($G169:Klisz_Verbräuche[[#This Row],[2023]],"&gt;0")&gt;0, AVERAGEIF($G169:Klisz_Verbräuche[[#This Row],[2023]],"&lt;&gt;"), ""),IF($B$14&lt;Klisz_Verbräuche[[#Headers],[2024]],IF(COUNTIF($G169:Klisz_Verbräuche[[#This Row],[2023]],"&gt;0")&gt;0,IF(COUNTIF($G169:Klisz_Verbräuche[[#This Row],[2023]],"&gt;0")&gt;0,Klisz_Verbräuche[[#This Row],[2023]]*(1-$F169)^1, ""), ""),IF($B$14&gt;Klisz_Verbräuche[[#Headers],[2024]],Refsz_Verbräuche[[#This Row],[2024]],"")))</f>
        <v/>
      </c>
      <c r="Q169" s="49" t="str">
        <f>IF(Klisz_Verbräuche[[#Headers],[2025]]=$B$14,IF(COUNTIF($G169:Klisz_Verbräuche[[#This Row],[2024]],"&gt;0")&gt;0, AVERAGEIF($G169:Klisz_Verbräuche[[#This Row],[2024]],"&lt;&gt;"), ""),IF($B$14&lt;Klisz_Verbräuche[[#Headers],[2025]],IF(COUNTIF($G169:Klisz_Verbräuche[[#This Row],[2024]],"&gt;0")&gt;0,IF(COUNTIF($G169:Klisz_Verbräuche[[#This Row],[2024]],"&gt;0")&gt;0,Klisz_Verbräuche[[#This Row],[2024]]*(1-$F169)^1, ""), ""),IF($B$14&gt;Klisz_Verbräuche[[#Headers],[2025]],Refsz_Verbräuche[[#This Row],[2025]],"")))</f>
        <v/>
      </c>
      <c r="R169" s="49" t="str">
        <f>IF(Klisz_Verbräuche[[#Headers],[2026]]=$B$14,IF(COUNTIF($G169:Klisz_Verbräuche[[#This Row],[2025]],"&gt;0")&gt;0, AVERAGEIF($G169:Klisz_Verbräuche[[#This Row],[2025]],"&lt;&gt;"), ""),IF($B$14&lt;Klisz_Verbräuche[[#Headers],[2026]],IF(COUNTIF($G169:Klisz_Verbräuche[[#This Row],[2025]],"&gt;0")&gt;0,IF(COUNTIF($G169:Klisz_Verbräuche[[#This Row],[2025]],"&gt;0")&gt;0,Klisz_Verbräuche[[#This Row],[2025]]*(1-$F169)^1, ""), ""),IF($B$14&gt;Klisz_Verbräuche[[#Headers],[2026]],Refsz_Verbräuche[[#This Row],[2026]],"")))</f>
        <v/>
      </c>
      <c r="S169" s="49" t="str">
        <f>IF(Klisz_Verbräuche[[#Headers],[2027]]=$B$14,IF(COUNTIF($G169:Klisz_Verbräuche[[#This Row],[2026]],"&gt;0")&gt;0, AVERAGEIF($G169:Klisz_Verbräuche[[#This Row],[2026]],"&lt;&gt;"), ""),IF($B$14&lt;Klisz_Verbräuche[[#Headers],[2027]],IF(COUNTIF($G169:Klisz_Verbräuche[[#This Row],[2026]],"&gt;0")&gt;0,IF(COUNTIF($G169:Klisz_Verbräuche[[#This Row],[2026]],"&gt;0")&gt;0,Klisz_Verbräuche[[#This Row],[2026]]*(1-$F169)^1, ""), ""),IF($B$14&gt;Klisz_Verbräuche[[#Headers],[2027]],Refsz_Verbräuche[[#This Row],[2027]],"")))</f>
        <v/>
      </c>
      <c r="T169" s="49" t="str">
        <f>IF(Klisz_Verbräuche[[#Headers],[2028]]=$B$14,IF(COUNTIF($G169:Klisz_Verbräuche[[#This Row],[2027]],"&gt;0")&gt;0, AVERAGEIF($G169:Klisz_Verbräuche[[#This Row],[2027]],"&lt;&gt;"), ""),IF($B$14&lt;Klisz_Verbräuche[[#Headers],[2028]],IF(COUNTIF($G169:Klisz_Verbräuche[[#This Row],[2027]],"&gt;0")&gt;0,IF(COUNTIF($G169:Klisz_Verbräuche[[#This Row],[2027]],"&gt;0")&gt;0,Klisz_Verbräuche[[#This Row],[2027]]*(1-$F169)^1, ""), ""),IF($B$14&gt;Klisz_Verbräuche[[#Headers],[2028]],Refsz_Verbräuche[[#This Row],[2028]],"")))</f>
        <v/>
      </c>
      <c r="U169" s="49" t="str">
        <f>IF(Klisz_Verbräuche[[#Headers],[2029]]=$B$14,IF(COUNTIF($G169:Klisz_Verbräuche[[#This Row],[2028]],"&gt;0")&gt;0, AVERAGEIF($G169:Klisz_Verbräuche[[#This Row],[2028]],"&lt;&gt;"), ""),IF($B$14&lt;Klisz_Verbräuche[[#Headers],[2029]],IF(COUNTIF($G169:Klisz_Verbräuche[[#This Row],[2028]],"&gt;0")&gt;0,IF(COUNTIF($G169:Klisz_Verbräuche[[#This Row],[2028]],"&gt;0")&gt;0,Klisz_Verbräuche[[#This Row],[2028]]*(1-$F169)^1, ""), ""),IF($B$14&gt;Klisz_Verbräuche[[#Headers],[2029]],Refsz_Verbräuche[[#This Row],[2029]],"")))</f>
        <v/>
      </c>
      <c r="V169" s="49" t="str">
        <f>IF(Klisz_Verbräuche[[#Headers],[2030]]=$B$14,IF(COUNTIF($G169:Klisz_Verbräuche[[#This Row],[2029]],"&gt;0")&gt;0, AVERAGEIF($G169:Klisz_Verbräuche[[#This Row],[2029]],"&lt;&gt;"), ""),IF($B$14&lt;Klisz_Verbräuche[[#Headers],[2030]],IF(COUNTIF($G169:Klisz_Verbräuche[[#This Row],[2029]],"&gt;0")&gt;0,IF(COUNTIF($G169:Klisz_Verbräuche[[#This Row],[2029]],"&gt;0")&gt;0,Klisz_Verbräuche[[#This Row],[2029]]*(1-$F169)^1, ""), ""),IF($B$14&gt;Klisz_Verbräuche[[#Headers],[2030]],Refsz_Verbräuche[[#This Row],[2030]],"")))</f>
        <v/>
      </c>
      <c r="W169" s="49" t="str">
        <f>IF(Klisz_Verbräuche[[#Headers],[2035]]=$B$14,IF(COUNTIF($G169:Klisz_Verbräuche[[#This Row],[2030]],"&gt;0")&gt;0, AVERAGEIF($G169:Klisz_Verbräuche[[#This Row],[2030]],"&lt;&gt;"), ""),IF($B$14&lt;Klisz_Verbräuche[[#Headers],[2035]],IF(COUNTIF($G169:Klisz_Verbräuche[[#This Row],[2030]],"&gt;0")&gt;0,IF(COUNTIF($G169:Klisz_Verbräuche[[#This Row],[2030]],"&gt;0")&gt;0,Klisz_Verbräuche[[#This Row],[2030]]*(1-$F169)^5, ""), ""),IF($B$14&gt;Klisz_Verbräuche[[#Headers],[2035]],Refsz_Verbräuche[[#This Row],[2035]],"")))</f>
        <v/>
      </c>
      <c r="X169" s="49" t="str">
        <f>IF(Klisz_Verbräuche[[#Headers],[2040]]=$B$14,IF(COUNTIF($G169:Klisz_Verbräuche[[#This Row],[2035]],"&gt;0")&gt;0, AVERAGEIF($G169:Klisz_Verbräuche[[#This Row],[2035]],"&lt;&gt;"), ""),IF($B$14&lt;Klisz_Verbräuche[[#Headers],[2040]],IF(COUNTIF($G169:Klisz_Verbräuche[[#This Row],[2035]],"&gt;0")&gt;0,IF(COUNTIF($G169:Klisz_Verbräuche[[#This Row],[2035]],"&gt;0")&gt;0,Klisz_Verbräuche[[#This Row],[2035]]*(1-$F169)^5, ""), ""),IF($B$14&gt;Klisz_Verbräuche[[#Headers],[2040]],Refsz_Verbräuche[[#This Row],[2040]],"")))</f>
        <v/>
      </c>
      <c r="Y169" s="49" t="str">
        <f>IF(Klisz_Verbräuche[[#Headers],[2045]]=$B$14,IF(COUNTIF($G169:Klisz_Verbräuche[[#This Row],[2040]],"&gt;0")&gt;0, AVERAGEIF($G169:Klisz_Verbräuche[[#This Row],[2040]],"&lt;&gt;"), ""),IF($B$14&lt;Klisz_Verbräuche[[#Headers],[2045]],IF(COUNTIF($G169:Klisz_Verbräuche[[#This Row],[2040]],"&gt;0")&gt;0,IF(COUNTIF($G169:Klisz_Verbräuche[[#This Row],[2040]],"&gt;0")&gt;0,Klisz_Verbräuche[[#This Row],[2040]]*(1-$F169)^5, ""), ""),IF($B$14&gt;Klisz_Verbräuche[[#Headers],[2045]],Refsz_Verbräuche[[#This Row],[2045]],"")))</f>
        <v/>
      </c>
      <c r="Z169" s="49" t="str">
        <f>IF(Klisz_Verbräuche[[#Headers],[2050]]=$B$14,IF(COUNTIF($G169:Klisz_Verbräuche[[#This Row],[2045]],"&gt;0")&gt;0, AVERAGEIF($G169:Klisz_Verbräuche[[#This Row],[2045]],"&lt;&gt;"), ""),IF($B$14&lt;Klisz_Verbräuche[[#Headers],[2050]],IF(COUNTIF($G169:Klisz_Verbräuche[[#This Row],[2045]],"&gt;0")&gt;0,IF(COUNTIF($G169:Klisz_Verbräuche[[#This Row],[2045]],"&gt;0")&gt;0,Klisz_Verbräuche[[#This Row],[2045]]*(1-$F169)^5, ""), ""),IF($B$14&gt;Klisz_Verbräuche[[#Headers],[2050]],Refsz_Verbräuche[[#This Row],[2050]],"")))</f>
        <v/>
      </c>
      <c r="AA169" s="14"/>
    </row>
    <row r="170" spans="2:27">
      <c r="B170" s="14">
        <v>153</v>
      </c>
      <c r="C170" s="197">
        <f>Refsz_Verbräuche[[#This Row],[Handlungsfeld]]</f>
        <v>0</v>
      </c>
      <c r="D170" s="19">
        <f>Refsz_Verbräuche[[#This Row],[Datenpunkt]]</f>
        <v>0</v>
      </c>
      <c r="E170" s="26">
        <f>Refsz_Verbräuche[[#This Row],[Einheit]]</f>
        <v>0</v>
      </c>
      <c r="F170" s="108"/>
      <c r="G170" s="14" t="str">
        <f>IF(ISBLANK(Refsz_Verbräuche[[#This Row],[2015]]),"",Refsz_Verbräuche[[#This Row],[2015]])</f>
        <v/>
      </c>
      <c r="H170" s="14" t="str">
        <f>IF(ISBLANK(Refsz_Verbräuche[[#This Row],[2016]]),"",Refsz_Verbräuche[[#This Row],[2016]])</f>
        <v/>
      </c>
      <c r="I170" s="14" t="str">
        <f>IF(ISBLANK(Refsz_Verbräuche[[#This Row],[2017]]),"",Refsz_Verbräuche[[#This Row],[2017]])</f>
        <v/>
      </c>
      <c r="J170" s="14" t="str">
        <f>IF(ISBLANK(Refsz_Verbräuche[[#This Row],[2018]]),"",Refsz_Verbräuche[[#This Row],[2018]])</f>
        <v/>
      </c>
      <c r="K170" s="14" t="str">
        <f>IF(ISBLANK(Refsz_Verbräuche[[#This Row],[2019]]),"",Refsz_Verbräuche[[#This Row],[2019]])</f>
        <v/>
      </c>
      <c r="L170" s="14" t="str">
        <f>IF(ISBLANK(Refsz_Verbräuche[[#This Row],[2020]]),"",Refsz_Verbräuche[[#This Row],[2020]])</f>
        <v/>
      </c>
      <c r="M170" s="14" t="str">
        <f>IF(ISBLANK(Refsz_Verbräuche[[#This Row],[2021]]),"",Refsz_Verbräuche[[#This Row],[2021]])</f>
        <v/>
      </c>
      <c r="N170" s="49" t="str">
        <f>IF(Klisz_Verbräuche[[#Headers],[2022]]=$B$14,IF(COUNTIF($G170:Klisz_Verbräuche[[#This Row],[2021]],"&gt;0")&gt;0, AVERAGEIF($G170:Klisz_Verbräuche[[#This Row],[2021]],"&lt;&gt;"), ""),IF($B$14&lt;Klisz_Verbräuche[[#Headers],[2022]],IF(COUNTIF($G170:Klisz_Verbräuche[[#This Row],[2021]],"&gt;0")&gt;0,IF(COUNTIF($G170:Klisz_Verbräuche[[#This Row],[2021]],"&gt;0")&gt;0,Klisz_Verbräuche[[#This Row],[2021]]*(1-$F170)^1, ""), ""),IF($B$14&gt;Klisz_Verbräuche[[#Headers],[2022]],Refsz_Verbräuche[[#This Row],[2022]],"")))</f>
        <v/>
      </c>
      <c r="O170" s="49" t="str">
        <f>IF(Klisz_Verbräuche[[#Headers],[2023]]=$B$14,IF(COUNTIF($G170:Klisz_Verbräuche[[#This Row],[2022]],"&gt;0")&gt;0, AVERAGEIF($G170:Klisz_Verbräuche[[#This Row],[2022]],"&lt;&gt;"), ""),IF($B$14&lt;Klisz_Verbräuche[[#Headers],[2023]],IF(COUNTIF($G170:Klisz_Verbräuche[[#This Row],[2022]],"&gt;0")&gt;0,IF(COUNTIF($G170:Klisz_Verbräuche[[#This Row],[2022]],"&gt;0")&gt;0,Klisz_Verbräuche[[#This Row],[2022]]*(1-$F170)^1, ""), ""),IF($B$14&gt;Klisz_Verbräuche[[#Headers],[2023]],Refsz_Verbräuche[[#This Row],[2023]],"")))</f>
        <v/>
      </c>
      <c r="P170" s="49" t="str">
        <f>IF(Klisz_Verbräuche[[#Headers],[2024]]=$B$14,IF(COUNTIF($G170:Klisz_Verbräuche[[#This Row],[2023]],"&gt;0")&gt;0, AVERAGEIF($G170:Klisz_Verbräuche[[#This Row],[2023]],"&lt;&gt;"), ""),IF($B$14&lt;Klisz_Verbräuche[[#Headers],[2024]],IF(COUNTIF($G170:Klisz_Verbräuche[[#This Row],[2023]],"&gt;0")&gt;0,IF(COUNTIF($G170:Klisz_Verbräuche[[#This Row],[2023]],"&gt;0")&gt;0,Klisz_Verbräuche[[#This Row],[2023]]*(1-$F170)^1, ""), ""),IF($B$14&gt;Klisz_Verbräuche[[#Headers],[2024]],Refsz_Verbräuche[[#This Row],[2024]],"")))</f>
        <v/>
      </c>
      <c r="Q170" s="49" t="str">
        <f>IF(Klisz_Verbräuche[[#Headers],[2025]]=$B$14,IF(COUNTIF($G170:Klisz_Verbräuche[[#This Row],[2024]],"&gt;0")&gt;0, AVERAGEIF($G170:Klisz_Verbräuche[[#This Row],[2024]],"&lt;&gt;"), ""),IF($B$14&lt;Klisz_Verbräuche[[#Headers],[2025]],IF(COUNTIF($G170:Klisz_Verbräuche[[#This Row],[2024]],"&gt;0")&gt;0,IF(COUNTIF($G170:Klisz_Verbräuche[[#This Row],[2024]],"&gt;0")&gt;0,Klisz_Verbräuche[[#This Row],[2024]]*(1-$F170)^1, ""), ""),IF($B$14&gt;Klisz_Verbräuche[[#Headers],[2025]],Refsz_Verbräuche[[#This Row],[2025]],"")))</f>
        <v/>
      </c>
      <c r="R170" s="49" t="str">
        <f>IF(Klisz_Verbräuche[[#Headers],[2026]]=$B$14,IF(COUNTIF($G170:Klisz_Verbräuche[[#This Row],[2025]],"&gt;0")&gt;0, AVERAGEIF($G170:Klisz_Verbräuche[[#This Row],[2025]],"&lt;&gt;"), ""),IF($B$14&lt;Klisz_Verbräuche[[#Headers],[2026]],IF(COUNTIF($G170:Klisz_Verbräuche[[#This Row],[2025]],"&gt;0")&gt;0,IF(COUNTIF($G170:Klisz_Verbräuche[[#This Row],[2025]],"&gt;0")&gt;0,Klisz_Verbräuche[[#This Row],[2025]]*(1-$F170)^1, ""), ""),IF($B$14&gt;Klisz_Verbräuche[[#Headers],[2026]],Refsz_Verbräuche[[#This Row],[2026]],"")))</f>
        <v/>
      </c>
      <c r="S170" s="49" t="str">
        <f>IF(Klisz_Verbräuche[[#Headers],[2027]]=$B$14,IF(COUNTIF($G170:Klisz_Verbräuche[[#This Row],[2026]],"&gt;0")&gt;0, AVERAGEIF($G170:Klisz_Verbräuche[[#This Row],[2026]],"&lt;&gt;"), ""),IF($B$14&lt;Klisz_Verbräuche[[#Headers],[2027]],IF(COUNTIF($G170:Klisz_Verbräuche[[#This Row],[2026]],"&gt;0")&gt;0,IF(COUNTIF($G170:Klisz_Verbräuche[[#This Row],[2026]],"&gt;0")&gt;0,Klisz_Verbräuche[[#This Row],[2026]]*(1-$F170)^1, ""), ""),IF($B$14&gt;Klisz_Verbräuche[[#Headers],[2027]],Refsz_Verbräuche[[#This Row],[2027]],"")))</f>
        <v/>
      </c>
      <c r="T170" s="49" t="str">
        <f>IF(Klisz_Verbräuche[[#Headers],[2028]]=$B$14,IF(COUNTIF($G170:Klisz_Verbräuche[[#This Row],[2027]],"&gt;0")&gt;0, AVERAGEIF($G170:Klisz_Verbräuche[[#This Row],[2027]],"&lt;&gt;"), ""),IF($B$14&lt;Klisz_Verbräuche[[#Headers],[2028]],IF(COUNTIF($G170:Klisz_Verbräuche[[#This Row],[2027]],"&gt;0")&gt;0,IF(COUNTIF($G170:Klisz_Verbräuche[[#This Row],[2027]],"&gt;0")&gt;0,Klisz_Verbräuche[[#This Row],[2027]]*(1-$F170)^1, ""), ""),IF($B$14&gt;Klisz_Verbräuche[[#Headers],[2028]],Refsz_Verbräuche[[#This Row],[2028]],"")))</f>
        <v/>
      </c>
      <c r="U170" s="49" t="str">
        <f>IF(Klisz_Verbräuche[[#Headers],[2029]]=$B$14,IF(COUNTIF($G170:Klisz_Verbräuche[[#This Row],[2028]],"&gt;0")&gt;0, AVERAGEIF($G170:Klisz_Verbräuche[[#This Row],[2028]],"&lt;&gt;"), ""),IF($B$14&lt;Klisz_Verbräuche[[#Headers],[2029]],IF(COUNTIF($G170:Klisz_Verbräuche[[#This Row],[2028]],"&gt;0")&gt;0,IF(COUNTIF($G170:Klisz_Verbräuche[[#This Row],[2028]],"&gt;0")&gt;0,Klisz_Verbräuche[[#This Row],[2028]]*(1-$F170)^1, ""), ""),IF($B$14&gt;Klisz_Verbräuche[[#Headers],[2029]],Refsz_Verbräuche[[#This Row],[2029]],"")))</f>
        <v/>
      </c>
      <c r="V170" s="49" t="str">
        <f>IF(Klisz_Verbräuche[[#Headers],[2030]]=$B$14,IF(COUNTIF($G170:Klisz_Verbräuche[[#This Row],[2029]],"&gt;0")&gt;0, AVERAGEIF($G170:Klisz_Verbräuche[[#This Row],[2029]],"&lt;&gt;"), ""),IF($B$14&lt;Klisz_Verbräuche[[#Headers],[2030]],IF(COUNTIF($G170:Klisz_Verbräuche[[#This Row],[2029]],"&gt;0")&gt;0,IF(COUNTIF($G170:Klisz_Verbräuche[[#This Row],[2029]],"&gt;0")&gt;0,Klisz_Verbräuche[[#This Row],[2029]]*(1-$F170)^1, ""), ""),IF($B$14&gt;Klisz_Verbräuche[[#Headers],[2030]],Refsz_Verbräuche[[#This Row],[2030]],"")))</f>
        <v/>
      </c>
      <c r="W170" s="49" t="str">
        <f>IF(Klisz_Verbräuche[[#Headers],[2035]]=$B$14,IF(COUNTIF($G170:Klisz_Verbräuche[[#This Row],[2030]],"&gt;0")&gt;0, AVERAGEIF($G170:Klisz_Verbräuche[[#This Row],[2030]],"&lt;&gt;"), ""),IF($B$14&lt;Klisz_Verbräuche[[#Headers],[2035]],IF(COUNTIF($G170:Klisz_Verbräuche[[#This Row],[2030]],"&gt;0")&gt;0,IF(COUNTIF($G170:Klisz_Verbräuche[[#This Row],[2030]],"&gt;0")&gt;0,Klisz_Verbräuche[[#This Row],[2030]]*(1-$F170)^5, ""), ""),IF($B$14&gt;Klisz_Verbräuche[[#Headers],[2035]],Refsz_Verbräuche[[#This Row],[2035]],"")))</f>
        <v/>
      </c>
      <c r="X170" s="49" t="str">
        <f>IF(Klisz_Verbräuche[[#Headers],[2040]]=$B$14,IF(COUNTIF($G170:Klisz_Verbräuche[[#This Row],[2035]],"&gt;0")&gt;0, AVERAGEIF($G170:Klisz_Verbräuche[[#This Row],[2035]],"&lt;&gt;"), ""),IF($B$14&lt;Klisz_Verbräuche[[#Headers],[2040]],IF(COUNTIF($G170:Klisz_Verbräuche[[#This Row],[2035]],"&gt;0")&gt;0,IF(COUNTIF($G170:Klisz_Verbräuche[[#This Row],[2035]],"&gt;0")&gt;0,Klisz_Verbräuche[[#This Row],[2035]]*(1-$F170)^5, ""), ""),IF($B$14&gt;Klisz_Verbräuche[[#Headers],[2040]],Refsz_Verbräuche[[#This Row],[2040]],"")))</f>
        <v/>
      </c>
      <c r="Y170" s="49" t="str">
        <f>IF(Klisz_Verbräuche[[#Headers],[2045]]=$B$14,IF(COUNTIF($G170:Klisz_Verbräuche[[#This Row],[2040]],"&gt;0")&gt;0, AVERAGEIF($G170:Klisz_Verbräuche[[#This Row],[2040]],"&lt;&gt;"), ""),IF($B$14&lt;Klisz_Verbräuche[[#Headers],[2045]],IF(COUNTIF($G170:Klisz_Verbräuche[[#This Row],[2040]],"&gt;0")&gt;0,IF(COUNTIF($G170:Klisz_Verbräuche[[#This Row],[2040]],"&gt;0")&gt;0,Klisz_Verbräuche[[#This Row],[2040]]*(1-$F170)^5, ""), ""),IF($B$14&gt;Klisz_Verbräuche[[#Headers],[2045]],Refsz_Verbräuche[[#This Row],[2045]],"")))</f>
        <v/>
      </c>
      <c r="Z170" s="49" t="str">
        <f>IF(Klisz_Verbräuche[[#Headers],[2050]]=$B$14,IF(COUNTIF($G170:Klisz_Verbräuche[[#This Row],[2045]],"&gt;0")&gt;0, AVERAGEIF($G170:Klisz_Verbräuche[[#This Row],[2045]],"&lt;&gt;"), ""),IF($B$14&lt;Klisz_Verbräuche[[#Headers],[2050]],IF(COUNTIF($G170:Klisz_Verbräuche[[#This Row],[2045]],"&gt;0")&gt;0,IF(COUNTIF($G170:Klisz_Verbräuche[[#This Row],[2045]],"&gt;0")&gt;0,Klisz_Verbräuche[[#This Row],[2045]]*(1-$F170)^5, ""), ""),IF($B$14&gt;Klisz_Verbräuche[[#Headers],[2050]],Refsz_Verbräuche[[#This Row],[2050]],"")))</f>
        <v/>
      </c>
      <c r="AA170" s="14"/>
    </row>
    <row r="171" spans="2:27">
      <c r="B171" s="14">
        <v>154</v>
      </c>
      <c r="C171" s="197">
        <f>Refsz_Verbräuche[[#This Row],[Handlungsfeld]]</f>
        <v>0</v>
      </c>
      <c r="D171" s="19">
        <f>Refsz_Verbräuche[[#This Row],[Datenpunkt]]</f>
        <v>0</v>
      </c>
      <c r="E171" s="26">
        <f>Refsz_Verbräuche[[#This Row],[Einheit]]</f>
        <v>0</v>
      </c>
      <c r="F171" s="108"/>
      <c r="G171" s="14" t="str">
        <f>IF(ISBLANK(Refsz_Verbräuche[[#This Row],[2015]]),"",Refsz_Verbräuche[[#This Row],[2015]])</f>
        <v/>
      </c>
      <c r="H171" s="14" t="str">
        <f>IF(ISBLANK(Refsz_Verbräuche[[#This Row],[2016]]),"",Refsz_Verbräuche[[#This Row],[2016]])</f>
        <v/>
      </c>
      <c r="I171" s="14" t="str">
        <f>IF(ISBLANK(Refsz_Verbräuche[[#This Row],[2017]]),"",Refsz_Verbräuche[[#This Row],[2017]])</f>
        <v/>
      </c>
      <c r="J171" s="14" t="str">
        <f>IF(ISBLANK(Refsz_Verbräuche[[#This Row],[2018]]),"",Refsz_Verbräuche[[#This Row],[2018]])</f>
        <v/>
      </c>
      <c r="K171" s="14" t="str">
        <f>IF(ISBLANK(Refsz_Verbräuche[[#This Row],[2019]]),"",Refsz_Verbräuche[[#This Row],[2019]])</f>
        <v/>
      </c>
      <c r="L171" s="14" t="str">
        <f>IF(ISBLANK(Refsz_Verbräuche[[#This Row],[2020]]),"",Refsz_Verbräuche[[#This Row],[2020]])</f>
        <v/>
      </c>
      <c r="M171" s="14" t="str">
        <f>IF(ISBLANK(Refsz_Verbräuche[[#This Row],[2021]]),"",Refsz_Verbräuche[[#This Row],[2021]])</f>
        <v/>
      </c>
      <c r="N171" s="49" t="str">
        <f>IF(Klisz_Verbräuche[[#Headers],[2022]]=$B$14,IF(COUNTIF($G171:Klisz_Verbräuche[[#This Row],[2021]],"&gt;0")&gt;0, AVERAGEIF($G171:Klisz_Verbräuche[[#This Row],[2021]],"&lt;&gt;"), ""),IF($B$14&lt;Klisz_Verbräuche[[#Headers],[2022]],IF(COUNTIF($G171:Klisz_Verbräuche[[#This Row],[2021]],"&gt;0")&gt;0,IF(COUNTIF($G171:Klisz_Verbräuche[[#This Row],[2021]],"&gt;0")&gt;0,Klisz_Verbräuche[[#This Row],[2021]]*(1-$F171)^1, ""), ""),IF($B$14&gt;Klisz_Verbräuche[[#Headers],[2022]],Refsz_Verbräuche[[#This Row],[2022]],"")))</f>
        <v/>
      </c>
      <c r="O171" s="49" t="str">
        <f>IF(Klisz_Verbräuche[[#Headers],[2023]]=$B$14,IF(COUNTIF($G171:Klisz_Verbräuche[[#This Row],[2022]],"&gt;0")&gt;0, AVERAGEIF($G171:Klisz_Verbräuche[[#This Row],[2022]],"&lt;&gt;"), ""),IF($B$14&lt;Klisz_Verbräuche[[#Headers],[2023]],IF(COUNTIF($G171:Klisz_Verbräuche[[#This Row],[2022]],"&gt;0")&gt;0,IF(COUNTIF($G171:Klisz_Verbräuche[[#This Row],[2022]],"&gt;0")&gt;0,Klisz_Verbräuche[[#This Row],[2022]]*(1-$F171)^1, ""), ""),IF($B$14&gt;Klisz_Verbräuche[[#Headers],[2023]],Refsz_Verbräuche[[#This Row],[2023]],"")))</f>
        <v/>
      </c>
      <c r="P171" s="49" t="str">
        <f>IF(Klisz_Verbräuche[[#Headers],[2024]]=$B$14,IF(COUNTIF($G171:Klisz_Verbräuche[[#This Row],[2023]],"&gt;0")&gt;0, AVERAGEIF($G171:Klisz_Verbräuche[[#This Row],[2023]],"&lt;&gt;"), ""),IF($B$14&lt;Klisz_Verbräuche[[#Headers],[2024]],IF(COUNTIF($G171:Klisz_Verbräuche[[#This Row],[2023]],"&gt;0")&gt;0,IF(COUNTIF($G171:Klisz_Verbräuche[[#This Row],[2023]],"&gt;0")&gt;0,Klisz_Verbräuche[[#This Row],[2023]]*(1-$F171)^1, ""), ""),IF($B$14&gt;Klisz_Verbräuche[[#Headers],[2024]],Refsz_Verbräuche[[#This Row],[2024]],"")))</f>
        <v/>
      </c>
      <c r="Q171" s="49" t="str">
        <f>IF(Klisz_Verbräuche[[#Headers],[2025]]=$B$14,IF(COUNTIF($G171:Klisz_Verbräuche[[#This Row],[2024]],"&gt;0")&gt;0, AVERAGEIF($G171:Klisz_Verbräuche[[#This Row],[2024]],"&lt;&gt;"), ""),IF($B$14&lt;Klisz_Verbräuche[[#Headers],[2025]],IF(COUNTIF($G171:Klisz_Verbräuche[[#This Row],[2024]],"&gt;0")&gt;0,IF(COUNTIF($G171:Klisz_Verbräuche[[#This Row],[2024]],"&gt;0")&gt;0,Klisz_Verbräuche[[#This Row],[2024]]*(1-$F171)^1, ""), ""),IF($B$14&gt;Klisz_Verbräuche[[#Headers],[2025]],Refsz_Verbräuche[[#This Row],[2025]],"")))</f>
        <v/>
      </c>
      <c r="R171" s="49" t="str">
        <f>IF(Klisz_Verbräuche[[#Headers],[2026]]=$B$14,IF(COUNTIF($G171:Klisz_Verbräuche[[#This Row],[2025]],"&gt;0")&gt;0, AVERAGEIF($G171:Klisz_Verbräuche[[#This Row],[2025]],"&lt;&gt;"), ""),IF($B$14&lt;Klisz_Verbräuche[[#Headers],[2026]],IF(COUNTIF($G171:Klisz_Verbräuche[[#This Row],[2025]],"&gt;0")&gt;0,IF(COUNTIF($G171:Klisz_Verbräuche[[#This Row],[2025]],"&gt;0")&gt;0,Klisz_Verbräuche[[#This Row],[2025]]*(1-$F171)^1, ""), ""),IF($B$14&gt;Klisz_Verbräuche[[#Headers],[2026]],Refsz_Verbräuche[[#This Row],[2026]],"")))</f>
        <v/>
      </c>
      <c r="S171" s="49" t="str">
        <f>IF(Klisz_Verbräuche[[#Headers],[2027]]=$B$14,IF(COUNTIF($G171:Klisz_Verbräuche[[#This Row],[2026]],"&gt;0")&gt;0, AVERAGEIF($G171:Klisz_Verbräuche[[#This Row],[2026]],"&lt;&gt;"), ""),IF($B$14&lt;Klisz_Verbräuche[[#Headers],[2027]],IF(COUNTIF($G171:Klisz_Verbräuche[[#This Row],[2026]],"&gt;0")&gt;0,IF(COUNTIF($G171:Klisz_Verbräuche[[#This Row],[2026]],"&gt;0")&gt;0,Klisz_Verbräuche[[#This Row],[2026]]*(1-$F171)^1, ""), ""),IF($B$14&gt;Klisz_Verbräuche[[#Headers],[2027]],Refsz_Verbräuche[[#This Row],[2027]],"")))</f>
        <v/>
      </c>
      <c r="T171" s="49" t="str">
        <f>IF(Klisz_Verbräuche[[#Headers],[2028]]=$B$14,IF(COUNTIF($G171:Klisz_Verbräuche[[#This Row],[2027]],"&gt;0")&gt;0, AVERAGEIF($G171:Klisz_Verbräuche[[#This Row],[2027]],"&lt;&gt;"), ""),IF($B$14&lt;Klisz_Verbräuche[[#Headers],[2028]],IF(COUNTIF($G171:Klisz_Verbräuche[[#This Row],[2027]],"&gt;0")&gt;0,IF(COUNTIF($G171:Klisz_Verbräuche[[#This Row],[2027]],"&gt;0")&gt;0,Klisz_Verbräuche[[#This Row],[2027]]*(1-$F171)^1, ""), ""),IF($B$14&gt;Klisz_Verbräuche[[#Headers],[2028]],Refsz_Verbräuche[[#This Row],[2028]],"")))</f>
        <v/>
      </c>
      <c r="U171" s="49" t="str">
        <f>IF(Klisz_Verbräuche[[#Headers],[2029]]=$B$14,IF(COUNTIF($G171:Klisz_Verbräuche[[#This Row],[2028]],"&gt;0")&gt;0, AVERAGEIF($G171:Klisz_Verbräuche[[#This Row],[2028]],"&lt;&gt;"), ""),IF($B$14&lt;Klisz_Verbräuche[[#Headers],[2029]],IF(COUNTIF($G171:Klisz_Verbräuche[[#This Row],[2028]],"&gt;0")&gt;0,IF(COUNTIF($G171:Klisz_Verbräuche[[#This Row],[2028]],"&gt;0")&gt;0,Klisz_Verbräuche[[#This Row],[2028]]*(1-$F171)^1, ""), ""),IF($B$14&gt;Klisz_Verbräuche[[#Headers],[2029]],Refsz_Verbräuche[[#This Row],[2029]],"")))</f>
        <v/>
      </c>
      <c r="V171" s="49" t="str">
        <f>IF(Klisz_Verbräuche[[#Headers],[2030]]=$B$14,IF(COUNTIF($G171:Klisz_Verbräuche[[#This Row],[2029]],"&gt;0")&gt;0, AVERAGEIF($G171:Klisz_Verbräuche[[#This Row],[2029]],"&lt;&gt;"), ""),IF($B$14&lt;Klisz_Verbräuche[[#Headers],[2030]],IF(COUNTIF($G171:Klisz_Verbräuche[[#This Row],[2029]],"&gt;0")&gt;0,IF(COUNTIF($G171:Klisz_Verbräuche[[#This Row],[2029]],"&gt;0")&gt;0,Klisz_Verbräuche[[#This Row],[2029]]*(1-$F171)^1, ""), ""),IF($B$14&gt;Klisz_Verbräuche[[#Headers],[2030]],Refsz_Verbräuche[[#This Row],[2030]],"")))</f>
        <v/>
      </c>
      <c r="W171" s="49" t="str">
        <f>IF(Klisz_Verbräuche[[#Headers],[2035]]=$B$14,IF(COUNTIF($G171:Klisz_Verbräuche[[#This Row],[2030]],"&gt;0")&gt;0, AVERAGEIF($G171:Klisz_Verbräuche[[#This Row],[2030]],"&lt;&gt;"), ""),IF($B$14&lt;Klisz_Verbräuche[[#Headers],[2035]],IF(COUNTIF($G171:Klisz_Verbräuche[[#This Row],[2030]],"&gt;0")&gt;0,IF(COUNTIF($G171:Klisz_Verbräuche[[#This Row],[2030]],"&gt;0")&gt;0,Klisz_Verbräuche[[#This Row],[2030]]*(1-$F171)^5, ""), ""),IF($B$14&gt;Klisz_Verbräuche[[#Headers],[2035]],Refsz_Verbräuche[[#This Row],[2035]],"")))</f>
        <v/>
      </c>
      <c r="X171" s="49" t="str">
        <f>IF(Klisz_Verbräuche[[#Headers],[2040]]=$B$14,IF(COUNTIF($G171:Klisz_Verbräuche[[#This Row],[2035]],"&gt;0")&gt;0, AVERAGEIF($G171:Klisz_Verbräuche[[#This Row],[2035]],"&lt;&gt;"), ""),IF($B$14&lt;Klisz_Verbräuche[[#Headers],[2040]],IF(COUNTIF($G171:Klisz_Verbräuche[[#This Row],[2035]],"&gt;0")&gt;0,IF(COUNTIF($G171:Klisz_Verbräuche[[#This Row],[2035]],"&gt;0")&gt;0,Klisz_Verbräuche[[#This Row],[2035]]*(1-$F171)^5, ""), ""),IF($B$14&gt;Klisz_Verbräuche[[#Headers],[2040]],Refsz_Verbräuche[[#This Row],[2040]],"")))</f>
        <v/>
      </c>
      <c r="Y171" s="49" t="str">
        <f>IF(Klisz_Verbräuche[[#Headers],[2045]]=$B$14,IF(COUNTIF($G171:Klisz_Verbräuche[[#This Row],[2040]],"&gt;0")&gt;0, AVERAGEIF($G171:Klisz_Verbräuche[[#This Row],[2040]],"&lt;&gt;"), ""),IF($B$14&lt;Klisz_Verbräuche[[#Headers],[2045]],IF(COUNTIF($G171:Klisz_Verbräuche[[#This Row],[2040]],"&gt;0")&gt;0,IF(COUNTIF($G171:Klisz_Verbräuche[[#This Row],[2040]],"&gt;0")&gt;0,Klisz_Verbräuche[[#This Row],[2040]]*(1-$F171)^5, ""), ""),IF($B$14&gt;Klisz_Verbräuche[[#Headers],[2045]],Refsz_Verbräuche[[#This Row],[2045]],"")))</f>
        <v/>
      </c>
      <c r="Z171" s="49" t="str">
        <f>IF(Klisz_Verbräuche[[#Headers],[2050]]=$B$14,IF(COUNTIF($G171:Klisz_Verbräuche[[#This Row],[2045]],"&gt;0")&gt;0, AVERAGEIF($G171:Klisz_Verbräuche[[#This Row],[2045]],"&lt;&gt;"), ""),IF($B$14&lt;Klisz_Verbräuche[[#Headers],[2050]],IF(COUNTIF($G171:Klisz_Verbräuche[[#This Row],[2045]],"&gt;0")&gt;0,IF(COUNTIF($G171:Klisz_Verbräuche[[#This Row],[2045]],"&gt;0")&gt;0,Klisz_Verbräuche[[#This Row],[2045]]*(1-$F171)^5, ""), ""),IF($B$14&gt;Klisz_Verbräuche[[#Headers],[2050]],Refsz_Verbräuche[[#This Row],[2050]],"")))</f>
        <v/>
      </c>
      <c r="AA171" s="14"/>
    </row>
    <row r="172" spans="2:27">
      <c r="B172" s="14">
        <v>155</v>
      </c>
      <c r="C172" s="197">
        <f>Refsz_Verbräuche[[#This Row],[Handlungsfeld]]</f>
        <v>0</v>
      </c>
      <c r="D172" s="19">
        <f>Refsz_Verbräuche[[#This Row],[Datenpunkt]]</f>
        <v>0</v>
      </c>
      <c r="E172" s="26">
        <f>Refsz_Verbräuche[[#This Row],[Einheit]]</f>
        <v>0</v>
      </c>
      <c r="F172" s="108"/>
      <c r="G172" s="14" t="str">
        <f>IF(ISBLANK(Refsz_Verbräuche[[#This Row],[2015]]),"",Refsz_Verbräuche[[#This Row],[2015]])</f>
        <v/>
      </c>
      <c r="H172" s="14" t="str">
        <f>IF(ISBLANK(Refsz_Verbräuche[[#This Row],[2016]]),"",Refsz_Verbräuche[[#This Row],[2016]])</f>
        <v/>
      </c>
      <c r="I172" s="14" t="str">
        <f>IF(ISBLANK(Refsz_Verbräuche[[#This Row],[2017]]),"",Refsz_Verbräuche[[#This Row],[2017]])</f>
        <v/>
      </c>
      <c r="J172" s="14" t="str">
        <f>IF(ISBLANK(Refsz_Verbräuche[[#This Row],[2018]]),"",Refsz_Verbräuche[[#This Row],[2018]])</f>
        <v/>
      </c>
      <c r="K172" s="14" t="str">
        <f>IF(ISBLANK(Refsz_Verbräuche[[#This Row],[2019]]),"",Refsz_Verbräuche[[#This Row],[2019]])</f>
        <v/>
      </c>
      <c r="L172" s="14" t="str">
        <f>IF(ISBLANK(Refsz_Verbräuche[[#This Row],[2020]]),"",Refsz_Verbräuche[[#This Row],[2020]])</f>
        <v/>
      </c>
      <c r="M172" s="14" t="str">
        <f>IF(ISBLANK(Refsz_Verbräuche[[#This Row],[2021]]),"",Refsz_Verbräuche[[#This Row],[2021]])</f>
        <v/>
      </c>
      <c r="N172" s="49" t="str">
        <f>IF(Klisz_Verbräuche[[#Headers],[2022]]=$B$14,IF(COUNTIF($G172:Klisz_Verbräuche[[#This Row],[2021]],"&gt;0")&gt;0, AVERAGEIF($G172:Klisz_Verbräuche[[#This Row],[2021]],"&lt;&gt;"), ""),IF($B$14&lt;Klisz_Verbräuche[[#Headers],[2022]],IF(COUNTIF($G172:Klisz_Verbräuche[[#This Row],[2021]],"&gt;0")&gt;0,IF(COUNTIF($G172:Klisz_Verbräuche[[#This Row],[2021]],"&gt;0")&gt;0,Klisz_Verbräuche[[#This Row],[2021]]*(1-$F172)^1, ""), ""),IF($B$14&gt;Klisz_Verbräuche[[#Headers],[2022]],Refsz_Verbräuche[[#This Row],[2022]],"")))</f>
        <v/>
      </c>
      <c r="O172" s="49" t="str">
        <f>IF(Klisz_Verbräuche[[#Headers],[2023]]=$B$14,IF(COUNTIF($G172:Klisz_Verbräuche[[#This Row],[2022]],"&gt;0")&gt;0, AVERAGEIF($G172:Klisz_Verbräuche[[#This Row],[2022]],"&lt;&gt;"), ""),IF($B$14&lt;Klisz_Verbräuche[[#Headers],[2023]],IF(COUNTIF($G172:Klisz_Verbräuche[[#This Row],[2022]],"&gt;0")&gt;0,IF(COUNTIF($G172:Klisz_Verbräuche[[#This Row],[2022]],"&gt;0")&gt;0,Klisz_Verbräuche[[#This Row],[2022]]*(1-$F172)^1, ""), ""),IF($B$14&gt;Klisz_Verbräuche[[#Headers],[2023]],Refsz_Verbräuche[[#This Row],[2023]],"")))</f>
        <v/>
      </c>
      <c r="P172" s="49" t="str">
        <f>IF(Klisz_Verbräuche[[#Headers],[2024]]=$B$14,IF(COUNTIF($G172:Klisz_Verbräuche[[#This Row],[2023]],"&gt;0")&gt;0, AVERAGEIF($G172:Klisz_Verbräuche[[#This Row],[2023]],"&lt;&gt;"), ""),IF($B$14&lt;Klisz_Verbräuche[[#Headers],[2024]],IF(COUNTIF($G172:Klisz_Verbräuche[[#This Row],[2023]],"&gt;0")&gt;0,IF(COUNTIF($G172:Klisz_Verbräuche[[#This Row],[2023]],"&gt;0")&gt;0,Klisz_Verbräuche[[#This Row],[2023]]*(1-$F172)^1, ""), ""),IF($B$14&gt;Klisz_Verbräuche[[#Headers],[2024]],Refsz_Verbräuche[[#This Row],[2024]],"")))</f>
        <v/>
      </c>
      <c r="Q172" s="49" t="str">
        <f>IF(Klisz_Verbräuche[[#Headers],[2025]]=$B$14,IF(COUNTIF($G172:Klisz_Verbräuche[[#This Row],[2024]],"&gt;0")&gt;0, AVERAGEIF($G172:Klisz_Verbräuche[[#This Row],[2024]],"&lt;&gt;"), ""),IF($B$14&lt;Klisz_Verbräuche[[#Headers],[2025]],IF(COUNTIF($G172:Klisz_Verbräuche[[#This Row],[2024]],"&gt;0")&gt;0,IF(COUNTIF($G172:Klisz_Verbräuche[[#This Row],[2024]],"&gt;0")&gt;0,Klisz_Verbräuche[[#This Row],[2024]]*(1-$F172)^1, ""), ""),IF($B$14&gt;Klisz_Verbräuche[[#Headers],[2025]],Refsz_Verbräuche[[#This Row],[2025]],"")))</f>
        <v/>
      </c>
      <c r="R172" s="49" t="str">
        <f>IF(Klisz_Verbräuche[[#Headers],[2026]]=$B$14,IF(COUNTIF($G172:Klisz_Verbräuche[[#This Row],[2025]],"&gt;0")&gt;0, AVERAGEIF($G172:Klisz_Verbräuche[[#This Row],[2025]],"&lt;&gt;"), ""),IF($B$14&lt;Klisz_Verbräuche[[#Headers],[2026]],IF(COUNTIF($G172:Klisz_Verbräuche[[#This Row],[2025]],"&gt;0")&gt;0,IF(COUNTIF($G172:Klisz_Verbräuche[[#This Row],[2025]],"&gt;0")&gt;0,Klisz_Verbräuche[[#This Row],[2025]]*(1-$F172)^1, ""), ""),IF($B$14&gt;Klisz_Verbräuche[[#Headers],[2026]],Refsz_Verbräuche[[#This Row],[2026]],"")))</f>
        <v/>
      </c>
      <c r="S172" s="49" t="str">
        <f>IF(Klisz_Verbräuche[[#Headers],[2027]]=$B$14,IF(COUNTIF($G172:Klisz_Verbräuche[[#This Row],[2026]],"&gt;0")&gt;0, AVERAGEIF($G172:Klisz_Verbräuche[[#This Row],[2026]],"&lt;&gt;"), ""),IF($B$14&lt;Klisz_Verbräuche[[#Headers],[2027]],IF(COUNTIF($G172:Klisz_Verbräuche[[#This Row],[2026]],"&gt;0")&gt;0,IF(COUNTIF($G172:Klisz_Verbräuche[[#This Row],[2026]],"&gt;0")&gt;0,Klisz_Verbräuche[[#This Row],[2026]]*(1-$F172)^1, ""), ""),IF($B$14&gt;Klisz_Verbräuche[[#Headers],[2027]],Refsz_Verbräuche[[#This Row],[2027]],"")))</f>
        <v/>
      </c>
      <c r="T172" s="49" t="str">
        <f>IF(Klisz_Verbräuche[[#Headers],[2028]]=$B$14,IF(COUNTIF($G172:Klisz_Verbräuche[[#This Row],[2027]],"&gt;0")&gt;0, AVERAGEIF($G172:Klisz_Verbräuche[[#This Row],[2027]],"&lt;&gt;"), ""),IF($B$14&lt;Klisz_Verbräuche[[#Headers],[2028]],IF(COUNTIF($G172:Klisz_Verbräuche[[#This Row],[2027]],"&gt;0")&gt;0,IF(COUNTIF($G172:Klisz_Verbräuche[[#This Row],[2027]],"&gt;0")&gt;0,Klisz_Verbräuche[[#This Row],[2027]]*(1-$F172)^1, ""), ""),IF($B$14&gt;Klisz_Verbräuche[[#Headers],[2028]],Refsz_Verbräuche[[#This Row],[2028]],"")))</f>
        <v/>
      </c>
      <c r="U172" s="49" t="str">
        <f>IF(Klisz_Verbräuche[[#Headers],[2029]]=$B$14,IF(COUNTIF($G172:Klisz_Verbräuche[[#This Row],[2028]],"&gt;0")&gt;0, AVERAGEIF($G172:Klisz_Verbräuche[[#This Row],[2028]],"&lt;&gt;"), ""),IF($B$14&lt;Klisz_Verbräuche[[#Headers],[2029]],IF(COUNTIF($G172:Klisz_Verbräuche[[#This Row],[2028]],"&gt;0")&gt;0,IF(COUNTIF($G172:Klisz_Verbräuche[[#This Row],[2028]],"&gt;0")&gt;0,Klisz_Verbräuche[[#This Row],[2028]]*(1-$F172)^1, ""), ""),IF($B$14&gt;Klisz_Verbräuche[[#Headers],[2029]],Refsz_Verbräuche[[#This Row],[2029]],"")))</f>
        <v/>
      </c>
      <c r="V172" s="49" t="str">
        <f>IF(Klisz_Verbräuche[[#Headers],[2030]]=$B$14,IF(COUNTIF($G172:Klisz_Verbräuche[[#This Row],[2029]],"&gt;0")&gt;0, AVERAGEIF($G172:Klisz_Verbräuche[[#This Row],[2029]],"&lt;&gt;"), ""),IF($B$14&lt;Klisz_Verbräuche[[#Headers],[2030]],IF(COUNTIF($G172:Klisz_Verbräuche[[#This Row],[2029]],"&gt;0")&gt;0,IF(COUNTIF($G172:Klisz_Verbräuche[[#This Row],[2029]],"&gt;0")&gt;0,Klisz_Verbräuche[[#This Row],[2029]]*(1-$F172)^1, ""), ""),IF($B$14&gt;Klisz_Verbräuche[[#Headers],[2030]],Refsz_Verbräuche[[#This Row],[2030]],"")))</f>
        <v/>
      </c>
      <c r="W172" s="49" t="str">
        <f>IF(Klisz_Verbräuche[[#Headers],[2035]]=$B$14,IF(COUNTIF($G172:Klisz_Verbräuche[[#This Row],[2030]],"&gt;0")&gt;0, AVERAGEIF($G172:Klisz_Verbräuche[[#This Row],[2030]],"&lt;&gt;"), ""),IF($B$14&lt;Klisz_Verbräuche[[#Headers],[2035]],IF(COUNTIF($G172:Klisz_Verbräuche[[#This Row],[2030]],"&gt;0")&gt;0,IF(COUNTIF($G172:Klisz_Verbräuche[[#This Row],[2030]],"&gt;0")&gt;0,Klisz_Verbräuche[[#This Row],[2030]]*(1-$F172)^5, ""), ""),IF($B$14&gt;Klisz_Verbräuche[[#Headers],[2035]],Refsz_Verbräuche[[#This Row],[2035]],"")))</f>
        <v/>
      </c>
      <c r="X172" s="49" t="str">
        <f>IF(Klisz_Verbräuche[[#Headers],[2040]]=$B$14,IF(COUNTIF($G172:Klisz_Verbräuche[[#This Row],[2035]],"&gt;0")&gt;0, AVERAGEIF($G172:Klisz_Verbräuche[[#This Row],[2035]],"&lt;&gt;"), ""),IF($B$14&lt;Klisz_Verbräuche[[#Headers],[2040]],IF(COUNTIF($G172:Klisz_Verbräuche[[#This Row],[2035]],"&gt;0")&gt;0,IF(COUNTIF($G172:Klisz_Verbräuche[[#This Row],[2035]],"&gt;0")&gt;0,Klisz_Verbräuche[[#This Row],[2035]]*(1-$F172)^5, ""), ""),IF($B$14&gt;Klisz_Verbräuche[[#Headers],[2040]],Refsz_Verbräuche[[#This Row],[2040]],"")))</f>
        <v/>
      </c>
      <c r="Y172" s="49" t="str">
        <f>IF(Klisz_Verbräuche[[#Headers],[2045]]=$B$14,IF(COUNTIF($G172:Klisz_Verbräuche[[#This Row],[2040]],"&gt;0")&gt;0, AVERAGEIF($G172:Klisz_Verbräuche[[#This Row],[2040]],"&lt;&gt;"), ""),IF($B$14&lt;Klisz_Verbräuche[[#Headers],[2045]],IF(COUNTIF($G172:Klisz_Verbräuche[[#This Row],[2040]],"&gt;0")&gt;0,IF(COUNTIF($G172:Klisz_Verbräuche[[#This Row],[2040]],"&gt;0")&gt;0,Klisz_Verbräuche[[#This Row],[2040]]*(1-$F172)^5, ""), ""),IF($B$14&gt;Klisz_Verbräuche[[#Headers],[2045]],Refsz_Verbräuche[[#This Row],[2045]],"")))</f>
        <v/>
      </c>
      <c r="Z172" s="49" t="str">
        <f>IF(Klisz_Verbräuche[[#Headers],[2050]]=$B$14,IF(COUNTIF($G172:Klisz_Verbräuche[[#This Row],[2045]],"&gt;0")&gt;0, AVERAGEIF($G172:Klisz_Verbräuche[[#This Row],[2045]],"&lt;&gt;"), ""),IF($B$14&lt;Klisz_Verbräuche[[#Headers],[2050]],IF(COUNTIF($G172:Klisz_Verbräuche[[#This Row],[2045]],"&gt;0")&gt;0,IF(COUNTIF($G172:Klisz_Verbräuche[[#This Row],[2045]],"&gt;0")&gt;0,Klisz_Verbräuche[[#This Row],[2045]]*(1-$F172)^5, ""), ""),IF($B$14&gt;Klisz_Verbräuche[[#Headers],[2050]],Refsz_Verbräuche[[#This Row],[2050]],"")))</f>
        <v/>
      </c>
      <c r="AA172" s="14"/>
    </row>
    <row r="173" spans="2:27">
      <c r="B173" s="14">
        <v>156</v>
      </c>
      <c r="C173" s="197">
        <f>Refsz_Verbräuche[[#This Row],[Handlungsfeld]]</f>
        <v>0</v>
      </c>
      <c r="D173" s="19">
        <f>Refsz_Verbräuche[[#This Row],[Datenpunkt]]</f>
        <v>0</v>
      </c>
      <c r="E173" s="26">
        <f>Refsz_Verbräuche[[#This Row],[Einheit]]</f>
        <v>0</v>
      </c>
      <c r="F173" s="108"/>
      <c r="G173" s="14" t="str">
        <f>IF(ISBLANK(Refsz_Verbräuche[[#This Row],[2015]]),"",Refsz_Verbräuche[[#This Row],[2015]])</f>
        <v/>
      </c>
      <c r="H173" s="14" t="str">
        <f>IF(ISBLANK(Refsz_Verbräuche[[#This Row],[2016]]),"",Refsz_Verbräuche[[#This Row],[2016]])</f>
        <v/>
      </c>
      <c r="I173" s="14" t="str">
        <f>IF(ISBLANK(Refsz_Verbräuche[[#This Row],[2017]]),"",Refsz_Verbräuche[[#This Row],[2017]])</f>
        <v/>
      </c>
      <c r="J173" s="14" t="str">
        <f>IF(ISBLANK(Refsz_Verbräuche[[#This Row],[2018]]),"",Refsz_Verbräuche[[#This Row],[2018]])</f>
        <v/>
      </c>
      <c r="K173" s="14" t="str">
        <f>IF(ISBLANK(Refsz_Verbräuche[[#This Row],[2019]]),"",Refsz_Verbräuche[[#This Row],[2019]])</f>
        <v/>
      </c>
      <c r="L173" s="14" t="str">
        <f>IF(ISBLANK(Refsz_Verbräuche[[#This Row],[2020]]),"",Refsz_Verbräuche[[#This Row],[2020]])</f>
        <v/>
      </c>
      <c r="M173" s="14" t="str">
        <f>IF(ISBLANK(Refsz_Verbräuche[[#This Row],[2021]]),"",Refsz_Verbräuche[[#This Row],[2021]])</f>
        <v/>
      </c>
      <c r="N173" s="49" t="str">
        <f>IF(Klisz_Verbräuche[[#Headers],[2022]]=$B$14,IF(COUNTIF($G173:Klisz_Verbräuche[[#This Row],[2021]],"&gt;0")&gt;0, AVERAGEIF($G173:Klisz_Verbräuche[[#This Row],[2021]],"&lt;&gt;"), ""),IF($B$14&lt;Klisz_Verbräuche[[#Headers],[2022]],IF(COUNTIF($G173:Klisz_Verbräuche[[#This Row],[2021]],"&gt;0")&gt;0,IF(COUNTIF($G173:Klisz_Verbräuche[[#This Row],[2021]],"&gt;0")&gt;0,Klisz_Verbräuche[[#This Row],[2021]]*(1-$F173)^1, ""), ""),IF($B$14&gt;Klisz_Verbräuche[[#Headers],[2022]],Refsz_Verbräuche[[#This Row],[2022]],"")))</f>
        <v/>
      </c>
      <c r="O173" s="49" t="str">
        <f>IF(Klisz_Verbräuche[[#Headers],[2023]]=$B$14,IF(COUNTIF($G173:Klisz_Verbräuche[[#This Row],[2022]],"&gt;0")&gt;0, AVERAGEIF($G173:Klisz_Verbräuche[[#This Row],[2022]],"&lt;&gt;"), ""),IF($B$14&lt;Klisz_Verbräuche[[#Headers],[2023]],IF(COUNTIF($G173:Klisz_Verbräuche[[#This Row],[2022]],"&gt;0")&gt;0,IF(COUNTIF($G173:Klisz_Verbräuche[[#This Row],[2022]],"&gt;0")&gt;0,Klisz_Verbräuche[[#This Row],[2022]]*(1-$F173)^1, ""), ""),IF($B$14&gt;Klisz_Verbräuche[[#Headers],[2023]],Refsz_Verbräuche[[#This Row],[2023]],"")))</f>
        <v/>
      </c>
      <c r="P173" s="49" t="str">
        <f>IF(Klisz_Verbräuche[[#Headers],[2024]]=$B$14,IF(COUNTIF($G173:Klisz_Verbräuche[[#This Row],[2023]],"&gt;0")&gt;0, AVERAGEIF($G173:Klisz_Verbräuche[[#This Row],[2023]],"&lt;&gt;"), ""),IF($B$14&lt;Klisz_Verbräuche[[#Headers],[2024]],IF(COUNTIF($G173:Klisz_Verbräuche[[#This Row],[2023]],"&gt;0")&gt;0,IF(COUNTIF($G173:Klisz_Verbräuche[[#This Row],[2023]],"&gt;0")&gt;0,Klisz_Verbräuche[[#This Row],[2023]]*(1-$F173)^1, ""), ""),IF($B$14&gt;Klisz_Verbräuche[[#Headers],[2024]],Refsz_Verbräuche[[#This Row],[2024]],"")))</f>
        <v/>
      </c>
      <c r="Q173" s="49" t="str">
        <f>IF(Klisz_Verbräuche[[#Headers],[2025]]=$B$14,IF(COUNTIF($G173:Klisz_Verbräuche[[#This Row],[2024]],"&gt;0")&gt;0, AVERAGEIF($G173:Klisz_Verbräuche[[#This Row],[2024]],"&lt;&gt;"), ""),IF($B$14&lt;Klisz_Verbräuche[[#Headers],[2025]],IF(COUNTIF($G173:Klisz_Verbräuche[[#This Row],[2024]],"&gt;0")&gt;0,IF(COUNTIF($G173:Klisz_Verbräuche[[#This Row],[2024]],"&gt;0")&gt;0,Klisz_Verbräuche[[#This Row],[2024]]*(1-$F173)^1, ""), ""),IF($B$14&gt;Klisz_Verbräuche[[#Headers],[2025]],Refsz_Verbräuche[[#This Row],[2025]],"")))</f>
        <v/>
      </c>
      <c r="R173" s="49" t="str">
        <f>IF(Klisz_Verbräuche[[#Headers],[2026]]=$B$14,IF(COUNTIF($G173:Klisz_Verbräuche[[#This Row],[2025]],"&gt;0")&gt;0, AVERAGEIF($G173:Klisz_Verbräuche[[#This Row],[2025]],"&lt;&gt;"), ""),IF($B$14&lt;Klisz_Verbräuche[[#Headers],[2026]],IF(COUNTIF($G173:Klisz_Verbräuche[[#This Row],[2025]],"&gt;0")&gt;0,IF(COUNTIF($G173:Klisz_Verbräuche[[#This Row],[2025]],"&gt;0")&gt;0,Klisz_Verbräuche[[#This Row],[2025]]*(1-$F173)^1, ""), ""),IF($B$14&gt;Klisz_Verbräuche[[#Headers],[2026]],Refsz_Verbräuche[[#This Row],[2026]],"")))</f>
        <v/>
      </c>
      <c r="S173" s="49" t="str">
        <f>IF(Klisz_Verbräuche[[#Headers],[2027]]=$B$14,IF(COUNTIF($G173:Klisz_Verbräuche[[#This Row],[2026]],"&gt;0")&gt;0, AVERAGEIF($G173:Klisz_Verbräuche[[#This Row],[2026]],"&lt;&gt;"), ""),IF($B$14&lt;Klisz_Verbräuche[[#Headers],[2027]],IF(COUNTIF($G173:Klisz_Verbräuche[[#This Row],[2026]],"&gt;0")&gt;0,IF(COUNTIF($G173:Klisz_Verbräuche[[#This Row],[2026]],"&gt;0")&gt;0,Klisz_Verbräuche[[#This Row],[2026]]*(1-$F173)^1, ""), ""),IF($B$14&gt;Klisz_Verbräuche[[#Headers],[2027]],Refsz_Verbräuche[[#This Row],[2027]],"")))</f>
        <v/>
      </c>
      <c r="T173" s="49" t="str">
        <f>IF(Klisz_Verbräuche[[#Headers],[2028]]=$B$14,IF(COUNTIF($G173:Klisz_Verbräuche[[#This Row],[2027]],"&gt;0")&gt;0, AVERAGEIF($G173:Klisz_Verbräuche[[#This Row],[2027]],"&lt;&gt;"), ""),IF($B$14&lt;Klisz_Verbräuche[[#Headers],[2028]],IF(COUNTIF($G173:Klisz_Verbräuche[[#This Row],[2027]],"&gt;0")&gt;0,IF(COUNTIF($G173:Klisz_Verbräuche[[#This Row],[2027]],"&gt;0")&gt;0,Klisz_Verbräuche[[#This Row],[2027]]*(1-$F173)^1, ""), ""),IF($B$14&gt;Klisz_Verbräuche[[#Headers],[2028]],Refsz_Verbräuche[[#This Row],[2028]],"")))</f>
        <v/>
      </c>
      <c r="U173" s="49" t="str">
        <f>IF(Klisz_Verbräuche[[#Headers],[2029]]=$B$14,IF(COUNTIF($G173:Klisz_Verbräuche[[#This Row],[2028]],"&gt;0")&gt;0, AVERAGEIF($G173:Klisz_Verbräuche[[#This Row],[2028]],"&lt;&gt;"), ""),IF($B$14&lt;Klisz_Verbräuche[[#Headers],[2029]],IF(COUNTIF($G173:Klisz_Verbräuche[[#This Row],[2028]],"&gt;0")&gt;0,IF(COUNTIF($G173:Klisz_Verbräuche[[#This Row],[2028]],"&gt;0")&gt;0,Klisz_Verbräuche[[#This Row],[2028]]*(1-$F173)^1, ""), ""),IF($B$14&gt;Klisz_Verbräuche[[#Headers],[2029]],Refsz_Verbräuche[[#This Row],[2029]],"")))</f>
        <v/>
      </c>
      <c r="V173" s="49" t="str">
        <f>IF(Klisz_Verbräuche[[#Headers],[2030]]=$B$14,IF(COUNTIF($G173:Klisz_Verbräuche[[#This Row],[2029]],"&gt;0")&gt;0, AVERAGEIF($G173:Klisz_Verbräuche[[#This Row],[2029]],"&lt;&gt;"), ""),IF($B$14&lt;Klisz_Verbräuche[[#Headers],[2030]],IF(COUNTIF($G173:Klisz_Verbräuche[[#This Row],[2029]],"&gt;0")&gt;0,IF(COUNTIF($G173:Klisz_Verbräuche[[#This Row],[2029]],"&gt;0")&gt;0,Klisz_Verbräuche[[#This Row],[2029]]*(1-$F173)^1, ""), ""),IF($B$14&gt;Klisz_Verbräuche[[#Headers],[2030]],Refsz_Verbräuche[[#This Row],[2030]],"")))</f>
        <v/>
      </c>
      <c r="W173" s="49" t="str">
        <f>IF(Klisz_Verbräuche[[#Headers],[2035]]=$B$14,IF(COUNTIF($G173:Klisz_Verbräuche[[#This Row],[2030]],"&gt;0")&gt;0, AVERAGEIF($G173:Klisz_Verbräuche[[#This Row],[2030]],"&lt;&gt;"), ""),IF($B$14&lt;Klisz_Verbräuche[[#Headers],[2035]],IF(COUNTIF($G173:Klisz_Verbräuche[[#This Row],[2030]],"&gt;0")&gt;0,IF(COUNTIF($G173:Klisz_Verbräuche[[#This Row],[2030]],"&gt;0")&gt;0,Klisz_Verbräuche[[#This Row],[2030]]*(1-$F173)^5, ""), ""),IF($B$14&gt;Klisz_Verbräuche[[#Headers],[2035]],Refsz_Verbräuche[[#This Row],[2035]],"")))</f>
        <v/>
      </c>
      <c r="X173" s="49" t="str">
        <f>IF(Klisz_Verbräuche[[#Headers],[2040]]=$B$14,IF(COUNTIF($G173:Klisz_Verbräuche[[#This Row],[2035]],"&gt;0")&gt;0, AVERAGEIF($G173:Klisz_Verbräuche[[#This Row],[2035]],"&lt;&gt;"), ""),IF($B$14&lt;Klisz_Verbräuche[[#Headers],[2040]],IF(COUNTIF($G173:Klisz_Verbräuche[[#This Row],[2035]],"&gt;0")&gt;0,IF(COUNTIF($G173:Klisz_Verbräuche[[#This Row],[2035]],"&gt;0")&gt;0,Klisz_Verbräuche[[#This Row],[2035]]*(1-$F173)^5, ""), ""),IF($B$14&gt;Klisz_Verbräuche[[#Headers],[2040]],Refsz_Verbräuche[[#This Row],[2040]],"")))</f>
        <v/>
      </c>
      <c r="Y173" s="49" t="str">
        <f>IF(Klisz_Verbräuche[[#Headers],[2045]]=$B$14,IF(COUNTIF($G173:Klisz_Verbräuche[[#This Row],[2040]],"&gt;0")&gt;0, AVERAGEIF($G173:Klisz_Verbräuche[[#This Row],[2040]],"&lt;&gt;"), ""),IF($B$14&lt;Klisz_Verbräuche[[#Headers],[2045]],IF(COUNTIF($G173:Klisz_Verbräuche[[#This Row],[2040]],"&gt;0")&gt;0,IF(COUNTIF($G173:Klisz_Verbräuche[[#This Row],[2040]],"&gt;0")&gt;0,Klisz_Verbräuche[[#This Row],[2040]]*(1-$F173)^5, ""), ""),IF($B$14&gt;Klisz_Verbräuche[[#Headers],[2045]],Refsz_Verbräuche[[#This Row],[2045]],"")))</f>
        <v/>
      </c>
      <c r="Z173" s="49" t="str">
        <f>IF(Klisz_Verbräuche[[#Headers],[2050]]=$B$14,IF(COUNTIF($G173:Klisz_Verbräuche[[#This Row],[2045]],"&gt;0")&gt;0, AVERAGEIF($G173:Klisz_Verbräuche[[#This Row],[2045]],"&lt;&gt;"), ""),IF($B$14&lt;Klisz_Verbräuche[[#Headers],[2050]],IF(COUNTIF($G173:Klisz_Verbräuche[[#This Row],[2045]],"&gt;0")&gt;0,IF(COUNTIF($G173:Klisz_Verbräuche[[#This Row],[2045]],"&gt;0")&gt;0,Klisz_Verbräuche[[#This Row],[2045]]*(1-$F173)^5, ""), ""),IF($B$14&gt;Klisz_Verbräuche[[#Headers],[2050]],Refsz_Verbräuche[[#This Row],[2050]],"")))</f>
        <v/>
      </c>
      <c r="AA173" s="14"/>
    </row>
    <row r="174" spans="2:27">
      <c r="B174" s="14">
        <v>157</v>
      </c>
      <c r="C174" s="197">
        <f>Refsz_Verbräuche[[#This Row],[Handlungsfeld]]</f>
        <v>0</v>
      </c>
      <c r="D174" s="19">
        <f>Refsz_Verbräuche[[#This Row],[Datenpunkt]]</f>
        <v>0</v>
      </c>
      <c r="E174" s="26">
        <f>Refsz_Verbräuche[[#This Row],[Einheit]]</f>
        <v>0</v>
      </c>
      <c r="F174" s="108"/>
      <c r="G174" s="14" t="str">
        <f>IF(ISBLANK(Refsz_Verbräuche[[#This Row],[2015]]),"",Refsz_Verbräuche[[#This Row],[2015]])</f>
        <v/>
      </c>
      <c r="H174" s="14" t="str">
        <f>IF(ISBLANK(Refsz_Verbräuche[[#This Row],[2016]]),"",Refsz_Verbräuche[[#This Row],[2016]])</f>
        <v/>
      </c>
      <c r="I174" s="14" t="str">
        <f>IF(ISBLANK(Refsz_Verbräuche[[#This Row],[2017]]),"",Refsz_Verbräuche[[#This Row],[2017]])</f>
        <v/>
      </c>
      <c r="J174" s="14" t="str">
        <f>IF(ISBLANK(Refsz_Verbräuche[[#This Row],[2018]]),"",Refsz_Verbräuche[[#This Row],[2018]])</f>
        <v/>
      </c>
      <c r="K174" s="14" t="str">
        <f>IF(ISBLANK(Refsz_Verbräuche[[#This Row],[2019]]),"",Refsz_Verbräuche[[#This Row],[2019]])</f>
        <v/>
      </c>
      <c r="L174" s="14" t="str">
        <f>IF(ISBLANK(Refsz_Verbräuche[[#This Row],[2020]]),"",Refsz_Verbräuche[[#This Row],[2020]])</f>
        <v/>
      </c>
      <c r="M174" s="14" t="str">
        <f>IF(ISBLANK(Refsz_Verbräuche[[#This Row],[2021]]),"",Refsz_Verbräuche[[#This Row],[2021]])</f>
        <v/>
      </c>
      <c r="N174" s="49" t="str">
        <f>IF(Klisz_Verbräuche[[#Headers],[2022]]=$B$14,IF(COUNTIF($G174:Klisz_Verbräuche[[#This Row],[2021]],"&gt;0")&gt;0, AVERAGEIF($G174:Klisz_Verbräuche[[#This Row],[2021]],"&lt;&gt;"), ""),IF($B$14&lt;Klisz_Verbräuche[[#Headers],[2022]],IF(COUNTIF($G174:Klisz_Verbräuche[[#This Row],[2021]],"&gt;0")&gt;0,IF(COUNTIF($G174:Klisz_Verbräuche[[#This Row],[2021]],"&gt;0")&gt;0,Klisz_Verbräuche[[#This Row],[2021]]*(1-$F174)^1, ""), ""),IF($B$14&gt;Klisz_Verbräuche[[#Headers],[2022]],Refsz_Verbräuche[[#This Row],[2022]],"")))</f>
        <v/>
      </c>
      <c r="O174" s="49" t="str">
        <f>IF(Klisz_Verbräuche[[#Headers],[2023]]=$B$14,IF(COUNTIF($G174:Klisz_Verbräuche[[#This Row],[2022]],"&gt;0")&gt;0, AVERAGEIF($G174:Klisz_Verbräuche[[#This Row],[2022]],"&lt;&gt;"), ""),IF($B$14&lt;Klisz_Verbräuche[[#Headers],[2023]],IF(COUNTIF($G174:Klisz_Verbräuche[[#This Row],[2022]],"&gt;0")&gt;0,IF(COUNTIF($G174:Klisz_Verbräuche[[#This Row],[2022]],"&gt;0")&gt;0,Klisz_Verbräuche[[#This Row],[2022]]*(1-$F174)^1, ""), ""),IF($B$14&gt;Klisz_Verbräuche[[#Headers],[2023]],Refsz_Verbräuche[[#This Row],[2023]],"")))</f>
        <v/>
      </c>
      <c r="P174" s="49" t="str">
        <f>IF(Klisz_Verbräuche[[#Headers],[2024]]=$B$14,IF(COUNTIF($G174:Klisz_Verbräuche[[#This Row],[2023]],"&gt;0")&gt;0, AVERAGEIF($G174:Klisz_Verbräuche[[#This Row],[2023]],"&lt;&gt;"), ""),IF($B$14&lt;Klisz_Verbräuche[[#Headers],[2024]],IF(COUNTIF($G174:Klisz_Verbräuche[[#This Row],[2023]],"&gt;0")&gt;0,IF(COUNTIF($G174:Klisz_Verbräuche[[#This Row],[2023]],"&gt;0")&gt;0,Klisz_Verbräuche[[#This Row],[2023]]*(1-$F174)^1, ""), ""),IF($B$14&gt;Klisz_Verbräuche[[#Headers],[2024]],Refsz_Verbräuche[[#This Row],[2024]],"")))</f>
        <v/>
      </c>
      <c r="Q174" s="49" t="str">
        <f>IF(Klisz_Verbräuche[[#Headers],[2025]]=$B$14,IF(COUNTIF($G174:Klisz_Verbräuche[[#This Row],[2024]],"&gt;0")&gt;0, AVERAGEIF($G174:Klisz_Verbräuche[[#This Row],[2024]],"&lt;&gt;"), ""),IF($B$14&lt;Klisz_Verbräuche[[#Headers],[2025]],IF(COUNTIF($G174:Klisz_Verbräuche[[#This Row],[2024]],"&gt;0")&gt;0,IF(COUNTIF($G174:Klisz_Verbräuche[[#This Row],[2024]],"&gt;0")&gt;0,Klisz_Verbräuche[[#This Row],[2024]]*(1-$F174)^1, ""), ""),IF($B$14&gt;Klisz_Verbräuche[[#Headers],[2025]],Refsz_Verbräuche[[#This Row],[2025]],"")))</f>
        <v/>
      </c>
      <c r="R174" s="49" t="str">
        <f>IF(Klisz_Verbräuche[[#Headers],[2026]]=$B$14,IF(COUNTIF($G174:Klisz_Verbräuche[[#This Row],[2025]],"&gt;0")&gt;0, AVERAGEIF($G174:Klisz_Verbräuche[[#This Row],[2025]],"&lt;&gt;"), ""),IF($B$14&lt;Klisz_Verbräuche[[#Headers],[2026]],IF(COUNTIF($G174:Klisz_Verbräuche[[#This Row],[2025]],"&gt;0")&gt;0,IF(COUNTIF($G174:Klisz_Verbräuche[[#This Row],[2025]],"&gt;0")&gt;0,Klisz_Verbräuche[[#This Row],[2025]]*(1-$F174)^1, ""), ""),IF($B$14&gt;Klisz_Verbräuche[[#Headers],[2026]],Refsz_Verbräuche[[#This Row],[2026]],"")))</f>
        <v/>
      </c>
      <c r="S174" s="49" t="str">
        <f>IF(Klisz_Verbräuche[[#Headers],[2027]]=$B$14,IF(COUNTIF($G174:Klisz_Verbräuche[[#This Row],[2026]],"&gt;0")&gt;0, AVERAGEIF($G174:Klisz_Verbräuche[[#This Row],[2026]],"&lt;&gt;"), ""),IF($B$14&lt;Klisz_Verbräuche[[#Headers],[2027]],IF(COUNTIF($G174:Klisz_Verbräuche[[#This Row],[2026]],"&gt;0")&gt;0,IF(COUNTIF($G174:Klisz_Verbräuche[[#This Row],[2026]],"&gt;0")&gt;0,Klisz_Verbräuche[[#This Row],[2026]]*(1-$F174)^1, ""), ""),IF($B$14&gt;Klisz_Verbräuche[[#Headers],[2027]],Refsz_Verbräuche[[#This Row],[2027]],"")))</f>
        <v/>
      </c>
      <c r="T174" s="49" t="str">
        <f>IF(Klisz_Verbräuche[[#Headers],[2028]]=$B$14,IF(COUNTIF($G174:Klisz_Verbräuche[[#This Row],[2027]],"&gt;0")&gt;0, AVERAGEIF($G174:Klisz_Verbräuche[[#This Row],[2027]],"&lt;&gt;"), ""),IF($B$14&lt;Klisz_Verbräuche[[#Headers],[2028]],IF(COUNTIF($G174:Klisz_Verbräuche[[#This Row],[2027]],"&gt;0")&gt;0,IF(COUNTIF($G174:Klisz_Verbräuche[[#This Row],[2027]],"&gt;0")&gt;0,Klisz_Verbräuche[[#This Row],[2027]]*(1-$F174)^1, ""), ""),IF($B$14&gt;Klisz_Verbräuche[[#Headers],[2028]],Refsz_Verbräuche[[#This Row],[2028]],"")))</f>
        <v/>
      </c>
      <c r="U174" s="49" t="str">
        <f>IF(Klisz_Verbräuche[[#Headers],[2029]]=$B$14,IF(COUNTIF($G174:Klisz_Verbräuche[[#This Row],[2028]],"&gt;0")&gt;0, AVERAGEIF($G174:Klisz_Verbräuche[[#This Row],[2028]],"&lt;&gt;"), ""),IF($B$14&lt;Klisz_Verbräuche[[#Headers],[2029]],IF(COUNTIF($G174:Klisz_Verbräuche[[#This Row],[2028]],"&gt;0")&gt;0,IF(COUNTIF($G174:Klisz_Verbräuche[[#This Row],[2028]],"&gt;0")&gt;0,Klisz_Verbräuche[[#This Row],[2028]]*(1-$F174)^1, ""), ""),IF($B$14&gt;Klisz_Verbräuche[[#Headers],[2029]],Refsz_Verbräuche[[#This Row],[2029]],"")))</f>
        <v/>
      </c>
      <c r="V174" s="49" t="str">
        <f>IF(Klisz_Verbräuche[[#Headers],[2030]]=$B$14,IF(COUNTIF($G174:Klisz_Verbräuche[[#This Row],[2029]],"&gt;0")&gt;0, AVERAGEIF($G174:Klisz_Verbräuche[[#This Row],[2029]],"&lt;&gt;"), ""),IF($B$14&lt;Klisz_Verbräuche[[#Headers],[2030]],IF(COUNTIF($G174:Klisz_Verbräuche[[#This Row],[2029]],"&gt;0")&gt;0,IF(COUNTIF($G174:Klisz_Verbräuche[[#This Row],[2029]],"&gt;0")&gt;0,Klisz_Verbräuche[[#This Row],[2029]]*(1-$F174)^1, ""), ""),IF($B$14&gt;Klisz_Verbräuche[[#Headers],[2030]],Refsz_Verbräuche[[#This Row],[2030]],"")))</f>
        <v/>
      </c>
      <c r="W174" s="49" t="str">
        <f>IF(Klisz_Verbräuche[[#Headers],[2035]]=$B$14,IF(COUNTIF($G174:Klisz_Verbräuche[[#This Row],[2030]],"&gt;0")&gt;0, AVERAGEIF($G174:Klisz_Verbräuche[[#This Row],[2030]],"&lt;&gt;"), ""),IF($B$14&lt;Klisz_Verbräuche[[#Headers],[2035]],IF(COUNTIF($G174:Klisz_Verbräuche[[#This Row],[2030]],"&gt;0")&gt;0,IF(COUNTIF($G174:Klisz_Verbräuche[[#This Row],[2030]],"&gt;0")&gt;0,Klisz_Verbräuche[[#This Row],[2030]]*(1-$F174)^5, ""), ""),IF($B$14&gt;Klisz_Verbräuche[[#Headers],[2035]],Refsz_Verbräuche[[#This Row],[2035]],"")))</f>
        <v/>
      </c>
      <c r="X174" s="49" t="str">
        <f>IF(Klisz_Verbräuche[[#Headers],[2040]]=$B$14,IF(COUNTIF($G174:Klisz_Verbräuche[[#This Row],[2035]],"&gt;0")&gt;0, AVERAGEIF($G174:Klisz_Verbräuche[[#This Row],[2035]],"&lt;&gt;"), ""),IF($B$14&lt;Klisz_Verbräuche[[#Headers],[2040]],IF(COUNTIF($G174:Klisz_Verbräuche[[#This Row],[2035]],"&gt;0")&gt;0,IF(COUNTIF($G174:Klisz_Verbräuche[[#This Row],[2035]],"&gt;0")&gt;0,Klisz_Verbräuche[[#This Row],[2035]]*(1-$F174)^5, ""), ""),IF($B$14&gt;Klisz_Verbräuche[[#Headers],[2040]],Refsz_Verbräuche[[#This Row],[2040]],"")))</f>
        <v/>
      </c>
      <c r="Y174" s="49" t="str">
        <f>IF(Klisz_Verbräuche[[#Headers],[2045]]=$B$14,IF(COUNTIF($G174:Klisz_Verbräuche[[#This Row],[2040]],"&gt;0")&gt;0, AVERAGEIF($G174:Klisz_Verbräuche[[#This Row],[2040]],"&lt;&gt;"), ""),IF($B$14&lt;Klisz_Verbräuche[[#Headers],[2045]],IF(COUNTIF($G174:Klisz_Verbräuche[[#This Row],[2040]],"&gt;0")&gt;0,IF(COUNTIF($G174:Klisz_Verbräuche[[#This Row],[2040]],"&gt;0")&gt;0,Klisz_Verbräuche[[#This Row],[2040]]*(1-$F174)^5, ""), ""),IF($B$14&gt;Klisz_Verbräuche[[#Headers],[2045]],Refsz_Verbräuche[[#This Row],[2045]],"")))</f>
        <v/>
      </c>
      <c r="Z174" s="49" t="str">
        <f>IF(Klisz_Verbräuche[[#Headers],[2050]]=$B$14,IF(COUNTIF($G174:Klisz_Verbräuche[[#This Row],[2045]],"&gt;0")&gt;0, AVERAGEIF($G174:Klisz_Verbräuche[[#This Row],[2045]],"&lt;&gt;"), ""),IF($B$14&lt;Klisz_Verbräuche[[#Headers],[2050]],IF(COUNTIF($G174:Klisz_Verbräuche[[#This Row],[2045]],"&gt;0")&gt;0,IF(COUNTIF($G174:Klisz_Verbräuche[[#This Row],[2045]],"&gt;0")&gt;0,Klisz_Verbräuche[[#This Row],[2045]]*(1-$F174)^5, ""), ""),IF($B$14&gt;Klisz_Verbräuche[[#Headers],[2050]],Refsz_Verbräuche[[#This Row],[2050]],"")))</f>
        <v/>
      </c>
      <c r="AA174" s="14"/>
    </row>
    <row r="175" spans="2:27">
      <c r="B175" s="14">
        <v>158</v>
      </c>
      <c r="C175" s="197">
        <f>Refsz_Verbräuche[[#This Row],[Handlungsfeld]]</f>
        <v>0</v>
      </c>
      <c r="D175" s="19">
        <f>Refsz_Verbräuche[[#This Row],[Datenpunkt]]</f>
        <v>0</v>
      </c>
      <c r="E175" s="26">
        <f>Refsz_Verbräuche[[#This Row],[Einheit]]</f>
        <v>0</v>
      </c>
      <c r="F175" s="108"/>
      <c r="G175" s="14" t="str">
        <f>IF(ISBLANK(Refsz_Verbräuche[[#This Row],[2015]]),"",Refsz_Verbräuche[[#This Row],[2015]])</f>
        <v/>
      </c>
      <c r="H175" s="14" t="str">
        <f>IF(ISBLANK(Refsz_Verbräuche[[#This Row],[2016]]),"",Refsz_Verbräuche[[#This Row],[2016]])</f>
        <v/>
      </c>
      <c r="I175" s="14" t="str">
        <f>IF(ISBLANK(Refsz_Verbräuche[[#This Row],[2017]]),"",Refsz_Verbräuche[[#This Row],[2017]])</f>
        <v/>
      </c>
      <c r="J175" s="14" t="str">
        <f>IF(ISBLANK(Refsz_Verbräuche[[#This Row],[2018]]),"",Refsz_Verbräuche[[#This Row],[2018]])</f>
        <v/>
      </c>
      <c r="K175" s="14" t="str">
        <f>IF(ISBLANK(Refsz_Verbräuche[[#This Row],[2019]]),"",Refsz_Verbräuche[[#This Row],[2019]])</f>
        <v/>
      </c>
      <c r="L175" s="14" t="str">
        <f>IF(ISBLANK(Refsz_Verbräuche[[#This Row],[2020]]),"",Refsz_Verbräuche[[#This Row],[2020]])</f>
        <v/>
      </c>
      <c r="M175" s="14" t="str">
        <f>IF(ISBLANK(Refsz_Verbräuche[[#This Row],[2021]]),"",Refsz_Verbräuche[[#This Row],[2021]])</f>
        <v/>
      </c>
      <c r="N175" s="49" t="str">
        <f>IF(Klisz_Verbräuche[[#Headers],[2022]]=$B$14,IF(COUNTIF($G175:Klisz_Verbräuche[[#This Row],[2021]],"&gt;0")&gt;0, AVERAGEIF($G175:Klisz_Verbräuche[[#This Row],[2021]],"&lt;&gt;"), ""),IF($B$14&lt;Klisz_Verbräuche[[#Headers],[2022]],IF(COUNTIF($G175:Klisz_Verbräuche[[#This Row],[2021]],"&gt;0")&gt;0,IF(COUNTIF($G175:Klisz_Verbräuche[[#This Row],[2021]],"&gt;0")&gt;0,Klisz_Verbräuche[[#This Row],[2021]]*(1-$F175)^1, ""), ""),IF($B$14&gt;Klisz_Verbräuche[[#Headers],[2022]],Refsz_Verbräuche[[#This Row],[2022]],"")))</f>
        <v/>
      </c>
      <c r="O175" s="49" t="str">
        <f>IF(Klisz_Verbräuche[[#Headers],[2023]]=$B$14,IF(COUNTIF($G175:Klisz_Verbräuche[[#This Row],[2022]],"&gt;0")&gt;0, AVERAGEIF($G175:Klisz_Verbräuche[[#This Row],[2022]],"&lt;&gt;"), ""),IF($B$14&lt;Klisz_Verbräuche[[#Headers],[2023]],IF(COUNTIF($G175:Klisz_Verbräuche[[#This Row],[2022]],"&gt;0")&gt;0,IF(COUNTIF($G175:Klisz_Verbräuche[[#This Row],[2022]],"&gt;0")&gt;0,Klisz_Verbräuche[[#This Row],[2022]]*(1-$F175)^1, ""), ""),IF($B$14&gt;Klisz_Verbräuche[[#Headers],[2023]],Refsz_Verbräuche[[#This Row],[2023]],"")))</f>
        <v/>
      </c>
      <c r="P175" s="49" t="str">
        <f>IF(Klisz_Verbräuche[[#Headers],[2024]]=$B$14,IF(COUNTIF($G175:Klisz_Verbräuche[[#This Row],[2023]],"&gt;0")&gt;0, AVERAGEIF($G175:Klisz_Verbräuche[[#This Row],[2023]],"&lt;&gt;"), ""),IF($B$14&lt;Klisz_Verbräuche[[#Headers],[2024]],IF(COUNTIF($G175:Klisz_Verbräuche[[#This Row],[2023]],"&gt;0")&gt;0,IF(COUNTIF($G175:Klisz_Verbräuche[[#This Row],[2023]],"&gt;0")&gt;0,Klisz_Verbräuche[[#This Row],[2023]]*(1-$F175)^1, ""), ""),IF($B$14&gt;Klisz_Verbräuche[[#Headers],[2024]],Refsz_Verbräuche[[#This Row],[2024]],"")))</f>
        <v/>
      </c>
      <c r="Q175" s="49" t="str">
        <f>IF(Klisz_Verbräuche[[#Headers],[2025]]=$B$14,IF(COUNTIF($G175:Klisz_Verbräuche[[#This Row],[2024]],"&gt;0")&gt;0, AVERAGEIF($G175:Klisz_Verbräuche[[#This Row],[2024]],"&lt;&gt;"), ""),IF($B$14&lt;Klisz_Verbräuche[[#Headers],[2025]],IF(COUNTIF($G175:Klisz_Verbräuche[[#This Row],[2024]],"&gt;0")&gt;0,IF(COUNTIF($G175:Klisz_Verbräuche[[#This Row],[2024]],"&gt;0")&gt;0,Klisz_Verbräuche[[#This Row],[2024]]*(1-$F175)^1, ""), ""),IF($B$14&gt;Klisz_Verbräuche[[#Headers],[2025]],Refsz_Verbräuche[[#This Row],[2025]],"")))</f>
        <v/>
      </c>
      <c r="R175" s="49" t="str">
        <f>IF(Klisz_Verbräuche[[#Headers],[2026]]=$B$14,IF(COUNTIF($G175:Klisz_Verbräuche[[#This Row],[2025]],"&gt;0")&gt;0, AVERAGEIF($G175:Klisz_Verbräuche[[#This Row],[2025]],"&lt;&gt;"), ""),IF($B$14&lt;Klisz_Verbräuche[[#Headers],[2026]],IF(COUNTIF($G175:Klisz_Verbräuche[[#This Row],[2025]],"&gt;0")&gt;0,IF(COUNTIF($G175:Klisz_Verbräuche[[#This Row],[2025]],"&gt;0")&gt;0,Klisz_Verbräuche[[#This Row],[2025]]*(1-$F175)^1, ""), ""),IF($B$14&gt;Klisz_Verbräuche[[#Headers],[2026]],Refsz_Verbräuche[[#This Row],[2026]],"")))</f>
        <v/>
      </c>
      <c r="S175" s="49" t="str">
        <f>IF(Klisz_Verbräuche[[#Headers],[2027]]=$B$14,IF(COUNTIF($G175:Klisz_Verbräuche[[#This Row],[2026]],"&gt;0")&gt;0, AVERAGEIF($G175:Klisz_Verbräuche[[#This Row],[2026]],"&lt;&gt;"), ""),IF($B$14&lt;Klisz_Verbräuche[[#Headers],[2027]],IF(COUNTIF($G175:Klisz_Verbräuche[[#This Row],[2026]],"&gt;0")&gt;0,IF(COUNTIF($G175:Klisz_Verbräuche[[#This Row],[2026]],"&gt;0")&gt;0,Klisz_Verbräuche[[#This Row],[2026]]*(1-$F175)^1, ""), ""),IF($B$14&gt;Klisz_Verbräuche[[#Headers],[2027]],Refsz_Verbräuche[[#This Row],[2027]],"")))</f>
        <v/>
      </c>
      <c r="T175" s="49" t="str">
        <f>IF(Klisz_Verbräuche[[#Headers],[2028]]=$B$14,IF(COUNTIF($G175:Klisz_Verbräuche[[#This Row],[2027]],"&gt;0")&gt;0, AVERAGEIF($G175:Klisz_Verbräuche[[#This Row],[2027]],"&lt;&gt;"), ""),IF($B$14&lt;Klisz_Verbräuche[[#Headers],[2028]],IF(COUNTIF($G175:Klisz_Verbräuche[[#This Row],[2027]],"&gt;0")&gt;0,IF(COUNTIF($G175:Klisz_Verbräuche[[#This Row],[2027]],"&gt;0")&gt;0,Klisz_Verbräuche[[#This Row],[2027]]*(1-$F175)^1, ""), ""),IF($B$14&gt;Klisz_Verbräuche[[#Headers],[2028]],Refsz_Verbräuche[[#This Row],[2028]],"")))</f>
        <v/>
      </c>
      <c r="U175" s="49" t="str">
        <f>IF(Klisz_Verbräuche[[#Headers],[2029]]=$B$14,IF(COUNTIF($G175:Klisz_Verbräuche[[#This Row],[2028]],"&gt;0")&gt;0, AVERAGEIF($G175:Klisz_Verbräuche[[#This Row],[2028]],"&lt;&gt;"), ""),IF($B$14&lt;Klisz_Verbräuche[[#Headers],[2029]],IF(COUNTIF($G175:Klisz_Verbräuche[[#This Row],[2028]],"&gt;0")&gt;0,IF(COUNTIF($G175:Klisz_Verbräuche[[#This Row],[2028]],"&gt;0")&gt;0,Klisz_Verbräuche[[#This Row],[2028]]*(1-$F175)^1, ""), ""),IF($B$14&gt;Klisz_Verbräuche[[#Headers],[2029]],Refsz_Verbräuche[[#This Row],[2029]],"")))</f>
        <v/>
      </c>
      <c r="V175" s="49" t="str">
        <f>IF(Klisz_Verbräuche[[#Headers],[2030]]=$B$14,IF(COUNTIF($G175:Klisz_Verbräuche[[#This Row],[2029]],"&gt;0")&gt;0, AVERAGEIF($G175:Klisz_Verbräuche[[#This Row],[2029]],"&lt;&gt;"), ""),IF($B$14&lt;Klisz_Verbräuche[[#Headers],[2030]],IF(COUNTIF($G175:Klisz_Verbräuche[[#This Row],[2029]],"&gt;0")&gt;0,IF(COUNTIF($G175:Klisz_Verbräuche[[#This Row],[2029]],"&gt;0")&gt;0,Klisz_Verbräuche[[#This Row],[2029]]*(1-$F175)^1, ""), ""),IF($B$14&gt;Klisz_Verbräuche[[#Headers],[2030]],Refsz_Verbräuche[[#This Row],[2030]],"")))</f>
        <v/>
      </c>
      <c r="W175" s="49" t="str">
        <f>IF(Klisz_Verbräuche[[#Headers],[2035]]=$B$14,IF(COUNTIF($G175:Klisz_Verbräuche[[#This Row],[2030]],"&gt;0")&gt;0, AVERAGEIF($G175:Klisz_Verbräuche[[#This Row],[2030]],"&lt;&gt;"), ""),IF($B$14&lt;Klisz_Verbräuche[[#Headers],[2035]],IF(COUNTIF($G175:Klisz_Verbräuche[[#This Row],[2030]],"&gt;0")&gt;0,IF(COUNTIF($G175:Klisz_Verbräuche[[#This Row],[2030]],"&gt;0")&gt;0,Klisz_Verbräuche[[#This Row],[2030]]*(1-$F175)^5, ""), ""),IF($B$14&gt;Klisz_Verbräuche[[#Headers],[2035]],Refsz_Verbräuche[[#This Row],[2035]],"")))</f>
        <v/>
      </c>
      <c r="X175" s="49" t="str">
        <f>IF(Klisz_Verbräuche[[#Headers],[2040]]=$B$14,IF(COUNTIF($G175:Klisz_Verbräuche[[#This Row],[2035]],"&gt;0")&gt;0, AVERAGEIF($G175:Klisz_Verbräuche[[#This Row],[2035]],"&lt;&gt;"), ""),IF($B$14&lt;Klisz_Verbräuche[[#Headers],[2040]],IF(COUNTIF($G175:Klisz_Verbräuche[[#This Row],[2035]],"&gt;0")&gt;0,IF(COUNTIF($G175:Klisz_Verbräuche[[#This Row],[2035]],"&gt;0")&gt;0,Klisz_Verbräuche[[#This Row],[2035]]*(1-$F175)^5, ""), ""),IF($B$14&gt;Klisz_Verbräuche[[#Headers],[2040]],Refsz_Verbräuche[[#This Row],[2040]],"")))</f>
        <v/>
      </c>
      <c r="Y175" s="49" t="str">
        <f>IF(Klisz_Verbräuche[[#Headers],[2045]]=$B$14,IF(COUNTIF($G175:Klisz_Verbräuche[[#This Row],[2040]],"&gt;0")&gt;0, AVERAGEIF($G175:Klisz_Verbräuche[[#This Row],[2040]],"&lt;&gt;"), ""),IF($B$14&lt;Klisz_Verbräuche[[#Headers],[2045]],IF(COUNTIF($G175:Klisz_Verbräuche[[#This Row],[2040]],"&gt;0")&gt;0,IF(COUNTIF($G175:Klisz_Verbräuche[[#This Row],[2040]],"&gt;0")&gt;0,Klisz_Verbräuche[[#This Row],[2040]]*(1-$F175)^5, ""), ""),IF($B$14&gt;Klisz_Verbräuche[[#Headers],[2045]],Refsz_Verbräuche[[#This Row],[2045]],"")))</f>
        <v/>
      </c>
      <c r="Z175" s="49" t="str">
        <f>IF(Klisz_Verbräuche[[#Headers],[2050]]=$B$14,IF(COUNTIF($G175:Klisz_Verbräuche[[#This Row],[2045]],"&gt;0")&gt;0, AVERAGEIF($G175:Klisz_Verbräuche[[#This Row],[2045]],"&lt;&gt;"), ""),IF($B$14&lt;Klisz_Verbräuche[[#Headers],[2050]],IF(COUNTIF($G175:Klisz_Verbräuche[[#This Row],[2045]],"&gt;0")&gt;0,IF(COUNTIF($G175:Klisz_Verbräuche[[#This Row],[2045]],"&gt;0")&gt;0,Klisz_Verbräuche[[#This Row],[2045]]*(1-$F175)^5, ""), ""),IF($B$14&gt;Klisz_Verbräuche[[#Headers],[2050]],Refsz_Verbräuche[[#This Row],[2050]],"")))</f>
        <v/>
      </c>
      <c r="AA175" s="14"/>
    </row>
    <row r="176" spans="2:27">
      <c r="B176" s="14">
        <v>159</v>
      </c>
      <c r="C176" s="197">
        <f>Refsz_Verbräuche[[#This Row],[Handlungsfeld]]</f>
        <v>0</v>
      </c>
      <c r="D176" s="19">
        <f>Refsz_Verbräuche[[#This Row],[Datenpunkt]]</f>
        <v>0</v>
      </c>
      <c r="E176" s="26">
        <f>Refsz_Verbräuche[[#This Row],[Einheit]]</f>
        <v>0</v>
      </c>
      <c r="F176" s="108"/>
      <c r="G176" s="14" t="str">
        <f>IF(ISBLANK(Refsz_Verbräuche[[#This Row],[2015]]),"",Refsz_Verbräuche[[#This Row],[2015]])</f>
        <v/>
      </c>
      <c r="H176" s="14" t="str">
        <f>IF(ISBLANK(Refsz_Verbräuche[[#This Row],[2016]]),"",Refsz_Verbräuche[[#This Row],[2016]])</f>
        <v/>
      </c>
      <c r="I176" s="14" t="str">
        <f>IF(ISBLANK(Refsz_Verbräuche[[#This Row],[2017]]),"",Refsz_Verbräuche[[#This Row],[2017]])</f>
        <v/>
      </c>
      <c r="J176" s="14" t="str">
        <f>IF(ISBLANK(Refsz_Verbräuche[[#This Row],[2018]]),"",Refsz_Verbräuche[[#This Row],[2018]])</f>
        <v/>
      </c>
      <c r="K176" s="14" t="str">
        <f>IF(ISBLANK(Refsz_Verbräuche[[#This Row],[2019]]),"",Refsz_Verbräuche[[#This Row],[2019]])</f>
        <v/>
      </c>
      <c r="L176" s="14" t="str">
        <f>IF(ISBLANK(Refsz_Verbräuche[[#This Row],[2020]]),"",Refsz_Verbräuche[[#This Row],[2020]])</f>
        <v/>
      </c>
      <c r="M176" s="14" t="str">
        <f>IF(ISBLANK(Refsz_Verbräuche[[#This Row],[2021]]),"",Refsz_Verbräuche[[#This Row],[2021]])</f>
        <v/>
      </c>
      <c r="N176" s="49" t="str">
        <f>IF(Klisz_Verbräuche[[#Headers],[2022]]=$B$14,IF(COUNTIF($G176:Klisz_Verbräuche[[#This Row],[2021]],"&gt;0")&gt;0, AVERAGEIF($G176:Klisz_Verbräuche[[#This Row],[2021]],"&lt;&gt;"), ""),IF($B$14&lt;Klisz_Verbräuche[[#Headers],[2022]],IF(COUNTIF($G176:Klisz_Verbräuche[[#This Row],[2021]],"&gt;0")&gt;0,IF(COUNTIF($G176:Klisz_Verbräuche[[#This Row],[2021]],"&gt;0")&gt;0,Klisz_Verbräuche[[#This Row],[2021]]*(1-$F176)^1, ""), ""),IF($B$14&gt;Klisz_Verbräuche[[#Headers],[2022]],Refsz_Verbräuche[[#This Row],[2022]],"")))</f>
        <v/>
      </c>
      <c r="O176" s="49" t="str">
        <f>IF(Klisz_Verbräuche[[#Headers],[2023]]=$B$14,IF(COUNTIF($G176:Klisz_Verbräuche[[#This Row],[2022]],"&gt;0")&gt;0, AVERAGEIF($G176:Klisz_Verbräuche[[#This Row],[2022]],"&lt;&gt;"), ""),IF($B$14&lt;Klisz_Verbräuche[[#Headers],[2023]],IF(COUNTIF($G176:Klisz_Verbräuche[[#This Row],[2022]],"&gt;0")&gt;0,IF(COUNTIF($G176:Klisz_Verbräuche[[#This Row],[2022]],"&gt;0")&gt;0,Klisz_Verbräuche[[#This Row],[2022]]*(1-$F176)^1, ""), ""),IF($B$14&gt;Klisz_Verbräuche[[#Headers],[2023]],Refsz_Verbräuche[[#This Row],[2023]],"")))</f>
        <v/>
      </c>
      <c r="P176" s="49" t="str">
        <f>IF(Klisz_Verbräuche[[#Headers],[2024]]=$B$14,IF(COUNTIF($G176:Klisz_Verbräuche[[#This Row],[2023]],"&gt;0")&gt;0, AVERAGEIF($G176:Klisz_Verbräuche[[#This Row],[2023]],"&lt;&gt;"), ""),IF($B$14&lt;Klisz_Verbräuche[[#Headers],[2024]],IF(COUNTIF($G176:Klisz_Verbräuche[[#This Row],[2023]],"&gt;0")&gt;0,IF(COUNTIF($G176:Klisz_Verbräuche[[#This Row],[2023]],"&gt;0")&gt;0,Klisz_Verbräuche[[#This Row],[2023]]*(1-$F176)^1, ""), ""),IF($B$14&gt;Klisz_Verbräuche[[#Headers],[2024]],Refsz_Verbräuche[[#This Row],[2024]],"")))</f>
        <v/>
      </c>
      <c r="Q176" s="49" t="str">
        <f>IF(Klisz_Verbräuche[[#Headers],[2025]]=$B$14,IF(COUNTIF($G176:Klisz_Verbräuche[[#This Row],[2024]],"&gt;0")&gt;0, AVERAGEIF($G176:Klisz_Verbräuche[[#This Row],[2024]],"&lt;&gt;"), ""),IF($B$14&lt;Klisz_Verbräuche[[#Headers],[2025]],IF(COUNTIF($G176:Klisz_Verbräuche[[#This Row],[2024]],"&gt;0")&gt;0,IF(COUNTIF($G176:Klisz_Verbräuche[[#This Row],[2024]],"&gt;0")&gt;0,Klisz_Verbräuche[[#This Row],[2024]]*(1-$F176)^1, ""), ""),IF($B$14&gt;Klisz_Verbräuche[[#Headers],[2025]],Refsz_Verbräuche[[#This Row],[2025]],"")))</f>
        <v/>
      </c>
      <c r="R176" s="49" t="str">
        <f>IF(Klisz_Verbräuche[[#Headers],[2026]]=$B$14,IF(COUNTIF($G176:Klisz_Verbräuche[[#This Row],[2025]],"&gt;0")&gt;0, AVERAGEIF($G176:Klisz_Verbräuche[[#This Row],[2025]],"&lt;&gt;"), ""),IF($B$14&lt;Klisz_Verbräuche[[#Headers],[2026]],IF(COUNTIF($G176:Klisz_Verbräuche[[#This Row],[2025]],"&gt;0")&gt;0,IF(COUNTIF($G176:Klisz_Verbräuche[[#This Row],[2025]],"&gt;0")&gt;0,Klisz_Verbräuche[[#This Row],[2025]]*(1-$F176)^1, ""), ""),IF($B$14&gt;Klisz_Verbräuche[[#Headers],[2026]],Refsz_Verbräuche[[#This Row],[2026]],"")))</f>
        <v/>
      </c>
      <c r="S176" s="49" t="str">
        <f>IF(Klisz_Verbräuche[[#Headers],[2027]]=$B$14,IF(COUNTIF($G176:Klisz_Verbräuche[[#This Row],[2026]],"&gt;0")&gt;0, AVERAGEIF($G176:Klisz_Verbräuche[[#This Row],[2026]],"&lt;&gt;"), ""),IF($B$14&lt;Klisz_Verbräuche[[#Headers],[2027]],IF(COUNTIF($G176:Klisz_Verbräuche[[#This Row],[2026]],"&gt;0")&gt;0,IF(COUNTIF($G176:Klisz_Verbräuche[[#This Row],[2026]],"&gt;0")&gt;0,Klisz_Verbräuche[[#This Row],[2026]]*(1-$F176)^1, ""), ""),IF($B$14&gt;Klisz_Verbräuche[[#Headers],[2027]],Refsz_Verbräuche[[#This Row],[2027]],"")))</f>
        <v/>
      </c>
      <c r="T176" s="49" t="str">
        <f>IF(Klisz_Verbräuche[[#Headers],[2028]]=$B$14,IF(COUNTIF($G176:Klisz_Verbräuche[[#This Row],[2027]],"&gt;0")&gt;0, AVERAGEIF($G176:Klisz_Verbräuche[[#This Row],[2027]],"&lt;&gt;"), ""),IF($B$14&lt;Klisz_Verbräuche[[#Headers],[2028]],IF(COUNTIF($G176:Klisz_Verbräuche[[#This Row],[2027]],"&gt;0")&gt;0,IF(COUNTIF($G176:Klisz_Verbräuche[[#This Row],[2027]],"&gt;0")&gt;0,Klisz_Verbräuche[[#This Row],[2027]]*(1-$F176)^1, ""), ""),IF($B$14&gt;Klisz_Verbräuche[[#Headers],[2028]],Refsz_Verbräuche[[#This Row],[2028]],"")))</f>
        <v/>
      </c>
      <c r="U176" s="49" t="str">
        <f>IF(Klisz_Verbräuche[[#Headers],[2029]]=$B$14,IF(COUNTIF($G176:Klisz_Verbräuche[[#This Row],[2028]],"&gt;0")&gt;0, AVERAGEIF($G176:Klisz_Verbräuche[[#This Row],[2028]],"&lt;&gt;"), ""),IF($B$14&lt;Klisz_Verbräuche[[#Headers],[2029]],IF(COUNTIF($G176:Klisz_Verbräuche[[#This Row],[2028]],"&gt;0")&gt;0,IF(COUNTIF($G176:Klisz_Verbräuche[[#This Row],[2028]],"&gt;0")&gt;0,Klisz_Verbräuche[[#This Row],[2028]]*(1-$F176)^1, ""), ""),IF($B$14&gt;Klisz_Verbräuche[[#Headers],[2029]],Refsz_Verbräuche[[#This Row],[2029]],"")))</f>
        <v/>
      </c>
      <c r="V176" s="49" t="str">
        <f>IF(Klisz_Verbräuche[[#Headers],[2030]]=$B$14,IF(COUNTIF($G176:Klisz_Verbräuche[[#This Row],[2029]],"&gt;0")&gt;0, AVERAGEIF($G176:Klisz_Verbräuche[[#This Row],[2029]],"&lt;&gt;"), ""),IF($B$14&lt;Klisz_Verbräuche[[#Headers],[2030]],IF(COUNTIF($G176:Klisz_Verbräuche[[#This Row],[2029]],"&gt;0")&gt;0,IF(COUNTIF($G176:Klisz_Verbräuche[[#This Row],[2029]],"&gt;0")&gt;0,Klisz_Verbräuche[[#This Row],[2029]]*(1-$F176)^1, ""), ""),IF($B$14&gt;Klisz_Verbräuche[[#Headers],[2030]],Refsz_Verbräuche[[#This Row],[2030]],"")))</f>
        <v/>
      </c>
      <c r="W176" s="49" t="str">
        <f>IF(Klisz_Verbräuche[[#Headers],[2035]]=$B$14,IF(COUNTIF($G176:Klisz_Verbräuche[[#This Row],[2030]],"&gt;0")&gt;0, AVERAGEIF($G176:Klisz_Verbräuche[[#This Row],[2030]],"&lt;&gt;"), ""),IF($B$14&lt;Klisz_Verbräuche[[#Headers],[2035]],IF(COUNTIF($G176:Klisz_Verbräuche[[#This Row],[2030]],"&gt;0")&gt;0,IF(COUNTIF($G176:Klisz_Verbräuche[[#This Row],[2030]],"&gt;0")&gt;0,Klisz_Verbräuche[[#This Row],[2030]]*(1-$F176)^5, ""), ""),IF($B$14&gt;Klisz_Verbräuche[[#Headers],[2035]],Refsz_Verbräuche[[#This Row],[2035]],"")))</f>
        <v/>
      </c>
      <c r="X176" s="49" t="str">
        <f>IF(Klisz_Verbräuche[[#Headers],[2040]]=$B$14,IF(COUNTIF($G176:Klisz_Verbräuche[[#This Row],[2035]],"&gt;0")&gt;0, AVERAGEIF($G176:Klisz_Verbräuche[[#This Row],[2035]],"&lt;&gt;"), ""),IF($B$14&lt;Klisz_Verbräuche[[#Headers],[2040]],IF(COUNTIF($G176:Klisz_Verbräuche[[#This Row],[2035]],"&gt;0")&gt;0,IF(COUNTIF($G176:Klisz_Verbräuche[[#This Row],[2035]],"&gt;0")&gt;0,Klisz_Verbräuche[[#This Row],[2035]]*(1-$F176)^5, ""), ""),IF($B$14&gt;Klisz_Verbräuche[[#Headers],[2040]],Refsz_Verbräuche[[#This Row],[2040]],"")))</f>
        <v/>
      </c>
      <c r="Y176" s="49" t="str">
        <f>IF(Klisz_Verbräuche[[#Headers],[2045]]=$B$14,IF(COUNTIF($G176:Klisz_Verbräuche[[#This Row],[2040]],"&gt;0")&gt;0, AVERAGEIF($G176:Klisz_Verbräuche[[#This Row],[2040]],"&lt;&gt;"), ""),IF($B$14&lt;Klisz_Verbräuche[[#Headers],[2045]],IF(COUNTIF($G176:Klisz_Verbräuche[[#This Row],[2040]],"&gt;0")&gt;0,IF(COUNTIF($G176:Klisz_Verbräuche[[#This Row],[2040]],"&gt;0")&gt;0,Klisz_Verbräuche[[#This Row],[2040]]*(1-$F176)^5, ""), ""),IF($B$14&gt;Klisz_Verbräuche[[#Headers],[2045]],Refsz_Verbräuche[[#This Row],[2045]],"")))</f>
        <v/>
      </c>
      <c r="Z176" s="49" t="str">
        <f>IF(Klisz_Verbräuche[[#Headers],[2050]]=$B$14,IF(COUNTIF($G176:Klisz_Verbräuche[[#This Row],[2045]],"&gt;0")&gt;0, AVERAGEIF($G176:Klisz_Verbräuche[[#This Row],[2045]],"&lt;&gt;"), ""),IF($B$14&lt;Klisz_Verbräuche[[#Headers],[2050]],IF(COUNTIF($G176:Klisz_Verbräuche[[#This Row],[2045]],"&gt;0")&gt;0,IF(COUNTIF($G176:Klisz_Verbräuche[[#This Row],[2045]],"&gt;0")&gt;0,Klisz_Verbräuche[[#This Row],[2045]]*(1-$F176)^5, ""), ""),IF($B$14&gt;Klisz_Verbräuche[[#Headers],[2050]],Refsz_Verbräuche[[#This Row],[2050]],"")))</f>
        <v/>
      </c>
      <c r="AA176" s="14"/>
    </row>
    <row r="177" spans="2:27">
      <c r="B177" s="14">
        <v>160</v>
      </c>
      <c r="C177" s="197">
        <f>Refsz_Verbräuche[[#This Row],[Handlungsfeld]]</f>
        <v>0</v>
      </c>
      <c r="D177" s="19">
        <f>Refsz_Verbräuche[[#This Row],[Datenpunkt]]</f>
        <v>0</v>
      </c>
      <c r="E177" s="26">
        <f>Refsz_Verbräuche[[#This Row],[Einheit]]</f>
        <v>0</v>
      </c>
      <c r="F177" s="108"/>
      <c r="G177" s="14" t="str">
        <f>IF(ISBLANK(Refsz_Verbräuche[[#This Row],[2015]]),"",Refsz_Verbräuche[[#This Row],[2015]])</f>
        <v/>
      </c>
      <c r="H177" s="14" t="str">
        <f>IF(ISBLANK(Refsz_Verbräuche[[#This Row],[2016]]),"",Refsz_Verbräuche[[#This Row],[2016]])</f>
        <v/>
      </c>
      <c r="I177" s="14" t="str">
        <f>IF(ISBLANK(Refsz_Verbräuche[[#This Row],[2017]]),"",Refsz_Verbräuche[[#This Row],[2017]])</f>
        <v/>
      </c>
      <c r="J177" s="14" t="str">
        <f>IF(ISBLANK(Refsz_Verbräuche[[#This Row],[2018]]),"",Refsz_Verbräuche[[#This Row],[2018]])</f>
        <v/>
      </c>
      <c r="K177" s="14" t="str">
        <f>IF(ISBLANK(Refsz_Verbräuche[[#This Row],[2019]]),"",Refsz_Verbräuche[[#This Row],[2019]])</f>
        <v/>
      </c>
      <c r="L177" s="14" t="str">
        <f>IF(ISBLANK(Refsz_Verbräuche[[#This Row],[2020]]),"",Refsz_Verbräuche[[#This Row],[2020]])</f>
        <v/>
      </c>
      <c r="M177" s="14" t="str">
        <f>IF(ISBLANK(Refsz_Verbräuche[[#This Row],[2021]]),"",Refsz_Verbräuche[[#This Row],[2021]])</f>
        <v/>
      </c>
      <c r="N177" s="49" t="str">
        <f>IF(Klisz_Verbräuche[[#Headers],[2022]]=$B$14,IF(COUNTIF($G177:Klisz_Verbräuche[[#This Row],[2021]],"&gt;0")&gt;0, AVERAGEIF($G177:Klisz_Verbräuche[[#This Row],[2021]],"&lt;&gt;"), ""),IF($B$14&lt;Klisz_Verbräuche[[#Headers],[2022]],IF(COUNTIF($G177:Klisz_Verbräuche[[#This Row],[2021]],"&gt;0")&gt;0,IF(COUNTIF($G177:Klisz_Verbräuche[[#This Row],[2021]],"&gt;0")&gt;0,Klisz_Verbräuche[[#This Row],[2021]]*(1-$F177)^1, ""), ""),IF($B$14&gt;Klisz_Verbräuche[[#Headers],[2022]],Refsz_Verbräuche[[#This Row],[2022]],"")))</f>
        <v/>
      </c>
      <c r="O177" s="49" t="str">
        <f>IF(Klisz_Verbräuche[[#Headers],[2023]]=$B$14,IF(COUNTIF($G177:Klisz_Verbräuche[[#This Row],[2022]],"&gt;0")&gt;0, AVERAGEIF($G177:Klisz_Verbräuche[[#This Row],[2022]],"&lt;&gt;"), ""),IF($B$14&lt;Klisz_Verbräuche[[#Headers],[2023]],IF(COUNTIF($G177:Klisz_Verbräuche[[#This Row],[2022]],"&gt;0")&gt;0,IF(COUNTIF($G177:Klisz_Verbräuche[[#This Row],[2022]],"&gt;0")&gt;0,Klisz_Verbräuche[[#This Row],[2022]]*(1-$F177)^1, ""), ""),IF($B$14&gt;Klisz_Verbräuche[[#Headers],[2023]],Refsz_Verbräuche[[#This Row],[2023]],"")))</f>
        <v/>
      </c>
      <c r="P177" s="49" t="str">
        <f>IF(Klisz_Verbräuche[[#Headers],[2024]]=$B$14,IF(COUNTIF($G177:Klisz_Verbräuche[[#This Row],[2023]],"&gt;0")&gt;0, AVERAGEIF($G177:Klisz_Verbräuche[[#This Row],[2023]],"&lt;&gt;"), ""),IF($B$14&lt;Klisz_Verbräuche[[#Headers],[2024]],IF(COUNTIF($G177:Klisz_Verbräuche[[#This Row],[2023]],"&gt;0")&gt;0,IF(COUNTIF($G177:Klisz_Verbräuche[[#This Row],[2023]],"&gt;0")&gt;0,Klisz_Verbräuche[[#This Row],[2023]]*(1-$F177)^1, ""), ""),IF($B$14&gt;Klisz_Verbräuche[[#Headers],[2024]],Refsz_Verbräuche[[#This Row],[2024]],"")))</f>
        <v/>
      </c>
      <c r="Q177" s="49" t="str">
        <f>IF(Klisz_Verbräuche[[#Headers],[2025]]=$B$14,IF(COUNTIF($G177:Klisz_Verbräuche[[#This Row],[2024]],"&gt;0")&gt;0, AVERAGEIF($G177:Klisz_Verbräuche[[#This Row],[2024]],"&lt;&gt;"), ""),IF($B$14&lt;Klisz_Verbräuche[[#Headers],[2025]],IF(COUNTIF($G177:Klisz_Verbräuche[[#This Row],[2024]],"&gt;0")&gt;0,IF(COUNTIF($G177:Klisz_Verbräuche[[#This Row],[2024]],"&gt;0")&gt;0,Klisz_Verbräuche[[#This Row],[2024]]*(1-$F177)^1, ""), ""),IF($B$14&gt;Klisz_Verbräuche[[#Headers],[2025]],Refsz_Verbräuche[[#This Row],[2025]],"")))</f>
        <v/>
      </c>
      <c r="R177" s="49" t="str">
        <f>IF(Klisz_Verbräuche[[#Headers],[2026]]=$B$14,IF(COUNTIF($G177:Klisz_Verbräuche[[#This Row],[2025]],"&gt;0")&gt;0, AVERAGEIF($G177:Klisz_Verbräuche[[#This Row],[2025]],"&lt;&gt;"), ""),IF($B$14&lt;Klisz_Verbräuche[[#Headers],[2026]],IF(COUNTIF($G177:Klisz_Verbräuche[[#This Row],[2025]],"&gt;0")&gt;0,IF(COUNTIF($G177:Klisz_Verbräuche[[#This Row],[2025]],"&gt;0")&gt;0,Klisz_Verbräuche[[#This Row],[2025]]*(1-$F177)^1, ""), ""),IF($B$14&gt;Klisz_Verbräuche[[#Headers],[2026]],Refsz_Verbräuche[[#This Row],[2026]],"")))</f>
        <v/>
      </c>
      <c r="S177" s="49" t="str">
        <f>IF(Klisz_Verbräuche[[#Headers],[2027]]=$B$14,IF(COUNTIF($G177:Klisz_Verbräuche[[#This Row],[2026]],"&gt;0")&gt;0, AVERAGEIF($G177:Klisz_Verbräuche[[#This Row],[2026]],"&lt;&gt;"), ""),IF($B$14&lt;Klisz_Verbräuche[[#Headers],[2027]],IF(COUNTIF($G177:Klisz_Verbräuche[[#This Row],[2026]],"&gt;0")&gt;0,IF(COUNTIF($G177:Klisz_Verbräuche[[#This Row],[2026]],"&gt;0")&gt;0,Klisz_Verbräuche[[#This Row],[2026]]*(1-$F177)^1, ""), ""),IF($B$14&gt;Klisz_Verbräuche[[#Headers],[2027]],Refsz_Verbräuche[[#This Row],[2027]],"")))</f>
        <v/>
      </c>
      <c r="T177" s="49" t="str">
        <f>IF(Klisz_Verbräuche[[#Headers],[2028]]=$B$14,IF(COUNTIF($G177:Klisz_Verbräuche[[#This Row],[2027]],"&gt;0")&gt;0, AVERAGEIF($G177:Klisz_Verbräuche[[#This Row],[2027]],"&lt;&gt;"), ""),IF($B$14&lt;Klisz_Verbräuche[[#Headers],[2028]],IF(COUNTIF($G177:Klisz_Verbräuche[[#This Row],[2027]],"&gt;0")&gt;0,IF(COUNTIF($G177:Klisz_Verbräuche[[#This Row],[2027]],"&gt;0")&gt;0,Klisz_Verbräuche[[#This Row],[2027]]*(1-$F177)^1, ""), ""),IF($B$14&gt;Klisz_Verbräuche[[#Headers],[2028]],Refsz_Verbräuche[[#This Row],[2028]],"")))</f>
        <v/>
      </c>
      <c r="U177" s="49" t="str">
        <f>IF(Klisz_Verbräuche[[#Headers],[2029]]=$B$14,IF(COUNTIF($G177:Klisz_Verbräuche[[#This Row],[2028]],"&gt;0")&gt;0, AVERAGEIF($G177:Klisz_Verbräuche[[#This Row],[2028]],"&lt;&gt;"), ""),IF($B$14&lt;Klisz_Verbräuche[[#Headers],[2029]],IF(COUNTIF($G177:Klisz_Verbräuche[[#This Row],[2028]],"&gt;0")&gt;0,IF(COUNTIF($G177:Klisz_Verbräuche[[#This Row],[2028]],"&gt;0")&gt;0,Klisz_Verbräuche[[#This Row],[2028]]*(1-$F177)^1, ""), ""),IF($B$14&gt;Klisz_Verbräuche[[#Headers],[2029]],Refsz_Verbräuche[[#This Row],[2029]],"")))</f>
        <v/>
      </c>
      <c r="V177" s="49" t="str">
        <f>IF(Klisz_Verbräuche[[#Headers],[2030]]=$B$14,IF(COUNTIF($G177:Klisz_Verbräuche[[#This Row],[2029]],"&gt;0")&gt;0, AVERAGEIF($G177:Klisz_Verbräuche[[#This Row],[2029]],"&lt;&gt;"), ""),IF($B$14&lt;Klisz_Verbräuche[[#Headers],[2030]],IF(COUNTIF($G177:Klisz_Verbräuche[[#This Row],[2029]],"&gt;0")&gt;0,IF(COUNTIF($G177:Klisz_Verbräuche[[#This Row],[2029]],"&gt;0")&gt;0,Klisz_Verbräuche[[#This Row],[2029]]*(1-$F177)^1, ""), ""),IF($B$14&gt;Klisz_Verbräuche[[#Headers],[2030]],Refsz_Verbräuche[[#This Row],[2030]],"")))</f>
        <v/>
      </c>
      <c r="W177" s="49" t="str">
        <f>IF(Klisz_Verbräuche[[#Headers],[2035]]=$B$14,IF(COUNTIF($G177:Klisz_Verbräuche[[#This Row],[2030]],"&gt;0")&gt;0, AVERAGEIF($G177:Klisz_Verbräuche[[#This Row],[2030]],"&lt;&gt;"), ""),IF($B$14&lt;Klisz_Verbräuche[[#Headers],[2035]],IF(COUNTIF($G177:Klisz_Verbräuche[[#This Row],[2030]],"&gt;0")&gt;0,IF(COUNTIF($G177:Klisz_Verbräuche[[#This Row],[2030]],"&gt;0")&gt;0,Klisz_Verbräuche[[#This Row],[2030]]*(1-$F177)^5, ""), ""),IF($B$14&gt;Klisz_Verbräuche[[#Headers],[2035]],Refsz_Verbräuche[[#This Row],[2035]],"")))</f>
        <v/>
      </c>
      <c r="X177" s="49" t="str">
        <f>IF(Klisz_Verbräuche[[#Headers],[2040]]=$B$14,IF(COUNTIF($G177:Klisz_Verbräuche[[#This Row],[2035]],"&gt;0")&gt;0, AVERAGEIF($G177:Klisz_Verbräuche[[#This Row],[2035]],"&lt;&gt;"), ""),IF($B$14&lt;Klisz_Verbräuche[[#Headers],[2040]],IF(COUNTIF($G177:Klisz_Verbräuche[[#This Row],[2035]],"&gt;0")&gt;0,IF(COUNTIF($G177:Klisz_Verbräuche[[#This Row],[2035]],"&gt;0")&gt;0,Klisz_Verbräuche[[#This Row],[2035]]*(1-$F177)^5, ""), ""),IF($B$14&gt;Klisz_Verbräuche[[#Headers],[2040]],Refsz_Verbräuche[[#This Row],[2040]],"")))</f>
        <v/>
      </c>
      <c r="Y177" s="49" t="str">
        <f>IF(Klisz_Verbräuche[[#Headers],[2045]]=$B$14,IF(COUNTIF($G177:Klisz_Verbräuche[[#This Row],[2040]],"&gt;0")&gt;0, AVERAGEIF($G177:Klisz_Verbräuche[[#This Row],[2040]],"&lt;&gt;"), ""),IF($B$14&lt;Klisz_Verbräuche[[#Headers],[2045]],IF(COUNTIF($G177:Klisz_Verbräuche[[#This Row],[2040]],"&gt;0")&gt;0,IF(COUNTIF($G177:Klisz_Verbräuche[[#This Row],[2040]],"&gt;0")&gt;0,Klisz_Verbräuche[[#This Row],[2040]]*(1-$F177)^5, ""), ""),IF($B$14&gt;Klisz_Verbräuche[[#Headers],[2045]],Refsz_Verbräuche[[#This Row],[2045]],"")))</f>
        <v/>
      </c>
      <c r="Z177" s="49" t="str">
        <f>IF(Klisz_Verbräuche[[#Headers],[2050]]=$B$14,IF(COUNTIF($G177:Klisz_Verbräuche[[#This Row],[2045]],"&gt;0")&gt;0, AVERAGEIF($G177:Klisz_Verbräuche[[#This Row],[2045]],"&lt;&gt;"), ""),IF($B$14&lt;Klisz_Verbräuche[[#Headers],[2050]],IF(COUNTIF($G177:Klisz_Verbräuche[[#This Row],[2045]],"&gt;0")&gt;0,IF(COUNTIF($G177:Klisz_Verbräuche[[#This Row],[2045]],"&gt;0")&gt;0,Klisz_Verbräuche[[#This Row],[2045]]*(1-$F177)^5, ""), ""),IF($B$14&gt;Klisz_Verbräuche[[#Headers],[2050]],Refsz_Verbräuche[[#This Row],[2050]],"")))</f>
        <v/>
      </c>
      <c r="AA177" s="14"/>
    </row>
    <row r="178" spans="2:27">
      <c r="B178" s="14">
        <v>161</v>
      </c>
      <c r="C178" s="197">
        <f>Refsz_Verbräuche[[#This Row],[Handlungsfeld]]</f>
        <v>0</v>
      </c>
      <c r="D178" s="19">
        <f>Refsz_Verbräuche[[#This Row],[Datenpunkt]]</f>
        <v>0</v>
      </c>
      <c r="E178" s="26">
        <f>Refsz_Verbräuche[[#This Row],[Einheit]]</f>
        <v>0</v>
      </c>
      <c r="F178" s="108"/>
      <c r="G178" s="14" t="str">
        <f>IF(ISBLANK(Refsz_Verbräuche[[#This Row],[2015]]),"",Refsz_Verbräuche[[#This Row],[2015]])</f>
        <v/>
      </c>
      <c r="H178" s="14" t="str">
        <f>IF(ISBLANK(Refsz_Verbräuche[[#This Row],[2016]]),"",Refsz_Verbräuche[[#This Row],[2016]])</f>
        <v/>
      </c>
      <c r="I178" s="14" t="str">
        <f>IF(ISBLANK(Refsz_Verbräuche[[#This Row],[2017]]),"",Refsz_Verbräuche[[#This Row],[2017]])</f>
        <v/>
      </c>
      <c r="J178" s="14" t="str">
        <f>IF(ISBLANK(Refsz_Verbräuche[[#This Row],[2018]]),"",Refsz_Verbräuche[[#This Row],[2018]])</f>
        <v/>
      </c>
      <c r="K178" s="14" t="str">
        <f>IF(ISBLANK(Refsz_Verbräuche[[#This Row],[2019]]),"",Refsz_Verbräuche[[#This Row],[2019]])</f>
        <v/>
      </c>
      <c r="L178" s="14" t="str">
        <f>IF(ISBLANK(Refsz_Verbräuche[[#This Row],[2020]]),"",Refsz_Verbräuche[[#This Row],[2020]])</f>
        <v/>
      </c>
      <c r="M178" s="14" t="str">
        <f>IF(ISBLANK(Refsz_Verbräuche[[#This Row],[2021]]),"",Refsz_Verbräuche[[#This Row],[2021]])</f>
        <v/>
      </c>
      <c r="N178" s="49" t="str">
        <f>IF(Klisz_Verbräuche[[#Headers],[2022]]=$B$14,IF(COUNTIF($G178:Klisz_Verbräuche[[#This Row],[2021]],"&gt;0")&gt;0, AVERAGEIF($G178:Klisz_Verbräuche[[#This Row],[2021]],"&lt;&gt;"), ""),IF($B$14&lt;Klisz_Verbräuche[[#Headers],[2022]],IF(COUNTIF($G178:Klisz_Verbräuche[[#This Row],[2021]],"&gt;0")&gt;0,IF(COUNTIF($G178:Klisz_Verbräuche[[#This Row],[2021]],"&gt;0")&gt;0,Klisz_Verbräuche[[#This Row],[2021]]*(1-$F178)^1, ""), ""),IF($B$14&gt;Klisz_Verbräuche[[#Headers],[2022]],Refsz_Verbräuche[[#This Row],[2022]],"")))</f>
        <v/>
      </c>
      <c r="O178" s="49" t="str">
        <f>IF(Klisz_Verbräuche[[#Headers],[2023]]=$B$14,IF(COUNTIF($G178:Klisz_Verbräuche[[#This Row],[2022]],"&gt;0")&gt;0, AVERAGEIF($G178:Klisz_Verbräuche[[#This Row],[2022]],"&lt;&gt;"), ""),IF($B$14&lt;Klisz_Verbräuche[[#Headers],[2023]],IF(COUNTIF($G178:Klisz_Verbräuche[[#This Row],[2022]],"&gt;0")&gt;0,IF(COUNTIF($G178:Klisz_Verbräuche[[#This Row],[2022]],"&gt;0")&gt;0,Klisz_Verbräuche[[#This Row],[2022]]*(1-$F178)^1, ""), ""),IF($B$14&gt;Klisz_Verbräuche[[#Headers],[2023]],Refsz_Verbräuche[[#This Row],[2023]],"")))</f>
        <v/>
      </c>
      <c r="P178" s="49" t="str">
        <f>IF(Klisz_Verbräuche[[#Headers],[2024]]=$B$14,IF(COUNTIF($G178:Klisz_Verbräuche[[#This Row],[2023]],"&gt;0")&gt;0, AVERAGEIF($G178:Klisz_Verbräuche[[#This Row],[2023]],"&lt;&gt;"), ""),IF($B$14&lt;Klisz_Verbräuche[[#Headers],[2024]],IF(COUNTIF($G178:Klisz_Verbräuche[[#This Row],[2023]],"&gt;0")&gt;0,IF(COUNTIF($G178:Klisz_Verbräuche[[#This Row],[2023]],"&gt;0")&gt;0,Klisz_Verbräuche[[#This Row],[2023]]*(1-$F178)^1, ""), ""),IF($B$14&gt;Klisz_Verbräuche[[#Headers],[2024]],Refsz_Verbräuche[[#This Row],[2024]],"")))</f>
        <v/>
      </c>
      <c r="Q178" s="49" t="str">
        <f>IF(Klisz_Verbräuche[[#Headers],[2025]]=$B$14,IF(COUNTIF($G178:Klisz_Verbräuche[[#This Row],[2024]],"&gt;0")&gt;0, AVERAGEIF($G178:Klisz_Verbräuche[[#This Row],[2024]],"&lt;&gt;"), ""),IF($B$14&lt;Klisz_Verbräuche[[#Headers],[2025]],IF(COUNTIF($G178:Klisz_Verbräuche[[#This Row],[2024]],"&gt;0")&gt;0,IF(COUNTIF($G178:Klisz_Verbräuche[[#This Row],[2024]],"&gt;0")&gt;0,Klisz_Verbräuche[[#This Row],[2024]]*(1-$F178)^1, ""), ""),IF($B$14&gt;Klisz_Verbräuche[[#Headers],[2025]],Refsz_Verbräuche[[#This Row],[2025]],"")))</f>
        <v/>
      </c>
      <c r="R178" s="49" t="str">
        <f>IF(Klisz_Verbräuche[[#Headers],[2026]]=$B$14,IF(COUNTIF($G178:Klisz_Verbräuche[[#This Row],[2025]],"&gt;0")&gt;0, AVERAGEIF($G178:Klisz_Verbräuche[[#This Row],[2025]],"&lt;&gt;"), ""),IF($B$14&lt;Klisz_Verbräuche[[#Headers],[2026]],IF(COUNTIF($G178:Klisz_Verbräuche[[#This Row],[2025]],"&gt;0")&gt;0,IF(COUNTIF($G178:Klisz_Verbräuche[[#This Row],[2025]],"&gt;0")&gt;0,Klisz_Verbräuche[[#This Row],[2025]]*(1-$F178)^1, ""), ""),IF($B$14&gt;Klisz_Verbräuche[[#Headers],[2026]],Refsz_Verbräuche[[#This Row],[2026]],"")))</f>
        <v/>
      </c>
      <c r="S178" s="49" t="str">
        <f>IF(Klisz_Verbräuche[[#Headers],[2027]]=$B$14,IF(COUNTIF($G178:Klisz_Verbräuche[[#This Row],[2026]],"&gt;0")&gt;0, AVERAGEIF($G178:Klisz_Verbräuche[[#This Row],[2026]],"&lt;&gt;"), ""),IF($B$14&lt;Klisz_Verbräuche[[#Headers],[2027]],IF(COUNTIF($G178:Klisz_Verbräuche[[#This Row],[2026]],"&gt;0")&gt;0,IF(COUNTIF($G178:Klisz_Verbräuche[[#This Row],[2026]],"&gt;0")&gt;0,Klisz_Verbräuche[[#This Row],[2026]]*(1-$F178)^1, ""), ""),IF($B$14&gt;Klisz_Verbräuche[[#Headers],[2027]],Refsz_Verbräuche[[#This Row],[2027]],"")))</f>
        <v/>
      </c>
      <c r="T178" s="49" t="str">
        <f>IF(Klisz_Verbräuche[[#Headers],[2028]]=$B$14,IF(COUNTIF($G178:Klisz_Verbräuche[[#This Row],[2027]],"&gt;0")&gt;0, AVERAGEIF($G178:Klisz_Verbräuche[[#This Row],[2027]],"&lt;&gt;"), ""),IF($B$14&lt;Klisz_Verbräuche[[#Headers],[2028]],IF(COUNTIF($G178:Klisz_Verbräuche[[#This Row],[2027]],"&gt;0")&gt;0,IF(COUNTIF($G178:Klisz_Verbräuche[[#This Row],[2027]],"&gt;0")&gt;0,Klisz_Verbräuche[[#This Row],[2027]]*(1-$F178)^1, ""), ""),IF($B$14&gt;Klisz_Verbräuche[[#Headers],[2028]],Refsz_Verbräuche[[#This Row],[2028]],"")))</f>
        <v/>
      </c>
      <c r="U178" s="49" t="str">
        <f>IF(Klisz_Verbräuche[[#Headers],[2029]]=$B$14,IF(COUNTIF($G178:Klisz_Verbräuche[[#This Row],[2028]],"&gt;0")&gt;0, AVERAGEIF($G178:Klisz_Verbräuche[[#This Row],[2028]],"&lt;&gt;"), ""),IF($B$14&lt;Klisz_Verbräuche[[#Headers],[2029]],IF(COUNTIF($G178:Klisz_Verbräuche[[#This Row],[2028]],"&gt;0")&gt;0,IF(COUNTIF($G178:Klisz_Verbräuche[[#This Row],[2028]],"&gt;0")&gt;0,Klisz_Verbräuche[[#This Row],[2028]]*(1-$F178)^1, ""), ""),IF($B$14&gt;Klisz_Verbräuche[[#Headers],[2029]],Refsz_Verbräuche[[#This Row],[2029]],"")))</f>
        <v/>
      </c>
      <c r="V178" s="49" t="str">
        <f>IF(Klisz_Verbräuche[[#Headers],[2030]]=$B$14,IF(COUNTIF($G178:Klisz_Verbräuche[[#This Row],[2029]],"&gt;0")&gt;0, AVERAGEIF($G178:Klisz_Verbräuche[[#This Row],[2029]],"&lt;&gt;"), ""),IF($B$14&lt;Klisz_Verbräuche[[#Headers],[2030]],IF(COUNTIF($G178:Klisz_Verbräuche[[#This Row],[2029]],"&gt;0")&gt;0,IF(COUNTIF($G178:Klisz_Verbräuche[[#This Row],[2029]],"&gt;0")&gt;0,Klisz_Verbräuche[[#This Row],[2029]]*(1-$F178)^1, ""), ""),IF($B$14&gt;Klisz_Verbräuche[[#Headers],[2030]],Refsz_Verbräuche[[#This Row],[2030]],"")))</f>
        <v/>
      </c>
      <c r="W178" s="49" t="str">
        <f>IF(Klisz_Verbräuche[[#Headers],[2035]]=$B$14,IF(COUNTIF($G178:Klisz_Verbräuche[[#This Row],[2030]],"&gt;0")&gt;0, AVERAGEIF($G178:Klisz_Verbräuche[[#This Row],[2030]],"&lt;&gt;"), ""),IF($B$14&lt;Klisz_Verbräuche[[#Headers],[2035]],IF(COUNTIF($G178:Klisz_Verbräuche[[#This Row],[2030]],"&gt;0")&gt;0,IF(COUNTIF($G178:Klisz_Verbräuche[[#This Row],[2030]],"&gt;0")&gt;0,Klisz_Verbräuche[[#This Row],[2030]]*(1-$F178)^5, ""), ""),IF($B$14&gt;Klisz_Verbräuche[[#Headers],[2035]],Refsz_Verbräuche[[#This Row],[2035]],"")))</f>
        <v/>
      </c>
      <c r="X178" s="49" t="str">
        <f>IF(Klisz_Verbräuche[[#Headers],[2040]]=$B$14,IF(COUNTIF($G178:Klisz_Verbräuche[[#This Row],[2035]],"&gt;0")&gt;0, AVERAGEIF($G178:Klisz_Verbräuche[[#This Row],[2035]],"&lt;&gt;"), ""),IF($B$14&lt;Klisz_Verbräuche[[#Headers],[2040]],IF(COUNTIF($G178:Klisz_Verbräuche[[#This Row],[2035]],"&gt;0")&gt;0,IF(COUNTIF($G178:Klisz_Verbräuche[[#This Row],[2035]],"&gt;0")&gt;0,Klisz_Verbräuche[[#This Row],[2035]]*(1-$F178)^5, ""), ""),IF($B$14&gt;Klisz_Verbräuche[[#Headers],[2040]],Refsz_Verbräuche[[#This Row],[2040]],"")))</f>
        <v/>
      </c>
      <c r="Y178" s="49" t="str">
        <f>IF(Klisz_Verbräuche[[#Headers],[2045]]=$B$14,IF(COUNTIF($G178:Klisz_Verbräuche[[#This Row],[2040]],"&gt;0")&gt;0, AVERAGEIF($G178:Klisz_Verbräuche[[#This Row],[2040]],"&lt;&gt;"), ""),IF($B$14&lt;Klisz_Verbräuche[[#Headers],[2045]],IF(COUNTIF($G178:Klisz_Verbräuche[[#This Row],[2040]],"&gt;0")&gt;0,IF(COUNTIF($G178:Klisz_Verbräuche[[#This Row],[2040]],"&gt;0")&gt;0,Klisz_Verbräuche[[#This Row],[2040]]*(1-$F178)^5, ""), ""),IF($B$14&gt;Klisz_Verbräuche[[#Headers],[2045]],Refsz_Verbräuche[[#This Row],[2045]],"")))</f>
        <v/>
      </c>
      <c r="Z178" s="49" t="str">
        <f>IF(Klisz_Verbräuche[[#Headers],[2050]]=$B$14,IF(COUNTIF($G178:Klisz_Verbräuche[[#This Row],[2045]],"&gt;0")&gt;0, AVERAGEIF($G178:Klisz_Verbräuche[[#This Row],[2045]],"&lt;&gt;"), ""),IF($B$14&lt;Klisz_Verbräuche[[#Headers],[2050]],IF(COUNTIF($G178:Klisz_Verbräuche[[#This Row],[2045]],"&gt;0")&gt;0,IF(COUNTIF($G178:Klisz_Verbräuche[[#This Row],[2045]],"&gt;0")&gt;0,Klisz_Verbräuche[[#This Row],[2045]]*(1-$F178)^5, ""), ""),IF($B$14&gt;Klisz_Verbräuche[[#Headers],[2050]],Refsz_Verbräuche[[#This Row],[2050]],"")))</f>
        <v/>
      </c>
      <c r="AA178" s="14"/>
    </row>
  </sheetData>
  <mergeCells count="1">
    <mergeCell ref="D4:E4"/>
  </mergeCells>
  <conditionalFormatting sqref="N18:Z178">
    <cfRule type="expression" dxfId="1214" priority="23">
      <formula>N$17&gt;=$B$14</formula>
    </cfRule>
  </conditionalFormatting>
  <hyperlinks>
    <hyperlink ref="J1" r:id="rId1" tooltip="Kontakt zur Autorin" display="Kontakt zur Autorin" xr:uid="{250AAEDE-FDB6-48F7-9F70-4694BBC67A33}"/>
    <hyperlink ref="E1" location="'Klisz-Verbräuche'!B1" display="       Weiter" xr:uid="{91DB0B7A-16AF-4E2F-A778-D3318FE0CF43}"/>
    <hyperlink ref="B1" location="Startseite!B44" tooltip="Zurück zur Einleitung" display="      Zur Navigation" xr:uid="{40846C67-0C41-4FD8-A185-796BC75CB993}"/>
    <hyperlink ref="J10" location="Startseite!H51" display="      Zum Handbuch" xr:uid="{07F49721-E84B-43FB-AD2B-F0F7E77BCDA4}"/>
  </hyperlinks>
  <pageMargins left="0.7" right="0.7" top="0.78740157499999996" bottom="0.78740157499999996" header="0.3" footer="0.3"/>
  <pageSetup paperSize="9" orientation="portrait" r:id="rId2"/>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68DD2-4759-4579-ACA4-C190BCE72303}">
  <sheetPr>
    <tabColor rgb="FF92D050"/>
  </sheetPr>
  <dimension ref="B1:V49"/>
  <sheetViews>
    <sheetView showGridLines="0" zoomScaleNormal="100" workbookViewId="0">
      <pane xSplit="2" ySplit="1" topLeftCell="C2" activePane="bottomRight" state="frozen"/>
      <selection pane="topRight" activeCell="C1" sqref="C1"/>
      <selection pane="bottomLeft" activeCell="A2" sqref="A2"/>
      <selection pane="bottomRight"/>
    </sheetView>
  </sheetViews>
  <sheetFormatPr baseColWidth="10" defaultRowHeight="14.5"/>
  <cols>
    <col min="1" max="1" width="2.54296875" customWidth="1"/>
    <col min="2" max="2" width="50.26953125" customWidth="1"/>
    <col min="3" max="22" width="7.26953125" customWidth="1"/>
  </cols>
  <sheetData>
    <row r="1" spans="2:22">
      <c r="B1" s="4" t="s">
        <v>556</v>
      </c>
      <c r="E1" s="25" t="s">
        <v>565</v>
      </c>
      <c r="F1" s="5"/>
      <c r="G1" s="5"/>
      <c r="H1" s="5"/>
      <c r="L1" s="5"/>
      <c r="M1" s="3" t="s">
        <v>489</v>
      </c>
    </row>
    <row r="3" spans="2:22" ht="18.5">
      <c r="B3" s="24" t="s">
        <v>161</v>
      </c>
    </row>
    <row r="5" spans="2:22" ht="15.5">
      <c r="B5" s="37"/>
    </row>
    <row r="8" spans="2:22">
      <c r="G8" s="25" t="s">
        <v>631</v>
      </c>
    </row>
    <row r="9" spans="2:22">
      <c r="B9" s="7" t="s">
        <v>161</v>
      </c>
      <c r="C9" t="s">
        <v>162</v>
      </c>
    </row>
    <row r="10" spans="2:22">
      <c r="B10" t="s">
        <v>164</v>
      </c>
      <c r="C10">
        <v>1</v>
      </c>
    </row>
    <row r="11" spans="2:22">
      <c r="B11" t="s">
        <v>163</v>
      </c>
      <c r="C11">
        <v>0.5</v>
      </c>
    </row>
    <row r="12" spans="2:22">
      <c r="B12" t="s">
        <v>621</v>
      </c>
      <c r="C12">
        <v>0.25</v>
      </c>
      <c r="E12" s="13"/>
    </row>
    <row r="13" spans="2:22">
      <c r="B13" t="s">
        <v>165</v>
      </c>
      <c r="C13">
        <v>0</v>
      </c>
    </row>
    <row r="15" spans="2:22">
      <c r="B15" t="s">
        <v>436</v>
      </c>
      <c r="C15" t="s">
        <v>3</v>
      </c>
      <c r="D15" t="s">
        <v>4</v>
      </c>
      <c r="E15" t="s">
        <v>5</v>
      </c>
      <c r="F15" t="s">
        <v>6</v>
      </c>
      <c r="G15" t="s">
        <v>7</v>
      </c>
      <c r="H15" t="s">
        <v>8</v>
      </c>
      <c r="I15" t="s">
        <v>9</v>
      </c>
      <c r="J15" t="s">
        <v>10</v>
      </c>
      <c r="K15" t="s">
        <v>11</v>
      </c>
      <c r="L15" t="s">
        <v>12</v>
      </c>
      <c r="M15" t="s">
        <v>13</v>
      </c>
      <c r="N15" t="s">
        <v>14</v>
      </c>
      <c r="O15" t="s">
        <v>216</v>
      </c>
      <c r="P15" t="s">
        <v>217</v>
      </c>
      <c r="Q15" t="s">
        <v>218</v>
      </c>
      <c r="R15" t="s">
        <v>15</v>
      </c>
      <c r="S15" t="s">
        <v>16</v>
      </c>
      <c r="T15" t="s">
        <v>17</v>
      </c>
      <c r="U15" t="s">
        <v>18</v>
      </c>
      <c r="V15" t="s">
        <v>19</v>
      </c>
    </row>
    <row r="16" spans="2:22">
      <c r="B16" s="41" t="str">
        <f>'Refsz-Verbräuche'!D18</f>
        <v>Bundesmix</v>
      </c>
      <c r="J16">
        <f>IF(OR((Datengüte_Eingabe[[#Headers],[2022]]&gt;Startseite!$D$68),(Datengüte_Eingabe[[#Headers],[2022]]=Startseite!$D$68)),0.25,"")</f>
        <v>0.25</v>
      </c>
      <c r="K16">
        <f>IF(OR((Datengüte_Eingabe[[#Headers],[2023]]&gt;Startseite!$D$68),(Datengüte_Eingabe[[#Headers],[2023]]=Startseite!$D$68)),0.25,"")</f>
        <v>0.25</v>
      </c>
      <c r="L16">
        <f>IF(OR((Datengüte_Eingabe[[#Headers],[2024]]&gt;Startseite!$D$68),(Datengüte_Eingabe[[#Headers],[2024]]=Startseite!$D$68)),0.25,"")</f>
        <v>0.25</v>
      </c>
      <c r="M16">
        <f>IF(OR((Datengüte_Eingabe[[#Headers],[2025]]&gt;Startseite!$D$68),(Datengüte_Eingabe[[#Headers],[2025]]=Startseite!$D$68)),0.25,"")</f>
        <v>0.25</v>
      </c>
      <c r="N16">
        <f>IF(OR((Datengüte_Eingabe[[#Headers],[2026]]&gt;Startseite!$D$68),(Datengüte_Eingabe[[#Headers],[2026]]=Startseite!$D$68)),0.25,"")</f>
        <v>0.25</v>
      </c>
      <c r="O16">
        <f>IF(OR((Datengüte_Eingabe[[#Headers],[2027]]&gt;Startseite!$D$68),(Datengüte_Eingabe[[#Headers],[2027]]=Startseite!$D$68)),0.25,"")</f>
        <v>0.25</v>
      </c>
      <c r="P16">
        <f>IF(OR((Datengüte_Eingabe[[#Headers],[2028]]&gt;Startseite!$D$68),(Datengüte_Eingabe[[#Headers],[2028]]=Startseite!$D$68)),0.25,"")</f>
        <v>0.25</v>
      </c>
      <c r="Q16">
        <f>IF(OR((Datengüte_Eingabe[[#Headers],[2029]]&gt;Startseite!$D$68),(Datengüte_Eingabe[[#Headers],[2029]]=Startseite!$D$68)),0.25,"")</f>
        <v>0.25</v>
      </c>
      <c r="R16">
        <f>IF(OR((Datengüte_Eingabe[[#Headers],[2030]]&gt;Startseite!$D$68),(Datengüte_Eingabe[[#Headers],[2030]]=Startseite!$D$68)),0.25,"")</f>
        <v>0.25</v>
      </c>
      <c r="S16">
        <f>IF(OR((Datengüte_Eingabe[[#Headers],[2035]]&gt;Startseite!$D$68),(Datengüte_Eingabe[[#Headers],[2035]]=Startseite!$D$68)),0.25,"")</f>
        <v>0.25</v>
      </c>
      <c r="T16">
        <f>IF(OR((Datengüte_Eingabe[[#Headers],[2040]]&gt;Startseite!$D$68),(Datengüte_Eingabe[[#Headers],[2040]]=Startseite!$D$68)),0.25,"")</f>
        <v>0.25</v>
      </c>
      <c r="U16">
        <f>IF(OR((Datengüte_Eingabe[[#Headers],[2045]]&gt;Startseite!$D$68),(Datengüte_Eingabe[[#Headers],[2045]]=Startseite!$D$68)),0.25,"")</f>
        <v>0.25</v>
      </c>
      <c r="V16">
        <f>IF(OR((Datengüte_Eingabe[[#Headers],[2050]]&gt;Startseite!$D$68),(Datengüte_Eingabe[[#Headers],[2050]]=Startseite!$D$68)),0.25,"")</f>
        <v>0.25</v>
      </c>
    </row>
    <row r="17" spans="2:22">
      <c r="B17" s="41" t="str">
        <f>'Refsz-Verbräuche'!D20</f>
        <v>Individueller Strommix Einrichtung 1</v>
      </c>
      <c r="J17">
        <f>IF(OR((Datengüte_Eingabe[[#Headers],[2022]]&gt;Startseite!$D$68),(Datengüte_Eingabe[[#Headers],[2022]]=Startseite!$D$68)),0.25,"")</f>
        <v>0.25</v>
      </c>
      <c r="K17">
        <f>IF(OR((Datengüte_Eingabe[[#Headers],[2023]]&gt;Startseite!$D$68),(Datengüte_Eingabe[[#Headers],[2023]]=Startseite!$D$68)),0.25,"")</f>
        <v>0.25</v>
      </c>
      <c r="L17">
        <f>IF(OR((Datengüte_Eingabe[[#Headers],[2024]]&gt;Startseite!$D$68),(Datengüte_Eingabe[[#Headers],[2024]]=Startseite!$D$68)),0.25,"")</f>
        <v>0.25</v>
      </c>
      <c r="M17">
        <f>IF(OR((Datengüte_Eingabe[[#Headers],[2025]]&gt;Startseite!$D$68),(Datengüte_Eingabe[[#Headers],[2025]]=Startseite!$D$68)),0.25,"")</f>
        <v>0.25</v>
      </c>
      <c r="N17">
        <f>IF(OR((Datengüte_Eingabe[[#Headers],[2026]]&gt;Startseite!$D$68),(Datengüte_Eingabe[[#Headers],[2026]]=Startseite!$D$68)),0.25,"")</f>
        <v>0.25</v>
      </c>
      <c r="O17">
        <f>IF(OR((Datengüte_Eingabe[[#Headers],[2027]]&gt;Startseite!$D$68),(Datengüte_Eingabe[[#Headers],[2027]]=Startseite!$D$68)),0.25,"")</f>
        <v>0.25</v>
      </c>
      <c r="P17">
        <f>IF(OR((Datengüte_Eingabe[[#Headers],[2028]]&gt;Startseite!$D$68),(Datengüte_Eingabe[[#Headers],[2028]]=Startseite!$D$68)),0.25,"")</f>
        <v>0.25</v>
      </c>
      <c r="Q17">
        <f>IF(OR((Datengüte_Eingabe[[#Headers],[2029]]&gt;Startseite!$D$68),(Datengüte_Eingabe[[#Headers],[2029]]=Startseite!$D$68)),0.25,"")</f>
        <v>0.25</v>
      </c>
      <c r="R17">
        <f>IF(OR((Datengüte_Eingabe[[#Headers],[2030]]&gt;Startseite!$D$68),(Datengüte_Eingabe[[#Headers],[2030]]=Startseite!$D$68)),0.25,"")</f>
        <v>0.25</v>
      </c>
      <c r="S17">
        <f>IF(OR((Datengüte_Eingabe[[#Headers],[2035]]&gt;Startseite!$D$68),(Datengüte_Eingabe[[#Headers],[2035]]=Startseite!$D$68)),0.25,"")</f>
        <v>0.25</v>
      </c>
      <c r="T17">
        <f>IF(OR((Datengüte_Eingabe[[#Headers],[2040]]&gt;Startseite!$D$68),(Datengüte_Eingabe[[#Headers],[2040]]=Startseite!$D$68)),0.25,"")</f>
        <v>0.25</v>
      </c>
      <c r="U17">
        <f>IF(OR((Datengüte_Eingabe[[#Headers],[2045]]&gt;Startseite!$D$68),(Datengüte_Eingabe[[#Headers],[2045]]=Startseite!$D$68)),0.25,"")</f>
        <v>0.25</v>
      </c>
      <c r="V17">
        <f>IF(OR((Datengüte_Eingabe[[#Headers],[2050]]&gt;Startseite!$D$68),(Datengüte_Eingabe[[#Headers],[2050]]=Startseite!$D$68)),0.25,"")</f>
        <v>0.25</v>
      </c>
    </row>
    <row r="18" spans="2:22">
      <c r="B18" s="41" t="str">
        <f>'Refsz-Verbräuche'!D21</f>
        <v>Individueller Strommix Einrichtung 2</v>
      </c>
      <c r="J18">
        <f>IF(OR((Datengüte_Eingabe[[#Headers],[2022]]&gt;Startseite!$D$68),(Datengüte_Eingabe[[#Headers],[2022]]=Startseite!$D$68)),0.25,"")</f>
        <v>0.25</v>
      </c>
      <c r="K18">
        <f>IF(OR((Datengüte_Eingabe[[#Headers],[2023]]&gt;Startseite!$D$68),(Datengüte_Eingabe[[#Headers],[2023]]=Startseite!$D$68)),0.25,"")</f>
        <v>0.25</v>
      </c>
      <c r="L18">
        <f>IF(OR((Datengüte_Eingabe[[#Headers],[2024]]&gt;Startseite!$D$68),(Datengüte_Eingabe[[#Headers],[2024]]=Startseite!$D$68)),0.25,"")</f>
        <v>0.25</v>
      </c>
      <c r="M18">
        <f>IF(OR((Datengüte_Eingabe[[#Headers],[2025]]&gt;Startseite!$D$68),(Datengüte_Eingabe[[#Headers],[2025]]=Startseite!$D$68)),0.25,"")</f>
        <v>0.25</v>
      </c>
      <c r="N18">
        <f>IF(OR((Datengüte_Eingabe[[#Headers],[2026]]&gt;Startseite!$D$68),(Datengüte_Eingabe[[#Headers],[2026]]=Startseite!$D$68)),0.25,"")</f>
        <v>0.25</v>
      </c>
      <c r="O18">
        <f>IF(OR((Datengüte_Eingabe[[#Headers],[2027]]&gt;Startseite!$D$68),(Datengüte_Eingabe[[#Headers],[2027]]=Startseite!$D$68)),0.25,"")</f>
        <v>0.25</v>
      </c>
      <c r="P18">
        <f>IF(OR((Datengüte_Eingabe[[#Headers],[2028]]&gt;Startseite!$D$68),(Datengüte_Eingabe[[#Headers],[2028]]=Startseite!$D$68)),0.25,"")</f>
        <v>0.25</v>
      </c>
      <c r="Q18">
        <f>IF(OR((Datengüte_Eingabe[[#Headers],[2029]]&gt;Startseite!$D$68),(Datengüte_Eingabe[[#Headers],[2029]]=Startseite!$D$68)),0.25,"")</f>
        <v>0.25</v>
      </c>
      <c r="R18">
        <f>IF(OR((Datengüte_Eingabe[[#Headers],[2030]]&gt;Startseite!$D$68),(Datengüte_Eingabe[[#Headers],[2030]]=Startseite!$D$68)),0.25,"")</f>
        <v>0.25</v>
      </c>
      <c r="S18">
        <f>IF(OR((Datengüte_Eingabe[[#Headers],[2035]]&gt;Startseite!$D$68),(Datengüte_Eingabe[[#Headers],[2035]]=Startseite!$D$68)),0.25,"")</f>
        <v>0.25</v>
      </c>
      <c r="T18">
        <f>IF(OR((Datengüte_Eingabe[[#Headers],[2040]]&gt;Startseite!$D$68),(Datengüte_Eingabe[[#Headers],[2040]]=Startseite!$D$68)),0.25,"")</f>
        <v>0.25</v>
      </c>
      <c r="U18">
        <f>IF(OR((Datengüte_Eingabe[[#Headers],[2045]]&gt;Startseite!$D$68),(Datengüte_Eingabe[[#Headers],[2045]]=Startseite!$D$68)),0.25,"")</f>
        <v>0.25</v>
      </c>
      <c r="V18">
        <f>IF(OR((Datengüte_Eingabe[[#Headers],[2050]]&gt;Startseite!$D$68),(Datengüte_Eingabe[[#Headers],[2050]]=Startseite!$D$68)),0.25,"")</f>
        <v>0.25</v>
      </c>
    </row>
    <row r="19" spans="2:22">
      <c r="B19" s="41" t="str">
        <f>'Refsz-Verbräuche'!D22</f>
        <v>Individueller Strommix Einrichtung 3</v>
      </c>
      <c r="J19">
        <f>IF(OR((Datengüte_Eingabe[[#Headers],[2022]]&gt;Startseite!$D$68),(Datengüte_Eingabe[[#Headers],[2022]]=Startseite!$D$68)),0.25,"")</f>
        <v>0.25</v>
      </c>
      <c r="K19">
        <f>IF(OR((Datengüte_Eingabe[[#Headers],[2023]]&gt;Startseite!$D$68),(Datengüte_Eingabe[[#Headers],[2023]]=Startseite!$D$68)),0.25,"")</f>
        <v>0.25</v>
      </c>
      <c r="L19">
        <f>IF(OR((Datengüte_Eingabe[[#Headers],[2024]]&gt;Startseite!$D$68),(Datengüte_Eingabe[[#Headers],[2024]]=Startseite!$D$68)),0.25,"")</f>
        <v>0.25</v>
      </c>
      <c r="M19">
        <f>IF(OR((Datengüte_Eingabe[[#Headers],[2025]]&gt;Startseite!$D$68),(Datengüte_Eingabe[[#Headers],[2025]]=Startseite!$D$68)),0.25,"")</f>
        <v>0.25</v>
      </c>
      <c r="N19">
        <f>IF(OR((Datengüte_Eingabe[[#Headers],[2026]]&gt;Startseite!$D$68),(Datengüte_Eingabe[[#Headers],[2026]]=Startseite!$D$68)),0.25,"")</f>
        <v>0.25</v>
      </c>
      <c r="O19">
        <f>IF(OR((Datengüte_Eingabe[[#Headers],[2027]]&gt;Startseite!$D$68),(Datengüte_Eingabe[[#Headers],[2027]]=Startseite!$D$68)),0.25,"")</f>
        <v>0.25</v>
      </c>
      <c r="P19">
        <f>IF(OR((Datengüte_Eingabe[[#Headers],[2028]]&gt;Startseite!$D$68),(Datengüte_Eingabe[[#Headers],[2028]]=Startseite!$D$68)),0.25,"")</f>
        <v>0.25</v>
      </c>
      <c r="Q19">
        <f>IF(OR((Datengüte_Eingabe[[#Headers],[2029]]&gt;Startseite!$D$68),(Datengüte_Eingabe[[#Headers],[2029]]=Startseite!$D$68)),0.25,"")</f>
        <v>0.25</v>
      </c>
      <c r="R19">
        <f>IF(OR((Datengüte_Eingabe[[#Headers],[2030]]&gt;Startseite!$D$68),(Datengüte_Eingabe[[#Headers],[2030]]=Startseite!$D$68)),0.25,"")</f>
        <v>0.25</v>
      </c>
      <c r="S19">
        <f>IF(OR((Datengüte_Eingabe[[#Headers],[2035]]&gt;Startseite!$D$68),(Datengüte_Eingabe[[#Headers],[2035]]=Startseite!$D$68)),0.25,"")</f>
        <v>0.25</v>
      </c>
      <c r="T19">
        <f>IF(OR((Datengüte_Eingabe[[#Headers],[2040]]&gt;Startseite!$D$68),(Datengüte_Eingabe[[#Headers],[2040]]=Startseite!$D$68)),0.25,"")</f>
        <v>0.25</v>
      </c>
      <c r="U19">
        <f>IF(OR((Datengüte_Eingabe[[#Headers],[2045]]&gt;Startseite!$D$68),(Datengüte_Eingabe[[#Headers],[2045]]=Startseite!$D$68)),0.25,"")</f>
        <v>0.25</v>
      </c>
      <c r="V19">
        <f>IF(OR((Datengüte_Eingabe[[#Headers],[2050]]&gt;Startseite!$D$68),(Datengüte_Eingabe[[#Headers],[2050]]=Startseite!$D$68)),0.25,"")</f>
        <v>0.25</v>
      </c>
    </row>
    <row r="20" spans="2:22">
      <c r="B20" s="41" t="str">
        <f>'Refsz-Verbräuche'!D23</f>
        <v>Individueller Strommix Einrichtung 4</v>
      </c>
      <c r="J20">
        <f>IF(OR((Datengüte_Eingabe[[#Headers],[2022]]&gt;Startseite!$D$68),(Datengüte_Eingabe[[#Headers],[2022]]=Startseite!$D$68)),0.25,"")</f>
        <v>0.25</v>
      </c>
      <c r="K20">
        <f>IF(OR((Datengüte_Eingabe[[#Headers],[2023]]&gt;Startseite!$D$68),(Datengüte_Eingabe[[#Headers],[2023]]=Startseite!$D$68)),0.25,"")</f>
        <v>0.25</v>
      </c>
      <c r="L20">
        <f>IF(OR((Datengüte_Eingabe[[#Headers],[2024]]&gt;Startseite!$D$68),(Datengüte_Eingabe[[#Headers],[2024]]=Startseite!$D$68)),0.25,"")</f>
        <v>0.25</v>
      </c>
      <c r="M20">
        <f>IF(OR((Datengüte_Eingabe[[#Headers],[2025]]&gt;Startseite!$D$68),(Datengüte_Eingabe[[#Headers],[2025]]=Startseite!$D$68)),0.25,"")</f>
        <v>0.25</v>
      </c>
      <c r="N20">
        <f>IF(OR((Datengüte_Eingabe[[#Headers],[2026]]&gt;Startseite!$D$68),(Datengüte_Eingabe[[#Headers],[2026]]=Startseite!$D$68)),0.25,"")</f>
        <v>0.25</v>
      </c>
      <c r="O20">
        <f>IF(OR((Datengüte_Eingabe[[#Headers],[2027]]&gt;Startseite!$D$68),(Datengüte_Eingabe[[#Headers],[2027]]=Startseite!$D$68)),0.25,"")</f>
        <v>0.25</v>
      </c>
      <c r="P20">
        <f>IF(OR((Datengüte_Eingabe[[#Headers],[2028]]&gt;Startseite!$D$68),(Datengüte_Eingabe[[#Headers],[2028]]=Startseite!$D$68)),0.25,"")</f>
        <v>0.25</v>
      </c>
      <c r="Q20">
        <f>IF(OR((Datengüte_Eingabe[[#Headers],[2029]]&gt;Startseite!$D$68),(Datengüte_Eingabe[[#Headers],[2029]]=Startseite!$D$68)),0.25,"")</f>
        <v>0.25</v>
      </c>
      <c r="R20">
        <f>IF(OR((Datengüte_Eingabe[[#Headers],[2030]]&gt;Startseite!$D$68),(Datengüte_Eingabe[[#Headers],[2030]]=Startseite!$D$68)),0.25,"")</f>
        <v>0.25</v>
      </c>
      <c r="S20">
        <f>IF(OR((Datengüte_Eingabe[[#Headers],[2035]]&gt;Startseite!$D$68),(Datengüte_Eingabe[[#Headers],[2035]]=Startseite!$D$68)),0.25,"")</f>
        <v>0.25</v>
      </c>
      <c r="T20">
        <f>IF(OR((Datengüte_Eingabe[[#Headers],[2040]]&gt;Startseite!$D$68),(Datengüte_Eingabe[[#Headers],[2040]]=Startseite!$D$68)),0.25,"")</f>
        <v>0.25</v>
      </c>
      <c r="U20">
        <f>IF(OR((Datengüte_Eingabe[[#Headers],[2045]]&gt;Startseite!$D$68),(Datengüte_Eingabe[[#Headers],[2045]]=Startseite!$D$68)),0.25,"")</f>
        <v>0.25</v>
      </c>
      <c r="V20">
        <f>IF(OR((Datengüte_Eingabe[[#Headers],[2050]]&gt;Startseite!$D$68),(Datengüte_Eingabe[[#Headers],[2050]]=Startseite!$D$68)),0.25,"")</f>
        <v>0.25</v>
      </c>
    </row>
    <row r="21" spans="2:22">
      <c r="B21" s="41" t="str">
        <f>'Refsz-Verbräuche'!D24</f>
        <v>Individueller Strommix Einrichtung 5</v>
      </c>
      <c r="J21">
        <f>IF(OR((Datengüte_Eingabe[[#Headers],[2022]]&gt;Startseite!$D$68),(Datengüte_Eingabe[[#Headers],[2022]]=Startseite!$D$68)),0.25,"")</f>
        <v>0.25</v>
      </c>
      <c r="K21">
        <f>IF(OR((Datengüte_Eingabe[[#Headers],[2023]]&gt;Startseite!$D$68),(Datengüte_Eingabe[[#Headers],[2023]]=Startseite!$D$68)),0.25,"")</f>
        <v>0.25</v>
      </c>
      <c r="L21">
        <f>IF(OR((Datengüte_Eingabe[[#Headers],[2024]]&gt;Startseite!$D$68),(Datengüte_Eingabe[[#Headers],[2024]]=Startseite!$D$68)),0.25,"")</f>
        <v>0.25</v>
      </c>
      <c r="M21">
        <f>IF(OR((Datengüte_Eingabe[[#Headers],[2025]]&gt;Startseite!$D$68),(Datengüte_Eingabe[[#Headers],[2025]]=Startseite!$D$68)),0.25,"")</f>
        <v>0.25</v>
      </c>
      <c r="N21">
        <f>IF(OR((Datengüte_Eingabe[[#Headers],[2026]]&gt;Startseite!$D$68),(Datengüte_Eingabe[[#Headers],[2026]]=Startseite!$D$68)),0.25,"")</f>
        <v>0.25</v>
      </c>
      <c r="O21">
        <f>IF(OR((Datengüte_Eingabe[[#Headers],[2027]]&gt;Startseite!$D$68),(Datengüte_Eingabe[[#Headers],[2027]]=Startseite!$D$68)),0.25,"")</f>
        <v>0.25</v>
      </c>
      <c r="P21">
        <f>IF(OR((Datengüte_Eingabe[[#Headers],[2028]]&gt;Startseite!$D$68),(Datengüte_Eingabe[[#Headers],[2028]]=Startseite!$D$68)),0.25,"")</f>
        <v>0.25</v>
      </c>
      <c r="Q21">
        <f>IF(OR((Datengüte_Eingabe[[#Headers],[2029]]&gt;Startseite!$D$68),(Datengüte_Eingabe[[#Headers],[2029]]=Startseite!$D$68)),0.25,"")</f>
        <v>0.25</v>
      </c>
      <c r="R21">
        <f>IF(OR((Datengüte_Eingabe[[#Headers],[2030]]&gt;Startseite!$D$68),(Datengüte_Eingabe[[#Headers],[2030]]=Startseite!$D$68)),0.25,"")</f>
        <v>0.25</v>
      </c>
      <c r="S21">
        <f>IF(OR((Datengüte_Eingabe[[#Headers],[2035]]&gt;Startseite!$D$68),(Datengüte_Eingabe[[#Headers],[2035]]=Startseite!$D$68)),0.25,"")</f>
        <v>0.25</v>
      </c>
      <c r="T21">
        <f>IF(OR((Datengüte_Eingabe[[#Headers],[2040]]&gt;Startseite!$D$68),(Datengüte_Eingabe[[#Headers],[2040]]=Startseite!$D$68)),0.25,"")</f>
        <v>0.25</v>
      </c>
      <c r="U21">
        <f>IF(OR((Datengüte_Eingabe[[#Headers],[2045]]&gt;Startseite!$D$68),(Datengüte_Eingabe[[#Headers],[2045]]=Startseite!$D$68)),0.25,"")</f>
        <v>0.25</v>
      </c>
      <c r="V21">
        <f>IF(OR((Datengüte_Eingabe[[#Headers],[2050]]&gt;Startseite!$D$68),(Datengüte_Eingabe[[#Headers],[2050]]=Startseite!$D$68)),0.25,"")</f>
        <v>0.25</v>
      </c>
    </row>
    <row r="22" spans="2:22">
      <c r="B22" s="41" t="str">
        <f>'Refsz-Verbräuche'!D25</f>
        <v>Individueller Strommix Einrichtung 6</v>
      </c>
      <c r="J22">
        <f>IF(OR((Datengüte_Eingabe[[#Headers],[2022]]&gt;Startseite!$D$68),(Datengüte_Eingabe[[#Headers],[2022]]=Startseite!$D$68)),0.25,"")</f>
        <v>0.25</v>
      </c>
      <c r="K22">
        <f>IF(OR((Datengüte_Eingabe[[#Headers],[2023]]&gt;Startseite!$D$68),(Datengüte_Eingabe[[#Headers],[2023]]=Startseite!$D$68)),0.25,"")</f>
        <v>0.25</v>
      </c>
      <c r="L22">
        <f>IF(OR((Datengüte_Eingabe[[#Headers],[2024]]&gt;Startseite!$D$68),(Datengüte_Eingabe[[#Headers],[2024]]=Startseite!$D$68)),0.25,"")</f>
        <v>0.25</v>
      </c>
      <c r="M22">
        <f>IF(OR((Datengüte_Eingabe[[#Headers],[2025]]&gt;Startseite!$D$68),(Datengüte_Eingabe[[#Headers],[2025]]=Startseite!$D$68)),0.25,"")</f>
        <v>0.25</v>
      </c>
      <c r="N22">
        <f>IF(OR((Datengüte_Eingabe[[#Headers],[2026]]&gt;Startseite!$D$68),(Datengüte_Eingabe[[#Headers],[2026]]=Startseite!$D$68)),0.25,"")</f>
        <v>0.25</v>
      </c>
      <c r="O22">
        <f>IF(OR((Datengüte_Eingabe[[#Headers],[2027]]&gt;Startseite!$D$68),(Datengüte_Eingabe[[#Headers],[2027]]=Startseite!$D$68)),0.25,"")</f>
        <v>0.25</v>
      </c>
      <c r="P22">
        <f>IF(OR((Datengüte_Eingabe[[#Headers],[2028]]&gt;Startseite!$D$68),(Datengüte_Eingabe[[#Headers],[2028]]=Startseite!$D$68)),0.25,"")</f>
        <v>0.25</v>
      </c>
      <c r="Q22">
        <f>IF(OR((Datengüte_Eingabe[[#Headers],[2029]]&gt;Startseite!$D$68),(Datengüte_Eingabe[[#Headers],[2029]]=Startseite!$D$68)),0.25,"")</f>
        <v>0.25</v>
      </c>
      <c r="R22">
        <f>IF(OR((Datengüte_Eingabe[[#Headers],[2030]]&gt;Startseite!$D$68),(Datengüte_Eingabe[[#Headers],[2030]]=Startseite!$D$68)),0.25,"")</f>
        <v>0.25</v>
      </c>
      <c r="S22">
        <f>IF(OR((Datengüte_Eingabe[[#Headers],[2035]]&gt;Startseite!$D$68),(Datengüte_Eingabe[[#Headers],[2035]]=Startseite!$D$68)),0.25,"")</f>
        <v>0.25</v>
      </c>
      <c r="T22">
        <f>IF(OR((Datengüte_Eingabe[[#Headers],[2040]]&gt;Startseite!$D$68),(Datengüte_Eingabe[[#Headers],[2040]]=Startseite!$D$68)),0.25,"")</f>
        <v>0.25</v>
      </c>
      <c r="U22">
        <f>IF(OR((Datengüte_Eingabe[[#Headers],[2045]]&gt;Startseite!$D$68),(Datengüte_Eingabe[[#Headers],[2045]]=Startseite!$D$68)),0.25,"")</f>
        <v>0.25</v>
      </c>
      <c r="V22">
        <f>IF(OR((Datengüte_Eingabe[[#Headers],[2050]]&gt;Startseite!$D$68),(Datengüte_Eingabe[[#Headers],[2050]]=Startseite!$D$68)),0.25,"")</f>
        <v>0.25</v>
      </c>
    </row>
    <row r="23" spans="2:22">
      <c r="B23" s="41" t="str">
        <f>'Refsz-Verbräuche'!D26</f>
        <v>BHKW</v>
      </c>
      <c r="J23">
        <f>IF(OR((Datengüte_Eingabe[[#Headers],[2022]]&gt;Startseite!$D$68),(Datengüte_Eingabe[[#Headers],[2022]]=Startseite!$D$68)),0.25,"")</f>
        <v>0.25</v>
      </c>
      <c r="K23">
        <f>IF(OR((Datengüte_Eingabe[[#Headers],[2023]]&gt;Startseite!$D$68),(Datengüte_Eingabe[[#Headers],[2023]]=Startseite!$D$68)),0.25,"")</f>
        <v>0.25</v>
      </c>
      <c r="L23">
        <f>IF(OR((Datengüte_Eingabe[[#Headers],[2024]]&gt;Startseite!$D$68),(Datengüte_Eingabe[[#Headers],[2024]]=Startseite!$D$68)),0.25,"")</f>
        <v>0.25</v>
      </c>
      <c r="M23">
        <f>IF(OR((Datengüte_Eingabe[[#Headers],[2025]]&gt;Startseite!$D$68),(Datengüte_Eingabe[[#Headers],[2025]]=Startseite!$D$68)),0.25,"")</f>
        <v>0.25</v>
      </c>
      <c r="N23">
        <f>IF(OR((Datengüte_Eingabe[[#Headers],[2026]]&gt;Startseite!$D$68),(Datengüte_Eingabe[[#Headers],[2026]]=Startseite!$D$68)),0.25,"")</f>
        <v>0.25</v>
      </c>
      <c r="O23">
        <f>IF(OR((Datengüte_Eingabe[[#Headers],[2027]]&gt;Startseite!$D$68),(Datengüte_Eingabe[[#Headers],[2027]]=Startseite!$D$68)),0.25,"")</f>
        <v>0.25</v>
      </c>
      <c r="P23">
        <f>IF(OR((Datengüte_Eingabe[[#Headers],[2028]]&gt;Startseite!$D$68),(Datengüte_Eingabe[[#Headers],[2028]]=Startseite!$D$68)),0.25,"")</f>
        <v>0.25</v>
      </c>
      <c r="Q23">
        <f>IF(OR((Datengüte_Eingabe[[#Headers],[2029]]&gt;Startseite!$D$68),(Datengüte_Eingabe[[#Headers],[2029]]=Startseite!$D$68)),0.25,"")</f>
        <v>0.25</v>
      </c>
      <c r="R23">
        <f>IF(OR((Datengüte_Eingabe[[#Headers],[2030]]&gt;Startseite!$D$68),(Datengüte_Eingabe[[#Headers],[2030]]=Startseite!$D$68)),0.25,"")</f>
        <v>0.25</v>
      </c>
      <c r="S23">
        <f>IF(OR((Datengüte_Eingabe[[#Headers],[2035]]&gt;Startseite!$D$68),(Datengüte_Eingabe[[#Headers],[2035]]=Startseite!$D$68)),0.25,"")</f>
        <v>0.25</v>
      </c>
      <c r="T23">
        <f>IF(OR((Datengüte_Eingabe[[#Headers],[2040]]&gt;Startseite!$D$68),(Datengüte_Eingabe[[#Headers],[2040]]=Startseite!$D$68)),0.25,"")</f>
        <v>0.25</v>
      </c>
      <c r="U23">
        <f>IF(OR((Datengüte_Eingabe[[#Headers],[2045]]&gt;Startseite!$D$68),(Datengüte_Eingabe[[#Headers],[2045]]=Startseite!$D$68)),0.25,"")</f>
        <v>0.25</v>
      </c>
      <c r="V23">
        <f>IF(OR((Datengüte_Eingabe[[#Headers],[2050]]&gt;Startseite!$D$68),(Datengüte_Eingabe[[#Headers],[2050]]=Startseite!$D$68)),0.25,"")</f>
        <v>0.25</v>
      </c>
    </row>
    <row r="24" spans="2:22">
      <c r="B24" s="41" t="str">
        <f>'Refsz-Verbräuche'!D27</f>
        <v>Ökostrom</v>
      </c>
      <c r="J24">
        <f>IF(OR((Datengüte_Eingabe[[#Headers],[2022]]&gt;Startseite!$D$68),(Datengüte_Eingabe[[#Headers],[2022]]=Startseite!$D$68)),0.25,"")</f>
        <v>0.25</v>
      </c>
      <c r="K24">
        <f>IF(OR((Datengüte_Eingabe[[#Headers],[2023]]&gt;Startseite!$D$68),(Datengüte_Eingabe[[#Headers],[2023]]=Startseite!$D$68)),0.25,"")</f>
        <v>0.25</v>
      </c>
      <c r="L24">
        <f>IF(OR((Datengüte_Eingabe[[#Headers],[2024]]&gt;Startseite!$D$68),(Datengüte_Eingabe[[#Headers],[2024]]=Startseite!$D$68)),0.25,"")</f>
        <v>0.25</v>
      </c>
      <c r="M24">
        <f>IF(OR((Datengüte_Eingabe[[#Headers],[2025]]&gt;Startseite!$D$68),(Datengüte_Eingabe[[#Headers],[2025]]=Startseite!$D$68)),0.25,"")</f>
        <v>0.25</v>
      </c>
      <c r="N24">
        <f>IF(OR((Datengüte_Eingabe[[#Headers],[2026]]&gt;Startseite!$D$68),(Datengüte_Eingabe[[#Headers],[2026]]=Startseite!$D$68)),0.25,"")</f>
        <v>0.25</v>
      </c>
      <c r="O24">
        <f>IF(OR((Datengüte_Eingabe[[#Headers],[2027]]&gt;Startseite!$D$68),(Datengüte_Eingabe[[#Headers],[2027]]=Startseite!$D$68)),0.25,"")</f>
        <v>0.25</v>
      </c>
      <c r="P24">
        <f>IF(OR((Datengüte_Eingabe[[#Headers],[2028]]&gt;Startseite!$D$68),(Datengüte_Eingabe[[#Headers],[2028]]=Startseite!$D$68)),0.25,"")</f>
        <v>0.25</v>
      </c>
      <c r="Q24">
        <f>IF(OR((Datengüte_Eingabe[[#Headers],[2029]]&gt;Startseite!$D$68),(Datengüte_Eingabe[[#Headers],[2029]]=Startseite!$D$68)),0.25,"")</f>
        <v>0.25</v>
      </c>
      <c r="R24">
        <f>IF(OR((Datengüte_Eingabe[[#Headers],[2030]]&gt;Startseite!$D$68),(Datengüte_Eingabe[[#Headers],[2030]]=Startseite!$D$68)),0.25,"")</f>
        <v>0.25</v>
      </c>
      <c r="S24">
        <f>IF(OR((Datengüte_Eingabe[[#Headers],[2035]]&gt;Startseite!$D$68),(Datengüte_Eingabe[[#Headers],[2035]]=Startseite!$D$68)),0.25,"")</f>
        <v>0.25</v>
      </c>
      <c r="T24">
        <f>IF(OR((Datengüte_Eingabe[[#Headers],[2040]]&gt;Startseite!$D$68),(Datengüte_Eingabe[[#Headers],[2040]]=Startseite!$D$68)),0.25,"")</f>
        <v>0.25</v>
      </c>
      <c r="U24">
        <f>IF(OR((Datengüte_Eingabe[[#Headers],[2045]]&gt;Startseite!$D$68),(Datengüte_Eingabe[[#Headers],[2045]]=Startseite!$D$68)),0.25,"")</f>
        <v>0.25</v>
      </c>
      <c r="V24">
        <f>IF(OR((Datengüte_Eingabe[[#Headers],[2050]]&gt;Startseite!$D$68),(Datengüte_Eingabe[[#Headers],[2050]]=Startseite!$D$68)),0.25,"")</f>
        <v>0.25</v>
      </c>
    </row>
    <row r="25" spans="2:22">
      <c r="B25" s="41" t="str">
        <f>'Refsz-Verbräuche'!D28</f>
        <v>PV-Eigennutzung</v>
      </c>
      <c r="J25">
        <f>IF(OR((Datengüte_Eingabe[[#Headers],[2022]]&gt;Startseite!$D$68),(Datengüte_Eingabe[[#Headers],[2022]]=Startseite!$D$68)),0.25,"")</f>
        <v>0.25</v>
      </c>
      <c r="K25">
        <f>IF(OR((Datengüte_Eingabe[[#Headers],[2023]]&gt;Startseite!$D$68),(Datengüte_Eingabe[[#Headers],[2023]]=Startseite!$D$68)),0.25,"")</f>
        <v>0.25</v>
      </c>
      <c r="L25">
        <f>IF(OR((Datengüte_Eingabe[[#Headers],[2024]]&gt;Startseite!$D$68),(Datengüte_Eingabe[[#Headers],[2024]]=Startseite!$D$68)),0.25,"")</f>
        <v>0.25</v>
      </c>
      <c r="M25">
        <f>IF(OR((Datengüte_Eingabe[[#Headers],[2025]]&gt;Startseite!$D$68),(Datengüte_Eingabe[[#Headers],[2025]]=Startseite!$D$68)),0.25,"")</f>
        <v>0.25</v>
      </c>
      <c r="N25">
        <f>IF(OR((Datengüte_Eingabe[[#Headers],[2026]]&gt;Startseite!$D$68),(Datengüte_Eingabe[[#Headers],[2026]]=Startseite!$D$68)),0.25,"")</f>
        <v>0.25</v>
      </c>
      <c r="O25">
        <f>IF(OR((Datengüte_Eingabe[[#Headers],[2027]]&gt;Startseite!$D$68),(Datengüte_Eingabe[[#Headers],[2027]]=Startseite!$D$68)),0.25,"")</f>
        <v>0.25</v>
      </c>
      <c r="P25">
        <f>IF(OR((Datengüte_Eingabe[[#Headers],[2028]]&gt;Startseite!$D$68),(Datengüte_Eingabe[[#Headers],[2028]]=Startseite!$D$68)),0.25,"")</f>
        <v>0.25</v>
      </c>
      <c r="Q25">
        <f>IF(OR((Datengüte_Eingabe[[#Headers],[2029]]&gt;Startseite!$D$68),(Datengüte_Eingabe[[#Headers],[2029]]=Startseite!$D$68)),0.25,"")</f>
        <v>0.25</v>
      </c>
      <c r="R25">
        <f>IF(OR((Datengüte_Eingabe[[#Headers],[2030]]&gt;Startseite!$D$68),(Datengüte_Eingabe[[#Headers],[2030]]=Startseite!$D$68)),0.25,"")</f>
        <v>0.25</v>
      </c>
      <c r="S25">
        <f>IF(OR((Datengüte_Eingabe[[#Headers],[2035]]&gt;Startseite!$D$68),(Datengüte_Eingabe[[#Headers],[2035]]=Startseite!$D$68)),0.25,"")</f>
        <v>0.25</v>
      </c>
      <c r="T25">
        <f>IF(OR((Datengüte_Eingabe[[#Headers],[2040]]&gt;Startseite!$D$68),(Datengüte_Eingabe[[#Headers],[2040]]=Startseite!$D$68)),0.25,"")</f>
        <v>0.25</v>
      </c>
      <c r="U25">
        <f>IF(OR((Datengüte_Eingabe[[#Headers],[2045]]&gt;Startseite!$D$68),(Datengüte_Eingabe[[#Headers],[2045]]=Startseite!$D$68)),0.25,"")</f>
        <v>0.25</v>
      </c>
      <c r="V25">
        <f>IF(OR((Datengüte_Eingabe[[#Headers],[2050]]&gt;Startseite!$D$68),(Datengüte_Eingabe[[#Headers],[2050]]=Startseite!$D$68)),0.25,"")</f>
        <v>0.25</v>
      </c>
    </row>
    <row r="26" spans="2:22">
      <c r="B26" s="41" t="str">
        <f>'Refsz-Verbräuche'!D29</f>
        <v>Erdgas</v>
      </c>
      <c r="J26">
        <f>IF(OR((Datengüte_Eingabe[[#Headers],[2022]]&gt;Startseite!$D$68),(Datengüte_Eingabe[[#Headers],[2022]]=Startseite!$D$68)),0.25,"")</f>
        <v>0.25</v>
      </c>
      <c r="K26">
        <f>IF(OR((Datengüte_Eingabe[[#Headers],[2023]]&gt;Startseite!$D$68),(Datengüte_Eingabe[[#Headers],[2023]]=Startseite!$D$68)),0.25,"")</f>
        <v>0.25</v>
      </c>
      <c r="L26">
        <f>IF(OR((Datengüte_Eingabe[[#Headers],[2024]]&gt;Startseite!$D$68),(Datengüte_Eingabe[[#Headers],[2024]]=Startseite!$D$68)),0.25,"")</f>
        <v>0.25</v>
      </c>
      <c r="M26">
        <f>IF(OR((Datengüte_Eingabe[[#Headers],[2025]]&gt;Startseite!$D$68),(Datengüte_Eingabe[[#Headers],[2025]]=Startseite!$D$68)),0.25,"")</f>
        <v>0.25</v>
      </c>
      <c r="N26">
        <f>IF(OR((Datengüte_Eingabe[[#Headers],[2026]]&gt;Startseite!$D$68),(Datengüte_Eingabe[[#Headers],[2026]]=Startseite!$D$68)),0.25,"")</f>
        <v>0.25</v>
      </c>
      <c r="O26">
        <f>IF(OR((Datengüte_Eingabe[[#Headers],[2027]]&gt;Startseite!$D$68),(Datengüte_Eingabe[[#Headers],[2027]]=Startseite!$D$68)),0.25,"")</f>
        <v>0.25</v>
      </c>
      <c r="P26">
        <f>IF(OR((Datengüte_Eingabe[[#Headers],[2028]]&gt;Startseite!$D$68),(Datengüte_Eingabe[[#Headers],[2028]]=Startseite!$D$68)),0.25,"")</f>
        <v>0.25</v>
      </c>
      <c r="Q26">
        <f>IF(OR((Datengüte_Eingabe[[#Headers],[2029]]&gt;Startseite!$D$68),(Datengüte_Eingabe[[#Headers],[2029]]=Startseite!$D$68)),0.25,"")</f>
        <v>0.25</v>
      </c>
      <c r="R26">
        <f>IF(OR((Datengüte_Eingabe[[#Headers],[2030]]&gt;Startseite!$D$68),(Datengüte_Eingabe[[#Headers],[2030]]=Startseite!$D$68)),0.25,"")</f>
        <v>0.25</v>
      </c>
      <c r="S26">
        <f>IF(OR((Datengüte_Eingabe[[#Headers],[2035]]&gt;Startseite!$D$68),(Datengüte_Eingabe[[#Headers],[2035]]=Startseite!$D$68)),0.25,"")</f>
        <v>0.25</v>
      </c>
      <c r="T26">
        <f>IF(OR((Datengüte_Eingabe[[#Headers],[2040]]&gt;Startseite!$D$68),(Datengüte_Eingabe[[#Headers],[2040]]=Startseite!$D$68)),0.25,"")</f>
        <v>0.25</v>
      </c>
      <c r="U26">
        <f>IF(OR((Datengüte_Eingabe[[#Headers],[2045]]&gt;Startseite!$D$68),(Datengüte_Eingabe[[#Headers],[2045]]=Startseite!$D$68)),0.25,"")</f>
        <v>0.25</v>
      </c>
      <c r="V26">
        <f>IF(OR((Datengüte_Eingabe[[#Headers],[2050]]&gt;Startseite!$D$68),(Datengüte_Eingabe[[#Headers],[2050]]=Startseite!$D$68)),0.25,"")</f>
        <v>0.25</v>
      </c>
    </row>
    <row r="27" spans="2:22">
      <c r="B27" s="41" t="str">
        <f>'Refsz-Verbräuche'!D30</f>
        <v>BHKW</v>
      </c>
      <c r="J27">
        <f>IF(OR((Datengüte_Eingabe[[#Headers],[2022]]&gt;Startseite!$D$68),(Datengüte_Eingabe[[#Headers],[2022]]=Startseite!$D$68)),0.25,"")</f>
        <v>0.25</v>
      </c>
      <c r="K27">
        <f>IF(OR((Datengüte_Eingabe[[#Headers],[2023]]&gt;Startseite!$D$68),(Datengüte_Eingabe[[#Headers],[2023]]=Startseite!$D$68)),0.25,"")</f>
        <v>0.25</v>
      </c>
      <c r="L27">
        <f>IF(OR((Datengüte_Eingabe[[#Headers],[2024]]&gt;Startseite!$D$68),(Datengüte_Eingabe[[#Headers],[2024]]=Startseite!$D$68)),0.25,"")</f>
        <v>0.25</v>
      </c>
      <c r="M27">
        <f>IF(OR((Datengüte_Eingabe[[#Headers],[2025]]&gt;Startseite!$D$68),(Datengüte_Eingabe[[#Headers],[2025]]=Startseite!$D$68)),0.25,"")</f>
        <v>0.25</v>
      </c>
      <c r="N27">
        <f>IF(OR((Datengüte_Eingabe[[#Headers],[2026]]&gt;Startseite!$D$68),(Datengüte_Eingabe[[#Headers],[2026]]=Startseite!$D$68)),0.25,"")</f>
        <v>0.25</v>
      </c>
      <c r="O27">
        <f>IF(OR((Datengüte_Eingabe[[#Headers],[2027]]&gt;Startseite!$D$68),(Datengüte_Eingabe[[#Headers],[2027]]=Startseite!$D$68)),0.25,"")</f>
        <v>0.25</v>
      </c>
      <c r="P27">
        <f>IF(OR((Datengüte_Eingabe[[#Headers],[2028]]&gt;Startseite!$D$68),(Datengüte_Eingabe[[#Headers],[2028]]=Startseite!$D$68)),0.25,"")</f>
        <v>0.25</v>
      </c>
      <c r="Q27">
        <f>IF(OR((Datengüte_Eingabe[[#Headers],[2029]]&gt;Startseite!$D$68),(Datengüte_Eingabe[[#Headers],[2029]]=Startseite!$D$68)),0.25,"")</f>
        <v>0.25</v>
      </c>
      <c r="R27">
        <f>IF(OR((Datengüte_Eingabe[[#Headers],[2030]]&gt;Startseite!$D$68),(Datengüte_Eingabe[[#Headers],[2030]]=Startseite!$D$68)),0.25,"")</f>
        <v>0.25</v>
      </c>
      <c r="S27">
        <f>IF(OR((Datengüte_Eingabe[[#Headers],[2035]]&gt;Startseite!$D$68),(Datengüte_Eingabe[[#Headers],[2035]]=Startseite!$D$68)),0.25,"")</f>
        <v>0.25</v>
      </c>
      <c r="T27">
        <f>IF(OR((Datengüte_Eingabe[[#Headers],[2040]]&gt;Startseite!$D$68),(Datengüte_Eingabe[[#Headers],[2040]]=Startseite!$D$68)),0.25,"")</f>
        <v>0.25</v>
      </c>
      <c r="U27">
        <f>IF(OR((Datengüte_Eingabe[[#Headers],[2045]]&gt;Startseite!$D$68),(Datengüte_Eingabe[[#Headers],[2045]]=Startseite!$D$68)),0.25,"")</f>
        <v>0.25</v>
      </c>
      <c r="V27">
        <f>IF(OR((Datengüte_Eingabe[[#Headers],[2050]]&gt;Startseite!$D$68),(Datengüte_Eingabe[[#Headers],[2050]]=Startseite!$D$68)),0.25,"")</f>
        <v>0.25</v>
      </c>
    </row>
    <row r="28" spans="2:22">
      <c r="B28" s="41" t="str">
        <f>'Refsz-Verbräuche'!D31</f>
        <v>Biogas</v>
      </c>
      <c r="J28">
        <f>IF(OR((Datengüte_Eingabe[[#Headers],[2022]]&gt;Startseite!$D$68),(Datengüte_Eingabe[[#Headers],[2022]]=Startseite!$D$68)),0.25,"")</f>
        <v>0.25</v>
      </c>
      <c r="K28">
        <f>IF(OR((Datengüte_Eingabe[[#Headers],[2023]]&gt;Startseite!$D$68),(Datengüte_Eingabe[[#Headers],[2023]]=Startseite!$D$68)),0.25,"")</f>
        <v>0.25</v>
      </c>
      <c r="L28">
        <f>IF(OR((Datengüte_Eingabe[[#Headers],[2024]]&gt;Startseite!$D$68),(Datengüte_Eingabe[[#Headers],[2024]]=Startseite!$D$68)),0.25,"")</f>
        <v>0.25</v>
      </c>
      <c r="M28">
        <f>IF(OR((Datengüte_Eingabe[[#Headers],[2025]]&gt;Startseite!$D$68),(Datengüte_Eingabe[[#Headers],[2025]]=Startseite!$D$68)),0.25,"")</f>
        <v>0.25</v>
      </c>
      <c r="N28">
        <f>IF(OR((Datengüte_Eingabe[[#Headers],[2026]]&gt;Startseite!$D$68),(Datengüte_Eingabe[[#Headers],[2026]]=Startseite!$D$68)),0.25,"")</f>
        <v>0.25</v>
      </c>
      <c r="O28">
        <f>IF(OR((Datengüte_Eingabe[[#Headers],[2027]]&gt;Startseite!$D$68),(Datengüte_Eingabe[[#Headers],[2027]]=Startseite!$D$68)),0.25,"")</f>
        <v>0.25</v>
      </c>
      <c r="P28">
        <f>IF(OR((Datengüte_Eingabe[[#Headers],[2028]]&gt;Startseite!$D$68),(Datengüte_Eingabe[[#Headers],[2028]]=Startseite!$D$68)),0.25,"")</f>
        <v>0.25</v>
      </c>
      <c r="Q28">
        <f>IF(OR((Datengüte_Eingabe[[#Headers],[2029]]&gt;Startseite!$D$68),(Datengüte_Eingabe[[#Headers],[2029]]=Startseite!$D$68)),0.25,"")</f>
        <v>0.25</v>
      </c>
      <c r="R28">
        <f>IF(OR((Datengüte_Eingabe[[#Headers],[2030]]&gt;Startseite!$D$68),(Datengüte_Eingabe[[#Headers],[2030]]=Startseite!$D$68)),0.25,"")</f>
        <v>0.25</v>
      </c>
      <c r="S28">
        <f>IF(OR((Datengüte_Eingabe[[#Headers],[2035]]&gt;Startseite!$D$68),(Datengüte_Eingabe[[#Headers],[2035]]=Startseite!$D$68)),0.25,"")</f>
        <v>0.25</v>
      </c>
      <c r="T28">
        <f>IF(OR((Datengüte_Eingabe[[#Headers],[2040]]&gt;Startseite!$D$68),(Datengüte_Eingabe[[#Headers],[2040]]=Startseite!$D$68)),0.25,"")</f>
        <v>0.25</v>
      </c>
      <c r="U28">
        <f>IF(OR((Datengüte_Eingabe[[#Headers],[2045]]&gt;Startseite!$D$68),(Datengüte_Eingabe[[#Headers],[2045]]=Startseite!$D$68)),0.25,"")</f>
        <v>0.25</v>
      </c>
      <c r="V28">
        <f>IF(OR((Datengüte_Eingabe[[#Headers],[2050]]&gt;Startseite!$D$68),(Datengüte_Eingabe[[#Headers],[2050]]=Startseite!$D$68)),0.25,"")</f>
        <v>0.25</v>
      </c>
    </row>
    <row r="29" spans="2:22">
      <c r="B29" s="41" t="str">
        <f>'Refsz-Verbräuche'!D32</f>
        <v>Individueller Emissionsfaktor</v>
      </c>
      <c r="J29">
        <f>IF(OR((Datengüte_Eingabe[[#Headers],[2022]]&gt;Startseite!$D$68),(Datengüte_Eingabe[[#Headers],[2022]]=Startseite!$D$68)),0.25,"")</f>
        <v>0.25</v>
      </c>
      <c r="K29">
        <f>IF(OR((Datengüte_Eingabe[[#Headers],[2023]]&gt;Startseite!$D$68),(Datengüte_Eingabe[[#Headers],[2023]]=Startseite!$D$68)),0.25,"")</f>
        <v>0.25</v>
      </c>
      <c r="L29">
        <f>IF(OR((Datengüte_Eingabe[[#Headers],[2024]]&gt;Startseite!$D$68),(Datengüte_Eingabe[[#Headers],[2024]]=Startseite!$D$68)),0.25,"")</f>
        <v>0.25</v>
      </c>
      <c r="M29">
        <f>IF(OR((Datengüte_Eingabe[[#Headers],[2025]]&gt;Startseite!$D$68),(Datengüte_Eingabe[[#Headers],[2025]]=Startseite!$D$68)),0.25,"")</f>
        <v>0.25</v>
      </c>
      <c r="N29">
        <f>IF(OR((Datengüte_Eingabe[[#Headers],[2026]]&gt;Startseite!$D$68),(Datengüte_Eingabe[[#Headers],[2026]]=Startseite!$D$68)),0.25,"")</f>
        <v>0.25</v>
      </c>
      <c r="O29">
        <f>IF(OR((Datengüte_Eingabe[[#Headers],[2027]]&gt;Startseite!$D$68),(Datengüte_Eingabe[[#Headers],[2027]]=Startseite!$D$68)),0.25,"")</f>
        <v>0.25</v>
      </c>
      <c r="P29">
        <f>IF(OR((Datengüte_Eingabe[[#Headers],[2028]]&gt;Startseite!$D$68),(Datengüte_Eingabe[[#Headers],[2028]]=Startseite!$D$68)),0.25,"")</f>
        <v>0.25</v>
      </c>
      <c r="Q29">
        <f>IF(OR((Datengüte_Eingabe[[#Headers],[2029]]&gt;Startseite!$D$68),(Datengüte_Eingabe[[#Headers],[2029]]=Startseite!$D$68)),0.25,"")</f>
        <v>0.25</v>
      </c>
      <c r="R29">
        <f>IF(OR((Datengüte_Eingabe[[#Headers],[2030]]&gt;Startseite!$D$68),(Datengüte_Eingabe[[#Headers],[2030]]=Startseite!$D$68)),0.25,"")</f>
        <v>0.25</v>
      </c>
      <c r="S29">
        <f>IF(OR((Datengüte_Eingabe[[#Headers],[2035]]&gt;Startseite!$D$68),(Datengüte_Eingabe[[#Headers],[2035]]=Startseite!$D$68)),0.25,"")</f>
        <v>0.25</v>
      </c>
      <c r="T29">
        <f>IF(OR((Datengüte_Eingabe[[#Headers],[2040]]&gt;Startseite!$D$68),(Datengüte_Eingabe[[#Headers],[2040]]=Startseite!$D$68)),0.25,"")</f>
        <v>0.25</v>
      </c>
      <c r="U29">
        <f>IF(OR((Datengüte_Eingabe[[#Headers],[2045]]&gt;Startseite!$D$68),(Datengüte_Eingabe[[#Headers],[2045]]=Startseite!$D$68)),0.25,"")</f>
        <v>0.25</v>
      </c>
      <c r="V29">
        <f>IF(OR((Datengüte_Eingabe[[#Headers],[2050]]&gt;Startseite!$D$68),(Datengüte_Eingabe[[#Headers],[2050]]=Startseite!$D$68)),0.25,"")</f>
        <v>0.25</v>
      </c>
    </row>
    <row r="30" spans="2:22">
      <c r="B30" s="41" t="str">
        <f>'Refsz-Verbräuche'!D33</f>
        <v>Holzhackschnitzel</v>
      </c>
      <c r="J30">
        <f>IF(OR((Datengüte_Eingabe[[#Headers],[2022]]&gt;Startseite!$D$68),(Datengüte_Eingabe[[#Headers],[2022]]=Startseite!$D$68)),0.25,"")</f>
        <v>0.25</v>
      </c>
      <c r="K30">
        <f>IF(OR((Datengüte_Eingabe[[#Headers],[2023]]&gt;Startseite!$D$68),(Datengüte_Eingabe[[#Headers],[2023]]=Startseite!$D$68)),0.25,"")</f>
        <v>0.25</v>
      </c>
      <c r="L30">
        <f>IF(OR((Datengüte_Eingabe[[#Headers],[2024]]&gt;Startseite!$D$68),(Datengüte_Eingabe[[#Headers],[2024]]=Startseite!$D$68)),0.25,"")</f>
        <v>0.25</v>
      </c>
      <c r="M30">
        <f>IF(OR((Datengüte_Eingabe[[#Headers],[2025]]&gt;Startseite!$D$68),(Datengüte_Eingabe[[#Headers],[2025]]=Startseite!$D$68)),0.25,"")</f>
        <v>0.25</v>
      </c>
      <c r="N30">
        <f>IF(OR((Datengüte_Eingabe[[#Headers],[2026]]&gt;Startseite!$D$68),(Datengüte_Eingabe[[#Headers],[2026]]=Startseite!$D$68)),0.25,"")</f>
        <v>0.25</v>
      </c>
      <c r="O30">
        <f>IF(OR((Datengüte_Eingabe[[#Headers],[2027]]&gt;Startseite!$D$68),(Datengüte_Eingabe[[#Headers],[2027]]=Startseite!$D$68)),0.25,"")</f>
        <v>0.25</v>
      </c>
      <c r="P30">
        <f>IF(OR((Datengüte_Eingabe[[#Headers],[2028]]&gt;Startseite!$D$68),(Datengüte_Eingabe[[#Headers],[2028]]=Startseite!$D$68)),0.25,"")</f>
        <v>0.25</v>
      </c>
      <c r="Q30">
        <f>IF(OR((Datengüte_Eingabe[[#Headers],[2029]]&gt;Startseite!$D$68),(Datengüte_Eingabe[[#Headers],[2029]]=Startseite!$D$68)),0.25,"")</f>
        <v>0.25</v>
      </c>
      <c r="R30">
        <f>IF(OR((Datengüte_Eingabe[[#Headers],[2030]]&gt;Startseite!$D$68),(Datengüte_Eingabe[[#Headers],[2030]]=Startseite!$D$68)),0.25,"")</f>
        <v>0.25</v>
      </c>
      <c r="S30">
        <f>IF(OR((Datengüte_Eingabe[[#Headers],[2035]]&gt;Startseite!$D$68),(Datengüte_Eingabe[[#Headers],[2035]]=Startseite!$D$68)),0.25,"")</f>
        <v>0.25</v>
      </c>
      <c r="T30">
        <f>IF(OR((Datengüte_Eingabe[[#Headers],[2040]]&gt;Startseite!$D$68),(Datengüte_Eingabe[[#Headers],[2040]]=Startseite!$D$68)),0.25,"")</f>
        <v>0.25</v>
      </c>
      <c r="U30">
        <f>IF(OR((Datengüte_Eingabe[[#Headers],[2045]]&gt;Startseite!$D$68),(Datengüte_Eingabe[[#Headers],[2045]]=Startseite!$D$68)),0.25,"")</f>
        <v>0.25</v>
      </c>
      <c r="V30">
        <f>IF(OR((Datengüte_Eingabe[[#Headers],[2050]]&gt;Startseite!$D$68),(Datengüte_Eingabe[[#Headers],[2050]]=Startseite!$D$68)),0.25,"")</f>
        <v>0.25</v>
      </c>
    </row>
    <row r="31" spans="2:22">
      <c r="B31" s="41" t="str">
        <f>'Refsz-Verbräuche'!D34</f>
        <v>Holzpellets, 10kW/kleinere Zentralheizung</v>
      </c>
      <c r="J31">
        <f>IF(OR((Datengüte_Eingabe[[#Headers],[2022]]&gt;Startseite!$D$68),(Datengüte_Eingabe[[#Headers],[2022]]=Startseite!$D$68)),0.25,"")</f>
        <v>0.25</v>
      </c>
      <c r="K31">
        <f>IF(OR((Datengüte_Eingabe[[#Headers],[2023]]&gt;Startseite!$D$68),(Datengüte_Eingabe[[#Headers],[2023]]=Startseite!$D$68)),0.25,"")</f>
        <v>0.25</v>
      </c>
      <c r="L31">
        <f>IF(OR((Datengüte_Eingabe[[#Headers],[2024]]&gt;Startseite!$D$68),(Datengüte_Eingabe[[#Headers],[2024]]=Startseite!$D$68)),0.25,"")</f>
        <v>0.25</v>
      </c>
      <c r="M31">
        <f>IF(OR((Datengüte_Eingabe[[#Headers],[2025]]&gt;Startseite!$D$68),(Datengüte_Eingabe[[#Headers],[2025]]=Startseite!$D$68)),0.25,"")</f>
        <v>0.25</v>
      </c>
      <c r="N31">
        <f>IF(OR((Datengüte_Eingabe[[#Headers],[2026]]&gt;Startseite!$D$68),(Datengüte_Eingabe[[#Headers],[2026]]=Startseite!$D$68)),0.25,"")</f>
        <v>0.25</v>
      </c>
      <c r="O31">
        <f>IF(OR((Datengüte_Eingabe[[#Headers],[2027]]&gt;Startseite!$D$68),(Datengüte_Eingabe[[#Headers],[2027]]=Startseite!$D$68)),0.25,"")</f>
        <v>0.25</v>
      </c>
      <c r="P31">
        <f>IF(OR((Datengüte_Eingabe[[#Headers],[2028]]&gt;Startseite!$D$68),(Datengüte_Eingabe[[#Headers],[2028]]=Startseite!$D$68)),0.25,"")</f>
        <v>0.25</v>
      </c>
      <c r="Q31">
        <f>IF(OR((Datengüte_Eingabe[[#Headers],[2029]]&gt;Startseite!$D$68),(Datengüte_Eingabe[[#Headers],[2029]]=Startseite!$D$68)),0.25,"")</f>
        <v>0.25</v>
      </c>
      <c r="R31">
        <f>IF(OR((Datengüte_Eingabe[[#Headers],[2030]]&gt;Startseite!$D$68),(Datengüte_Eingabe[[#Headers],[2030]]=Startseite!$D$68)),0.25,"")</f>
        <v>0.25</v>
      </c>
      <c r="S31">
        <f>IF(OR((Datengüte_Eingabe[[#Headers],[2035]]&gt;Startseite!$D$68),(Datengüte_Eingabe[[#Headers],[2035]]=Startseite!$D$68)),0.25,"")</f>
        <v>0.25</v>
      </c>
      <c r="T31">
        <f>IF(OR((Datengüte_Eingabe[[#Headers],[2040]]&gt;Startseite!$D$68),(Datengüte_Eingabe[[#Headers],[2040]]=Startseite!$D$68)),0.25,"")</f>
        <v>0.25</v>
      </c>
      <c r="U31">
        <f>IF(OR((Datengüte_Eingabe[[#Headers],[2045]]&gt;Startseite!$D$68),(Datengüte_Eingabe[[#Headers],[2045]]=Startseite!$D$68)),0.25,"")</f>
        <v>0.25</v>
      </c>
      <c r="V31">
        <f>IF(OR((Datengüte_Eingabe[[#Headers],[2050]]&gt;Startseite!$D$68),(Datengüte_Eingabe[[#Headers],[2050]]=Startseite!$D$68)),0.25,"")</f>
        <v>0.25</v>
      </c>
    </row>
    <row r="32" spans="2:22">
      <c r="B32" s="41" t="str">
        <f>'Refsz-Verbräuche'!D35</f>
        <v>Holzpellets, 50kW/größere Zentralheizung</v>
      </c>
      <c r="J32">
        <f>IF(OR((Datengüte_Eingabe[[#Headers],[2022]]&gt;Startseite!$D$68),(Datengüte_Eingabe[[#Headers],[2022]]=Startseite!$D$68)),0.25,"")</f>
        <v>0.25</v>
      </c>
      <c r="K32">
        <f>IF(OR((Datengüte_Eingabe[[#Headers],[2023]]&gt;Startseite!$D$68),(Datengüte_Eingabe[[#Headers],[2023]]=Startseite!$D$68)),0.25,"")</f>
        <v>0.25</v>
      </c>
      <c r="L32">
        <f>IF(OR((Datengüte_Eingabe[[#Headers],[2024]]&gt;Startseite!$D$68),(Datengüte_Eingabe[[#Headers],[2024]]=Startseite!$D$68)),0.25,"")</f>
        <v>0.25</v>
      </c>
      <c r="M32">
        <f>IF(OR((Datengüte_Eingabe[[#Headers],[2025]]&gt;Startseite!$D$68),(Datengüte_Eingabe[[#Headers],[2025]]=Startseite!$D$68)),0.25,"")</f>
        <v>0.25</v>
      </c>
      <c r="N32">
        <f>IF(OR((Datengüte_Eingabe[[#Headers],[2026]]&gt;Startseite!$D$68),(Datengüte_Eingabe[[#Headers],[2026]]=Startseite!$D$68)),0.25,"")</f>
        <v>0.25</v>
      </c>
      <c r="O32">
        <f>IF(OR((Datengüte_Eingabe[[#Headers],[2027]]&gt;Startseite!$D$68),(Datengüte_Eingabe[[#Headers],[2027]]=Startseite!$D$68)),0.25,"")</f>
        <v>0.25</v>
      </c>
      <c r="P32">
        <f>IF(OR((Datengüte_Eingabe[[#Headers],[2028]]&gt;Startseite!$D$68),(Datengüte_Eingabe[[#Headers],[2028]]=Startseite!$D$68)),0.25,"")</f>
        <v>0.25</v>
      </c>
      <c r="Q32">
        <f>IF(OR((Datengüte_Eingabe[[#Headers],[2029]]&gt;Startseite!$D$68),(Datengüte_Eingabe[[#Headers],[2029]]=Startseite!$D$68)),0.25,"")</f>
        <v>0.25</v>
      </c>
      <c r="R32">
        <f>IF(OR((Datengüte_Eingabe[[#Headers],[2030]]&gt;Startseite!$D$68),(Datengüte_Eingabe[[#Headers],[2030]]=Startseite!$D$68)),0.25,"")</f>
        <v>0.25</v>
      </c>
      <c r="S32">
        <f>IF(OR((Datengüte_Eingabe[[#Headers],[2035]]&gt;Startseite!$D$68),(Datengüte_Eingabe[[#Headers],[2035]]=Startseite!$D$68)),0.25,"")</f>
        <v>0.25</v>
      </c>
      <c r="T32">
        <f>IF(OR((Datengüte_Eingabe[[#Headers],[2040]]&gt;Startseite!$D$68),(Datengüte_Eingabe[[#Headers],[2040]]=Startseite!$D$68)),0.25,"")</f>
        <v>0.25</v>
      </c>
      <c r="U32">
        <f>IF(OR((Datengüte_Eingabe[[#Headers],[2045]]&gt;Startseite!$D$68),(Datengüte_Eingabe[[#Headers],[2045]]=Startseite!$D$68)),0.25,"")</f>
        <v>0.25</v>
      </c>
      <c r="V32">
        <f>IF(OR((Datengüte_Eingabe[[#Headers],[2050]]&gt;Startseite!$D$68),(Datengüte_Eingabe[[#Headers],[2050]]=Startseite!$D$68)),0.25,"")</f>
        <v>0.25</v>
      </c>
    </row>
    <row r="33" spans="2:22">
      <c r="B33" s="41" t="str">
        <f>'Refsz-Verbräuche'!D36</f>
        <v>Fernwärme Mix</v>
      </c>
      <c r="J33">
        <f>IF(OR((Datengüte_Eingabe[[#Headers],[2022]]&gt;Startseite!$D$68),(Datengüte_Eingabe[[#Headers],[2022]]=Startseite!$D$68)),0.25,"")</f>
        <v>0.25</v>
      </c>
      <c r="K33">
        <f>IF(OR((Datengüte_Eingabe[[#Headers],[2023]]&gt;Startseite!$D$68),(Datengüte_Eingabe[[#Headers],[2023]]=Startseite!$D$68)),0.25,"")</f>
        <v>0.25</v>
      </c>
      <c r="L33">
        <f>IF(OR((Datengüte_Eingabe[[#Headers],[2024]]&gt;Startseite!$D$68),(Datengüte_Eingabe[[#Headers],[2024]]=Startseite!$D$68)),0.25,"")</f>
        <v>0.25</v>
      </c>
      <c r="M33">
        <f>IF(OR((Datengüte_Eingabe[[#Headers],[2025]]&gt;Startseite!$D$68),(Datengüte_Eingabe[[#Headers],[2025]]=Startseite!$D$68)),0.25,"")</f>
        <v>0.25</v>
      </c>
      <c r="N33">
        <f>IF(OR((Datengüte_Eingabe[[#Headers],[2026]]&gt;Startseite!$D$68),(Datengüte_Eingabe[[#Headers],[2026]]=Startseite!$D$68)),0.25,"")</f>
        <v>0.25</v>
      </c>
      <c r="O33">
        <f>IF(OR((Datengüte_Eingabe[[#Headers],[2027]]&gt;Startseite!$D$68),(Datengüte_Eingabe[[#Headers],[2027]]=Startseite!$D$68)),0.25,"")</f>
        <v>0.25</v>
      </c>
      <c r="P33">
        <f>IF(OR((Datengüte_Eingabe[[#Headers],[2028]]&gt;Startseite!$D$68),(Datengüte_Eingabe[[#Headers],[2028]]=Startseite!$D$68)),0.25,"")</f>
        <v>0.25</v>
      </c>
      <c r="Q33">
        <f>IF(OR((Datengüte_Eingabe[[#Headers],[2029]]&gt;Startseite!$D$68),(Datengüte_Eingabe[[#Headers],[2029]]=Startseite!$D$68)),0.25,"")</f>
        <v>0.25</v>
      </c>
      <c r="R33">
        <f>IF(OR((Datengüte_Eingabe[[#Headers],[2030]]&gt;Startseite!$D$68),(Datengüte_Eingabe[[#Headers],[2030]]=Startseite!$D$68)),0.25,"")</f>
        <v>0.25</v>
      </c>
      <c r="S33">
        <f>IF(OR((Datengüte_Eingabe[[#Headers],[2035]]&gt;Startseite!$D$68),(Datengüte_Eingabe[[#Headers],[2035]]=Startseite!$D$68)),0.25,"")</f>
        <v>0.25</v>
      </c>
      <c r="T33">
        <f>IF(OR((Datengüte_Eingabe[[#Headers],[2040]]&gt;Startseite!$D$68),(Datengüte_Eingabe[[#Headers],[2040]]=Startseite!$D$68)),0.25,"")</f>
        <v>0.25</v>
      </c>
      <c r="U33">
        <f>IF(OR((Datengüte_Eingabe[[#Headers],[2045]]&gt;Startseite!$D$68),(Datengüte_Eingabe[[#Headers],[2045]]=Startseite!$D$68)),0.25,"")</f>
        <v>0.25</v>
      </c>
      <c r="V33">
        <f>IF(OR((Datengüte_Eingabe[[#Headers],[2050]]&gt;Startseite!$D$68),(Datengüte_Eingabe[[#Headers],[2050]]=Startseite!$D$68)),0.25,"")</f>
        <v>0.25</v>
      </c>
    </row>
    <row r="34" spans="2:22">
      <c r="B34" s="41" t="str">
        <f>'Refsz-Verbräuche'!D37</f>
        <v>Fernwärme Abfall</v>
      </c>
      <c r="J34">
        <f>IF(OR((Datengüte_Eingabe[[#Headers],[2022]]&gt;Startseite!$D$68),(Datengüte_Eingabe[[#Headers],[2022]]=Startseite!$D$68)),0.25,"")</f>
        <v>0.25</v>
      </c>
      <c r="K34">
        <f>IF(OR((Datengüte_Eingabe[[#Headers],[2023]]&gt;Startseite!$D$68),(Datengüte_Eingabe[[#Headers],[2023]]=Startseite!$D$68)),0.25,"")</f>
        <v>0.25</v>
      </c>
      <c r="L34">
        <f>IF(OR((Datengüte_Eingabe[[#Headers],[2024]]&gt;Startseite!$D$68),(Datengüte_Eingabe[[#Headers],[2024]]=Startseite!$D$68)),0.25,"")</f>
        <v>0.25</v>
      </c>
      <c r="M34">
        <f>IF(OR((Datengüte_Eingabe[[#Headers],[2025]]&gt;Startseite!$D$68),(Datengüte_Eingabe[[#Headers],[2025]]=Startseite!$D$68)),0.25,"")</f>
        <v>0.25</v>
      </c>
      <c r="N34">
        <f>IF(OR((Datengüte_Eingabe[[#Headers],[2026]]&gt;Startseite!$D$68),(Datengüte_Eingabe[[#Headers],[2026]]=Startseite!$D$68)),0.25,"")</f>
        <v>0.25</v>
      </c>
      <c r="O34">
        <f>IF(OR((Datengüte_Eingabe[[#Headers],[2027]]&gt;Startseite!$D$68),(Datengüte_Eingabe[[#Headers],[2027]]=Startseite!$D$68)),0.25,"")</f>
        <v>0.25</v>
      </c>
      <c r="P34">
        <f>IF(OR((Datengüte_Eingabe[[#Headers],[2028]]&gt;Startseite!$D$68),(Datengüte_Eingabe[[#Headers],[2028]]=Startseite!$D$68)),0.25,"")</f>
        <v>0.25</v>
      </c>
      <c r="Q34">
        <f>IF(OR((Datengüte_Eingabe[[#Headers],[2029]]&gt;Startseite!$D$68),(Datengüte_Eingabe[[#Headers],[2029]]=Startseite!$D$68)),0.25,"")</f>
        <v>0.25</v>
      </c>
      <c r="R34">
        <f>IF(OR((Datengüte_Eingabe[[#Headers],[2030]]&gt;Startseite!$D$68),(Datengüte_Eingabe[[#Headers],[2030]]=Startseite!$D$68)),0.25,"")</f>
        <v>0.25</v>
      </c>
      <c r="S34">
        <f>IF(OR((Datengüte_Eingabe[[#Headers],[2035]]&gt;Startseite!$D$68),(Datengüte_Eingabe[[#Headers],[2035]]=Startseite!$D$68)),0.25,"")</f>
        <v>0.25</v>
      </c>
      <c r="T34">
        <f>IF(OR((Datengüte_Eingabe[[#Headers],[2040]]&gt;Startseite!$D$68),(Datengüte_Eingabe[[#Headers],[2040]]=Startseite!$D$68)),0.25,"")</f>
        <v>0.25</v>
      </c>
      <c r="U34">
        <f>IF(OR((Datengüte_Eingabe[[#Headers],[2045]]&gt;Startseite!$D$68),(Datengüte_Eingabe[[#Headers],[2045]]=Startseite!$D$68)),0.25,"")</f>
        <v>0.25</v>
      </c>
      <c r="V34">
        <f>IF(OR((Datengüte_Eingabe[[#Headers],[2050]]&gt;Startseite!$D$68),(Datengüte_Eingabe[[#Headers],[2050]]=Startseite!$D$68)),0.25,"")</f>
        <v>0.25</v>
      </c>
    </row>
    <row r="35" spans="2:22">
      <c r="B35" s="41" t="str">
        <f>'Refsz-Verbräuche'!D38</f>
        <v>Heizöl</v>
      </c>
      <c r="J35">
        <f>IF(OR((Datengüte_Eingabe[[#Headers],[2022]]&gt;Startseite!$D$68),(Datengüte_Eingabe[[#Headers],[2022]]=Startseite!$D$68)),0.25,"")</f>
        <v>0.25</v>
      </c>
      <c r="K35">
        <f>IF(OR((Datengüte_Eingabe[[#Headers],[2023]]&gt;Startseite!$D$68),(Datengüte_Eingabe[[#Headers],[2023]]=Startseite!$D$68)),0.25,"")</f>
        <v>0.25</v>
      </c>
      <c r="L35">
        <f>IF(OR((Datengüte_Eingabe[[#Headers],[2024]]&gt;Startseite!$D$68),(Datengüte_Eingabe[[#Headers],[2024]]=Startseite!$D$68)),0.25,"")</f>
        <v>0.25</v>
      </c>
      <c r="M35">
        <f>IF(OR((Datengüte_Eingabe[[#Headers],[2025]]&gt;Startseite!$D$68),(Datengüte_Eingabe[[#Headers],[2025]]=Startseite!$D$68)),0.25,"")</f>
        <v>0.25</v>
      </c>
      <c r="N35">
        <f>IF(OR((Datengüte_Eingabe[[#Headers],[2026]]&gt;Startseite!$D$68),(Datengüte_Eingabe[[#Headers],[2026]]=Startseite!$D$68)),0.25,"")</f>
        <v>0.25</v>
      </c>
      <c r="O35">
        <f>IF(OR((Datengüte_Eingabe[[#Headers],[2027]]&gt;Startseite!$D$68),(Datengüte_Eingabe[[#Headers],[2027]]=Startseite!$D$68)),0.25,"")</f>
        <v>0.25</v>
      </c>
      <c r="P35">
        <f>IF(OR((Datengüte_Eingabe[[#Headers],[2028]]&gt;Startseite!$D$68),(Datengüte_Eingabe[[#Headers],[2028]]=Startseite!$D$68)),0.25,"")</f>
        <v>0.25</v>
      </c>
      <c r="Q35">
        <f>IF(OR((Datengüte_Eingabe[[#Headers],[2029]]&gt;Startseite!$D$68),(Datengüte_Eingabe[[#Headers],[2029]]=Startseite!$D$68)),0.25,"")</f>
        <v>0.25</v>
      </c>
      <c r="R35">
        <f>IF(OR((Datengüte_Eingabe[[#Headers],[2030]]&gt;Startseite!$D$68),(Datengüte_Eingabe[[#Headers],[2030]]=Startseite!$D$68)),0.25,"")</f>
        <v>0.25</v>
      </c>
      <c r="S35">
        <f>IF(OR((Datengüte_Eingabe[[#Headers],[2035]]&gt;Startseite!$D$68),(Datengüte_Eingabe[[#Headers],[2035]]=Startseite!$D$68)),0.25,"")</f>
        <v>0.25</v>
      </c>
      <c r="T35">
        <f>IF(OR((Datengüte_Eingabe[[#Headers],[2040]]&gt;Startseite!$D$68),(Datengüte_Eingabe[[#Headers],[2040]]=Startseite!$D$68)),0.25,"")</f>
        <v>0.25</v>
      </c>
      <c r="U35">
        <f>IF(OR((Datengüte_Eingabe[[#Headers],[2045]]&gt;Startseite!$D$68),(Datengüte_Eingabe[[#Headers],[2045]]=Startseite!$D$68)),0.25,"")</f>
        <v>0.25</v>
      </c>
      <c r="V35">
        <f>IF(OR((Datengüte_Eingabe[[#Headers],[2050]]&gt;Startseite!$D$68),(Datengüte_Eingabe[[#Headers],[2050]]=Startseite!$D$68)),0.25,"")</f>
        <v>0.25</v>
      </c>
    </row>
    <row r="36" spans="2:22">
      <c r="B36" s="41" t="str">
        <f>'Refsz-Verbräuche'!D39</f>
        <v>Solarthermie</v>
      </c>
      <c r="J36">
        <f>IF(OR((Datengüte_Eingabe[[#Headers],[2022]]&gt;Startseite!$D$68),(Datengüte_Eingabe[[#Headers],[2022]]=Startseite!$D$68)),0.25,"")</f>
        <v>0.25</v>
      </c>
      <c r="K36">
        <f>IF(OR((Datengüte_Eingabe[[#Headers],[2023]]&gt;Startseite!$D$68),(Datengüte_Eingabe[[#Headers],[2023]]=Startseite!$D$68)),0.25,"")</f>
        <v>0.25</v>
      </c>
      <c r="L36">
        <f>IF(OR((Datengüte_Eingabe[[#Headers],[2024]]&gt;Startseite!$D$68),(Datengüte_Eingabe[[#Headers],[2024]]=Startseite!$D$68)),0.25,"")</f>
        <v>0.25</v>
      </c>
      <c r="M36">
        <f>IF(OR((Datengüte_Eingabe[[#Headers],[2025]]&gt;Startseite!$D$68),(Datengüte_Eingabe[[#Headers],[2025]]=Startseite!$D$68)),0.25,"")</f>
        <v>0.25</v>
      </c>
      <c r="N36">
        <f>IF(OR((Datengüte_Eingabe[[#Headers],[2026]]&gt;Startseite!$D$68),(Datengüte_Eingabe[[#Headers],[2026]]=Startseite!$D$68)),0.25,"")</f>
        <v>0.25</v>
      </c>
      <c r="O36">
        <f>IF(OR((Datengüte_Eingabe[[#Headers],[2027]]&gt;Startseite!$D$68),(Datengüte_Eingabe[[#Headers],[2027]]=Startseite!$D$68)),0.25,"")</f>
        <v>0.25</v>
      </c>
      <c r="P36">
        <f>IF(OR((Datengüte_Eingabe[[#Headers],[2028]]&gt;Startseite!$D$68),(Datengüte_Eingabe[[#Headers],[2028]]=Startseite!$D$68)),0.25,"")</f>
        <v>0.25</v>
      </c>
      <c r="Q36">
        <f>IF(OR((Datengüte_Eingabe[[#Headers],[2029]]&gt;Startseite!$D$68),(Datengüte_Eingabe[[#Headers],[2029]]=Startseite!$D$68)),0.25,"")</f>
        <v>0.25</v>
      </c>
      <c r="R36">
        <f>IF(OR((Datengüte_Eingabe[[#Headers],[2030]]&gt;Startseite!$D$68),(Datengüte_Eingabe[[#Headers],[2030]]=Startseite!$D$68)),0.25,"")</f>
        <v>0.25</v>
      </c>
      <c r="S36">
        <f>IF(OR((Datengüte_Eingabe[[#Headers],[2035]]&gt;Startseite!$D$68),(Datengüte_Eingabe[[#Headers],[2035]]=Startseite!$D$68)),0.25,"")</f>
        <v>0.25</v>
      </c>
      <c r="T36">
        <f>IF(OR((Datengüte_Eingabe[[#Headers],[2040]]&gt;Startseite!$D$68),(Datengüte_Eingabe[[#Headers],[2040]]=Startseite!$D$68)),0.25,"")</f>
        <v>0.25</v>
      </c>
      <c r="U36">
        <f>IF(OR((Datengüte_Eingabe[[#Headers],[2045]]&gt;Startseite!$D$68),(Datengüte_Eingabe[[#Headers],[2045]]=Startseite!$D$68)),0.25,"")</f>
        <v>0.25</v>
      </c>
      <c r="V36">
        <f>IF(OR((Datengüte_Eingabe[[#Headers],[2050]]&gt;Startseite!$D$68),(Datengüte_Eingabe[[#Headers],[2050]]=Startseite!$D$68)),0.25,"")</f>
        <v>0.25</v>
      </c>
    </row>
    <row r="37" spans="2:22">
      <c r="B37" s="41" t="str">
        <f>'Refsz-Verbräuche'!D40</f>
        <v>Sole-Wasser-Wärmepumpe; Bundesstrommix</v>
      </c>
      <c r="J37">
        <f>IF(OR((Datengüte_Eingabe[[#Headers],[2022]]&gt;Startseite!$D$68),(Datengüte_Eingabe[[#Headers],[2022]]=Startseite!$D$68)),0.25,"")</f>
        <v>0.25</v>
      </c>
      <c r="K37">
        <f>IF(OR((Datengüte_Eingabe[[#Headers],[2023]]&gt;Startseite!$D$68),(Datengüte_Eingabe[[#Headers],[2023]]=Startseite!$D$68)),0.25,"")</f>
        <v>0.25</v>
      </c>
      <c r="L37">
        <f>IF(OR((Datengüte_Eingabe[[#Headers],[2024]]&gt;Startseite!$D$68),(Datengüte_Eingabe[[#Headers],[2024]]=Startseite!$D$68)),0.25,"")</f>
        <v>0.25</v>
      </c>
      <c r="M37">
        <f>IF(OR((Datengüte_Eingabe[[#Headers],[2025]]&gt;Startseite!$D$68),(Datengüte_Eingabe[[#Headers],[2025]]=Startseite!$D$68)),0.25,"")</f>
        <v>0.25</v>
      </c>
      <c r="N37">
        <f>IF(OR((Datengüte_Eingabe[[#Headers],[2026]]&gt;Startseite!$D$68),(Datengüte_Eingabe[[#Headers],[2026]]=Startseite!$D$68)),0.25,"")</f>
        <v>0.25</v>
      </c>
      <c r="O37">
        <f>IF(OR((Datengüte_Eingabe[[#Headers],[2027]]&gt;Startseite!$D$68),(Datengüte_Eingabe[[#Headers],[2027]]=Startseite!$D$68)),0.25,"")</f>
        <v>0.25</v>
      </c>
      <c r="P37">
        <f>IF(OR((Datengüte_Eingabe[[#Headers],[2028]]&gt;Startseite!$D$68),(Datengüte_Eingabe[[#Headers],[2028]]=Startseite!$D$68)),0.25,"")</f>
        <v>0.25</v>
      </c>
      <c r="Q37">
        <f>IF(OR((Datengüte_Eingabe[[#Headers],[2029]]&gt;Startseite!$D$68),(Datengüte_Eingabe[[#Headers],[2029]]=Startseite!$D$68)),0.25,"")</f>
        <v>0.25</v>
      </c>
      <c r="R37">
        <f>IF(OR((Datengüte_Eingabe[[#Headers],[2030]]&gt;Startseite!$D$68),(Datengüte_Eingabe[[#Headers],[2030]]=Startseite!$D$68)),0.25,"")</f>
        <v>0.25</v>
      </c>
      <c r="S37">
        <f>IF(OR((Datengüte_Eingabe[[#Headers],[2035]]&gt;Startseite!$D$68),(Datengüte_Eingabe[[#Headers],[2035]]=Startseite!$D$68)),0.25,"")</f>
        <v>0.25</v>
      </c>
      <c r="T37">
        <f>IF(OR((Datengüte_Eingabe[[#Headers],[2040]]&gt;Startseite!$D$68),(Datengüte_Eingabe[[#Headers],[2040]]=Startseite!$D$68)),0.25,"")</f>
        <v>0.25</v>
      </c>
      <c r="U37">
        <f>IF(OR((Datengüte_Eingabe[[#Headers],[2045]]&gt;Startseite!$D$68),(Datengüte_Eingabe[[#Headers],[2045]]=Startseite!$D$68)),0.25,"")</f>
        <v>0.25</v>
      </c>
      <c r="V37">
        <f>IF(OR((Datengüte_Eingabe[[#Headers],[2050]]&gt;Startseite!$D$68),(Datengüte_Eingabe[[#Headers],[2050]]=Startseite!$D$68)),0.25,"")</f>
        <v>0.25</v>
      </c>
    </row>
    <row r="38" spans="2:22">
      <c r="B38" s="41" t="str">
        <f>'Refsz-Verbräuche'!D41</f>
        <v>Sole-Wasser-Wärmepumpe; Ökostrom</v>
      </c>
      <c r="J38">
        <f>IF(OR((Datengüte_Eingabe[[#Headers],[2022]]&gt;Startseite!$D$68),(Datengüte_Eingabe[[#Headers],[2022]]=Startseite!$D$68)),0.25,"")</f>
        <v>0.25</v>
      </c>
      <c r="K38">
        <f>IF(OR((Datengüte_Eingabe[[#Headers],[2023]]&gt;Startseite!$D$68),(Datengüte_Eingabe[[#Headers],[2023]]=Startseite!$D$68)),0.25,"")</f>
        <v>0.25</v>
      </c>
      <c r="L38">
        <f>IF(OR((Datengüte_Eingabe[[#Headers],[2024]]&gt;Startseite!$D$68),(Datengüte_Eingabe[[#Headers],[2024]]=Startseite!$D$68)),0.25,"")</f>
        <v>0.25</v>
      </c>
      <c r="M38">
        <f>IF(OR((Datengüte_Eingabe[[#Headers],[2025]]&gt;Startseite!$D$68),(Datengüte_Eingabe[[#Headers],[2025]]=Startseite!$D$68)),0.25,"")</f>
        <v>0.25</v>
      </c>
      <c r="N38">
        <f>IF(OR((Datengüte_Eingabe[[#Headers],[2026]]&gt;Startseite!$D$68),(Datengüte_Eingabe[[#Headers],[2026]]=Startseite!$D$68)),0.25,"")</f>
        <v>0.25</v>
      </c>
      <c r="O38">
        <f>IF(OR((Datengüte_Eingabe[[#Headers],[2027]]&gt;Startseite!$D$68),(Datengüte_Eingabe[[#Headers],[2027]]=Startseite!$D$68)),0.25,"")</f>
        <v>0.25</v>
      </c>
      <c r="P38">
        <f>IF(OR((Datengüte_Eingabe[[#Headers],[2028]]&gt;Startseite!$D$68),(Datengüte_Eingabe[[#Headers],[2028]]=Startseite!$D$68)),0.25,"")</f>
        <v>0.25</v>
      </c>
      <c r="Q38">
        <f>IF(OR((Datengüte_Eingabe[[#Headers],[2029]]&gt;Startseite!$D$68),(Datengüte_Eingabe[[#Headers],[2029]]=Startseite!$D$68)),0.25,"")</f>
        <v>0.25</v>
      </c>
      <c r="R38">
        <f>IF(OR((Datengüte_Eingabe[[#Headers],[2030]]&gt;Startseite!$D$68),(Datengüte_Eingabe[[#Headers],[2030]]=Startseite!$D$68)),0.25,"")</f>
        <v>0.25</v>
      </c>
      <c r="S38">
        <f>IF(OR((Datengüte_Eingabe[[#Headers],[2035]]&gt;Startseite!$D$68),(Datengüte_Eingabe[[#Headers],[2035]]=Startseite!$D$68)),0.25,"")</f>
        <v>0.25</v>
      </c>
      <c r="T38">
        <f>IF(OR((Datengüte_Eingabe[[#Headers],[2040]]&gt;Startseite!$D$68),(Datengüte_Eingabe[[#Headers],[2040]]=Startseite!$D$68)),0.25,"")</f>
        <v>0.25</v>
      </c>
      <c r="U38">
        <f>IF(OR((Datengüte_Eingabe[[#Headers],[2045]]&gt;Startseite!$D$68),(Datengüte_Eingabe[[#Headers],[2045]]=Startseite!$D$68)),0.25,"")</f>
        <v>0.25</v>
      </c>
      <c r="V38">
        <f>IF(OR((Datengüte_Eingabe[[#Headers],[2050]]&gt;Startseite!$D$68),(Datengüte_Eingabe[[#Headers],[2050]]=Startseite!$D$68)),0.25,"")</f>
        <v>0.25</v>
      </c>
    </row>
    <row r="39" spans="2:22">
      <c r="B39" s="41" t="str">
        <f>'Refsz-Verbräuche'!D42</f>
        <v>Individuelle Wärmepumpe</v>
      </c>
      <c r="J39">
        <f>IF(OR((Datengüte_Eingabe[[#Headers],[2022]]&gt;Startseite!$D$68),(Datengüte_Eingabe[[#Headers],[2022]]=Startseite!$D$68)),0.25,"")</f>
        <v>0.25</v>
      </c>
      <c r="K39">
        <f>IF(OR((Datengüte_Eingabe[[#Headers],[2023]]&gt;Startseite!$D$68),(Datengüte_Eingabe[[#Headers],[2023]]=Startseite!$D$68)),0.25,"")</f>
        <v>0.25</v>
      </c>
      <c r="L39">
        <f>IF(OR((Datengüte_Eingabe[[#Headers],[2024]]&gt;Startseite!$D$68),(Datengüte_Eingabe[[#Headers],[2024]]=Startseite!$D$68)),0.25,"")</f>
        <v>0.25</v>
      </c>
      <c r="M39">
        <f>IF(OR((Datengüte_Eingabe[[#Headers],[2025]]&gt;Startseite!$D$68),(Datengüte_Eingabe[[#Headers],[2025]]=Startseite!$D$68)),0.25,"")</f>
        <v>0.25</v>
      </c>
      <c r="N39">
        <f>IF(OR((Datengüte_Eingabe[[#Headers],[2026]]&gt;Startseite!$D$68),(Datengüte_Eingabe[[#Headers],[2026]]=Startseite!$D$68)),0.25,"")</f>
        <v>0.25</v>
      </c>
      <c r="O39">
        <f>IF(OR((Datengüte_Eingabe[[#Headers],[2027]]&gt;Startseite!$D$68),(Datengüte_Eingabe[[#Headers],[2027]]=Startseite!$D$68)),0.25,"")</f>
        <v>0.25</v>
      </c>
      <c r="P39">
        <f>IF(OR((Datengüte_Eingabe[[#Headers],[2028]]&gt;Startseite!$D$68),(Datengüte_Eingabe[[#Headers],[2028]]=Startseite!$D$68)),0.25,"")</f>
        <v>0.25</v>
      </c>
      <c r="Q39">
        <f>IF(OR((Datengüte_Eingabe[[#Headers],[2029]]&gt;Startseite!$D$68),(Datengüte_Eingabe[[#Headers],[2029]]=Startseite!$D$68)),0.25,"")</f>
        <v>0.25</v>
      </c>
      <c r="R39">
        <f>IF(OR((Datengüte_Eingabe[[#Headers],[2030]]&gt;Startseite!$D$68),(Datengüte_Eingabe[[#Headers],[2030]]=Startseite!$D$68)),0.25,"")</f>
        <v>0.25</v>
      </c>
      <c r="S39">
        <f>IF(OR((Datengüte_Eingabe[[#Headers],[2035]]&gt;Startseite!$D$68),(Datengüte_Eingabe[[#Headers],[2035]]=Startseite!$D$68)),0.25,"")</f>
        <v>0.25</v>
      </c>
      <c r="T39">
        <f>IF(OR((Datengüte_Eingabe[[#Headers],[2040]]&gt;Startseite!$D$68),(Datengüte_Eingabe[[#Headers],[2040]]=Startseite!$D$68)),0.25,"")</f>
        <v>0.25</v>
      </c>
      <c r="U39">
        <f>IF(OR((Datengüte_Eingabe[[#Headers],[2045]]&gt;Startseite!$D$68),(Datengüte_Eingabe[[#Headers],[2045]]=Startseite!$D$68)),0.25,"")</f>
        <v>0.25</v>
      </c>
      <c r="V39">
        <f>IF(OR((Datengüte_Eingabe[[#Headers],[2050]]&gt;Startseite!$D$68),(Datengüte_Eingabe[[#Headers],[2050]]=Startseite!$D$68)),0.25,"")</f>
        <v>0.25</v>
      </c>
    </row>
    <row r="40" spans="2:22">
      <c r="B40" s="101" t="s">
        <v>246</v>
      </c>
      <c r="C40" s="102" t="str">
        <f>IFERROR(
  (
    IF(ISNUMBER('Refsz-Verbräuche'!F18), 'Refsz-Verbräuche'!F18*Datengüte!C16, 0) +
    IF(ISNUMBER('Refsz-Verbräuche'!F20), 'Refsz-Verbräuche'!F20*Datengüte!C17, 0) +
    IF(ISNUMBER('Refsz-Verbräuche'!F21), 'Refsz-Verbräuche'!F21*Datengüte!C18, 0) +
    IF(ISNUMBER('Refsz-Verbräuche'!F22), 'Refsz-Verbräuche'!F22*Datengüte!C19, 0) +
    IF(ISNUMBER('Refsz-Verbräuche'!F23), 'Refsz-Verbräuche'!F23*Datengüte!C20, 0) +
    IF(ISNUMBER('Refsz-Verbräuche'!F24), 'Refsz-Verbräuche'!F24*Datengüte!C21, 0) +
    IF(ISNUMBER('Refsz-Verbräuche'!F25), 'Refsz-Verbräuche'!F25*Datengüte!C22, 0) +
    IF(ISNUMBER('Refsz-Verbräuche'!F26), 'Refsz-Verbräuche'!F26*Datengüte!C23, 0) +
    IF(ISNUMBER('Refsz-Verbräuche'!F27), 'Refsz-Verbräuche'!F27*Datengüte!C24, 0) +
    IF(ISNUMBER('Refsz-Verbräuche'!F28), 'Refsz-Verbräuche'!F28*Datengüte!C25, 0) +
    IF(ISNUMBER('Refsz-Verbräuche'!F29), 'Refsz-Verbräuche'!F29*Datengüte!C26, 0) +
    IF(ISNUMBER('Refsz-Verbräuche'!F30), 'Refsz-Verbräuche'!F30*Datengüte!C27, 0) +
    IF(ISNUMBER('Refsz-Verbräuche'!F31), 'Refsz-Verbräuche'!F31*Datengüte!C28, 0) +
    IF(ISNUMBER('Refsz-Verbräuche'!F32), 'Refsz-Verbräuche'!F32*Datengüte!C29, 0) +
    IF(ISNUMBER('Refsz-Verbräuche'!F33), 'Refsz-Verbräuche'!F33*Datengüte!C30, 0) +
    IF(ISNUMBER('Refsz-Verbräuche'!F34), 'Refsz-Verbräuche'!F34*Datengüte!C31, 0) +
    IF(ISNUMBER('Refsz-Verbräuche'!F35), 'Refsz-Verbräuche'!F35*Datengüte!C32, 0) +
    IF(ISNUMBER('Refsz-Verbräuche'!F36), 'Refsz-Verbräuche'!F36*Datengüte!C33, 0) +
    IF(ISNUMBER('Refsz-Verbräuche'!F37), 'Refsz-Verbräuche'!F37*Datengüte!C34, 0) +
    IF(ISNUMBER('Refsz-Verbräuche'!F38), 'Refsz-Verbräuche'!F38*Datengüte!C35, 0) +
    IF(ISNUMBER('Refsz-Verbräuche'!F39), 'Refsz-Verbräuche'!F39*Datengüte!C36, 0) +
    IF(ISNUMBER('Refsz-Verbräuche'!F40), 'Refsz-Verbräuche'!F40*Datengüte!C37, 0) +
    IF(ISNUMBER('Refsz-Verbräuche'!F41), 'Refsz-Verbräuche'!F41*Datengüte!C38, 0) +
    IF(ISNUMBER('Refsz-Verbräuche'!F42), 'Refsz-Verbräuche'!F42*Datengüte!C39, 0)
  ) / SUM('Refsz-Verbräuche'!F18:F42),
  "Daten fehlen"
)</f>
        <v>Daten fehlen</v>
      </c>
      <c r="D40" s="102" t="str">
        <f>IFERROR(
  (
    IF(ISNUMBER('Refsz-Verbräuche'!G18), 'Refsz-Verbräuche'!G18*Datengüte!D16, 0) +
    IF(ISNUMBER('Refsz-Verbräuche'!G20), 'Refsz-Verbräuche'!G20*Datengüte!D17, 0) +
    IF(ISNUMBER('Refsz-Verbräuche'!G21), 'Refsz-Verbräuche'!G21*Datengüte!D18, 0) +
    IF(ISNUMBER('Refsz-Verbräuche'!G22), 'Refsz-Verbräuche'!G22*Datengüte!D19, 0) +
    IF(ISNUMBER('Refsz-Verbräuche'!G23), 'Refsz-Verbräuche'!G23*Datengüte!D20, 0) +
    IF(ISNUMBER('Refsz-Verbräuche'!G24), 'Refsz-Verbräuche'!G24*Datengüte!D21, 0) +
    IF(ISNUMBER('Refsz-Verbräuche'!G25), 'Refsz-Verbräuche'!G25*Datengüte!D22, 0) +
    IF(ISNUMBER('Refsz-Verbräuche'!G26), 'Refsz-Verbräuche'!G26*Datengüte!D23, 0) +
    IF(ISNUMBER('Refsz-Verbräuche'!G27), 'Refsz-Verbräuche'!G27*Datengüte!D24, 0) +
    IF(ISNUMBER('Refsz-Verbräuche'!G28), 'Refsz-Verbräuche'!G28*Datengüte!D25, 0) +
    IF(ISNUMBER('Refsz-Verbräuche'!G29), 'Refsz-Verbräuche'!G29*Datengüte!D26, 0) +
    IF(ISNUMBER('Refsz-Verbräuche'!G30), 'Refsz-Verbräuche'!G30*Datengüte!D27, 0) +
    IF(ISNUMBER('Refsz-Verbräuche'!G31), 'Refsz-Verbräuche'!G31*Datengüte!D28, 0) +
    IF(ISNUMBER('Refsz-Verbräuche'!G32), 'Refsz-Verbräuche'!G32*Datengüte!D29, 0) +
    IF(ISNUMBER('Refsz-Verbräuche'!G33), 'Refsz-Verbräuche'!G33*Datengüte!D30, 0) +
    IF(ISNUMBER('Refsz-Verbräuche'!G34), 'Refsz-Verbräuche'!G34*Datengüte!D31, 0) +
    IF(ISNUMBER('Refsz-Verbräuche'!G35), 'Refsz-Verbräuche'!G35*Datengüte!D32, 0) +
    IF(ISNUMBER('Refsz-Verbräuche'!G36), 'Refsz-Verbräuche'!G36*Datengüte!D33, 0) +
    IF(ISNUMBER('Refsz-Verbräuche'!G37), 'Refsz-Verbräuche'!G37*Datengüte!D34, 0) +
    IF(ISNUMBER('Refsz-Verbräuche'!G38), 'Refsz-Verbräuche'!G38*Datengüte!D35, 0) +
    IF(ISNUMBER('Refsz-Verbräuche'!G39), 'Refsz-Verbräuche'!G39*Datengüte!D36, 0) +
    IF(ISNUMBER('Refsz-Verbräuche'!G40), 'Refsz-Verbräuche'!G40*Datengüte!D37, 0) +
    IF(ISNUMBER('Refsz-Verbräuche'!G41), 'Refsz-Verbräuche'!G41*Datengüte!D38, 0) +
    IF(ISNUMBER('Refsz-Verbräuche'!G42), 'Refsz-Verbräuche'!G42*Datengüte!D39, 0)
  ) / SUM('Refsz-Verbräuche'!G18:G42),
  "Daten fehlen"
)</f>
        <v>Daten fehlen</v>
      </c>
      <c r="E40" s="102" t="str">
        <f>IFERROR(
  (
    IF(ISNUMBER('Refsz-Verbräuche'!H18), 'Refsz-Verbräuche'!H18*Datengüte!E16, 0) +
    IF(ISNUMBER('Refsz-Verbräuche'!H20), 'Refsz-Verbräuche'!H20*Datengüte!E17, 0) +
    IF(ISNUMBER('Refsz-Verbräuche'!H21), 'Refsz-Verbräuche'!H21*Datengüte!E18, 0) +
    IF(ISNUMBER('Refsz-Verbräuche'!H22), 'Refsz-Verbräuche'!H22*Datengüte!E19, 0) +
    IF(ISNUMBER('Refsz-Verbräuche'!H23), 'Refsz-Verbräuche'!H23*Datengüte!E20, 0) +
    IF(ISNUMBER('Refsz-Verbräuche'!H24), 'Refsz-Verbräuche'!H24*Datengüte!E21, 0) +
    IF(ISNUMBER('Refsz-Verbräuche'!H25), 'Refsz-Verbräuche'!H25*Datengüte!E22, 0) +
    IF(ISNUMBER('Refsz-Verbräuche'!H26), 'Refsz-Verbräuche'!H26*Datengüte!E23, 0) +
    IF(ISNUMBER('Refsz-Verbräuche'!H27), 'Refsz-Verbräuche'!H27*Datengüte!E24, 0) +
    IF(ISNUMBER('Refsz-Verbräuche'!H28), 'Refsz-Verbräuche'!H28*Datengüte!E25, 0) +
    IF(ISNUMBER('Refsz-Verbräuche'!H29), 'Refsz-Verbräuche'!H29*Datengüte!E26, 0) +
    IF(ISNUMBER('Refsz-Verbräuche'!H30), 'Refsz-Verbräuche'!H30*Datengüte!E27, 0) +
    IF(ISNUMBER('Refsz-Verbräuche'!H31), 'Refsz-Verbräuche'!H31*Datengüte!E28, 0) +
    IF(ISNUMBER('Refsz-Verbräuche'!H32), 'Refsz-Verbräuche'!H32*Datengüte!E29, 0) +
    IF(ISNUMBER('Refsz-Verbräuche'!H33), 'Refsz-Verbräuche'!H33*Datengüte!E30, 0) +
    IF(ISNUMBER('Refsz-Verbräuche'!H34), 'Refsz-Verbräuche'!H34*Datengüte!E31, 0) +
    IF(ISNUMBER('Refsz-Verbräuche'!H35), 'Refsz-Verbräuche'!H35*Datengüte!E32, 0) +
    IF(ISNUMBER('Refsz-Verbräuche'!H36), 'Refsz-Verbräuche'!H36*Datengüte!E33, 0) +
    IF(ISNUMBER('Refsz-Verbräuche'!H37), 'Refsz-Verbräuche'!H37*Datengüte!E34, 0) +
    IF(ISNUMBER('Refsz-Verbräuche'!H38), 'Refsz-Verbräuche'!H38*Datengüte!E35, 0) +
    IF(ISNUMBER('Refsz-Verbräuche'!H39), 'Refsz-Verbräuche'!H39*Datengüte!E36, 0) +
    IF(ISNUMBER('Refsz-Verbräuche'!H40), 'Refsz-Verbräuche'!H40*Datengüte!E37, 0) +
    IF(ISNUMBER('Refsz-Verbräuche'!H41), 'Refsz-Verbräuche'!H41*Datengüte!E38, 0) +
    IF(ISNUMBER('Refsz-Verbräuche'!H42), 'Refsz-Verbräuche'!H42*Datengüte!E39, 0)
  ) / SUM('Refsz-Verbräuche'!H18:H42),
  "Daten fehlen"
)</f>
        <v>Daten fehlen</v>
      </c>
      <c r="F40" s="102" t="str">
        <f>IFERROR(
  (
    IF(ISNUMBER('Refsz-Verbräuche'!I18), 'Refsz-Verbräuche'!I18*Datengüte!F16, 0) +
    IF(ISNUMBER('Refsz-Verbräuche'!I20), 'Refsz-Verbräuche'!I20*Datengüte!F17, 0) +
    IF(ISNUMBER('Refsz-Verbräuche'!I21), 'Refsz-Verbräuche'!I21*Datengüte!F18, 0) +
    IF(ISNUMBER('Refsz-Verbräuche'!I22), 'Refsz-Verbräuche'!I22*Datengüte!F19, 0) +
    IF(ISNUMBER('Refsz-Verbräuche'!I23), 'Refsz-Verbräuche'!I23*Datengüte!F20, 0) +
    IF(ISNUMBER('Refsz-Verbräuche'!I24), 'Refsz-Verbräuche'!I24*Datengüte!F21, 0) +
    IF(ISNUMBER('Refsz-Verbräuche'!I25), 'Refsz-Verbräuche'!I25*Datengüte!F22, 0) +
    IF(ISNUMBER('Refsz-Verbräuche'!I26), 'Refsz-Verbräuche'!I26*Datengüte!F23, 0) +
    IF(ISNUMBER('Refsz-Verbräuche'!I27), 'Refsz-Verbräuche'!I27*Datengüte!F24, 0) +
    IF(ISNUMBER('Refsz-Verbräuche'!I28), 'Refsz-Verbräuche'!I28*Datengüte!F25, 0) +
    IF(ISNUMBER('Refsz-Verbräuche'!I29), 'Refsz-Verbräuche'!I29*Datengüte!F26, 0) +
    IF(ISNUMBER('Refsz-Verbräuche'!I30), 'Refsz-Verbräuche'!I30*Datengüte!F27, 0) +
    IF(ISNUMBER('Refsz-Verbräuche'!I31), 'Refsz-Verbräuche'!I31*Datengüte!F28, 0) +
    IF(ISNUMBER('Refsz-Verbräuche'!I32), 'Refsz-Verbräuche'!I32*Datengüte!F29, 0) +
    IF(ISNUMBER('Refsz-Verbräuche'!I33), 'Refsz-Verbräuche'!I33*Datengüte!F30, 0) +
    IF(ISNUMBER('Refsz-Verbräuche'!I34), 'Refsz-Verbräuche'!I34*Datengüte!F31, 0) +
    IF(ISNUMBER('Refsz-Verbräuche'!I35), 'Refsz-Verbräuche'!I35*Datengüte!F32, 0) +
    IF(ISNUMBER('Refsz-Verbräuche'!I36), 'Refsz-Verbräuche'!I36*Datengüte!F33, 0) +
    IF(ISNUMBER('Refsz-Verbräuche'!I37), 'Refsz-Verbräuche'!I37*Datengüte!F34, 0) +
    IF(ISNUMBER('Refsz-Verbräuche'!I38), 'Refsz-Verbräuche'!I38*Datengüte!F35, 0) +
    IF(ISNUMBER('Refsz-Verbräuche'!I39), 'Refsz-Verbräuche'!I39*Datengüte!F36, 0) +
    IF(ISNUMBER('Refsz-Verbräuche'!I40), 'Refsz-Verbräuche'!I40*Datengüte!F37, 0) +
    IF(ISNUMBER('Refsz-Verbräuche'!I41), 'Refsz-Verbräuche'!I41*Datengüte!F38, 0) +
    IF(ISNUMBER('Refsz-Verbräuche'!I42), 'Refsz-Verbräuche'!I42*Datengüte!F39, 0)
  ) / SUM('Refsz-Verbräuche'!I18:I42),
  "Daten fehlen"
)</f>
        <v>Daten fehlen</v>
      </c>
      <c r="G40" s="102" t="str">
        <f>IFERROR(
  (
    IF(ISNUMBER('Refsz-Verbräuche'!J18), 'Refsz-Verbräuche'!J18*Datengüte!G16, 0) +
    IF(ISNUMBER('Refsz-Verbräuche'!J20), 'Refsz-Verbräuche'!J20*Datengüte!G17, 0) +
    IF(ISNUMBER('Refsz-Verbräuche'!J21), 'Refsz-Verbräuche'!J21*Datengüte!G18, 0) +
    IF(ISNUMBER('Refsz-Verbräuche'!J22), 'Refsz-Verbräuche'!J22*Datengüte!G19, 0) +
    IF(ISNUMBER('Refsz-Verbräuche'!J23), 'Refsz-Verbräuche'!J23*Datengüte!G20, 0) +
    IF(ISNUMBER('Refsz-Verbräuche'!J24), 'Refsz-Verbräuche'!J24*Datengüte!G21, 0) +
    IF(ISNUMBER('Refsz-Verbräuche'!J25), 'Refsz-Verbräuche'!J25*Datengüte!G22, 0) +
    IF(ISNUMBER('Refsz-Verbräuche'!J26), 'Refsz-Verbräuche'!J26*Datengüte!G23, 0) +
    IF(ISNUMBER('Refsz-Verbräuche'!J27), 'Refsz-Verbräuche'!J27*Datengüte!G24, 0) +
    IF(ISNUMBER('Refsz-Verbräuche'!J28), 'Refsz-Verbräuche'!J28*Datengüte!G25, 0) +
    IF(ISNUMBER('Refsz-Verbräuche'!J29), 'Refsz-Verbräuche'!J29*Datengüte!G26, 0) +
    IF(ISNUMBER('Refsz-Verbräuche'!J30), 'Refsz-Verbräuche'!J30*Datengüte!G27, 0) +
    IF(ISNUMBER('Refsz-Verbräuche'!J31), 'Refsz-Verbräuche'!J31*Datengüte!G28, 0) +
    IF(ISNUMBER('Refsz-Verbräuche'!J32), 'Refsz-Verbräuche'!J32*Datengüte!G29, 0) +
    IF(ISNUMBER('Refsz-Verbräuche'!J33), 'Refsz-Verbräuche'!J33*Datengüte!G30, 0) +
    IF(ISNUMBER('Refsz-Verbräuche'!J34), 'Refsz-Verbräuche'!J34*Datengüte!G31, 0) +
    IF(ISNUMBER('Refsz-Verbräuche'!J35), 'Refsz-Verbräuche'!J35*Datengüte!G32, 0) +
    IF(ISNUMBER('Refsz-Verbräuche'!J36), 'Refsz-Verbräuche'!J36*Datengüte!G33, 0) +
    IF(ISNUMBER('Refsz-Verbräuche'!J37), 'Refsz-Verbräuche'!J37*Datengüte!G34, 0) +
    IF(ISNUMBER('Refsz-Verbräuche'!J38), 'Refsz-Verbräuche'!J38*Datengüte!G35, 0) +
    IF(ISNUMBER('Refsz-Verbräuche'!J39), 'Refsz-Verbräuche'!J39*Datengüte!G36, 0) +
    IF(ISNUMBER('Refsz-Verbräuche'!J40), 'Refsz-Verbräuche'!J40*Datengüte!G37, 0) +
    IF(ISNUMBER('Refsz-Verbräuche'!J41), 'Refsz-Verbräuche'!J41*Datengüte!G38, 0) +
    IF(ISNUMBER('Refsz-Verbräuche'!J42), 'Refsz-Verbräuche'!J42*Datengüte!G39, 0)
  ) / SUM('Refsz-Verbräuche'!J18:J42),
  "Daten fehlen"
)</f>
        <v>Daten fehlen</v>
      </c>
      <c r="H40" s="102" t="str">
        <f>IFERROR(
  (
    IF(ISNUMBER('Refsz-Verbräuche'!K18), 'Refsz-Verbräuche'!K18*Datengüte!H16, 0) +
    IF(ISNUMBER('Refsz-Verbräuche'!K20), 'Refsz-Verbräuche'!K20*Datengüte!H17, 0) +
    IF(ISNUMBER('Refsz-Verbräuche'!K21), 'Refsz-Verbräuche'!K21*Datengüte!H18, 0) +
    IF(ISNUMBER('Refsz-Verbräuche'!K22), 'Refsz-Verbräuche'!K22*Datengüte!H19, 0) +
    IF(ISNUMBER('Refsz-Verbräuche'!K23), 'Refsz-Verbräuche'!K23*Datengüte!H20, 0) +
    IF(ISNUMBER('Refsz-Verbräuche'!K24), 'Refsz-Verbräuche'!K24*Datengüte!H21, 0) +
    IF(ISNUMBER('Refsz-Verbräuche'!K25), 'Refsz-Verbräuche'!K25*Datengüte!H22, 0) +
    IF(ISNUMBER('Refsz-Verbräuche'!K26), 'Refsz-Verbräuche'!K26*Datengüte!H23, 0) +
    IF(ISNUMBER('Refsz-Verbräuche'!K27), 'Refsz-Verbräuche'!K27*Datengüte!H24, 0) +
    IF(ISNUMBER('Refsz-Verbräuche'!K28), 'Refsz-Verbräuche'!K28*Datengüte!H25, 0) +
    IF(ISNUMBER('Refsz-Verbräuche'!K29), 'Refsz-Verbräuche'!K29*Datengüte!H26, 0) +
    IF(ISNUMBER('Refsz-Verbräuche'!K30), 'Refsz-Verbräuche'!K30*Datengüte!H27, 0) +
    IF(ISNUMBER('Refsz-Verbräuche'!K31), 'Refsz-Verbräuche'!K31*Datengüte!H28, 0) +
    IF(ISNUMBER('Refsz-Verbräuche'!K32), 'Refsz-Verbräuche'!K32*Datengüte!H29, 0) +
    IF(ISNUMBER('Refsz-Verbräuche'!K33), 'Refsz-Verbräuche'!K33*Datengüte!H30, 0) +
    IF(ISNUMBER('Refsz-Verbräuche'!K34), 'Refsz-Verbräuche'!K34*Datengüte!H31, 0) +
    IF(ISNUMBER('Refsz-Verbräuche'!K35), 'Refsz-Verbräuche'!K35*Datengüte!H32, 0) +
    IF(ISNUMBER('Refsz-Verbräuche'!K36), 'Refsz-Verbräuche'!K36*Datengüte!H33, 0) +
    IF(ISNUMBER('Refsz-Verbräuche'!K37), 'Refsz-Verbräuche'!K37*Datengüte!H34, 0) +
    IF(ISNUMBER('Refsz-Verbräuche'!K38), 'Refsz-Verbräuche'!K38*Datengüte!H35, 0) +
    IF(ISNUMBER('Refsz-Verbräuche'!K39), 'Refsz-Verbräuche'!K39*Datengüte!H36, 0) +
    IF(ISNUMBER('Refsz-Verbräuche'!K40), 'Refsz-Verbräuche'!K40*Datengüte!H37, 0) +
    IF(ISNUMBER('Refsz-Verbräuche'!K41), 'Refsz-Verbräuche'!K41*Datengüte!H38, 0) +
    IF(ISNUMBER('Refsz-Verbräuche'!K42), 'Refsz-Verbräuche'!K42*Datengüte!H39, 0)
  ) / SUM('Refsz-Verbräuche'!K18:K42),
  "Daten fehlen"
)</f>
        <v>Daten fehlen</v>
      </c>
      <c r="I40" s="102" t="str">
        <f>IFERROR(
  (
    IF(ISNUMBER('Refsz-Verbräuche'!L18), 'Refsz-Verbräuche'!L18*Datengüte!I16, 0) +
    IF(ISNUMBER('Refsz-Verbräuche'!L20), 'Refsz-Verbräuche'!L20*Datengüte!I17, 0) +
    IF(ISNUMBER('Refsz-Verbräuche'!L21), 'Refsz-Verbräuche'!L21*Datengüte!I18, 0) +
    IF(ISNUMBER('Refsz-Verbräuche'!L22), 'Refsz-Verbräuche'!L22*Datengüte!I19, 0) +
    IF(ISNUMBER('Refsz-Verbräuche'!L23), 'Refsz-Verbräuche'!L23*Datengüte!I20, 0) +
    IF(ISNUMBER('Refsz-Verbräuche'!L24), 'Refsz-Verbräuche'!L24*Datengüte!I21, 0) +
    IF(ISNUMBER('Refsz-Verbräuche'!L25), 'Refsz-Verbräuche'!L25*Datengüte!I22, 0) +
    IF(ISNUMBER('Refsz-Verbräuche'!L26), 'Refsz-Verbräuche'!L26*Datengüte!I23, 0) +
    IF(ISNUMBER('Refsz-Verbräuche'!L27), 'Refsz-Verbräuche'!L27*Datengüte!I24, 0) +
    IF(ISNUMBER('Refsz-Verbräuche'!L28), 'Refsz-Verbräuche'!L28*Datengüte!I25, 0) +
    IF(ISNUMBER('Refsz-Verbräuche'!L29), 'Refsz-Verbräuche'!L29*Datengüte!I26, 0) +
    IF(ISNUMBER('Refsz-Verbräuche'!L30), 'Refsz-Verbräuche'!L30*Datengüte!I27, 0) +
    IF(ISNUMBER('Refsz-Verbräuche'!L31), 'Refsz-Verbräuche'!L31*Datengüte!I28, 0) +
    IF(ISNUMBER('Refsz-Verbräuche'!L32), 'Refsz-Verbräuche'!L32*Datengüte!I29, 0) +
    IF(ISNUMBER('Refsz-Verbräuche'!L33), 'Refsz-Verbräuche'!L33*Datengüte!I30, 0) +
    IF(ISNUMBER('Refsz-Verbräuche'!L34), 'Refsz-Verbräuche'!L34*Datengüte!I31, 0) +
    IF(ISNUMBER('Refsz-Verbräuche'!L35), 'Refsz-Verbräuche'!L35*Datengüte!I32, 0) +
    IF(ISNUMBER('Refsz-Verbräuche'!L36), 'Refsz-Verbräuche'!L36*Datengüte!I33, 0) +
    IF(ISNUMBER('Refsz-Verbräuche'!L37), 'Refsz-Verbräuche'!L37*Datengüte!I34, 0) +
    IF(ISNUMBER('Refsz-Verbräuche'!L38), 'Refsz-Verbräuche'!L38*Datengüte!I35, 0) +
    IF(ISNUMBER('Refsz-Verbräuche'!L39), 'Refsz-Verbräuche'!L39*Datengüte!I36, 0) +
    IF(ISNUMBER('Refsz-Verbräuche'!L40), 'Refsz-Verbräuche'!L40*Datengüte!I37, 0) +
    IF(ISNUMBER('Refsz-Verbräuche'!L41), 'Refsz-Verbräuche'!L41*Datengüte!I38, 0) +
    IF(ISNUMBER('Refsz-Verbräuche'!L42), 'Refsz-Verbräuche'!L42*Datengüte!I39, 0)
  ) / SUM('Refsz-Verbräuche'!L18:L42),
  "Daten fehlen"
)</f>
        <v>Daten fehlen</v>
      </c>
      <c r="J40" s="102" t="str">
        <f>IFERROR(
  (
    IF(ISNUMBER('Refsz-Verbräuche'!M18), 'Refsz-Verbräuche'!M18*Datengüte!J16, 0) +
    IF(ISNUMBER('Refsz-Verbräuche'!M20), 'Refsz-Verbräuche'!M20*Datengüte!J17, 0) +
    IF(ISNUMBER('Refsz-Verbräuche'!M21), 'Refsz-Verbräuche'!M21*Datengüte!J18, 0) +
    IF(ISNUMBER('Refsz-Verbräuche'!M22), 'Refsz-Verbräuche'!M22*Datengüte!J19, 0) +
    IF(ISNUMBER('Refsz-Verbräuche'!M23), 'Refsz-Verbräuche'!M23*Datengüte!J20, 0) +
    IF(ISNUMBER('Refsz-Verbräuche'!M24), 'Refsz-Verbräuche'!M24*Datengüte!J21, 0) +
    IF(ISNUMBER('Refsz-Verbräuche'!M25), 'Refsz-Verbräuche'!M25*Datengüte!J22, 0) +
    IF(ISNUMBER('Refsz-Verbräuche'!M26), 'Refsz-Verbräuche'!M26*Datengüte!J23, 0) +
    IF(ISNUMBER('Refsz-Verbräuche'!M27), 'Refsz-Verbräuche'!M27*Datengüte!J24, 0) +
    IF(ISNUMBER('Refsz-Verbräuche'!M28), 'Refsz-Verbräuche'!M28*Datengüte!J25, 0) +
    IF(ISNUMBER('Refsz-Verbräuche'!M29), 'Refsz-Verbräuche'!M29*Datengüte!J26, 0) +
    IF(ISNUMBER('Refsz-Verbräuche'!M30), 'Refsz-Verbräuche'!M30*Datengüte!J27, 0) +
    IF(ISNUMBER('Refsz-Verbräuche'!M31), 'Refsz-Verbräuche'!M31*Datengüte!J28, 0) +
    IF(ISNUMBER('Refsz-Verbräuche'!M32), 'Refsz-Verbräuche'!M32*Datengüte!J29, 0) +
    IF(ISNUMBER('Refsz-Verbräuche'!M33), 'Refsz-Verbräuche'!M33*Datengüte!J30, 0) +
    IF(ISNUMBER('Refsz-Verbräuche'!M34), 'Refsz-Verbräuche'!M34*Datengüte!J31, 0) +
    IF(ISNUMBER('Refsz-Verbräuche'!M35), 'Refsz-Verbräuche'!M35*Datengüte!J32, 0) +
    IF(ISNUMBER('Refsz-Verbräuche'!M36), 'Refsz-Verbräuche'!M36*Datengüte!J33, 0) +
    IF(ISNUMBER('Refsz-Verbräuche'!M37), 'Refsz-Verbräuche'!M37*Datengüte!J34, 0) +
    IF(ISNUMBER('Refsz-Verbräuche'!M38), 'Refsz-Verbräuche'!M38*Datengüte!J35, 0) +
    IF(ISNUMBER('Refsz-Verbräuche'!M39), 'Refsz-Verbräuche'!M39*Datengüte!J36, 0) +
    IF(ISNUMBER('Refsz-Verbräuche'!M40), 'Refsz-Verbräuche'!M40*Datengüte!J37, 0) +
    IF(ISNUMBER('Refsz-Verbräuche'!M41), 'Refsz-Verbräuche'!M41*Datengüte!J38, 0) +
    IF(ISNUMBER('Refsz-Verbräuche'!M42), 'Refsz-Verbräuche'!M42*Datengüte!J39, 0)
  ) / SUM('Refsz-Verbräuche'!M18:M42),
  "Daten fehlen"
)</f>
        <v>Daten fehlen</v>
      </c>
      <c r="K40" s="102" t="str">
        <f>IFERROR(
  (
    IF(ISNUMBER('Refsz-Verbräuche'!N18), 'Refsz-Verbräuche'!N18*Datengüte!K16, 0) +
    IF(ISNUMBER('Refsz-Verbräuche'!N20), 'Refsz-Verbräuche'!N20*Datengüte!K17, 0) +
    IF(ISNUMBER('Refsz-Verbräuche'!N21), 'Refsz-Verbräuche'!N21*Datengüte!K18, 0) +
    IF(ISNUMBER('Refsz-Verbräuche'!N22), 'Refsz-Verbräuche'!N22*Datengüte!K19, 0) +
    IF(ISNUMBER('Refsz-Verbräuche'!N23), 'Refsz-Verbräuche'!N23*Datengüte!K20, 0) +
    IF(ISNUMBER('Refsz-Verbräuche'!N24), 'Refsz-Verbräuche'!N24*Datengüte!K21, 0) +
    IF(ISNUMBER('Refsz-Verbräuche'!N25), 'Refsz-Verbräuche'!N25*Datengüte!K22, 0) +
    IF(ISNUMBER('Refsz-Verbräuche'!N26), 'Refsz-Verbräuche'!N26*Datengüte!K23, 0) +
    IF(ISNUMBER('Refsz-Verbräuche'!N27), 'Refsz-Verbräuche'!N27*Datengüte!K24, 0) +
    IF(ISNUMBER('Refsz-Verbräuche'!N28), 'Refsz-Verbräuche'!N28*Datengüte!K25, 0) +
    IF(ISNUMBER('Refsz-Verbräuche'!N29), 'Refsz-Verbräuche'!N29*Datengüte!K26, 0) +
    IF(ISNUMBER('Refsz-Verbräuche'!N30), 'Refsz-Verbräuche'!N30*Datengüte!K27, 0) +
    IF(ISNUMBER('Refsz-Verbräuche'!N31), 'Refsz-Verbräuche'!N31*Datengüte!K28, 0) +
    IF(ISNUMBER('Refsz-Verbräuche'!N32), 'Refsz-Verbräuche'!N32*Datengüte!K29, 0) +
    IF(ISNUMBER('Refsz-Verbräuche'!N33), 'Refsz-Verbräuche'!N33*Datengüte!K30, 0) +
    IF(ISNUMBER('Refsz-Verbräuche'!N34), 'Refsz-Verbräuche'!N34*Datengüte!K31, 0) +
    IF(ISNUMBER('Refsz-Verbräuche'!N35), 'Refsz-Verbräuche'!N35*Datengüte!K32, 0) +
    IF(ISNUMBER('Refsz-Verbräuche'!N36), 'Refsz-Verbräuche'!N36*Datengüte!K33, 0) +
    IF(ISNUMBER('Refsz-Verbräuche'!N37), 'Refsz-Verbräuche'!N37*Datengüte!K34, 0) +
    IF(ISNUMBER('Refsz-Verbräuche'!N38), 'Refsz-Verbräuche'!N38*Datengüte!K35, 0) +
    IF(ISNUMBER('Refsz-Verbräuche'!N39), 'Refsz-Verbräuche'!N39*Datengüte!K36, 0) +
    IF(ISNUMBER('Refsz-Verbräuche'!N40), 'Refsz-Verbräuche'!N40*Datengüte!K37, 0) +
    IF(ISNUMBER('Refsz-Verbräuche'!N41), 'Refsz-Verbräuche'!N41*Datengüte!K38, 0) +
    IF(ISNUMBER('Refsz-Verbräuche'!N42), 'Refsz-Verbräuche'!N42*Datengüte!K39, 0)
  ) / SUM('Refsz-Verbräuche'!N18:N42),
  "Daten fehlen"
)</f>
        <v>Daten fehlen</v>
      </c>
      <c r="L40" s="102" t="str">
        <f>IFERROR(
  (
    IF(ISNUMBER('Refsz-Verbräuche'!O18), 'Refsz-Verbräuche'!O18*Datengüte!L16, 0) +
    IF(ISNUMBER('Refsz-Verbräuche'!O20), 'Refsz-Verbräuche'!O20*Datengüte!L17, 0) +
    IF(ISNUMBER('Refsz-Verbräuche'!O21), 'Refsz-Verbräuche'!O21*Datengüte!L18, 0) +
    IF(ISNUMBER('Refsz-Verbräuche'!O22), 'Refsz-Verbräuche'!O22*Datengüte!L19, 0) +
    IF(ISNUMBER('Refsz-Verbräuche'!O23), 'Refsz-Verbräuche'!O23*Datengüte!L20, 0) +
    IF(ISNUMBER('Refsz-Verbräuche'!O24), 'Refsz-Verbräuche'!O24*Datengüte!L21, 0) +
    IF(ISNUMBER('Refsz-Verbräuche'!O25), 'Refsz-Verbräuche'!O25*Datengüte!L22, 0) +
    IF(ISNUMBER('Refsz-Verbräuche'!O26), 'Refsz-Verbräuche'!O26*Datengüte!L23, 0) +
    IF(ISNUMBER('Refsz-Verbräuche'!O27), 'Refsz-Verbräuche'!O27*Datengüte!L24, 0) +
    IF(ISNUMBER('Refsz-Verbräuche'!O28), 'Refsz-Verbräuche'!O28*Datengüte!L25, 0) +
    IF(ISNUMBER('Refsz-Verbräuche'!O29), 'Refsz-Verbräuche'!O29*Datengüte!L26, 0) +
    IF(ISNUMBER('Refsz-Verbräuche'!O30), 'Refsz-Verbräuche'!O30*Datengüte!L27, 0) +
    IF(ISNUMBER('Refsz-Verbräuche'!O31), 'Refsz-Verbräuche'!O31*Datengüte!L28, 0) +
    IF(ISNUMBER('Refsz-Verbräuche'!O32), 'Refsz-Verbräuche'!O32*Datengüte!L29, 0) +
    IF(ISNUMBER('Refsz-Verbräuche'!O33), 'Refsz-Verbräuche'!O33*Datengüte!L30, 0) +
    IF(ISNUMBER('Refsz-Verbräuche'!O34), 'Refsz-Verbräuche'!O34*Datengüte!L31, 0) +
    IF(ISNUMBER('Refsz-Verbräuche'!O35), 'Refsz-Verbräuche'!O35*Datengüte!L32, 0) +
    IF(ISNUMBER('Refsz-Verbräuche'!O36), 'Refsz-Verbräuche'!O36*Datengüte!L33, 0) +
    IF(ISNUMBER('Refsz-Verbräuche'!O37), 'Refsz-Verbräuche'!O37*Datengüte!L34, 0) +
    IF(ISNUMBER('Refsz-Verbräuche'!O38), 'Refsz-Verbräuche'!O38*Datengüte!L35, 0) +
    IF(ISNUMBER('Refsz-Verbräuche'!O39), 'Refsz-Verbräuche'!O39*Datengüte!L36, 0) +
    IF(ISNUMBER('Refsz-Verbräuche'!O40), 'Refsz-Verbräuche'!O40*Datengüte!L37, 0) +
    IF(ISNUMBER('Refsz-Verbräuche'!O41), 'Refsz-Verbräuche'!O41*Datengüte!L38, 0) +
    IF(ISNUMBER('Refsz-Verbräuche'!O42), 'Refsz-Verbräuche'!O42*Datengüte!L39, 0)
  ) / SUM('Refsz-Verbräuche'!O18:O42),
  "Daten fehlen"
)</f>
        <v>Daten fehlen</v>
      </c>
      <c r="M40" s="102" t="str">
        <f>IFERROR(
  (
    IF(ISNUMBER('Refsz-Verbräuche'!P18), 'Refsz-Verbräuche'!P18*Datengüte!M16, 0) +
    IF(ISNUMBER('Refsz-Verbräuche'!P20), 'Refsz-Verbräuche'!P20*Datengüte!M17, 0) +
    IF(ISNUMBER('Refsz-Verbräuche'!P21), 'Refsz-Verbräuche'!P21*Datengüte!M18, 0) +
    IF(ISNUMBER('Refsz-Verbräuche'!P22), 'Refsz-Verbräuche'!P22*Datengüte!M19, 0) +
    IF(ISNUMBER('Refsz-Verbräuche'!P23), 'Refsz-Verbräuche'!P23*Datengüte!M20, 0) +
    IF(ISNUMBER('Refsz-Verbräuche'!P24), 'Refsz-Verbräuche'!P24*Datengüte!M21, 0) +
    IF(ISNUMBER('Refsz-Verbräuche'!P25), 'Refsz-Verbräuche'!P25*Datengüte!M22, 0) +
    IF(ISNUMBER('Refsz-Verbräuche'!P26), 'Refsz-Verbräuche'!P26*Datengüte!M23, 0) +
    IF(ISNUMBER('Refsz-Verbräuche'!P27), 'Refsz-Verbräuche'!P27*Datengüte!M24, 0) +
    IF(ISNUMBER('Refsz-Verbräuche'!P28), 'Refsz-Verbräuche'!P28*Datengüte!M25, 0) +
    IF(ISNUMBER('Refsz-Verbräuche'!P29), 'Refsz-Verbräuche'!P29*Datengüte!M26, 0) +
    IF(ISNUMBER('Refsz-Verbräuche'!P30), 'Refsz-Verbräuche'!P30*Datengüte!M27, 0) +
    IF(ISNUMBER('Refsz-Verbräuche'!P31), 'Refsz-Verbräuche'!P31*Datengüte!M28, 0) +
    IF(ISNUMBER('Refsz-Verbräuche'!P32), 'Refsz-Verbräuche'!P32*Datengüte!M29, 0) +
    IF(ISNUMBER('Refsz-Verbräuche'!P33), 'Refsz-Verbräuche'!P33*Datengüte!M30, 0) +
    IF(ISNUMBER('Refsz-Verbräuche'!P34), 'Refsz-Verbräuche'!P34*Datengüte!M31, 0) +
    IF(ISNUMBER('Refsz-Verbräuche'!P35), 'Refsz-Verbräuche'!P35*Datengüte!M32, 0) +
    IF(ISNUMBER('Refsz-Verbräuche'!P36), 'Refsz-Verbräuche'!P36*Datengüte!M33, 0) +
    IF(ISNUMBER('Refsz-Verbräuche'!P37), 'Refsz-Verbräuche'!P37*Datengüte!M34, 0) +
    IF(ISNUMBER('Refsz-Verbräuche'!P38), 'Refsz-Verbräuche'!P38*Datengüte!M35, 0) +
    IF(ISNUMBER('Refsz-Verbräuche'!P39), 'Refsz-Verbräuche'!P39*Datengüte!M36, 0) +
    IF(ISNUMBER('Refsz-Verbräuche'!P40), 'Refsz-Verbräuche'!P40*Datengüte!M37, 0) +
    IF(ISNUMBER('Refsz-Verbräuche'!P41), 'Refsz-Verbräuche'!P41*Datengüte!M38, 0) +
    IF(ISNUMBER('Refsz-Verbräuche'!P42), 'Refsz-Verbräuche'!P42*Datengüte!M39, 0)
  ) / SUM('Refsz-Verbräuche'!P18:P42),
  "Daten fehlen"
)</f>
        <v>Daten fehlen</v>
      </c>
      <c r="N40" s="102" t="str">
        <f>IFERROR(
  (
    IF(ISNUMBER('Refsz-Verbräuche'!Q18), 'Refsz-Verbräuche'!Q18*Datengüte!N16, 0) +
    IF(ISNUMBER('Refsz-Verbräuche'!Q20), 'Refsz-Verbräuche'!Q20*Datengüte!N17, 0) +
    IF(ISNUMBER('Refsz-Verbräuche'!Q21), 'Refsz-Verbräuche'!Q21*Datengüte!N18, 0) +
    IF(ISNUMBER('Refsz-Verbräuche'!Q22), 'Refsz-Verbräuche'!Q22*Datengüte!N19, 0) +
    IF(ISNUMBER('Refsz-Verbräuche'!Q23), 'Refsz-Verbräuche'!Q23*Datengüte!N20, 0) +
    IF(ISNUMBER('Refsz-Verbräuche'!Q24), 'Refsz-Verbräuche'!Q24*Datengüte!N21, 0) +
    IF(ISNUMBER('Refsz-Verbräuche'!Q25), 'Refsz-Verbräuche'!Q25*Datengüte!N22, 0) +
    IF(ISNUMBER('Refsz-Verbräuche'!Q26), 'Refsz-Verbräuche'!Q26*Datengüte!N23, 0) +
    IF(ISNUMBER('Refsz-Verbräuche'!Q27), 'Refsz-Verbräuche'!Q27*Datengüte!N24, 0) +
    IF(ISNUMBER('Refsz-Verbräuche'!Q28), 'Refsz-Verbräuche'!Q28*Datengüte!N25, 0) +
    IF(ISNUMBER('Refsz-Verbräuche'!Q29), 'Refsz-Verbräuche'!Q29*Datengüte!N26, 0) +
    IF(ISNUMBER('Refsz-Verbräuche'!Q30), 'Refsz-Verbräuche'!Q30*Datengüte!N27, 0) +
    IF(ISNUMBER('Refsz-Verbräuche'!Q31), 'Refsz-Verbräuche'!Q31*Datengüte!N28, 0) +
    IF(ISNUMBER('Refsz-Verbräuche'!Q32), 'Refsz-Verbräuche'!Q32*Datengüte!N29, 0) +
    IF(ISNUMBER('Refsz-Verbräuche'!Q33), 'Refsz-Verbräuche'!Q33*Datengüte!N30, 0) +
    IF(ISNUMBER('Refsz-Verbräuche'!Q34), 'Refsz-Verbräuche'!Q34*Datengüte!N31, 0) +
    IF(ISNUMBER('Refsz-Verbräuche'!Q35), 'Refsz-Verbräuche'!Q35*Datengüte!N32, 0) +
    IF(ISNUMBER('Refsz-Verbräuche'!Q36), 'Refsz-Verbräuche'!Q36*Datengüte!N33, 0) +
    IF(ISNUMBER('Refsz-Verbräuche'!Q37), 'Refsz-Verbräuche'!Q37*Datengüte!N34, 0) +
    IF(ISNUMBER('Refsz-Verbräuche'!Q38), 'Refsz-Verbräuche'!Q38*Datengüte!N35, 0) +
    IF(ISNUMBER('Refsz-Verbräuche'!Q39), 'Refsz-Verbräuche'!Q39*Datengüte!N36, 0) +
    IF(ISNUMBER('Refsz-Verbräuche'!Q40), 'Refsz-Verbräuche'!Q40*Datengüte!N37, 0) +
    IF(ISNUMBER('Refsz-Verbräuche'!Q41), 'Refsz-Verbräuche'!Q41*Datengüte!N38, 0) +
    IF(ISNUMBER('Refsz-Verbräuche'!Q42), 'Refsz-Verbräuche'!Q42*Datengüte!N39, 0)
  ) / SUM('Refsz-Verbräuche'!Q18:Q42),
  "Daten fehlen"
)</f>
        <v>Daten fehlen</v>
      </c>
      <c r="O40" s="102" t="str">
        <f>IFERROR(
  (
    IF(ISNUMBER('Refsz-Verbräuche'!R18), 'Refsz-Verbräuche'!R18*Datengüte!O16, 0) +
    IF(ISNUMBER('Refsz-Verbräuche'!R20), 'Refsz-Verbräuche'!R20*Datengüte!O17, 0) +
    IF(ISNUMBER('Refsz-Verbräuche'!R21), 'Refsz-Verbräuche'!R21*Datengüte!O18, 0) +
    IF(ISNUMBER('Refsz-Verbräuche'!R22), 'Refsz-Verbräuche'!R22*Datengüte!O19, 0) +
    IF(ISNUMBER('Refsz-Verbräuche'!R23), 'Refsz-Verbräuche'!R23*Datengüte!O20, 0) +
    IF(ISNUMBER('Refsz-Verbräuche'!R24), 'Refsz-Verbräuche'!R24*Datengüte!O21, 0) +
    IF(ISNUMBER('Refsz-Verbräuche'!R25), 'Refsz-Verbräuche'!R25*Datengüte!O22, 0) +
    IF(ISNUMBER('Refsz-Verbräuche'!R26), 'Refsz-Verbräuche'!R26*Datengüte!O23, 0) +
    IF(ISNUMBER('Refsz-Verbräuche'!R27), 'Refsz-Verbräuche'!R27*Datengüte!O24, 0) +
    IF(ISNUMBER('Refsz-Verbräuche'!R28), 'Refsz-Verbräuche'!R28*Datengüte!O25, 0) +
    IF(ISNUMBER('Refsz-Verbräuche'!R29), 'Refsz-Verbräuche'!R29*Datengüte!O26, 0) +
    IF(ISNUMBER('Refsz-Verbräuche'!R30), 'Refsz-Verbräuche'!R30*Datengüte!O27, 0) +
    IF(ISNUMBER('Refsz-Verbräuche'!R31), 'Refsz-Verbräuche'!R31*Datengüte!O28, 0) +
    IF(ISNUMBER('Refsz-Verbräuche'!R32), 'Refsz-Verbräuche'!R32*Datengüte!O29, 0) +
    IF(ISNUMBER('Refsz-Verbräuche'!R33), 'Refsz-Verbräuche'!R33*Datengüte!O30, 0) +
    IF(ISNUMBER('Refsz-Verbräuche'!R34), 'Refsz-Verbräuche'!R34*Datengüte!O31, 0) +
    IF(ISNUMBER('Refsz-Verbräuche'!R35), 'Refsz-Verbräuche'!R35*Datengüte!O32, 0) +
    IF(ISNUMBER('Refsz-Verbräuche'!R36), 'Refsz-Verbräuche'!R36*Datengüte!O33, 0) +
    IF(ISNUMBER('Refsz-Verbräuche'!R37), 'Refsz-Verbräuche'!R37*Datengüte!O34, 0) +
    IF(ISNUMBER('Refsz-Verbräuche'!R38), 'Refsz-Verbräuche'!R38*Datengüte!O35, 0) +
    IF(ISNUMBER('Refsz-Verbräuche'!R39), 'Refsz-Verbräuche'!R39*Datengüte!O36, 0) +
    IF(ISNUMBER('Refsz-Verbräuche'!R40), 'Refsz-Verbräuche'!R40*Datengüte!O37, 0) +
    IF(ISNUMBER('Refsz-Verbräuche'!R41), 'Refsz-Verbräuche'!R41*Datengüte!O38, 0) +
    IF(ISNUMBER('Refsz-Verbräuche'!R42), 'Refsz-Verbräuche'!R42*Datengüte!O39, 0)
  ) / SUM('Refsz-Verbräuche'!R18:R42),
  "Daten fehlen"
)</f>
        <v>Daten fehlen</v>
      </c>
      <c r="P40" s="102" t="str">
        <f>IFERROR(
  (
    IF(ISNUMBER('Refsz-Verbräuche'!S18), 'Refsz-Verbräuche'!S18*Datengüte!P16, 0) +
    IF(ISNUMBER('Refsz-Verbräuche'!S20), 'Refsz-Verbräuche'!S20*Datengüte!P17, 0) +
    IF(ISNUMBER('Refsz-Verbräuche'!S21), 'Refsz-Verbräuche'!S21*Datengüte!P18, 0) +
    IF(ISNUMBER('Refsz-Verbräuche'!S22), 'Refsz-Verbräuche'!S22*Datengüte!P19, 0) +
    IF(ISNUMBER('Refsz-Verbräuche'!S23), 'Refsz-Verbräuche'!S23*Datengüte!P20, 0) +
    IF(ISNUMBER('Refsz-Verbräuche'!S24), 'Refsz-Verbräuche'!S24*Datengüte!P21, 0) +
    IF(ISNUMBER('Refsz-Verbräuche'!S25), 'Refsz-Verbräuche'!S25*Datengüte!P22, 0) +
    IF(ISNUMBER('Refsz-Verbräuche'!S26), 'Refsz-Verbräuche'!S26*Datengüte!P23, 0) +
    IF(ISNUMBER('Refsz-Verbräuche'!S27), 'Refsz-Verbräuche'!S27*Datengüte!P24, 0) +
    IF(ISNUMBER('Refsz-Verbräuche'!S28), 'Refsz-Verbräuche'!S28*Datengüte!P25, 0) +
    IF(ISNUMBER('Refsz-Verbräuche'!S29), 'Refsz-Verbräuche'!S29*Datengüte!P26, 0) +
    IF(ISNUMBER('Refsz-Verbräuche'!S30), 'Refsz-Verbräuche'!S30*Datengüte!P27, 0) +
    IF(ISNUMBER('Refsz-Verbräuche'!S31), 'Refsz-Verbräuche'!S31*Datengüte!P28, 0) +
    IF(ISNUMBER('Refsz-Verbräuche'!S32), 'Refsz-Verbräuche'!S32*Datengüte!P29, 0) +
    IF(ISNUMBER('Refsz-Verbräuche'!S33), 'Refsz-Verbräuche'!S33*Datengüte!P30, 0) +
    IF(ISNUMBER('Refsz-Verbräuche'!S34), 'Refsz-Verbräuche'!S34*Datengüte!P31, 0) +
    IF(ISNUMBER('Refsz-Verbräuche'!S35), 'Refsz-Verbräuche'!S35*Datengüte!P32, 0) +
    IF(ISNUMBER('Refsz-Verbräuche'!S36), 'Refsz-Verbräuche'!S36*Datengüte!P33, 0) +
    IF(ISNUMBER('Refsz-Verbräuche'!S37), 'Refsz-Verbräuche'!S37*Datengüte!P34, 0) +
    IF(ISNUMBER('Refsz-Verbräuche'!S38), 'Refsz-Verbräuche'!S38*Datengüte!P35, 0) +
    IF(ISNUMBER('Refsz-Verbräuche'!S39), 'Refsz-Verbräuche'!S39*Datengüte!P36, 0) +
    IF(ISNUMBER('Refsz-Verbräuche'!S40), 'Refsz-Verbräuche'!S40*Datengüte!P37, 0) +
    IF(ISNUMBER('Refsz-Verbräuche'!S41), 'Refsz-Verbräuche'!S41*Datengüte!P38, 0) +
    IF(ISNUMBER('Refsz-Verbräuche'!S42), 'Refsz-Verbräuche'!S42*Datengüte!P39, 0)
  ) / SUM('Refsz-Verbräuche'!S18:S42),
  "Daten fehlen"
)</f>
        <v>Daten fehlen</v>
      </c>
      <c r="Q40" s="102" t="str">
        <f>IFERROR(
  (
    IF(ISNUMBER('Refsz-Verbräuche'!T18), 'Refsz-Verbräuche'!T18*Datengüte!Q16, 0) +
    IF(ISNUMBER('Refsz-Verbräuche'!T20), 'Refsz-Verbräuche'!T20*Datengüte!Q17, 0) +
    IF(ISNUMBER('Refsz-Verbräuche'!T21), 'Refsz-Verbräuche'!T21*Datengüte!Q18, 0) +
    IF(ISNUMBER('Refsz-Verbräuche'!T22), 'Refsz-Verbräuche'!T22*Datengüte!Q19, 0) +
    IF(ISNUMBER('Refsz-Verbräuche'!T23), 'Refsz-Verbräuche'!T23*Datengüte!Q20, 0) +
    IF(ISNUMBER('Refsz-Verbräuche'!T24), 'Refsz-Verbräuche'!T24*Datengüte!Q21, 0) +
    IF(ISNUMBER('Refsz-Verbräuche'!T25), 'Refsz-Verbräuche'!T25*Datengüte!Q22, 0) +
    IF(ISNUMBER('Refsz-Verbräuche'!T26), 'Refsz-Verbräuche'!T26*Datengüte!Q23, 0) +
    IF(ISNUMBER('Refsz-Verbräuche'!T27), 'Refsz-Verbräuche'!T27*Datengüte!Q24, 0) +
    IF(ISNUMBER('Refsz-Verbräuche'!T28), 'Refsz-Verbräuche'!T28*Datengüte!Q25, 0) +
    IF(ISNUMBER('Refsz-Verbräuche'!T29), 'Refsz-Verbräuche'!T29*Datengüte!Q26, 0) +
    IF(ISNUMBER('Refsz-Verbräuche'!T30), 'Refsz-Verbräuche'!T30*Datengüte!Q27, 0) +
    IF(ISNUMBER('Refsz-Verbräuche'!T31), 'Refsz-Verbräuche'!T31*Datengüte!Q28, 0) +
    IF(ISNUMBER('Refsz-Verbräuche'!T32), 'Refsz-Verbräuche'!T32*Datengüte!Q29, 0) +
    IF(ISNUMBER('Refsz-Verbräuche'!T33), 'Refsz-Verbräuche'!T33*Datengüte!Q30, 0) +
    IF(ISNUMBER('Refsz-Verbräuche'!T34), 'Refsz-Verbräuche'!T34*Datengüte!Q31, 0) +
    IF(ISNUMBER('Refsz-Verbräuche'!T35), 'Refsz-Verbräuche'!T35*Datengüte!Q32, 0) +
    IF(ISNUMBER('Refsz-Verbräuche'!T36), 'Refsz-Verbräuche'!T36*Datengüte!Q33, 0) +
    IF(ISNUMBER('Refsz-Verbräuche'!T37), 'Refsz-Verbräuche'!T37*Datengüte!Q34, 0) +
    IF(ISNUMBER('Refsz-Verbräuche'!T38), 'Refsz-Verbräuche'!T38*Datengüte!Q35, 0) +
    IF(ISNUMBER('Refsz-Verbräuche'!T39), 'Refsz-Verbräuche'!T39*Datengüte!Q36, 0) +
    IF(ISNUMBER('Refsz-Verbräuche'!T40), 'Refsz-Verbräuche'!T40*Datengüte!Q37, 0) +
    IF(ISNUMBER('Refsz-Verbräuche'!T41), 'Refsz-Verbräuche'!T41*Datengüte!Q38, 0) +
    IF(ISNUMBER('Refsz-Verbräuche'!T42), 'Refsz-Verbräuche'!T42*Datengüte!Q39, 0)
  ) / SUM('Refsz-Verbräuche'!T18:T42),
  "Daten fehlen"
)</f>
        <v>Daten fehlen</v>
      </c>
      <c r="R40" s="102" t="str">
        <f>IFERROR(
  (
    IF(ISNUMBER('Refsz-Verbräuche'!U18), 'Refsz-Verbräuche'!U18*Datengüte!R16, 0) +
    IF(ISNUMBER('Refsz-Verbräuche'!U20), 'Refsz-Verbräuche'!U20*Datengüte!R17, 0) +
    IF(ISNUMBER('Refsz-Verbräuche'!U21), 'Refsz-Verbräuche'!U21*Datengüte!R18, 0) +
    IF(ISNUMBER('Refsz-Verbräuche'!U22), 'Refsz-Verbräuche'!U22*Datengüte!R19, 0) +
    IF(ISNUMBER('Refsz-Verbräuche'!U23), 'Refsz-Verbräuche'!U23*Datengüte!R20, 0) +
    IF(ISNUMBER('Refsz-Verbräuche'!U24), 'Refsz-Verbräuche'!U24*Datengüte!R21, 0) +
    IF(ISNUMBER('Refsz-Verbräuche'!U25), 'Refsz-Verbräuche'!U25*Datengüte!R22, 0) +
    IF(ISNUMBER('Refsz-Verbräuche'!U26), 'Refsz-Verbräuche'!U26*Datengüte!R23, 0) +
    IF(ISNUMBER('Refsz-Verbräuche'!U27), 'Refsz-Verbräuche'!U27*Datengüte!R24, 0) +
    IF(ISNUMBER('Refsz-Verbräuche'!U28), 'Refsz-Verbräuche'!U28*Datengüte!R25, 0) +
    IF(ISNUMBER('Refsz-Verbräuche'!U29), 'Refsz-Verbräuche'!U29*Datengüte!R26, 0) +
    IF(ISNUMBER('Refsz-Verbräuche'!U30), 'Refsz-Verbräuche'!U30*Datengüte!R27, 0) +
    IF(ISNUMBER('Refsz-Verbräuche'!U31), 'Refsz-Verbräuche'!U31*Datengüte!R28, 0) +
    IF(ISNUMBER('Refsz-Verbräuche'!U32), 'Refsz-Verbräuche'!U32*Datengüte!R29, 0) +
    IF(ISNUMBER('Refsz-Verbräuche'!U33), 'Refsz-Verbräuche'!U33*Datengüte!R30, 0) +
    IF(ISNUMBER('Refsz-Verbräuche'!U34), 'Refsz-Verbräuche'!U34*Datengüte!R31, 0) +
    IF(ISNUMBER('Refsz-Verbräuche'!U35), 'Refsz-Verbräuche'!U35*Datengüte!R32, 0) +
    IF(ISNUMBER('Refsz-Verbräuche'!U36), 'Refsz-Verbräuche'!U36*Datengüte!R33, 0) +
    IF(ISNUMBER('Refsz-Verbräuche'!U37), 'Refsz-Verbräuche'!U37*Datengüte!R34, 0) +
    IF(ISNUMBER('Refsz-Verbräuche'!U38), 'Refsz-Verbräuche'!U38*Datengüte!R35, 0) +
    IF(ISNUMBER('Refsz-Verbräuche'!U39), 'Refsz-Verbräuche'!U39*Datengüte!R36, 0) +
    IF(ISNUMBER('Refsz-Verbräuche'!U40), 'Refsz-Verbräuche'!U40*Datengüte!R37, 0) +
    IF(ISNUMBER('Refsz-Verbräuche'!U41), 'Refsz-Verbräuche'!U41*Datengüte!R38, 0) +
    IF(ISNUMBER('Refsz-Verbräuche'!U42), 'Refsz-Verbräuche'!U42*Datengüte!R39, 0)
  ) / SUM('Refsz-Verbräuche'!U18:U42),
  "Daten fehlen"
)</f>
        <v>Daten fehlen</v>
      </c>
      <c r="S40" s="102" t="str">
        <f>IFERROR(
  (
    IF(ISNUMBER('Refsz-Verbräuche'!V18), 'Refsz-Verbräuche'!V18*Datengüte!S16, 0) +
    IF(ISNUMBER('Refsz-Verbräuche'!V20), 'Refsz-Verbräuche'!V20*Datengüte!S17, 0) +
    IF(ISNUMBER('Refsz-Verbräuche'!V21), 'Refsz-Verbräuche'!V21*Datengüte!S18, 0) +
    IF(ISNUMBER('Refsz-Verbräuche'!V22), 'Refsz-Verbräuche'!V22*Datengüte!S19, 0) +
    IF(ISNUMBER('Refsz-Verbräuche'!V23), 'Refsz-Verbräuche'!V23*Datengüte!S20, 0) +
    IF(ISNUMBER('Refsz-Verbräuche'!V24), 'Refsz-Verbräuche'!V24*Datengüte!S21, 0) +
    IF(ISNUMBER('Refsz-Verbräuche'!V25), 'Refsz-Verbräuche'!V25*Datengüte!S22, 0) +
    IF(ISNUMBER('Refsz-Verbräuche'!V26), 'Refsz-Verbräuche'!V26*Datengüte!S23, 0) +
    IF(ISNUMBER('Refsz-Verbräuche'!V27), 'Refsz-Verbräuche'!V27*Datengüte!S24, 0) +
    IF(ISNUMBER('Refsz-Verbräuche'!V28), 'Refsz-Verbräuche'!V28*Datengüte!S25, 0) +
    IF(ISNUMBER('Refsz-Verbräuche'!V29), 'Refsz-Verbräuche'!V29*Datengüte!S26, 0) +
    IF(ISNUMBER('Refsz-Verbräuche'!V30), 'Refsz-Verbräuche'!V30*Datengüte!S27, 0) +
    IF(ISNUMBER('Refsz-Verbräuche'!V31), 'Refsz-Verbräuche'!V31*Datengüte!S28, 0) +
    IF(ISNUMBER('Refsz-Verbräuche'!V32), 'Refsz-Verbräuche'!V32*Datengüte!S29, 0) +
    IF(ISNUMBER('Refsz-Verbräuche'!V33), 'Refsz-Verbräuche'!V33*Datengüte!S30, 0) +
    IF(ISNUMBER('Refsz-Verbräuche'!V34), 'Refsz-Verbräuche'!V34*Datengüte!S31, 0) +
    IF(ISNUMBER('Refsz-Verbräuche'!V35), 'Refsz-Verbräuche'!V35*Datengüte!S32, 0) +
    IF(ISNUMBER('Refsz-Verbräuche'!V36), 'Refsz-Verbräuche'!V36*Datengüte!S33, 0) +
    IF(ISNUMBER('Refsz-Verbräuche'!V37), 'Refsz-Verbräuche'!V37*Datengüte!S34, 0) +
    IF(ISNUMBER('Refsz-Verbräuche'!V38), 'Refsz-Verbräuche'!V38*Datengüte!S35, 0) +
    IF(ISNUMBER('Refsz-Verbräuche'!V39), 'Refsz-Verbräuche'!V39*Datengüte!S36, 0) +
    IF(ISNUMBER('Refsz-Verbräuche'!V40), 'Refsz-Verbräuche'!V40*Datengüte!S37, 0) +
    IF(ISNUMBER('Refsz-Verbräuche'!V41), 'Refsz-Verbräuche'!V41*Datengüte!S38, 0) +
    IF(ISNUMBER('Refsz-Verbräuche'!V42), 'Refsz-Verbräuche'!V42*Datengüte!S39, 0)
  ) / SUM('Refsz-Verbräuche'!V18:V42),
  "Daten fehlen"
)</f>
        <v>Daten fehlen</v>
      </c>
      <c r="T40" s="102" t="str">
        <f>IFERROR(
  (
    IF(ISNUMBER('Refsz-Verbräuche'!W18), 'Refsz-Verbräuche'!W18*Datengüte!T16, 0) +
    IF(ISNUMBER('Refsz-Verbräuche'!W20), 'Refsz-Verbräuche'!W20*Datengüte!T17, 0) +
    IF(ISNUMBER('Refsz-Verbräuche'!W21), 'Refsz-Verbräuche'!W21*Datengüte!T18, 0) +
    IF(ISNUMBER('Refsz-Verbräuche'!W22), 'Refsz-Verbräuche'!W22*Datengüte!T19, 0) +
    IF(ISNUMBER('Refsz-Verbräuche'!W23), 'Refsz-Verbräuche'!W23*Datengüte!T20, 0) +
    IF(ISNUMBER('Refsz-Verbräuche'!W24), 'Refsz-Verbräuche'!W24*Datengüte!T21, 0) +
    IF(ISNUMBER('Refsz-Verbräuche'!W25), 'Refsz-Verbräuche'!W25*Datengüte!T22, 0) +
    IF(ISNUMBER('Refsz-Verbräuche'!W26), 'Refsz-Verbräuche'!W26*Datengüte!T23, 0) +
    IF(ISNUMBER('Refsz-Verbräuche'!W27), 'Refsz-Verbräuche'!W27*Datengüte!T24, 0) +
    IF(ISNUMBER('Refsz-Verbräuche'!W28), 'Refsz-Verbräuche'!W28*Datengüte!T25, 0) +
    IF(ISNUMBER('Refsz-Verbräuche'!W29), 'Refsz-Verbräuche'!W29*Datengüte!T26, 0) +
    IF(ISNUMBER('Refsz-Verbräuche'!W30), 'Refsz-Verbräuche'!W30*Datengüte!T27, 0) +
    IF(ISNUMBER('Refsz-Verbräuche'!W31), 'Refsz-Verbräuche'!W31*Datengüte!T28, 0) +
    IF(ISNUMBER('Refsz-Verbräuche'!W32), 'Refsz-Verbräuche'!W32*Datengüte!T29, 0) +
    IF(ISNUMBER('Refsz-Verbräuche'!W33), 'Refsz-Verbräuche'!W33*Datengüte!T30, 0) +
    IF(ISNUMBER('Refsz-Verbräuche'!W34), 'Refsz-Verbräuche'!W34*Datengüte!T31, 0) +
    IF(ISNUMBER('Refsz-Verbräuche'!W35), 'Refsz-Verbräuche'!W35*Datengüte!T32, 0) +
    IF(ISNUMBER('Refsz-Verbräuche'!W36), 'Refsz-Verbräuche'!W36*Datengüte!T33, 0) +
    IF(ISNUMBER('Refsz-Verbräuche'!W37), 'Refsz-Verbräuche'!W37*Datengüte!T34, 0) +
    IF(ISNUMBER('Refsz-Verbräuche'!W38), 'Refsz-Verbräuche'!W38*Datengüte!T35, 0) +
    IF(ISNUMBER('Refsz-Verbräuche'!W39), 'Refsz-Verbräuche'!W39*Datengüte!T36, 0) +
    IF(ISNUMBER('Refsz-Verbräuche'!W40), 'Refsz-Verbräuche'!W40*Datengüte!T37, 0) +
    IF(ISNUMBER('Refsz-Verbräuche'!W41), 'Refsz-Verbräuche'!W41*Datengüte!T38, 0) +
    IF(ISNUMBER('Refsz-Verbräuche'!W42), 'Refsz-Verbräuche'!W42*Datengüte!T39, 0)
  ) / SUM('Refsz-Verbräuche'!W18:W42),
  "Daten fehlen"
)</f>
        <v>Daten fehlen</v>
      </c>
      <c r="U40" s="102" t="str">
        <f>IFERROR(
  (
    IF(ISNUMBER('Refsz-Verbräuche'!X18), 'Refsz-Verbräuche'!X18*Datengüte!U16, 0) +
    IF(ISNUMBER('Refsz-Verbräuche'!X20), 'Refsz-Verbräuche'!X20*Datengüte!U17, 0) +
    IF(ISNUMBER('Refsz-Verbräuche'!X21), 'Refsz-Verbräuche'!X21*Datengüte!U18, 0) +
    IF(ISNUMBER('Refsz-Verbräuche'!X22), 'Refsz-Verbräuche'!X22*Datengüte!U19, 0) +
    IF(ISNUMBER('Refsz-Verbräuche'!X23), 'Refsz-Verbräuche'!X23*Datengüte!U20, 0) +
    IF(ISNUMBER('Refsz-Verbräuche'!X24), 'Refsz-Verbräuche'!X24*Datengüte!U21, 0) +
    IF(ISNUMBER('Refsz-Verbräuche'!X25), 'Refsz-Verbräuche'!X25*Datengüte!U22, 0) +
    IF(ISNUMBER('Refsz-Verbräuche'!X26), 'Refsz-Verbräuche'!X26*Datengüte!U23, 0) +
    IF(ISNUMBER('Refsz-Verbräuche'!X27), 'Refsz-Verbräuche'!X27*Datengüte!U24, 0) +
    IF(ISNUMBER('Refsz-Verbräuche'!X28), 'Refsz-Verbräuche'!X28*Datengüte!U25, 0) +
    IF(ISNUMBER('Refsz-Verbräuche'!X29), 'Refsz-Verbräuche'!X29*Datengüte!U26, 0) +
    IF(ISNUMBER('Refsz-Verbräuche'!X30), 'Refsz-Verbräuche'!X30*Datengüte!U27, 0) +
    IF(ISNUMBER('Refsz-Verbräuche'!X31), 'Refsz-Verbräuche'!X31*Datengüte!U28, 0) +
    IF(ISNUMBER('Refsz-Verbräuche'!X32), 'Refsz-Verbräuche'!X32*Datengüte!U29, 0) +
    IF(ISNUMBER('Refsz-Verbräuche'!X33), 'Refsz-Verbräuche'!X33*Datengüte!U30, 0) +
    IF(ISNUMBER('Refsz-Verbräuche'!X34), 'Refsz-Verbräuche'!X34*Datengüte!U31, 0) +
    IF(ISNUMBER('Refsz-Verbräuche'!X35), 'Refsz-Verbräuche'!X35*Datengüte!U32, 0) +
    IF(ISNUMBER('Refsz-Verbräuche'!X36), 'Refsz-Verbräuche'!X36*Datengüte!U33, 0) +
    IF(ISNUMBER('Refsz-Verbräuche'!X37), 'Refsz-Verbräuche'!X37*Datengüte!U34, 0) +
    IF(ISNUMBER('Refsz-Verbräuche'!X38), 'Refsz-Verbräuche'!X38*Datengüte!U35, 0) +
    IF(ISNUMBER('Refsz-Verbräuche'!X39), 'Refsz-Verbräuche'!X39*Datengüte!U36, 0) +
    IF(ISNUMBER('Refsz-Verbräuche'!X40), 'Refsz-Verbräuche'!X40*Datengüte!U37, 0) +
    IF(ISNUMBER('Refsz-Verbräuche'!X41), 'Refsz-Verbräuche'!X41*Datengüte!U38, 0) +
    IF(ISNUMBER('Refsz-Verbräuche'!X42), 'Refsz-Verbräuche'!X42*Datengüte!U39, 0)
  ) / SUM('Refsz-Verbräuche'!X18:X42),
  "Daten fehlen"
)</f>
        <v>Daten fehlen</v>
      </c>
      <c r="V40" s="102" t="str">
        <f>IFERROR(
  (
    IF(ISNUMBER('Refsz-Verbräuche'!Y18), 'Refsz-Verbräuche'!Y18*Datengüte!V16, 0) +
    IF(ISNUMBER('Refsz-Verbräuche'!Y20), 'Refsz-Verbräuche'!Y20*Datengüte!V17, 0) +
    IF(ISNUMBER('Refsz-Verbräuche'!Y21), 'Refsz-Verbräuche'!Y21*Datengüte!V18, 0) +
    IF(ISNUMBER('Refsz-Verbräuche'!Y22), 'Refsz-Verbräuche'!Y22*Datengüte!V19, 0) +
    IF(ISNUMBER('Refsz-Verbräuche'!Y23), 'Refsz-Verbräuche'!Y23*Datengüte!V20, 0) +
    IF(ISNUMBER('Refsz-Verbräuche'!Y24), 'Refsz-Verbräuche'!Y24*Datengüte!V21, 0) +
    IF(ISNUMBER('Refsz-Verbräuche'!Y25), 'Refsz-Verbräuche'!Y25*Datengüte!V22, 0) +
    IF(ISNUMBER('Refsz-Verbräuche'!Y26), 'Refsz-Verbräuche'!Y26*Datengüte!V23, 0) +
    IF(ISNUMBER('Refsz-Verbräuche'!Y27), 'Refsz-Verbräuche'!Y27*Datengüte!V24, 0) +
    IF(ISNUMBER('Refsz-Verbräuche'!Y28), 'Refsz-Verbräuche'!Y28*Datengüte!V25, 0) +
    IF(ISNUMBER('Refsz-Verbräuche'!Y29), 'Refsz-Verbräuche'!Y29*Datengüte!V26, 0) +
    IF(ISNUMBER('Refsz-Verbräuche'!Y30), 'Refsz-Verbräuche'!Y30*Datengüte!V27, 0) +
    IF(ISNUMBER('Refsz-Verbräuche'!Y31), 'Refsz-Verbräuche'!Y31*Datengüte!V28, 0) +
    IF(ISNUMBER('Refsz-Verbräuche'!Y32), 'Refsz-Verbräuche'!Y32*Datengüte!V29, 0) +
    IF(ISNUMBER('Refsz-Verbräuche'!Y33), 'Refsz-Verbräuche'!Y33*Datengüte!V30, 0) +
    IF(ISNUMBER('Refsz-Verbräuche'!Y34), 'Refsz-Verbräuche'!Y34*Datengüte!V31, 0) +
    IF(ISNUMBER('Refsz-Verbräuche'!Y35), 'Refsz-Verbräuche'!Y35*Datengüte!V32, 0) +
    IF(ISNUMBER('Refsz-Verbräuche'!Y36), 'Refsz-Verbräuche'!Y36*Datengüte!V33, 0) +
    IF(ISNUMBER('Refsz-Verbräuche'!Y37), 'Refsz-Verbräuche'!Y37*Datengüte!V34, 0) +
    IF(ISNUMBER('Refsz-Verbräuche'!Y38), 'Refsz-Verbräuche'!Y38*Datengüte!V35, 0) +
    IF(ISNUMBER('Refsz-Verbräuche'!Y39), 'Refsz-Verbräuche'!Y39*Datengüte!V36, 0) +
    IF(ISNUMBER('Refsz-Verbräuche'!Y40), 'Refsz-Verbräuche'!Y40*Datengüte!V37, 0) +
    IF(ISNUMBER('Refsz-Verbräuche'!Y41), 'Refsz-Verbräuche'!Y41*Datengüte!V38, 0) +
    IF(ISNUMBER('Refsz-Verbräuche'!Y42), 'Refsz-Verbräuche'!Y42*Datengüte!V39, 0)
  ) / SUM('Refsz-Verbräuche'!Y18:Y42),
  "Daten fehlen"
)</f>
        <v>Daten fehlen</v>
      </c>
    </row>
    <row r="41" spans="2:22">
      <c r="B41" s="48" t="s">
        <v>245</v>
      </c>
      <c r="C41" s="102" t="str">
        <f t="shared" ref="C41" si="0">IF(AND(C40 &lt;= 0.5), "D",
     IF(AND(C40 &gt; 0.5, C40 &lt;= 0.65), "C",
          IF(AND(C40 &gt; 0.65, C40 &lt;= 0.8), "B",
               IF(AND(C40 &gt; 0.8, C40 &lt;= 1), "A", "Daten fehlen")
          )
     )
)</f>
        <v>Daten fehlen</v>
      </c>
      <c r="D41" s="102" t="str">
        <f t="shared" ref="D41" si="1">IF(AND(D40 &lt;= 0.5), "D",
     IF(AND(D40 &gt; 0.5, D40 &lt;= 0.65), "C",
          IF(AND(D40 &gt; 0.65, D40 &lt;= 0.8), "B",
               IF(AND(D40 &gt; 0.8, D40 &lt;= 1), "A", "Daten fehlen")
          )
     )
)</f>
        <v>Daten fehlen</v>
      </c>
      <c r="E41" s="102" t="str">
        <f t="shared" ref="E41" si="2">IF(AND(E40 &lt;= 0.5), "D",
     IF(AND(E40 &gt; 0.5, E40 &lt;= 0.65), "C",
          IF(AND(E40 &gt; 0.65, E40 &lt;= 0.8), "B",
               IF(AND(E40 &gt; 0.8, E40 &lt;= 1), "A", "Daten fehlen")
          )
     )
)</f>
        <v>Daten fehlen</v>
      </c>
      <c r="F41" s="102" t="str">
        <f t="shared" ref="F41" si="3">IF(AND(F40 &lt;= 0.5), "D",
     IF(AND(F40 &gt; 0.5, F40 &lt;= 0.65), "C",
          IF(AND(F40 &gt; 0.65, F40 &lt;= 0.8), "B",
               IF(AND(F40 &gt; 0.8, F40 &lt;= 1), "A", "Daten fehlen")
          )
     )
)</f>
        <v>Daten fehlen</v>
      </c>
      <c r="G41" s="102" t="str">
        <f t="shared" ref="G41" si="4">IF(AND(G40 &lt;= 0.5), "D",
     IF(AND(G40 &gt; 0.5, G40 &lt;= 0.65), "C",
          IF(AND(G40 &gt; 0.65, G40 &lt;= 0.8), "B",
               IF(AND(G40 &gt; 0.8, G40 &lt;= 1), "A", "Daten fehlen")
          )
     )
)</f>
        <v>Daten fehlen</v>
      </c>
      <c r="H41" s="102" t="str">
        <f t="shared" ref="H41" si="5">IF(AND(H40 &lt;= 0.5), "D",
     IF(AND(H40 &gt; 0.5, H40 &lt;= 0.65), "C",
          IF(AND(H40 &gt; 0.65, H40 &lt;= 0.8), "B",
               IF(AND(H40 &gt; 0.8, H40 &lt;= 1), "A", "Daten fehlen")
          )
     )
)</f>
        <v>Daten fehlen</v>
      </c>
      <c r="I41" s="102" t="str">
        <f t="shared" ref="I41" si="6">IF(AND(I40 &lt;= 0.5), "D",
     IF(AND(I40 &gt; 0.5, I40 &lt;= 0.65), "C",
          IF(AND(I40 &gt; 0.65, I40 &lt;= 0.8), "B",
               IF(AND(I40 &gt; 0.8, I40 &lt;= 1), "A", "Daten fehlen")
          )
     )
)</f>
        <v>Daten fehlen</v>
      </c>
      <c r="J41" s="102" t="str">
        <f t="shared" ref="J41" si="7">IF(AND(J40 &lt;= 0.5), "D",
     IF(AND(J40 &gt; 0.5, J40 &lt;= 0.65), "C",
          IF(AND(J40 &gt; 0.65, J40 &lt;= 0.8), "B",
               IF(AND(J40 &gt; 0.8, J40 &lt;= 1), "A", "Daten fehlen")
          )
     )
)</f>
        <v>Daten fehlen</v>
      </c>
      <c r="K41" s="102" t="str">
        <f t="shared" ref="K41" si="8">IF(AND(K40 &lt;= 0.5), "D",
     IF(AND(K40 &gt; 0.5, K40 &lt;= 0.65), "C",
          IF(AND(K40 &gt; 0.65, K40 &lt;= 0.8), "B",
               IF(AND(K40 &gt; 0.8, K40 &lt;= 1), "A", "Daten fehlen")
          )
     )
)</f>
        <v>Daten fehlen</v>
      </c>
      <c r="L41" s="102" t="str">
        <f t="shared" ref="L41:V41" si="9">IF(AND(L40 &lt;= 0.5), "D",
     IF(AND(L40 &gt; 0.5, L40 &lt;= 0.65), "C",
          IF(AND(L40 &gt; 0.65, L40 &lt;= 0.8), "B",
               IF(AND(L40 &gt; 0.8, L40 &lt;= 1), "A", "Daten fehlen")
          )
     )
)</f>
        <v>Daten fehlen</v>
      </c>
      <c r="M41" s="102" t="str">
        <f t="shared" si="9"/>
        <v>Daten fehlen</v>
      </c>
      <c r="N41" s="102" t="str">
        <f t="shared" si="9"/>
        <v>Daten fehlen</v>
      </c>
      <c r="O41" s="102" t="str">
        <f t="shared" si="9"/>
        <v>Daten fehlen</v>
      </c>
      <c r="P41" s="102" t="str">
        <f t="shared" si="9"/>
        <v>Daten fehlen</v>
      </c>
      <c r="Q41" s="102" t="str">
        <f t="shared" si="9"/>
        <v>Daten fehlen</v>
      </c>
      <c r="R41" s="102" t="str">
        <f t="shared" si="9"/>
        <v>Daten fehlen</v>
      </c>
      <c r="S41" s="102" t="str">
        <f t="shared" si="9"/>
        <v>Daten fehlen</v>
      </c>
      <c r="T41" s="102" t="str">
        <f t="shared" si="9"/>
        <v>Daten fehlen</v>
      </c>
      <c r="U41" s="102" t="str">
        <f t="shared" si="9"/>
        <v>Daten fehlen</v>
      </c>
      <c r="V41" s="102" t="str">
        <f t="shared" si="9"/>
        <v>Daten fehlen</v>
      </c>
    </row>
    <row r="43" spans="2:22">
      <c r="B43" t="s">
        <v>499</v>
      </c>
    </row>
    <row r="44" spans="2:22">
      <c r="B44" t="s">
        <v>175</v>
      </c>
      <c r="C44" s="29" t="s">
        <v>174</v>
      </c>
    </row>
    <row r="45" spans="2:22">
      <c r="B45" s="1" t="s">
        <v>170</v>
      </c>
      <c r="C45" s="198" t="s">
        <v>166</v>
      </c>
    </row>
    <row r="46" spans="2:22">
      <c r="B46" s="1" t="s">
        <v>171</v>
      </c>
      <c r="C46" s="198" t="s">
        <v>167</v>
      </c>
    </row>
    <row r="47" spans="2:22">
      <c r="B47" s="1" t="s">
        <v>172</v>
      </c>
      <c r="C47" s="198" t="s">
        <v>168</v>
      </c>
    </row>
    <row r="48" spans="2:22">
      <c r="B48" s="1" t="s">
        <v>173</v>
      </c>
      <c r="C48" s="198" t="s">
        <v>169</v>
      </c>
    </row>
    <row r="49" spans="3:3">
      <c r="C49" s="198"/>
    </row>
  </sheetData>
  <conditionalFormatting sqref="A40:XFD41">
    <cfRule type="cellIs" dxfId="1187" priority="109" operator="equal">
      <formula>"Daten fehlen"</formula>
    </cfRule>
  </conditionalFormatting>
  <hyperlinks>
    <hyperlink ref="M1" r:id="rId1" tooltip="Kontakt zur Autorin" display="Kontakt zur Autorin" xr:uid="{C362B4F5-C752-47B1-8A55-D5B6DF996B67}"/>
    <hyperlink ref="E1" location="'Klisz-Verbräuche'!B1" display="       Weiter" xr:uid="{1D0A3044-DBC7-4BB8-ACCB-3BA9A53356F8}"/>
    <hyperlink ref="B1" location="Startseite!B44" tooltip="Zurück zur Einleitung" display="      Zur Navigation" xr:uid="{820C81D2-70E4-4C22-A497-91A86308EA8A}"/>
    <hyperlink ref="G8" location="Startseite!H51" display="      Zum Handbuch" xr:uid="{8D9620E3-885D-4F28-A756-30991896A5EE}"/>
  </hyperlinks>
  <pageMargins left="0.7" right="0.7" top="0.78740157499999996" bottom="0.78740157499999996" header="0.3" footer="0.3"/>
  <pageSetup paperSize="9" orientation="portrait" r:id="rId2"/>
  <drawing r:id="rId3"/>
  <tableParts count="3">
    <tablePart r:id="rId4"/>
    <tablePart r:id="rId5"/>
    <tablePart r:id="rId6"/>
  </tableParts>
  <extLst>
    <ext xmlns:x14="http://schemas.microsoft.com/office/spreadsheetml/2009/9/main" uri="{78C0D931-6437-407d-A8EE-F0AAD7539E65}">
      <x14:conditionalFormattings>
        <x14:conditionalFormatting xmlns:xm="http://schemas.microsoft.com/office/excel/2006/main">
          <x14:cfRule type="expression" priority="3" id="{1971A545-1E8D-4689-A630-8C4B82CA9C10}">
            <xm:f>(ISNUMBER('Refsz-Verbräuche'!F18))&gt;$A$1</xm:f>
            <x14:dxf>
              <fill>
                <patternFill>
                  <bgColor rgb="FF92D050"/>
                </patternFill>
              </fill>
            </x14:dxf>
          </x14:cfRule>
          <xm:sqref>C16:V16</xm:sqref>
        </x14:conditionalFormatting>
        <x14:conditionalFormatting xmlns:xm="http://schemas.microsoft.com/office/excel/2006/main">
          <x14:cfRule type="expression" priority="4" id="{BB05AAE9-3040-487D-B791-98C6AA8D0CC9}">
            <xm:f>(ISNUMBER('Refsz-Verbräuche'!F20))&gt;$A$1</xm:f>
            <x14:dxf>
              <fill>
                <patternFill>
                  <bgColor rgb="FF92D050"/>
                </patternFill>
              </fill>
            </x14:dxf>
          </x14:cfRule>
          <xm:sqref>C17:V39</xm:sqref>
        </x14:conditionalFormatting>
        <x14:conditionalFormatting xmlns:xm="http://schemas.microsoft.com/office/excel/2006/main">
          <x14:cfRule type="expression" priority="2" id="{6D90F27B-210A-4FA4-BF4F-2C976BA578FB}">
            <xm:f>J$15&gt;=Startseite!$D$68</xm:f>
            <x14:dxf>
              <fill>
                <patternFill>
                  <bgColor rgb="FFFFC000"/>
                </patternFill>
              </fill>
            </x14:dxf>
          </x14:cfRule>
          <xm:sqref>J16:V39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FBD1-24BD-4F66-813B-0D05D38DCDC2}">
  <sheetPr>
    <tabColor theme="4"/>
  </sheetPr>
  <dimension ref="A1:X316"/>
  <sheetViews>
    <sheetView showGridLines="0" zoomScaleNormal="100" zoomScaleSheetLayoutView="50" workbookViewId="0">
      <pane ySplit="1" topLeftCell="A2" activePane="bottomLeft" state="frozen"/>
      <selection pane="bottomLeft"/>
    </sheetView>
  </sheetViews>
  <sheetFormatPr baseColWidth="10" defaultRowHeight="14.5"/>
  <cols>
    <col min="1" max="1" width="2.54296875" customWidth="1"/>
    <col min="2" max="2" width="58.1796875" customWidth="1"/>
    <col min="3" max="3" width="11" customWidth="1"/>
    <col min="5" max="5" width="10.81640625" customWidth="1"/>
  </cols>
  <sheetData>
    <row r="1" spans="2:10">
      <c r="B1" s="4" t="s">
        <v>556</v>
      </c>
      <c r="E1" s="25"/>
      <c r="F1" s="5"/>
      <c r="G1" s="5"/>
      <c r="H1" s="5"/>
      <c r="I1" s="5"/>
      <c r="J1" s="3" t="s">
        <v>489</v>
      </c>
    </row>
    <row r="3" spans="2:10" ht="18.5">
      <c r="B3" s="24" t="s">
        <v>239</v>
      </c>
    </row>
    <row r="4" spans="2:10">
      <c r="B4" s="25" t="s">
        <v>582</v>
      </c>
    </row>
    <row r="5" spans="2:10">
      <c r="B5" s="25" t="s">
        <v>583</v>
      </c>
      <c r="F5" s="194"/>
    </row>
    <row r="6" spans="2:10">
      <c r="B6" s="25" t="s">
        <v>614</v>
      </c>
      <c r="C6" s="13"/>
      <c r="F6" s="193"/>
    </row>
    <row r="7" spans="2:10">
      <c r="B7" s="25" t="s">
        <v>615</v>
      </c>
      <c r="C7" s="13"/>
      <c r="F7" s="193"/>
    </row>
    <row r="8" spans="2:10">
      <c r="B8" s="25" t="s">
        <v>618</v>
      </c>
      <c r="F8" s="193"/>
    </row>
    <row r="9" spans="2:10">
      <c r="B9" s="25" t="s">
        <v>616</v>
      </c>
    </row>
    <row r="10" spans="2:10">
      <c r="B10" s="25" t="s">
        <v>617</v>
      </c>
    </row>
    <row r="11" spans="2:10">
      <c r="B11" s="174"/>
    </row>
    <row r="12" spans="2:10" ht="15.5">
      <c r="B12" s="215" t="s">
        <v>569</v>
      </c>
      <c r="C12" s="204"/>
      <c r="D12" s="204"/>
      <c r="E12" s="204"/>
      <c r="F12" s="204"/>
      <c r="G12" s="204"/>
    </row>
    <row r="13" spans="2:10">
      <c r="B13" s="216"/>
      <c r="C13" s="204"/>
      <c r="D13" s="204"/>
      <c r="E13" s="204"/>
      <c r="F13" s="204"/>
      <c r="G13" s="204"/>
    </row>
    <row r="14" spans="2:10" ht="15" thickBot="1">
      <c r="B14" s="204" t="s">
        <v>598</v>
      </c>
      <c r="C14" s="204"/>
      <c r="D14" s="204"/>
      <c r="E14" s="204"/>
      <c r="F14" s="204"/>
      <c r="G14" s="204"/>
    </row>
    <row r="15" spans="2:10" ht="15.5" thickTop="1" thickBot="1">
      <c r="B15" s="219" t="s">
        <v>552</v>
      </c>
      <c r="C15" s="277" t="s">
        <v>456</v>
      </c>
      <c r="D15" s="285"/>
      <c r="E15" s="285"/>
      <c r="F15" s="217"/>
      <c r="G15" s="204"/>
    </row>
    <row r="16" spans="2:10" ht="15.5" thickTop="1" thickBot="1">
      <c r="B16" s="219" t="s">
        <v>552</v>
      </c>
      <c r="C16" s="275" t="s">
        <v>455</v>
      </c>
      <c r="D16" s="276"/>
      <c r="E16" s="286"/>
      <c r="F16" s="217"/>
      <c r="G16" s="204"/>
    </row>
    <row r="17" spans="2:15" ht="15" thickTop="1">
      <c r="B17" s="204"/>
      <c r="C17" s="218"/>
      <c r="D17" s="218"/>
      <c r="E17" s="204"/>
      <c r="F17" s="204"/>
      <c r="G17" s="204"/>
    </row>
    <row r="19" spans="2:15" ht="15.5">
      <c r="B19" s="220" t="s">
        <v>574</v>
      </c>
      <c r="C19" s="134"/>
      <c r="D19" s="134"/>
      <c r="E19" s="134"/>
      <c r="F19" s="134"/>
      <c r="G19" s="134"/>
      <c r="H19" s="134"/>
      <c r="I19" s="134"/>
      <c r="J19" s="134"/>
      <c r="K19" s="134"/>
      <c r="L19" s="134"/>
      <c r="M19" s="134"/>
      <c r="N19" s="134"/>
      <c r="O19" s="134"/>
    </row>
    <row r="20" spans="2:15">
      <c r="B20" s="134"/>
      <c r="C20" s="134"/>
      <c r="D20" s="134"/>
      <c r="E20" s="134"/>
      <c r="F20" s="134"/>
      <c r="G20" s="134"/>
      <c r="H20" s="134"/>
      <c r="I20" s="134"/>
      <c r="J20" s="134"/>
      <c r="K20" s="134"/>
      <c r="L20" s="134"/>
      <c r="M20" s="134"/>
      <c r="N20" s="134"/>
      <c r="O20" s="134"/>
    </row>
    <row r="21" spans="2:15" ht="15.5">
      <c r="B21" s="220"/>
      <c r="C21" s="134"/>
      <c r="D21" s="134"/>
      <c r="E21" s="134"/>
      <c r="F21" s="134"/>
      <c r="G21" s="134"/>
      <c r="H21" s="134"/>
      <c r="I21" s="134"/>
      <c r="J21" s="134"/>
      <c r="K21" s="134"/>
      <c r="L21" s="134"/>
      <c r="M21" s="134"/>
      <c r="N21" s="134"/>
      <c r="O21" s="134"/>
    </row>
    <row r="22" spans="2:15">
      <c r="B22" s="134"/>
      <c r="C22" s="134"/>
      <c r="D22" s="134"/>
      <c r="E22" s="134"/>
      <c r="F22" s="134"/>
      <c r="G22" s="134"/>
      <c r="H22" s="134"/>
      <c r="I22" s="134"/>
      <c r="J22" s="134"/>
      <c r="K22" s="134"/>
      <c r="L22" s="134"/>
      <c r="M22" s="134"/>
      <c r="N22" s="134"/>
      <c r="O22" s="134"/>
    </row>
    <row r="23" spans="2:15">
      <c r="B23" s="221"/>
      <c r="C23" s="134"/>
      <c r="D23" s="134"/>
      <c r="E23" s="134"/>
      <c r="F23" s="134"/>
      <c r="G23" s="134"/>
      <c r="H23" s="134"/>
      <c r="I23" s="134"/>
      <c r="J23" s="134"/>
      <c r="K23" s="134"/>
      <c r="L23" s="134"/>
      <c r="M23" s="134"/>
      <c r="N23" s="134"/>
      <c r="O23" s="134"/>
    </row>
    <row r="24" spans="2:15" ht="17.149999999999999" customHeight="1">
      <c r="B24" s="134"/>
      <c r="C24" s="134"/>
      <c r="D24" s="134"/>
      <c r="E24" s="134"/>
      <c r="F24" s="222" t="s">
        <v>631</v>
      </c>
      <c r="G24" s="134"/>
      <c r="H24" s="134"/>
      <c r="I24" s="134"/>
      <c r="J24" s="134"/>
      <c r="K24" s="134"/>
      <c r="L24" s="134"/>
      <c r="M24" s="134"/>
      <c r="N24" s="134"/>
      <c r="O24" s="134"/>
    </row>
    <row r="25" spans="2:15">
      <c r="B25" s="134"/>
      <c r="C25" s="134"/>
      <c r="D25" s="134"/>
      <c r="E25" s="134"/>
      <c r="F25" s="134"/>
      <c r="G25" s="134"/>
      <c r="H25" s="134"/>
      <c r="I25" s="134"/>
      <c r="J25" s="134"/>
      <c r="K25" s="134"/>
      <c r="L25" s="134"/>
      <c r="M25" s="134"/>
      <c r="N25" s="134"/>
      <c r="O25" s="134"/>
    </row>
    <row r="26" spans="2:15">
      <c r="B26" s="134"/>
      <c r="C26" s="134"/>
      <c r="D26" s="134"/>
      <c r="E26" s="134"/>
      <c r="F26" s="134"/>
      <c r="G26" s="134"/>
      <c r="H26" s="134"/>
      <c r="I26" s="134"/>
      <c r="J26" s="134"/>
      <c r="K26" s="134"/>
      <c r="L26" s="134"/>
      <c r="M26" s="134"/>
      <c r="N26" s="134"/>
      <c r="O26" s="134"/>
    </row>
    <row r="27" spans="2:15">
      <c r="B27" s="134"/>
      <c r="C27" s="134"/>
      <c r="D27" s="134"/>
      <c r="E27" s="134"/>
      <c r="F27" s="134"/>
      <c r="G27" s="134"/>
      <c r="H27" s="134"/>
      <c r="I27" s="134"/>
      <c r="J27" s="134"/>
      <c r="K27" s="134"/>
      <c r="L27" s="134"/>
      <c r="M27" s="134"/>
      <c r="N27" s="134"/>
      <c r="O27" s="134"/>
    </row>
    <row r="28" spans="2:15">
      <c r="B28" s="134"/>
      <c r="C28" s="134"/>
      <c r="D28" s="134"/>
      <c r="E28" s="134"/>
      <c r="F28" s="134"/>
      <c r="G28" s="134"/>
      <c r="H28" s="134"/>
      <c r="I28" s="134"/>
      <c r="J28" s="134"/>
      <c r="K28" s="134"/>
      <c r="L28" s="134"/>
      <c r="M28" s="134"/>
      <c r="N28" s="134"/>
      <c r="O28" s="134"/>
    </row>
    <row r="29" spans="2:15">
      <c r="B29" s="134"/>
      <c r="C29" s="134"/>
      <c r="D29" s="134"/>
      <c r="E29" s="134"/>
      <c r="F29" s="134"/>
      <c r="G29" s="134"/>
      <c r="H29" s="134"/>
      <c r="I29" s="134"/>
      <c r="J29" s="134"/>
      <c r="K29" s="134"/>
      <c r="L29" s="134"/>
      <c r="M29" s="134"/>
      <c r="N29" s="134"/>
      <c r="O29" s="134"/>
    </row>
    <row r="30" spans="2:15">
      <c r="B30" s="134"/>
      <c r="C30" s="134"/>
      <c r="D30" s="134"/>
      <c r="E30" s="134"/>
      <c r="F30" s="134"/>
      <c r="G30" s="134"/>
      <c r="H30" s="134"/>
      <c r="I30" s="134"/>
      <c r="J30" s="134"/>
      <c r="K30" s="134"/>
      <c r="L30" s="134"/>
      <c r="M30" s="134"/>
      <c r="N30" s="134"/>
      <c r="O30" s="134"/>
    </row>
    <row r="31" spans="2:15">
      <c r="B31" s="134"/>
      <c r="C31" s="134"/>
      <c r="D31" s="134"/>
      <c r="E31" s="134"/>
      <c r="F31" s="134"/>
      <c r="G31" s="134"/>
      <c r="H31" s="134"/>
      <c r="I31" s="134"/>
      <c r="J31" s="134"/>
      <c r="K31" s="134"/>
      <c r="L31" s="134"/>
      <c r="M31" s="134"/>
      <c r="N31" s="134"/>
      <c r="O31" s="134"/>
    </row>
    <row r="32" spans="2:15">
      <c r="B32" s="134"/>
      <c r="C32" s="134"/>
      <c r="D32" s="134"/>
      <c r="E32" s="134"/>
      <c r="F32" s="134"/>
      <c r="G32" s="134"/>
      <c r="H32" s="134"/>
      <c r="I32" s="134"/>
      <c r="J32" s="134"/>
      <c r="K32" s="134"/>
      <c r="L32" s="134"/>
      <c r="M32" s="134"/>
      <c r="N32" s="134"/>
      <c r="O32" s="134"/>
    </row>
    <row r="33" spans="2:15">
      <c r="B33" s="134"/>
      <c r="C33" s="134"/>
      <c r="D33" s="134"/>
      <c r="E33" s="134"/>
      <c r="F33" s="134"/>
      <c r="G33" s="134"/>
      <c r="H33" s="134"/>
      <c r="I33" s="134"/>
      <c r="J33" s="134"/>
      <c r="K33" s="134"/>
      <c r="L33" s="134"/>
      <c r="M33" s="134"/>
      <c r="N33" s="134"/>
      <c r="O33" s="134"/>
    </row>
    <row r="34" spans="2:15">
      <c r="B34" s="134"/>
      <c r="C34" s="134"/>
      <c r="D34" s="134"/>
      <c r="E34" s="134"/>
      <c r="F34" s="134"/>
      <c r="G34" s="134"/>
      <c r="H34" s="134"/>
      <c r="I34" s="134"/>
      <c r="J34" s="134"/>
      <c r="K34" s="134"/>
      <c r="L34" s="134"/>
      <c r="M34" s="134"/>
      <c r="N34" s="134"/>
      <c r="O34" s="134"/>
    </row>
    <row r="35" spans="2:15">
      <c r="B35" s="134"/>
      <c r="C35" s="134"/>
      <c r="D35" s="134"/>
      <c r="E35" s="134"/>
      <c r="F35" s="134"/>
      <c r="G35" s="134"/>
      <c r="H35" s="134"/>
      <c r="I35" s="134"/>
      <c r="J35" s="134"/>
      <c r="K35" s="134"/>
      <c r="L35" s="134"/>
      <c r="M35" s="134"/>
      <c r="N35" s="134"/>
      <c r="O35" s="134"/>
    </row>
    <row r="36" spans="2:15">
      <c r="B36" s="134"/>
      <c r="C36" s="134"/>
      <c r="D36" s="134"/>
      <c r="E36" s="134"/>
      <c r="F36" s="134"/>
      <c r="G36" s="134"/>
      <c r="H36" s="134"/>
      <c r="I36" s="134"/>
      <c r="J36" s="134"/>
      <c r="K36" s="134"/>
      <c r="L36" s="134"/>
      <c r="M36" s="134"/>
      <c r="N36" s="134"/>
      <c r="O36" s="134"/>
    </row>
    <row r="37" spans="2:15">
      <c r="B37" s="134"/>
      <c r="C37" s="134"/>
      <c r="D37" s="134"/>
      <c r="E37" s="134"/>
      <c r="F37" s="134"/>
      <c r="G37" s="134"/>
      <c r="H37" s="134"/>
      <c r="I37" s="134"/>
      <c r="J37" s="134"/>
      <c r="K37" s="134"/>
      <c r="L37" s="134"/>
      <c r="M37" s="134"/>
      <c r="N37" s="134"/>
      <c r="O37" s="134"/>
    </row>
    <row r="38" spans="2:15">
      <c r="B38" s="134"/>
      <c r="C38" s="134"/>
      <c r="D38" s="134"/>
      <c r="E38" s="134"/>
      <c r="F38" s="134"/>
      <c r="G38" s="134"/>
      <c r="H38" s="134"/>
      <c r="I38" s="134"/>
      <c r="J38" s="134"/>
      <c r="K38" s="134"/>
      <c r="L38" s="134"/>
      <c r="M38" s="134"/>
      <c r="N38" s="134"/>
      <c r="O38" s="134"/>
    </row>
    <row r="39" spans="2:15">
      <c r="B39" s="134"/>
      <c r="C39" s="134"/>
      <c r="D39" s="134"/>
      <c r="E39" s="134"/>
      <c r="F39" s="134"/>
      <c r="G39" s="134"/>
      <c r="H39" s="134"/>
      <c r="I39" s="134"/>
      <c r="J39" s="134"/>
      <c r="K39" s="134"/>
      <c r="L39" s="134"/>
      <c r="M39" s="134"/>
      <c r="N39" s="134"/>
      <c r="O39" s="134"/>
    </row>
    <row r="40" spans="2:15">
      <c r="B40" s="134"/>
      <c r="C40" s="134"/>
      <c r="D40" s="134"/>
      <c r="E40" s="134"/>
      <c r="F40" s="134"/>
      <c r="G40" s="134"/>
      <c r="H40" s="134"/>
      <c r="I40" s="134"/>
      <c r="J40" s="134"/>
      <c r="K40" s="134"/>
      <c r="L40" s="134"/>
      <c r="M40" s="134"/>
      <c r="N40" s="134"/>
      <c r="O40" s="134"/>
    </row>
    <row r="41" spans="2:15">
      <c r="B41" s="134"/>
      <c r="C41" s="134"/>
      <c r="D41" s="134"/>
      <c r="E41" s="134"/>
      <c r="F41" s="134"/>
      <c r="G41" s="134"/>
      <c r="H41" s="134"/>
      <c r="I41" s="134"/>
      <c r="J41" s="134"/>
      <c r="K41" s="134"/>
      <c r="L41" s="134"/>
      <c r="M41" s="134"/>
      <c r="N41" s="134"/>
      <c r="O41" s="134"/>
    </row>
    <row r="42" spans="2:15">
      <c r="B42" s="134"/>
      <c r="C42" s="134"/>
      <c r="D42" s="134"/>
      <c r="E42" s="134"/>
      <c r="F42" s="134"/>
      <c r="G42" s="134"/>
      <c r="H42" s="134"/>
      <c r="I42" s="134"/>
      <c r="J42" s="134"/>
      <c r="K42" s="134"/>
      <c r="L42" s="134"/>
      <c r="M42" s="134"/>
      <c r="N42" s="134"/>
      <c r="O42" s="134"/>
    </row>
    <row r="43" spans="2:15">
      <c r="B43" s="134"/>
      <c r="C43" s="134"/>
      <c r="D43" s="134"/>
      <c r="E43" s="134"/>
      <c r="F43" s="134"/>
      <c r="G43" s="134"/>
      <c r="H43" s="134"/>
      <c r="I43" s="134"/>
      <c r="J43" s="134"/>
      <c r="K43" s="134"/>
      <c r="L43" s="134"/>
      <c r="M43" s="134"/>
      <c r="N43" s="134"/>
      <c r="O43" s="134"/>
    </row>
    <row r="44" spans="2:15">
      <c r="B44" s="134"/>
      <c r="C44" s="134"/>
      <c r="D44" s="134"/>
      <c r="E44" s="134"/>
      <c r="F44" s="134"/>
      <c r="G44" s="134"/>
      <c r="H44" s="134"/>
      <c r="I44" s="134"/>
      <c r="J44" s="134"/>
      <c r="K44" s="134"/>
      <c r="L44" s="134"/>
      <c r="M44" s="134"/>
      <c r="N44" s="134"/>
      <c r="O44" s="134"/>
    </row>
    <row r="45" spans="2:15">
      <c r="B45" s="134"/>
      <c r="C45" s="134"/>
      <c r="D45" s="134"/>
      <c r="E45" s="134"/>
      <c r="F45" s="134"/>
      <c r="G45" s="134"/>
      <c r="H45" s="134"/>
      <c r="I45" s="134"/>
      <c r="J45" s="134"/>
      <c r="K45" s="134"/>
      <c r="L45" s="134"/>
      <c r="M45" s="134"/>
      <c r="N45" s="134"/>
      <c r="O45" s="134"/>
    </row>
    <row r="46" spans="2:15">
      <c r="B46" s="134"/>
      <c r="C46" s="134"/>
      <c r="D46" s="134"/>
      <c r="E46" s="134"/>
      <c r="F46" s="134"/>
      <c r="G46" s="134"/>
      <c r="H46" s="134"/>
      <c r="I46" s="134"/>
      <c r="J46" s="134"/>
      <c r="K46" s="134"/>
      <c r="L46" s="134"/>
      <c r="M46" s="134"/>
      <c r="N46" s="134"/>
      <c r="O46" s="134"/>
    </row>
    <row r="47" spans="2:15">
      <c r="B47" s="134"/>
      <c r="C47" s="134"/>
      <c r="D47" s="134"/>
      <c r="E47" s="134"/>
      <c r="F47" s="134"/>
      <c r="G47" s="134"/>
      <c r="H47" s="134"/>
      <c r="I47" s="134"/>
      <c r="J47" s="134"/>
      <c r="K47" s="134"/>
      <c r="L47" s="134"/>
      <c r="M47" s="134"/>
      <c r="N47" s="134"/>
      <c r="O47" s="134"/>
    </row>
    <row r="48" spans="2:15">
      <c r="B48" s="134"/>
      <c r="C48" s="134"/>
      <c r="D48" s="134"/>
      <c r="E48" s="134"/>
      <c r="F48" s="134"/>
      <c r="G48" s="134"/>
      <c r="H48" s="134"/>
      <c r="I48" s="134"/>
      <c r="J48" s="134"/>
      <c r="K48" s="134"/>
      <c r="L48" s="134"/>
      <c r="M48" s="134"/>
      <c r="N48" s="134"/>
      <c r="O48" s="134"/>
    </row>
    <row r="49" spans="2:15">
      <c r="B49" s="134"/>
      <c r="C49" s="134"/>
      <c r="D49" s="134"/>
      <c r="E49" s="134"/>
      <c r="F49" s="134"/>
      <c r="G49" s="134"/>
      <c r="H49" s="134"/>
      <c r="I49" s="134"/>
      <c r="J49" s="134"/>
      <c r="K49" s="134"/>
      <c r="L49" s="134"/>
      <c r="M49" s="134"/>
      <c r="N49" s="134"/>
      <c r="O49" s="134"/>
    </row>
    <row r="50" spans="2:15">
      <c r="B50" s="134"/>
      <c r="C50" s="134"/>
      <c r="D50" s="134"/>
      <c r="E50" s="134"/>
      <c r="F50" s="134"/>
      <c r="G50" s="134"/>
      <c r="H50" s="134"/>
      <c r="I50" s="134"/>
      <c r="J50" s="134"/>
      <c r="K50" s="134"/>
      <c r="L50" s="134"/>
      <c r="M50" s="134"/>
      <c r="N50" s="134"/>
      <c r="O50" s="134"/>
    </row>
    <row r="51" spans="2:15">
      <c r="B51" s="134"/>
      <c r="C51" s="134"/>
      <c r="D51" s="134"/>
      <c r="E51" s="134"/>
      <c r="F51" s="134"/>
      <c r="G51" s="134"/>
      <c r="H51" s="134"/>
      <c r="I51" s="134"/>
      <c r="J51" s="134"/>
      <c r="K51" s="134"/>
      <c r="L51" s="134"/>
      <c r="M51" s="134"/>
      <c r="N51" s="134"/>
      <c r="O51" s="134"/>
    </row>
    <row r="52" spans="2:15">
      <c r="B52" s="134"/>
      <c r="C52" s="134"/>
      <c r="D52" s="134"/>
      <c r="E52" s="134"/>
      <c r="F52" s="134"/>
      <c r="G52" s="134"/>
      <c r="H52" s="134"/>
      <c r="I52" s="134"/>
      <c r="J52" s="134"/>
      <c r="K52" s="134"/>
      <c r="L52" s="134"/>
      <c r="M52" s="134"/>
      <c r="N52" s="134"/>
      <c r="O52" s="134"/>
    </row>
    <row r="53" spans="2:15">
      <c r="B53" s="134"/>
      <c r="C53" s="134"/>
      <c r="D53" s="134"/>
      <c r="E53" s="134"/>
      <c r="F53" s="134"/>
      <c r="G53" s="134"/>
      <c r="H53" s="134"/>
      <c r="I53" s="134"/>
      <c r="J53" s="134"/>
      <c r="K53" s="134"/>
      <c r="L53" s="134"/>
      <c r="M53" s="134"/>
      <c r="N53" s="134"/>
      <c r="O53" s="134"/>
    </row>
    <row r="54" spans="2:15">
      <c r="B54" s="134"/>
      <c r="C54" s="134"/>
      <c r="D54" s="134"/>
      <c r="E54" s="134"/>
      <c r="F54" s="134"/>
      <c r="G54" s="134"/>
      <c r="H54" s="134"/>
      <c r="I54" s="134"/>
      <c r="J54" s="134"/>
      <c r="K54" s="134"/>
      <c r="L54" s="134"/>
      <c r="M54" s="134"/>
      <c r="N54" s="134"/>
      <c r="O54" s="134"/>
    </row>
    <row r="55" spans="2:15">
      <c r="B55" s="134"/>
      <c r="C55" s="134"/>
      <c r="D55" s="134"/>
      <c r="E55" s="134"/>
      <c r="F55" s="134"/>
      <c r="G55" s="134"/>
      <c r="H55" s="134"/>
      <c r="I55" s="134"/>
      <c r="J55" s="134"/>
      <c r="K55" s="134"/>
      <c r="L55" s="134"/>
      <c r="M55" s="134"/>
      <c r="N55" s="134"/>
      <c r="O55" s="134"/>
    </row>
    <row r="56" spans="2:15">
      <c r="B56" s="134"/>
      <c r="C56" s="134"/>
      <c r="D56" s="134"/>
      <c r="E56" s="134"/>
      <c r="F56" s="134"/>
      <c r="G56" s="134"/>
      <c r="H56" s="134"/>
      <c r="I56" s="134"/>
      <c r="J56" s="134"/>
      <c r="K56" s="134"/>
      <c r="L56" s="134"/>
      <c r="M56" s="134"/>
      <c r="N56" s="134"/>
      <c r="O56" s="134"/>
    </row>
    <row r="57" spans="2:15">
      <c r="B57" s="134"/>
      <c r="C57" s="134"/>
      <c r="D57" s="134"/>
      <c r="E57" s="134"/>
      <c r="F57" s="134"/>
      <c r="G57" s="134"/>
      <c r="H57" s="134"/>
      <c r="I57" s="134"/>
      <c r="J57" s="134"/>
      <c r="K57" s="134"/>
      <c r="L57" s="134"/>
      <c r="M57" s="134"/>
      <c r="N57" s="134"/>
      <c r="O57" s="134"/>
    </row>
    <row r="58" spans="2:15">
      <c r="B58" s="134"/>
      <c r="C58" s="134"/>
      <c r="D58" s="134"/>
      <c r="E58" s="134"/>
      <c r="F58" s="134"/>
      <c r="G58" s="134"/>
      <c r="H58" s="134"/>
      <c r="I58" s="134"/>
      <c r="J58" s="134"/>
      <c r="K58" s="134"/>
      <c r="L58" s="134"/>
      <c r="M58" s="134"/>
      <c r="N58" s="134"/>
      <c r="O58" s="134"/>
    </row>
    <row r="59" spans="2:15">
      <c r="B59" s="134"/>
      <c r="C59" s="134"/>
      <c r="D59" s="134"/>
      <c r="E59" s="134"/>
      <c r="F59" s="134"/>
      <c r="G59" s="134"/>
      <c r="H59" s="134"/>
      <c r="I59" s="134"/>
      <c r="J59" s="134"/>
      <c r="K59" s="134"/>
      <c r="L59" s="134"/>
      <c r="M59" s="134"/>
      <c r="N59" s="134"/>
      <c r="O59" s="134"/>
    </row>
    <row r="60" spans="2:15">
      <c r="B60" s="134"/>
      <c r="C60" s="134"/>
      <c r="D60" s="134"/>
      <c r="E60" s="134"/>
      <c r="F60" s="134"/>
      <c r="G60" s="134"/>
      <c r="H60" s="134"/>
      <c r="I60" s="134"/>
      <c r="J60" s="134"/>
      <c r="K60" s="134"/>
      <c r="L60" s="134"/>
      <c r="M60" s="134"/>
      <c r="N60" s="134"/>
      <c r="O60" s="134"/>
    </row>
    <row r="61" spans="2:15">
      <c r="B61" s="134"/>
      <c r="C61" s="134"/>
      <c r="D61" s="134"/>
      <c r="E61" s="134"/>
      <c r="F61" s="134"/>
      <c r="G61" s="134"/>
      <c r="H61" s="134"/>
      <c r="I61" s="134"/>
      <c r="J61" s="134"/>
      <c r="K61" s="134"/>
      <c r="L61" s="134"/>
      <c r="M61" s="134"/>
      <c r="N61" s="134"/>
      <c r="O61" s="134"/>
    </row>
    <row r="62" spans="2:15">
      <c r="B62" s="134"/>
      <c r="C62" s="134"/>
      <c r="D62" s="134"/>
      <c r="E62" s="134"/>
      <c r="F62" s="134"/>
      <c r="G62" s="134"/>
      <c r="H62" s="134"/>
      <c r="I62" s="134"/>
      <c r="J62" s="134"/>
      <c r="K62" s="134"/>
      <c r="L62" s="134"/>
      <c r="M62" s="134"/>
      <c r="N62" s="134"/>
      <c r="O62" s="134"/>
    </row>
    <row r="63" spans="2:15">
      <c r="B63" s="134"/>
      <c r="C63" s="134"/>
      <c r="D63" s="134"/>
      <c r="E63" s="134"/>
      <c r="F63" s="134"/>
      <c r="G63" s="134"/>
      <c r="H63" s="134"/>
      <c r="I63" s="134"/>
      <c r="J63" s="134"/>
      <c r="K63" s="134"/>
      <c r="L63" s="134"/>
      <c r="M63" s="134"/>
      <c r="N63" s="134"/>
      <c r="O63" s="134"/>
    </row>
    <row r="64" spans="2:15">
      <c r="B64" s="134"/>
      <c r="C64" s="134"/>
      <c r="D64" s="134"/>
      <c r="E64" s="134"/>
      <c r="F64" s="134"/>
      <c r="G64" s="134"/>
      <c r="H64" s="134"/>
      <c r="I64" s="134"/>
      <c r="J64" s="134"/>
      <c r="K64" s="134"/>
      <c r="L64" s="134"/>
      <c r="M64" s="134"/>
      <c r="N64" s="134"/>
      <c r="O64" s="134"/>
    </row>
    <row r="65" spans="2:15">
      <c r="B65" s="134"/>
      <c r="C65" s="134"/>
      <c r="D65" s="134"/>
      <c r="E65" s="134"/>
      <c r="F65" s="134"/>
      <c r="G65" s="134"/>
      <c r="H65" s="134"/>
      <c r="I65" s="134"/>
      <c r="J65" s="134"/>
      <c r="K65" s="134"/>
      <c r="L65" s="134"/>
      <c r="M65" s="134"/>
      <c r="N65" s="134"/>
      <c r="O65" s="134"/>
    </row>
    <row r="66" spans="2:15">
      <c r="B66" s="134"/>
      <c r="C66" s="134"/>
      <c r="D66" s="134"/>
      <c r="E66" s="134"/>
      <c r="F66" s="134"/>
      <c r="G66" s="134"/>
      <c r="H66" s="134"/>
      <c r="I66" s="134"/>
      <c r="J66" s="134"/>
      <c r="K66" s="134"/>
      <c r="L66" s="134"/>
      <c r="M66" s="134"/>
      <c r="N66" s="134"/>
      <c r="O66" s="134"/>
    </row>
    <row r="67" spans="2:15">
      <c r="B67" s="134"/>
      <c r="C67" s="134"/>
      <c r="D67" s="134"/>
      <c r="E67" s="134"/>
      <c r="F67" s="134"/>
      <c r="G67" s="134"/>
      <c r="H67" s="134"/>
      <c r="I67" s="134"/>
      <c r="J67" s="134"/>
      <c r="K67" s="134"/>
      <c r="L67" s="134"/>
      <c r="M67" s="134"/>
      <c r="N67" s="134"/>
      <c r="O67" s="134"/>
    </row>
    <row r="68" spans="2:15">
      <c r="B68" s="134"/>
      <c r="C68" s="134"/>
      <c r="D68" s="134"/>
      <c r="E68" s="134"/>
      <c r="F68" s="134"/>
      <c r="G68" s="134"/>
      <c r="H68" s="134"/>
      <c r="I68" s="134"/>
      <c r="J68" s="134"/>
      <c r="K68" s="134"/>
      <c r="L68" s="134"/>
      <c r="M68" s="134"/>
      <c r="N68" s="134"/>
      <c r="O68" s="134"/>
    </row>
    <row r="69" spans="2:15">
      <c r="B69" s="134"/>
      <c r="C69" s="134"/>
      <c r="D69" s="134"/>
      <c r="E69" s="134"/>
      <c r="F69" s="134"/>
      <c r="G69" s="134"/>
      <c r="H69" s="134"/>
      <c r="I69" s="134"/>
      <c r="J69" s="134"/>
      <c r="K69" s="134"/>
      <c r="L69" s="134"/>
      <c r="M69" s="134"/>
      <c r="N69" s="134"/>
      <c r="O69" s="134"/>
    </row>
    <row r="70" spans="2:15">
      <c r="B70" s="134"/>
      <c r="C70" s="134"/>
      <c r="D70" s="134"/>
      <c r="E70" s="134"/>
      <c r="F70" s="134"/>
      <c r="G70" s="134"/>
      <c r="H70" s="134"/>
      <c r="I70" s="134"/>
      <c r="J70" s="134"/>
      <c r="K70" s="134"/>
      <c r="L70" s="134"/>
      <c r="M70" s="134"/>
      <c r="N70" s="134"/>
      <c r="O70" s="134"/>
    </row>
    <row r="71" spans="2:15">
      <c r="B71" s="134"/>
      <c r="C71" s="134"/>
      <c r="D71" s="134"/>
      <c r="E71" s="134"/>
      <c r="F71" s="134"/>
      <c r="G71" s="134"/>
      <c r="H71" s="134"/>
      <c r="I71" s="134"/>
      <c r="J71" s="134"/>
      <c r="K71" s="134"/>
      <c r="L71" s="134"/>
      <c r="M71" s="134"/>
      <c r="N71" s="134"/>
      <c r="O71" s="134"/>
    </row>
    <row r="72" spans="2:15">
      <c r="B72" s="223" t="s">
        <v>608</v>
      </c>
      <c r="C72" s="134"/>
      <c r="D72" s="134"/>
      <c r="E72" s="134"/>
      <c r="F72" s="134"/>
      <c r="G72" s="134"/>
      <c r="H72" s="134"/>
      <c r="I72" s="134"/>
      <c r="J72" s="134"/>
      <c r="K72" s="134"/>
      <c r="L72" s="134"/>
      <c r="M72" s="134"/>
      <c r="N72" s="134"/>
      <c r="O72" s="134"/>
    </row>
    <row r="73" spans="2:15">
      <c r="B73" s="244" t="s">
        <v>628</v>
      </c>
      <c r="C73" s="245" t="s">
        <v>534</v>
      </c>
      <c r="D73" s="245" t="s">
        <v>535</v>
      </c>
      <c r="E73" s="245" t="s">
        <v>536</v>
      </c>
      <c r="F73" s="246" t="s">
        <v>533</v>
      </c>
      <c r="G73" s="134"/>
      <c r="H73" s="134"/>
      <c r="I73" s="134"/>
      <c r="J73" s="134"/>
      <c r="K73" s="134"/>
      <c r="L73" s="134"/>
      <c r="M73" s="134"/>
      <c r="N73" s="134"/>
      <c r="O73" s="134"/>
    </row>
    <row r="74" spans="2:15">
      <c r="B74" s="221" t="str">
        <f>'Refsz-Emissionen'!C350</f>
        <v>Elektrischer Strom</v>
      </c>
      <c r="C74" s="224">
        <f>SUMIFS(Scopes_Emissionen_Bundesmix[Scope 1],Scopes_Emissionen_Bundesmix[Handlungsfeld in t CO2-Äq.], Tabelle59[Handlungsfeld in t CO2-Äq.      ])</f>
        <v>0</v>
      </c>
      <c r="D74" s="224">
        <f>SUMIFS(Scopes_Emissionen_Bundesmix[Scope 2],Scopes_Emissionen_Bundesmix[Handlungsfeld in t CO2-Äq.], Tabelle59[Handlungsfeld in t CO2-Äq.      ])</f>
        <v>0</v>
      </c>
      <c r="E74" s="224">
        <f>SUMIFS(Scopes_Emissionen_Bundesmix[Scope 3],Scopes_Emissionen_Bundesmix[Handlungsfeld in t CO2-Äq.], Tabelle59[Handlungsfeld in t CO2-Äq.      ])</f>
        <v>0</v>
      </c>
      <c r="F74" s="225">
        <f>Tabelle59[[#This Row],[Scope 1]]+Tabelle59[[#This Row],[Scope 2]]+Tabelle59[[#This Row],[Scope 3]]</f>
        <v>0</v>
      </c>
      <c r="G74" s="134"/>
      <c r="H74" s="134"/>
      <c r="I74" s="134"/>
      <c r="J74" s="134"/>
      <c r="K74" s="134"/>
      <c r="L74" s="134"/>
      <c r="M74" s="134"/>
      <c r="N74" s="134"/>
      <c r="O74" s="134"/>
    </row>
    <row r="75" spans="2:15">
      <c r="B75" s="221" t="str">
        <f>'Refsz-Emissionen'!C351</f>
        <v>Wärme</v>
      </c>
      <c r="C75" s="224">
        <f>SUMIFS(Scopes_Emissionen_Bundesmix[Scope 1],Scopes_Emissionen_Bundesmix[Handlungsfeld in t CO2-Äq.], Tabelle59[Handlungsfeld in t CO2-Äq.      ])</f>
        <v>0</v>
      </c>
      <c r="D75" s="224">
        <f>SUMIFS(Scopes_Emissionen_Bundesmix[Scope 2],Scopes_Emissionen_Bundesmix[Handlungsfeld in t CO2-Äq.], Tabelle59[Handlungsfeld in t CO2-Äq.      ])</f>
        <v>0</v>
      </c>
      <c r="E75" s="224">
        <f>SUMIFS(Scopes_Emissionen_Bundesmix[Scope 3],Scopes_Emissionen_Bundesmix[Handlungsfeld in t CO2-Äq.], Tabelle59[Handlungsfeld in t CO2-Äq.      ])</f>
        <v>0</v>
      </c>
      <c r="F75" s="225">
        <f>Tabelle59[[#This Row],[Scope 1]]+Tabelle59[[#This Row],[Scope 2]]+Tabelle59[[#This Row],[Scope 3]]</f>
        <v>0</v>
      </c>
      <c r="G75" s="134"/>
      <c r="H75" s="134"/>
      <c r="I75" s="134"/>
      <c r="J75" s="134"/>
      <c r="K75" s="134"/>
      <c r="L75" s="134"/>
      <c r="M75" s="134"/>
      <c r="N75" s="134"/>
      <c r="O75" s="134"/>
    </row>
    <row r="76" spans="2:15">
      <c r="B76" s="221" t="str">
        <f>'Refsz-Emissionen'!C352</f>
        <v>Kälte</v>
      </c>
      <c r="C76" s="224">
        <f>SUMIFS(Scopes_Emissionen_Bundesmix[Scope 1],Scopes_Emissionen_Bundesmix[Handlungsfeld in t CO2-Äq.], Tabelle59[Handlungsfeld in t CO2-Äq.      ])</f>
        <v>0</v>
      </c>
      <c r="D76" s="224">
        <f>SUMIFS(Scopes_Emissionen_Bundesmix[Scope 2],Scopes_Emissionen_Bundesmix[Handlungsfeld in t CO2-Äq.], Tabelle59[Handlungsfeld in t CO2-Äq.      ])</f>
        <v>0</v>
      </c>
      <c r="E76" s="224">
        <f>SUMIFS(Scopes_Emissionen_Bundesmix[Scope 3],Scopes_Emissionen_Bundesmix[Handlungsfeld in t CO2-Äq.], Tabelle59[Handlungsfeld in t CO2-Äq.      ])</f>
        <v>0</v>
      </c>
      <c r="F76" s="225">
        <f>Tabelle59[[#This Row],[Scope 1]]+Tabelle59[[#This Row],[Scope 2]]+Tabelle59[[#This Row],[Scope 3]]</f>
        <v>0</v>
      </c>
      <c r="G76" s="134"/>
      <c r="H76" s="134"/>
      <c r="I76" s="134"/>
      <c r="J76" s="134"/>
      <c r="K76" s="134"/>
      <c r="L76" s="134"/>
      <c r="M76" s="134"/>
      <c r="N76" s="134"/>
      <c r="O76" s="134"/>
    </row>
    <row r="77" spans="2:15">
      <c r="B77" s="221" t="str">
        <f>'Refsz-Emissionen'!C353</f>
        <v>Mobilität 1</v>
      </c>
      <c r="C77" s="224">
        <f>SUMIFS(Scopes_Emissionen_Bundesmix[Scope 1],Scopes_Emissionen_Bundesmix[Handlungsfeld in t CO2-Äq.], Tabelle59[Handlungsfeld in t CO2-Äq.      ])</f>
        <v>0</v>
      </c>
      <c r="D77" s="224">
        <f>SUMIFS(Scopes_Emissionen_Bundesmix[Scope 2],Scopes_Emissionen_Bundesmix[Handlungsfeld in t CO2-Äq.], Tabelle59[Handlungsfeld in t CO2-Äq.      ])</f>
        <v>0</v>
      </c>
      <c r="E77" s="224">
        <f>SUMIFS(Scopes_Emissionen_Bundesmix[Scope 3],Scopes_Emissionen_Bundesmix[Handlungsfeld in t CO2-Äq.], Tabelle59[Handlungsfeld in t CO2-Äq.      ])</f>
        <v>0</v>
      </c>
      <c r="F77" s="225">
        <f>Tabelle59[[#This Row],[Scope 1]]+Tabelle59[[#This Row],[Scope 2]]+Tabelle59[[#This Row],[Scope 3]]</f>
        <v>0</v>
      </c>
      <c r="G77" s="134"/>
      <c r="H77" s="134"/>
      <c r="I77" s="134"/>
      <c r="J77" s="134"/>
      <c r="K77" s="134"/>
      <c r="L77" s="134"/>
      <c r="M77" s="134"/>
      <c r="N77" s="134"/>
      <c r="O77" s="134"/>
    </row>
    <row r="78" spans="2:15">
      <c r="B78" s="221" t="str">
        <f>'Refsz-Emissionen'!C354</f>
        <v>Mobilität 2</v>
      </c>
      <c r="C78" s="224">
        <f>SUMIFS(Scopes_Emissionen_Bundesmix[Scope 1],Scopes_Emissionen_Bundesmix[Handlungsfeld in t CO2-Äq.], Tabelle59[Handlungsfeld in t CO2-Äq.      ])</f>
        <v>0</v>
      </c>
      <c r="D78" s="224">
        <f>SUMIFS(Scopes_Emissionen_Bundesmix[Scope 2],Scopes_Emissionen_Bundesmix[Handlungsfeld in t CO2-Äq.], Tabelle59[Handlungsfeld in t CO2-Äq.      ])</f>
        <v>0</v>
      </c>
      <c r="E78" s="224">
        <f>SUMIFS(Scopes_Emissionen_Bundesmix[Scope 3],Scopes_Emissionen_Bundesmix[Handlungsfeld in t CO2-Äq.], Tabelle59[Handlungsfeld in t CO2-Äq.      ])</f>
        <v>0</v>
      </c>
      <c r="F78" s="225">
        <f>Tabelle59[[#This Row],[Scope 1]]+Tabelle59[[#This Row],[Scope 2]]+Tabelle59[[#This Row],[Scope 3]]</f>
        <v>0</v>
      </c>
      <c r="G78" s="134"/>
      <c r="H78" s="134"/>
      <c r="I78" s="134"/>
      <c r="J78" s="134"/>
      <c r="K78" s="134"/>
      <c r="L78" s="134"/>
      <c r="M78" s="134"/>
      <c r="N78" s="134"/>
      <c r="O78" s="134"/>
    </row>
    <row r="79" spans="2:15">
      <c r="B79" s="221" t="str">
        <f>'Refsz-Emissionen'!C355</f>
        <v>Wasser</v>
      </c>
      <c r="C79" s="224">
        <f>SUMIFS(Scopes_Emissionen_Bundesmix[Scope 1],Scopes_Emissionen_Bundesmix[Handlungsfeld in t CO2-Äq.], Tabelle59[Handlungsfeld in t CO2-Äq.      ])</f>
        <v>0</v>
      </c>
      <c r="D79" s="224">
        <f>SUMIFS(Scopes_Emissionen_Bundesmix[Scope 2],Scopes_Emissionen_Bundesmix[Handlungsfeld in t CO2-Äq.], Tabelle59[Handlungsfeld in t CO2-Äq.      ])</f>
        <v>0</v>
      </c>
      <c r="E79" s="224">
        <f>SUMIFS(Scopes_Emissionen_Bundesmix[Scope 3],Scopes_Emissionen_Bundesmix[Handlungsfeld in t CO2-Äq.], Tabelle59[Handlungsfeld in t CO2-Äq.      ])</f>
        <v>0</v>
      </c>
      <c r="F79" s="225">
        <f>Tabelle59[[#This Row],[Scope 1]]+Tabelle59[[#This Row],[Scope 2]]+Tabelle59[[#This Row],[Scope 3]]</f>
        <v>0</v>
      </c>
      <c r="G79" s="134"/>
      <c r="H79" s="134"/>
      <c r="I79" s="134"/>
      <c r="J79" s="134"/>
      <c r="K79" s="134"/>
      <c r="L79" s="134"/>
      <c r="M79" s="134"/>
      <c r="N79" s="134"/>
      <c r="O79" s="134"/>
    </row>
    <row r="80" spans="2:15">
      <c r="B80" s="221" t="str">
        <f>'Refsz-Emissionen'!C356</f>
        <v>Abfall</v>
      </c>
      <c r="C80" s="224">
        <f>SUMIFS(Scopes_Emissionen_Bundesmix[Scope 1],Scopes_Emissionen_Bundesmix[Handlungsfeld in t CO2-Äq.], Tabelle59[Handlungsfeld in t CO2-Äq.      ])</f>
        <v>0</v>
      </c>
      <c r="D80" s="224">
        <f>SUMIFS(Scopes_Emissionen_Bundesmix[Scope 2],Scopes_Emissionen_Bundesmix[Handlungsfeld in t CO2-Äq.], Tabelle59[Handlungsfeld in t CO2-Äq.      ])</f>
        <v>0</v>
      </c>
      <c r="E80" s="224">
        <f>SUMIFS(Scopes_Emissionen_Bundesmix[Scope 3],Scopes_Emissionen_Bundesmix[Handlungsfeld in t CO2-Äq.], Tabelle59[Handlungsfeld in t CO2-Äq.      ])</f>
        <v>0</v>
      </c>
      <c r="F80" s="225">
        <f>Tabelle59[[#This Row],[Scope 1]]+Tabelle59[[#This Row],[Scope 2]]+Tabelle59[[#This Row],[Scope 3]]</f>
        <v>0</v>
      </c>
      <c r="G80" s="134"/>
      <c r="H80" s="134"/>
      <c r="I80" s="134"/>
      <c r="J80" s="134"/>
      <c r="K80" s="134"/>
      <c r="L80" s="134"/>
      <c r="M80" s="134"/>
      <c r="N80" s="134"/>
      <c r="O80" s="134"/>
    </row>
    <row r="81" spans="2:15">
      <c r="B81" s="221" t="str">
        <f>'Refsz-Emissionen'!C357</f>
        <v>Waren und Dienstleistungen</v>
      </c>
      <c r="C81" s="224">
        <f>SUMIFS(Scopes_Emissionen_Bundesmix[Scope 1],Scopes_Emissionen_Bundesmix[Handlungsfeld in t CO2-Äq.], Tabelle59[Handlungsfeld in t CO2-Äq.      ])</f>
        <v>0</v>
      </c>
      <c r="D81" s="224">
        <f>SUMIFS(Scopes_Emissionen_Bundesmix[Scope 2],Scopes_Emissionen_Bundesmix[Handlungsfeld in t CO2-Äq.], Tabelle59[Handlungsfeld in t CO2-Äq.      ])</f>
        <v>0</v>
      </c>
      <c r="E81" s="224">
        <f>SUMIFS(Scopes_Emissionen_Bundesmix[Scope 3],Scopes_Emissionen_Bundesmix[Handlungsfeld in t CO2-Äq.], Tabelle59[Handlungsfeld in t CO2-Äq.      ])</f>
        <v>0</v>
      </c>
      <c r="F81" s="225">
        <f>Tabelle59[[#This Row],[Scope 1]]+Tabelle59[[#This Row],[Scope 2]]+Tabelle59[[#This Row],[Scope 3]]</f>
        <v>0</v>
      </c>
      <c r="G81" s="134"/>
      <c r="H81" s="134"/>
      <c r="I81" s="134"/>
      <c r="J81" s="134"/>
      <c r="K81" s="134"/>
      <c r="L81" s="134"/>
      <c r="M81" s="134"/>
      <c r="N81" s="134"/>
      <c r="O81" s="134"/>
    </row>
    <row r="82" spans="2:15">
      <c r="B82" s="221" t="str">
        <f>'Refsz-Emissionen'!C358</f>
        <v>Baugüter</v>
      </c>
      <c r="C82" s="224">
        <f>SUMIFS(Scopes_Emissionen_Bundesmix[Scope 1],Scopes_Emissionen_Bundesmix[Handlungsfeld in t CO2-Äq.], Tabelle59[Handlungsfeld in t CO2-Äq.      ])</f>
        <v>0</v>
      </c>
      <c r="D82" s="224">
        <f>SUMIFS(Scopes_Emissionen_Bundesmix[Scope 2],Scopes_Emissionen_Bundesmix[Handlungsfeld in t CO2-Äq.], Tabelle59[Handlungsfeld in t CO2-Äq.      ])</f>
        <v>0</v>
      </c>
      <c r="E82" s="224">
        <f>SUMIFS(Scopes_Emissionen_Bundesmix[Scope 3],Scopes_Emissionen_Bundesmix[Handlungsfeld in t CO2-Äq.], Tabelle59[Handlungsfeld in t CO2-Äq.      ])</f>
        <v>0</v>
      </c>
      <c r="F82" s="225">
        <f>Tabelle59[[#This Row],[Scope 1]]+Tabelle59[[#This Row],[Scope 2]]+Tabelle59[[#This Row],[Scope 3]]</f>
        <v>0</v>
      </c>
      <c r="G82" s="134"/>
      <c r="H82" s="134"/>
      <c r="I82" s="134"/>
      <c r="J82" s="134"/>
      <c r="K82" s="134"/>
      <c r="L82" s="134"/>
      <c r="M82" s="134"/>
      <c r="N82" s="134"/>
      <c r="O82" s="134"/>
    </row>
    <row r="83" spans="2:15">
      <c r="B83" s="221" t="str">
        <f>'Refsz-Emissionen'!C359</f>
        <v>Waren mit negativem GWP total</v>
      </c>
      <c r="C83" s="224">
        <f>SUMIFS(Scopes_Emissionen_Bundesmix[Scope 1],Scopes_Emissionen_Bundesmix[Handlungsfeld in t CO2-Äq.], Tabelle59[Handlungsfeld in t CO2-Äq.      ])</f>
        <v>0</v>
      </c>
      <c r="D83" s="224">
        <f>SUMIFS(Scopes_Emissionen_Bundesmix[Scope 2],Scopes_Emissionen_Bundesmix[Handlungsfeld in t CO2-Äq.], Tabelle59[Handlungsfeld in t CO2-Äq.      ])</f>
        <v>0</v>
      </c>
      <c r="E83" s="224">
        <f>SUMIFS(Scopes_Emissionen_Bundesmix[Scope 3],Scopes_Emissionen_Bundesmix[Handlungsfeld in t CO2-Äq.], Tabelle59[Handlungsfeld in t CO2-Äq.      ])</f>
        <v>0</v>
      </c>
      <c r="F83" s="225">
        <f>Tabelle59[[#This Row],[Scope 1]]+Tabelle59[[#This Row],[Scope 2]]+Tabelle59[[#This Row],[Scope 3]]</f>
        <v>0</v>
      </c>
      <c r="G83" s="134"/>
      <c r="H83" s="134"/>
      <c r="I83" s="134"/>
      <c r="J83" s="134"/>
      <c r="K83" s="134"/>
      <c r="L83" s="134"/>
      <c r="M83" s="134"/>
      <c r="N83" s="134"/>
      <c r="O83" s="134"/>
    </row>
    <row r="84" spans="2:15">
      <c r="B84" s="221" t="str">
        <f>'Refsz-Emissionen'!C360</f>
        <v>Kompensation</v>
      </c>
      <c r="C84" s="224">
        <f>SUMIFS(Scopes_Emissionen_Bundesmix[Scope 1],Scopes_Emissionen_Bundesmix[Handlungsfeld in t CO2-Äq.], Tabelle59[Handlungsfeld in t CO2-Äq.      ])</f>
        <v>0</v>
      </c>
      <c r="D84" s="224">
        <f>SUMIFS(Scopes_Emissionen_Bundesmix[Scope 2],Scopes_Emissionen_Bundesmix[Handlungsfeld in t CO2-Äq.], Tabelle59[Handlungsfeld in t CO2-Äq.      ])</f>
        <v>0</v>
      </c>
      <c r="E84" s="224">
        <f>SUMIFS(Scopes_Emissionen_Bundesmix[Scope 3],Scopes_Emissionen_Bundesmix[Handlungsfeld in t CO2-Äq.], Tabelle59[Handlungsfeld in t CO2-Äq.      ])</f>
        <v>0</v>
      </c>
      <c r="F84" s="225">
        <f>Tabelle59[[#This Row],[Scope 1]]+Tabelle59[[#This Row],[Scope 2]]+Tabelle59[[#This Row],[Scope 3]]</f>
        <v>0</v>
      </c>
      <c r="G84" s="134"/>
      <c r="H84" s="134"/>
      <c r="I84" s="134"/>
      <c r="J84" s="134"/>
      <c r="K84" s="134"/>
      <c r="L84" s="134"/>
      <c r="M84" s="134"/>
      <c r="N84" s="134"/>
      <c r="O84" s="134"/>
    </row>
    <row r="85" spans="2:15">
      <c r="B85" s="243" t="s">
        <v>39</v>
      </c>
      <c r="C85" s="224">
        <f>SUBTOTAL(109,Tabelle59[Scope 1])</f>
        <v>0</v>
      </c>
      <c r="D85" s="224">
        <f>SUBTOTAL(109,Tabelle59[Scope 2])</f>
        <v>0</v>
      </c>
      <c r="E85" s="224">
        <f>SUBTOTAL(109,Tabelle59[Scope 3])</f>
        <v>0</v>
      </c>
      <c r="F85" s="224">
        <f>SUBTOTAL(109,Tabelle59[Gesamt])</f>
        <v>0</v>
      </c>
      <c r="G85" s="134"/>
      <c r="H85" s="134"/>
      <c r="I85" s="134"/>
      <c r="J85" s="134"/>
      <c r="K85" s="134"/>
      <c r="L85" s="134"/>
      <c r="M85" s="134"/>
      <c r="N85" s="134"/>
      <c r="O85" s="134"/>
    </row>
    <row r="86" spans="2:15">
      <c r="B86" s="134"/>
      <c r="C86" s="134"/>
      <c r="D86" s="134"/>
      <c r="E86" s="134"/>
      <c r="F86" s="134"/>
      <c r="G86" s="134"/>
      <c r="H86" s="134"/>
      <c r="I86" s="134"/>
      <c r="J86" s="134"/>
      <c r="K86" s="134"/>
      <c r="L86" s="134"/>
      <c r="M86" s="134"/>
      <c r="N86" s="134"/>
      <c r="O86" s="134"/>
    </row>
    <row r="87" spans="2:15" ht="15.5">
      <c r="B87" s="6"/>
    </row>
    <row r="88" spans="2:15" ht="15.5">
      <c r="B88" s="226" t="s">
        <v>609</v>
      </c>
      <c r="C88" s="227"/>
      <c r="D88" s="227"/>
      <c r="E88" s="227"/>
      <c r="F88" s="227"/>
      <c r="G88" s="227"/>
      <c r="H88" s="227"/>
      <c r="I88" s="227"/>
      <c r="J88" s="227"/>
      <c r="K88" s="227"/>
      <c r="L88" s="227"/>
      <c r="M88" s="227"/>
      <c r="N88" s="227"/>
      <c r="O88" s="227"/>
    </row>
    <row r="89" spans="2:15">
      <c r="B89" s="227"/>
      <c r="C89" s="227"/>
      <c r="D89" s="227"/>
      <c r="E89" s="227"/>
      <c r="F89" s="227"/>
      <c r="G89" s="227"/>
      <c r="H89" s="227"/>
      <c r="I89" s="227"/>
      <c r="J89" s="227"/>
      <c r="K89" s="227"/>
      <c r="L89" s="227"/>
      <c r="M89" s="227"/>
      <c r="N89" s="227"/>
      <c r="O89" s="227"/>
    </row>
    <row r="90" spans="2:15">
      <c r="B90" s="228"/>
      <c r="C90" s="229"/>
      <c r="D90" s="227"/>
      <c r="E90" s="227"/>
      <c r="F90" s="227"/>
      <c r="G90" s="227"/>
      <c r="H90" s="227"/>
      <c r="I90" s="227"/>
      <c r="J90" s="227"/>
      <c r="K90" s="227"/>
      <c r="L90" s="227"/>
      <c r="M90" s="227"/>
      <c r="N90" s="227"/>
      <c r="O90" s="227"/>
    </row>
    <row r="91" spans="2:15">
      <c r="B91" s="230" t="s">
        <v>393</v>
      </c>
      <c r="C91" s="227"/>
      <c r="D91" s="228"/>
      <c r="E91" s="227"/>
      <c r="F91" s="227"/>
      <c r="G91" s="227"/>
      <c r="H91" s="227"/>
      <c r="I91" s="227"/>
      <c r="J91" s="227"/>
      <c r="K91" s="227"/>
      <c r="L91" s="227"/>
      <c r="M91" s="227"/>
      <c r="N91" s="227"/>
      <c r="O91" s="227"/>
    </row>
    <row r="92" spans="2:15" ht="15.5">
      <c r="B92" s="173" t="s">
        <v>391</v>
      </c>
      <c r="C92" s="173" t="s">
        <v>2</v>
      </c>
      <c r="D92" s="111" t="str">
        <f>Startseite!D67</f>
        <v>2021</v>
      </c>
      <c r="E92" s="111" t="s">
        <v>15</v>
      </c>
      <c r="F92" s="111" t="s">
        <v>19</v>
      </c>
      <c r="G92" s="227"/>
      <c r="H92" s="135" t="str">
        <f>_xlfn.CONCAT("Ohne Klimaschutz wird Ihre Institution ",F92," circa ",FIXED(F93,2)," t CO2-Äq. austoßen.")</f>
        <v>Ohne Klimaschutz wird Ihre Institution 2050 circa 0,00 t CO2-Äq. austoßen.</v>
      </c>
      <c r="I92" s="134"/>
      <c r="J92" s="134"/>
      <c r="K92" s="134"/>
      <c r="L92" s="134"/>
      <c r="M92" s="134"/>
      <c r="N92" s="134"/>
      <c r="O92" s="227"/>
    </row>
    <row r="93" spans="2:15" ht="16.5">
      <c r="B93" s="227" t="s">
        <v>399</v>
      </c>
      <c r="C93" s="227" t="s">
        <v>195</v>
      </c>
      <c r="D93" s="227">
        <f>INDEX(Refsz_Bundesmix_Handlungsfelder[[#Data],[#Totals]],MATCH(Refsz_Bundesmix_Handlungsfelder[[#Totals],[Handlungsfeld]],Refsz_Bundesmix_Handlungsfelder[[#Data],[#Totals],[Handlungsfeld]],0),MATCH(D92,Refsz_Bundesmix_Handlungsfelder[#Headers],0))</f>
        <v>0</v>
      </c>
      <c r="E93" s="231">
        <f>INDEX(Refsz_Bundesmix_Handlungsfelder[[#Data],[#Totals]],MATCH(Refsz_Bundesmix_Handlungsfelder[[#Totals],[Handlungsfeld]],Refsz_Bundesmix_Handlungsfelder[[#Data],[#Totals],[Handlungsfeld]],0),MATCH(E92,Refsz_Bundesmix_Handlungsfelder[#Headers],0))</f>
        <v>0</v>
      </c>
      <c r="F93" s="231">
        <f>INDEX(Refsz_Bundesmix_Handlungsfelder[[#Data],[#Totals]],MATCH(Refsz_Bundesmix_Handlungsfelder[[#Totals],[Handlungsfeld]],Refsz_Bundesmix_Handlungsfelder[[#Data],[#Totals],[Handlungsfeld]],0),MATCH(F92,Refsz_Bundesmix_Handlungsfelder[#Headers],0))</f>
        <v>0</v>
      </c>
      <c r="G93" s="227"/>
      <c r="H93" s="227"/>
      <c r="I93" s="227"/>
      <c r="J93" s="227"/>
      <c r="K93" s="227"/>
      <c r="L93" s="227"/>
      <c r="M93" s="227"/>
      <c r="N93" s="227"/>
      <c r="O93" s="232"/>
    </row>
    <row r="94" spans="2:15" ht="16.5">
      <c r="B94" s="227" t="s">
        <v>398</v>
      </c>
      <c r="C94" s="233" t="s">
        <v>195</v>
      </c>
      <c r="D94" s="233">
        <f>INDEX(Refsz_Regiomix_Handlungsfelder[[#Data],[#Totals]],MATCH('Refsz-Emissionen'!C382,Refsz_Regiomix_Handlungsfelder[[#Data],[#Totals],[Handlungsfeld]],0),MATCH(D92,Refsz_Regiomix_Handlungsfelder[#Headers],0))</f>
        <v>0</v>
      </c>
      <c r="E94" s="234">
        <f>INDEX(Refsz_Regiomix_Handlungsfelder[[#Data],[#Totals]],MATCH('Refsz-Emissionen'!C382,Refsz_Regiomix_Handlungsfelder[[#Data],[#Totals],[Handlungsfeld]],0),MATCH(E92,Refsz_Regiomix_Handlungsfelder[#Headers],0))</f>
        <v>0</v>
      </c>
      <c r="F94" s="234">
        <f>INDEX(Refsz_Regiomix_Handlungsfelder[[#Data],[#Totals]],MATCH('Refsz-Emissionen'!C382,Refsz_Regiomix_Handlungsfelder[[#Data],[#Totals],[Handlungsfeld]],0),MATCH(F92,Refsz_Regiomix_Handlungsfelder[#Headers],0))</f>
        <v>0</v>
      </c>
      <c r="G94" s="227"/>
      <c r="H94" s="227"/>
      <c r="I94" s="227"/>
      <c r="J94" s="227"/>
      <c r="K94" s="227"/>
      <c r="L94" s="227"/>
      <c r="M94" s="227"/>
      <c r="N94" s="227"/>
      <c r="O94" s="227"/>
    </row>
    <row r="95" spans="2:15" ht="16.5">
      <c r="B95" s="235" t="s">
        <v>409</v>
      </c>
      <c r="C95" s="227" t="s">
        <v>195</v>
      </c>
      <c r="D95" s="227" t="str">
        <f>IF((INDEX(Kennwerte[],MATCH(Startseite!E73,Kennwerte[Kennwerte],0),MATCH(D92,Kennwerte[#Headers],0))),D93/(INDEX(Kennwerte[],MATCH(Startseite!E73,Kennwerte[Kennwerte],0),MATCH(D92,Kennwerte[#Headers],0))),"Personenanzahl fehlt")</f>
        <v>Personenanzahl fehlt</v>
      </c>
      <c r="E95" s="227" t="str">
        <f>IF((INDEX(Kennwerte[],MATCH(Startseite!E73,Kennwerte[Kennwerte],0),MATCH(E92,Kennwerte[#Headers],0))),E93/(INDEX(Kennwerte[],MATCH(Startseite!E73,Kennwerte[Kennwerte],0),MATCH(E92,Kennwerte[#Headers],0))),"Personenanzahl fehlt")</f>
        <v>Personenanzahl fehlt</v>
      </c>
      <c r="F95" s="227" t="str">
        <f>IF((INDEX(Kennwerte[],MATCH(Startseite!E73,Kennwerte[Kennwerte],0),MATCH(F92,Kennwerte[#Headers],0))),F93/(INDEX(Kennwerte[],MATCH(Startseite!E73,Kennwerte[Kennwerte],0),MATCH(F92,Kennwerte[#Headers],0))),"Personenanzahl fehlt")</f>
        <v>Personenanzahl fehlt</v>
      </c>
      <c r="G95" s="227"/>
      <c r="H95" s="227"/>
      <c r="I95" s="227"/>
      <c r="J95" s="227"/>
      <c r="K95" s="227"/>
      <c r="L95" s="227"/>
      <c r="M95" s="227"/>
      <c r="N95" s="227"/>
      <c r="O95" s="227"/>
    </row>
    <row r="96" spans="2:15" ht="16.5">
      <c r="B96" s="227" t="s">
        <v>410</v>
      </c>
      <c r="C96" s="227" t="s">
        <v>195</v>
      </c>
      <c r="D96" s="233" t="str">
        <f>IF((INDEX(Kennwerte[],MATCH(Startseite!E73,Kennwerte[Kennwerte],0),MATCH(D92,Kennwerte[#Headers],0))),D94/(INDEX(Kennwerte[],MATCH(Startseite!E73,Kennwerte[Kennwerte],0),MATCH(D92,Kennwerte[#Headers],0))),"Personenanzahl fehlt")</f>
        <v>Personenanzahl fehlt</v>
      </c>
      <c r="E96" s="227" t="str">
        <f>IF((INDEX(Kennwerte[],MATCH(Startseite!E73,Kennwerte[Kennwerte],0),MATCH(E92,Kennwerte[#Headers],0))),E94/(INDEX(Kennwerte[],MATCH(Startseite!E73,Kennwerte[Kennwerte],0),MATCH(E92,Kennwerte[#Headers],0))),"Personenanzahl fehlt")</f>
        <v>Personenanzahl fehlt</v>
      </c>
      <c r="F96" s="227" t="str">
        <f>IF((INDEX(Kennwerte[],MATCH(Startseite!E73,Kennwerte[Kennwerte],0),MATCH(F92,Kennwerte[#Headers],0))),F94/(INDEX(Kennwerte[],MATCH(Startseite!E73,Kennwerte[Kennwerte],0),MATCH(F92,Kennwerte[#Headers],0))),"Personenanzahl fehlt")</f>
        <v>Personenanzahl fehlt</v>
      </c>
      <c r="G96" s="227"/>
      <c r="H96" s="227"/>
      <c r="I96" s="227"/>
      <c r="J96" s="227"/>
      <c r="K96" s="227"/>
      <c r="L96" s="227"/>
      <c r="M96" s="227"/>
      <c r="N96" s="227"/>
      <c r="O96" s="227"/>
    </row>
    <row r="97" spans="2:15" ht="16.5">
      <c r="B97" s="235" t="s">
        <v>411</v>
      </c>
      <c r="C97" s="235" t="s">
        <v>195</v>
      </c>
      <c r="D97" s="227" t="str">
        <f>IFERROR(IF(ISERROR(INDEX(Kennwerte[],MATCH(Startseite!E72,Kennwerte[Kennwerte],0),MATCH(D92,Kennwerte[#Headers],0))), "Fläche fehlt", D93 / INDEX(Kennwerte[], MATCH(Startseite!E72, Kennwerte[Kennwerte], 0), MATCH(D92, Kennwerte[#Headers], 0))), "Fläche fehlt")</f>
        <v>Fläche fehlt</v>
      </c>
      <c r="E97" s="235" t="str">
        <f>IFERROR(IF(ISERROR(INDEX(Kennwerte[],MATCH(Startseite!E72,Kennwerte[Kennwerte],0),MATCH(E92,Kennwerte[#Headers],0))), "Fläche fehlt", E93 / INDEX(Kennwerte[], MATCH(Startseite!E72, Kennwerte[Kennwerte], 0), MATCH(E92, Kennwerte[#Headers], 0))), "Fläche fehlt")</f>
        <v>Fläche fehlt</v>
      </c>
      <c r="F97" s="235" t="str">
        <f>IFERROR(IF(ISERROR(INDEX(Kennwerte[],MATCH(Startseite!E72,Kennwerte[Kennwerte],0),MATCH(F92,Kennwerte[#Headers],0))), "Fläche fehlt", F93 / INDEX(Kennwerte[], MATCH(Startseite!E72, Kennwerte[Kennwerte], 0), MATCH(F92, Kennwerte[#Headers], 0))), "Fläche fehlt")</f>
        <v>Fläche fehlt</v>
      </c>
      <c r="G97" s="227"/>
      <c r="H97" s="227"/>
      <c r="I97" s="227"/>
      <c r="J97" s="227"/>
      <c r="K97" s="227"/>
      <c r="L97" s="227"/>
      <c r="M97" s="227"/>
      <c r="N97" s="227"/>
      <c r="O97" s="227"/>
    </row>
    <row r="98" spans="2:15" ht="16.5">
      <c r="B98" s="233" t="s">
        <v>412</v>
      </c>
      <c r="C98" s="233" t="s">
        <v>195</v>
      </c>
      <c r="D98" s="227" t="str">
        <f>IFERROR(IF(ISERROR(INDEX(Kennwerte[],MATCH(Startseite!E72,Kennwerte[Kennwerte],0),MATCH(D92,Kennwerte[#Headers],0))), "Fläche fehlt", D94 / INDEX(Kennwerte[], MATCH(Startseite!E72, Kennwerte[Kennwerte], 0), MATCH(D92, Kennwerte[#Headers], 0))), "Fläche fehlt")</f>
        <v>Fläche fehlt</v>
      </c>
      <c r="E98" s="233" t="str">
        <f>IFERROR(IF(ISERROR(INDEX(Kennwerte[],MATCH(Startseite!E72,Kennwerte[Kennwerte],0),MATCH(E92,Kennwerte[#Headers],0))), "Fläche fehlt", E94 / INDEX(Kennwerte[], MATCH(Startseite!E72, Kennwerte[Kennwerte], 0), MATCH(E92, Kennwerte[#Headers], 0))), "Fläche fehlt")</f>
        <v>Fläche fehlt</v>
      </c>
      <c r="F98" s="227" t="str">
        <f>IFERROR(IF(ISERROR(INDEX(Kennwerte[],MATCH(Startseite!E72,Kennwerte[Kennwerte],0),MATCH(F92,Kennwerte[#Headers],0))), "Fläche fehlt", F94 / INDEX(Kennwerte[], MATCH(Startseite!E72, Kennwerte[Kennwerte], 0), MATCH(F92, Kennwerte[#Headers], 0))), "Fläche fehlt")</f>
        <v>Fläche fehlt</v>
      </c>
      <c r="G98" s="227"/>
      <c r="H98" s="227"/>
      <c r="I98" s="227"/>
      <c r="J98" s="227"/>
      <c r="K98" s="227"/>
      <c r="L98" s="227"/>
      <c r="M98" s="227"/>
      <c r="N98" s="227"/>
      <c r="O98" s="227"/>
    </row>
    <row r="99" spans="2:15" ht="16.5">
      <c r="B99" s="227" t="s">
        <v>584</v>
      </c>
      <c r="C99" s="227" t="s">
        <v>195</v>
      </c>
      <c r="D99" s="235">
        <f>INDEX(Refsz_Bundesmix_Handlungsfelder[[Handlungsfeld]:[2050]],MATCH('Refsz-Emissionen'!C350,Refsz_Bundesmix_Handlungsfelder[Handlungsfeld],0),MATCH(D92,Refsz_Bundesmix_Handlungsfelder[#Headers],0))+
INDEX(Refsz_Bundesmix_Handlungsfelder[[Handlungsfeld]:[2050]],MATCH('Refsz-Emissionen'!C351,Refsz_Bundesmix_Handlungsfelder[Handlungsfeld],0),MATCH(D92,Refsz_Bundesmix_Handlungsfelder[#Headers],0))+
INDEX(Refsz_Bundesmix_Handlungsfelder[[Handlungsfeld]:[2050]],MATCH('Refsz-Emissionen'!C352,Refsz_Bundesmix_Handlungsfelder[Handlungsfeld],0),MATCH(D92,Refsz_Bundesmix_Handlungsfelder[#Headers],0))+
INDEX(Refsz_Bundesmix_Handlungsfelder[[Handlungsfeld]:[2050]],MATCH('Refsz-Emissionen'!C353,Refsz_Bundesmix_Handlungsfelder[Handlungsfeld],0),MATCH(D92,Refsz_Bundesmix_Handlungsfelder[#Headers],0))</f>
        <v>0</v>
      </c>
      <c r="E99" s="231">
        <f>INDEX(Refsz_Bundesmix_Handlungsfelder[[Handlungsfeld]:[2050]],MATCH('Refsz-Emissionen'!C350,Refsz_Bundesmix_Handlungsfelder[Handlungsfeld],0),MATCH(E92,Refsz_Bundesmix_Handlungsfelder[#Headers],0))+
INDEX(Refsz_Bundesmix_Handlungsfelder[[Handlungsfeld]:[2050]],MATCH('Refsz-Emissionen'!C351,Refsz_Bundesmix_Handlungsfelder[Handlungsfeld],0),MATCH(E92,Refsz_Bundesmix_Handlungsfelder[#Headers],0))+
INDEX(Refsz_Bundesmix_Handlungsfelder[[Handlungsfeld]:[2050]],MATCH('Refsz-Emissionen'!C352,Refsz_Bundesmix_Handlungsfelder[Handlungsfeld],0),MATCH(E92,Refsz_Bundesmix_Handlungsfelder[#Headers],0))+
INDEX(Refsz_Bundesmix_Handlungsfelder[[Handlungsfeld]:[2050]],MATCH('Refsz-Emissionen'!C353,Refsz_Bundesmix_Handlungsfelder[Handlungsfeld],0),MATCH(E92,Refsz_Bundesmix_Handlungsfelder[#Headers],0))</f>
        <v>0</v>
      </c>
      <c r="F99" s="236">
        <f>INDEX(Refsz_Bundesmix_Handlungsfelder[[Handlungsfeld]:[2050]],MATCH('Refsz-Emissionen'!C350,Refsz_Bundesmix_Handlungsfelder[Handlungsfeld],0),MATCH(F92,Refsz_Bundesmix_Handlungsfelder[#Headers],0))+
INDEX(Refsz_Bundesmix_Handlungsfelder[[Handlungsfeld]:[2050]],MATCH('Refsz-Emissionen'!C351,Refsz_Bundesmix_Handlungsfelder[Handlungsfeld],0),MATCH(F92,Refsz_Bundesmix_Handlungsfelder[#Headers],0))+
INDEX(Refsz_Bundesmix_Handlungsfelder[[Handlungsfeld]:[2050]],MATCH('Refsz-Emissionen'!C352,Refsz_Bundesmix_Handlungsfelder[Handlungsfeld],0),MATCH(F92,Refsz_Bundesmix_Handlungsfelder[#Headers],0))+
INDEX(Refsz_Bundesmix_Handlungsfelder[[Handlungsfeld]:[2050]],MATCH('Refsz-Emissionen'!C353,Refsz_Bundesmix_Handlungsfelder[Handlungsfeld],0),MATCH(F92,Refsz_Bundesmix_Handlungsfelder[#Headers],0))</f>
        <v>0</v>
      </c>
      <c r="G99" s="227"/>
      <c r="H99" s="227"/>
      <c r="I99" s="227"/>
      <c r="J99" s="227"/>
      <c r="K99" s="227"/>
      <c r="L99" s="227"/>
      <c r="M99" s="227"/>
      <c r="N99" s="227"/>
      <c r="O99" s="227"/>
    </row>
    <row r="100" spans="2:15" ht="16.5">
      <c r="B100" s="227" t="s">
        <v>585</v>
      </c>
      <c r="C100" s="233" t="s">
        <v>195</v>
      </c>
      <c r="D100" s="233">
        <f>INDEX(Refsz_Regiomix_Handlungsfelder[[Handlungsfeld]:[2050]],MATCH('Refsz-Emissionen'!C371,Refsz_Regiomix_Handlungsfelder[Handlungsfeld],0),MATCH(D92,Refsz_Regiomix_Handlungsfelder[#Headers],0))+INDEX(Refsz_Regiomix_Handlungsfelder[[Handlungsfeld]:[2050]],MATCH('Refsz-Emissionen'!C372,Refsz_Regiomix_Handlungsfelder[Handlungsfeld],0),MATCH(D92,Refsz_Regiomix_Handlungsfelder[#Headers],0))+INDEX(Refsz_Regiomix_Handlungsfelder[[Handlungsfeld]:[2050]],MATCH('Refsz-Emissionen'!C373,Refsz_Regiomix_Handlungsfelder[Handlungsfeld],0),MATCH(D92,Refsz_Regiomix_Handlungsfelder[#Headers],0))+INDEX(Refsz_Regiomix_Handlungsfelder[[Handlungsfeld]:[2050]],MATCH('Refsz-Emissionen'!C374,Refsz_Regiomix_Handlungsfelder[Handlungsfeld],0),MATCH(D92,Refsz_Regiomix_Handlungsfelder[#Headers],0))</f>
        <v>0</v>
      </c>
      <c r="E100" s="234">
        <f>INDEX(Refsz_Regiomix_Handlungsfelder[[Handlungsfeld]:[2050]],MATCH('Refsz-Emissionen'!C371,Refsz_Regiomix_Handlungsfelder[Handlungsfeld],0),MATCH(E92,Refsz_Regiomix_Handlungsfelder[#Headers],0))+INDEX(Refsz_Regiomix_Handlungsfelder[[Handlungsfeld]:[2050]],MATCH('Refsz-Emissionen'!C372,Refsz_Regiomix_Handlungsfelder[Handlungsfeld],0),MATCH(E92,Refsz_Regiomix_Handlungsfelder[#Headers],0))+INDEX(Refsz_Regiomix_Handlungsfelder[[Handlungsfeld]:[2050]],MATCH('Refsz-Emissionen'!C373,Refsz_Regiomix_Handlungsfelder[Handlungsfeld],0),MATCH(E92,Refsz_Regiomix_Handlungsfelder[#Headers],0))+INDEX(Refsz_Regiomix_Handlungsfelder[[Handlungsfeld]:[2050]],MATCH('Refsz-Emissionen'!C374,Refsz_Regiomix_Handlungsfelder[Handlungsfeld],0),MATCH(E92,Refsz_Regiomix_Handlungsfelder[#Headers],0))</f>
        <v>0</v>
      </c>
      <c r="F100" s="231">
        <f>INDEX(Refsz_Regiomix_Handlungsfelder[[Handlungsfeld]:[2050]],MATCH('Refsz-Emissionen'!C371,Refsz_Regiomix_Handlungsfelder[Handlungsfeld],0),MATCH(F92,Refsz_Regiomix_Handlungsfelder[#Headers],0))+INDEX(Refsz_Regiomix_Handlungsfelder[[Handlungsfeld]:[2050]],MATCH('Refsz-Emissionen'!C372,Refsz_Regiomix_Handlungsfelder[Handlungsfeld],0),MATCH(F92,Refsz_Regiomix_Handlungsfelder[#Headers],0))+INDEX(Refsz_Regiomix_Handlungsfelder[[Handlungsfeld]:[2050]],MATCH('Refsz-Emissionen'!C373,Refsz_Regiomix_Handlungsfelder[Handlungsfeld],0),MATCH(F92,Refsz_Regiomix_Handlungsfelder[#Headers],0))+INDEX(Refsz_Regiomix_Handlungsfelder[[Handlungsfeld]:[2050]],MATCH('Refsz-Emissionen'!C374,Refsz_Regiomix_Handlungsfelder[Handlungsfeld],0),MATCH(F92,Refsz_Regiomix_Handlungsfelder[#Headers],0))</f>
        <v>0</v>
      </c>
      <c r="G100" s="227"/>
      <c r="H100" s="227"/>
      <c r="I100" s="227"/>
      <c r="J100" s="227"/>
      <c r="K100" s="227"/>
      <c r="L100" s="227"/>
      <c r="M100" s="227"/>
      <c r="N100" s="227"/>
      <c r="O100" s="227"/>
    </row>
    <row r="101" spans="2:15" ht="16.5">
      <c r="B101" s="235" t="s">
        <v>394</v>
      </c>
      <c r="C101" s="227" t="s">
        <v>195</v>
      </c>
      <c r="D101" s="227">
        <f>INDEX(Refsz_Bundesmix_Handlungsfelder[[Handlungsfeld]:[2050]],MATCH('Refsz-Emissionen'!C350,Refsz_Bundesmix_Handlungsfelder[Handlungsfeld],0),MATCH(D92,Refsz_Bundesmix_Handlungsfelder[#Headers],0))+
INDEX(Refsz_Bundesmix_Handlungsfelder[[Handlungsfeld]:[2050]],MATCH('Refsz-Emissionen'!C351,Refsz_Bundesmix_Handlungsfelder[Handlungsfeld],0),MATCH(D92,Refsz_Bundesmix_Handlungsfelder[#Headers],0))+
INDEX(Refsz_Bundesmix_Handlungsfelder[[Handlungsfeld]:[2050]],MATCH('Refsz-Emissionen'!C352,Refsz_Bundesmix_Handlungsfelder[Handlungsfeld],0),MATCH(D92,Refsz_Bundesmix_Handlungsfelder[#Headers],0))+
INDEX(Refsz_Emissionen_Bundesmix[[Datenpunkt]:[2050]],MATCH('Refsz-Emissionen'!D48,Refsz_Emissionen_Bundesmix[Datenpunkt],0),MATCH(D92,Refsz_Emissionen_Bundesmix[[#Headers],[Datenpunkt]:[2050]],0))+
INDEX(Refsz_Emissionen_Bundesmix[[Datenpunkt]:[2050]],MATCH('Refsz-Emissionen'!D49,Refsz_Emissionen_Bundesmix[Datenpunkt],0),MATCH(D92,Refsz_Emissionen_Bundesmix[[#Headers],[Datenpunkt]:[2050]],0))+
INDEX(Refsz_Emissionen_Bundesmix[[Datenpunkt]:[2050]],MATCH('Refsz-Emissionen'!D50,Refsz_Emissionen_Bundesmix[Datenpunkt],0),MATCH(D92,Refsz_Emissionen_Bundesmix[[#Headers],[Datenpunkt]:[2050]],0))+
INDEX(Refsz_Emissionen_Bundesmix[[Datenpunkt]:[2050]],MATCH('Refsz-Emissionen'!D51,Refsz_Emissionen_Bundesmix[Datenpunkt],0),MATCH(D92,Refsz_Emissionen_Bundesmix[[#Headers],[Datenpunkt]:[2050]],0))+
INDEX(Refsz_Emissionen_Bundesmix[[Datenpunkt]:[2050]],MATCH('Refsz-Emissionen'!D52,Refsz_Emissionen_Bundesmix[Datenpunkt],0),MATCH(D92,Refsz_Emissionen_Bundesmix[[#Headers],[Datenpunkt]:[2050]],0))</f>
        <v>0</v>
      </c>
      <c r="E101" s="231">
        <f>INDEX(Refsz_Bundesmix_Handlungsfelder[[Handlungsfeld]:[2050]],MATCH('Refsz-Emissionen'!C350,Refsz_Bundesmix_Handlungsfelder[Handlungsfeld],0),MATCH(E92,Refsz_Bundesmix_Handlungsfelder[#Headers],0))+
INDEX(Refsz_Bundesmix_Handlungsfelder[[Handlungsfeld]:[2050]],MATCH('Refsz-Emissionen'!C351,Refsz_Bundesmix_Handlungsfelder[Handlungsfeld],0),MATCH(E92,Refsz_Bundesmix_Handlungsfelder[#Headers],0))+
INDEX(Refsz_Bundesmix_Handlungsfelder[[Handlungsfeld]:[2050]],MATCH('Refsz-Emissionen'!C352,Refsz_Bundesmix_Handlungsfelder[Handlungsfeld],0),MATCH(E92,Refsz_Bundesmix_Handlungsfelder[#Headers],0))+
INDEX(Refsz_Emissionen_Bundesmix[[Datenpunkt]:[2050]],MATCH('Refsz-Emissionen'!D48,Refsz_Emissionen_Bundesmix[Datenpunkt],0),MATCH(E92,Refsz_Emissionen_Bundesmix[[#Headers],[Datenpunkt]:[2050]],0))+
INDEX(Refsz_Emissionen_Bundesmix[[Datenpunkt]:[2050]],MATCH('Refsz-Emissionen'!D49,Refsz_Emissionen_Bundesmix[Datenpunkt],0),MATCH(E92,Refsz_Emissionen_Bundesmix[[#Headers],[Datenpunkt]:[2050]],0))+
INDEX(Refsz_Emissionen_Bundesmix[[Datenpunkt]:[2050]],MATCH('Refsz-Emissionen'!D50,Refsz_Emissionen_Bundesmix[Datenpunkt],0),MATCH(E92,Refsz_Emissionen_Bundesmix[[#Headers],[Datenpunkt]:[2050]],0))+
INDEX(Refsz_Emissionen_Bundesmix[[Datenpunkt]:[2050]],MATCH('Refsz-Emissionen'!D51,Refsz_Emissionen_Bundesmix[Datenpunkt],0),MATCH(E92,Refsz_Emissionen_Bundesmix[[#Headers],[Datenpunkt]:[2050]],0))+
INDEX(Refsz_Emissionen_Bundesmix[[Datenpunkt]:[2050]],MATCH('Refsz-Emissionen'!D52,Refsz_Emissionen_Bundesmix[Datenpunkt],0),MATCH(E92,Refsz_Emissionen_Bundesmix[[#Headers],[Datenpunkt]:[2050]],0))</f>
        <v>0</v>
      </c>
      <c r="F101" s="236">
        <f>INDEX(Refsz_Bundesmix_Handlungsfelder[[Handlungsfeld]:[2050]],MATCH('Refsz-Emissionen'!C350,Refsz_Bundesmix_Handlungsfelder[Handlungsfeld],0),MATCH(F92,Refsz_Bundesmix_Handlungsfelder[#Headers],0))+
INDEX(Refsz_Bundesmix_Handlungsfelder[[Handlungsfeld]:[2050]],MATCH('Refsz-Emissionen'!C351,Refsz_Bundesmix_Handlungsfelder[Handlungsfeld],0),MATCH(F92,Refsz_Bundesmix_Handlungsfelder[#Headers],0))+
INDEX(Refsz_Bundesmix_Handlungsfelder[[Handlungsfeld]:[2050]],MATCH('Refsz-Emissionen'!C352,Refsz_Bundesmix_Handlungsfelder[Handlungsfeld],0),MATCH(F92,Refsz_Bundesmix_Handlungsfelder[#Headers],0))+
INDEX(Refsz_Emissionen_Bundesmix[[Datenpunkt]:[2050]],MATCH('Refsz-Emissionen'!D48,Refsz_Emissionen_Bundesmix[Datenpunkt],0),MATCH(F92,Refsz_Emissionen_Bundesmix[[#Headers],[Datenpunkt]:[2050]],0))+
INDEX(Refsz_Emissionen_Bundesmix[[Datenpunkt]:[2050]],MATCH('Refsz-Emissionen'!D49,Refsz_Emissionen_Bundesmix[Datenpunkt],0),MATCH(F92,Refsz_Emissionen_Bundesmix[[#Headers],[Datenpunkt]:[2050]],0))+
INDEX(Refsz_Emissionen_Bundesmix[[Datenpunkt]:[2050]],MATCH('Refsz-Emissionen'!D50,Refsz_Emissionen_Bundesmix[Datenpunkt],0),MATCH(F92,Refsz_Emissionen_Bundesmix[[#Headers],[Datenpunkt]:[2050]],0))+
INDEX(Refsz_Emissionen_Bundesmix[[Datenpunkt]:[2050]],MATCH('Refsz-Emissionen'!D51,Refsz_Emissionen_Bundesmix[Datenpunkt],0),MATCH(F92,Refsz_Emissionen_Bundesmix[[#Headers],[Datenpunkt]:[2050]],0))+
INDEX(Refsz_Emissionen_Bundesmix[[Datenpunkt]:[2050]],MATCH('Refsz-Emissionen'!D52,Refsz_Emissionen_Bundesmix[Datenpunkt],0),MATCH(F92,Refsz_Emissionen_Bundesmix[[#Headers],[Datenpunkt]:[2050]],0))</f>
        <v>0</v>
      </c>
      <c r="G101" s="227"/>
      <c r="H101" s="227"/>
      <c r="I101" s="227"/>
      <c r="J101" s="227"/>
      <c r="K101" s="227"/>
      <c r="L101" s="227"/>
      <c r="M101" s="227"/>
      <c r="N101" s="227"/>
      <c r="O101" s="227"/>
    </row>
    <row r="102" spans="2:15" ht="16.5">
      <c r="B102" s="233" t="s">
        <v>397</v>
      </c>
      <c r="C102" s="227" t="s">
        <v>195</v>
      </c>
      <c r="D102" s="227">
        <f>INDEX(Refsz_Regiomix_Handlungsfelder[[Handlungsfeld]:[2050]],MATCH('Refsz-Emissionen'!C371,Refsz_Regiomix_Handlungsfelder[Handlungsfeld],0),MATCH(D92,Refsz_Regiomix_Handlungsfelder[#Headers],0))+INDEX(Refsz_Regiomix_Handlungsfelder[[Handlungsfeld]:[2050]],MATCH('Refsz-Emissionen'!C372,Refsz_Regiomix_Handlungsfelder[Handlungsfeld],0),MATCH(D92,Refsz_Regiomix_Handlungsfelder[#Headers],0))+INDEX(Refsz_Regiomix_Handlungsfelder[[Handlungsfeld]:[2050]],MATCH('Refsz-Emissionen'!C373,Refsz_Regiomix_Handlungsfelder[Handlungsfeld],0),MATCH(D92,Refsz_Regiomix_Handlungsfelder[#Headers],0))+ INDEX(Refsz_Emissionen_Regiomix[[Datenpunkt]:[2050]],MATCH('Refsz-Emissionen'!D213,Refsz_Emissionen_Regiomix[Datenpunkt],0),MATCH(D92,Refsz_Emissionen_Regiomix[[#Headers],[Datenpunkt]:[2050]],0))+
INDEX(Refsz_Emissionen_Regiomix[[Datenpunkt]:[2050]],MATCH('Refsz-Emissionen'!D214,Refsz_Emissionen_Regiomix[Datenpunkt],0),MATCH(D92,Refsz_Emissionen_Regiomix[[#Headers],[Datenpunkt]:[2050]],0))+
INDEX(Refsz_Emissionen_Regiomix[[Datenpunkt]:[2050]],MATCH('Refsz-Emissionen'!D215,Refsz_Emissionen_Regiomix[Datenpunkt],0),MATCH(D92,Refsz_Emissionen_Regiomix[[#Headers],[Datenpunkt]:[2050]],0))+
INDEX(Refsz_Emissionen_Regiomix[[Datenpunkt]:[2050]],MATCH('Refsz-Emissionen'!D216,Refsz_Emissionen_Regiomix[Datenpunkt],0),MATCH(D92,Refsz_Emissionen_Regiomix[[#Headers],[Datenpunkt]:[2050]],0))+
INDEX(Refsz_Emissionen_Regiomix[[Datenpunkt]:[2050]],MATCH('Refsz-Emissionen'!D217,Refsz_Emissionen_Regiomix[Datenpunkt],0),MATCH(D92,Refsz_Emissionen_Regiomix[[#Headers],[Datenpunkt]:[2050]],0))</f>
        <v>0</v>
      </c>
      <c r="E102" s="231">
        <f>INDEX(Refsz_Regiomix_Handlungsfelder[[Handlungsfeld]:[2050]],MATCH('Refsz-Emissionen'!C371,Refsz_Regiomix_Handlungsfelder[Handlungsfeld],0),MATCH(E92,Refsz_Regiomix_Handlungsfelder[#Headers],0))+INDEX(Refsz_Regiomix_Handlungsfelder[[Handlungsfeld]:[2050]],MATCH('Refsz-Emissionen'!C372,Refsz_Regiomix_Handlungsfelder[Handlungsfeld],0),MATCH(E92,Refsz_Regiomix_Handlungsfelder[#Headers],0))+INDEX(Refsz_Regiomix_Handlungsfelder[[Handlungsfeld]:[2050]],MATCH('Refsz-Emissionen'!C373,Refsz_Regiomix_Handlungsfelder[Handlungsfeld],0),MATCH(E92,Refsz_Regiomix_Handlungsfelder[#Headers],0))+
INDEX(Refsz_Emissionen_Regiomix[[Datenpunkt]:[2050]],MATCH('Refsz-Emissionen'!D213,Refsz_Emissionen_Regiomix[Datenpunkt],0),MATCH(E92,Refsz_Emissionen_Regiomix[[#Headers],[Datenpunkt]:[2050]],0))+
INDEX(Refsz_Emissionen_Regiomix[[Datenpunkt]:[2050]],MATCH('Refsz-Emissionen'!D214,Refsz_Emissionen_Regiomix[Datenpunkt],0),MATCH(E92,Refsz_Emissionen_Regiomix[[#Headers],[Datenpunkt]:[2050]],0))+
INDEX(Refsz_Emissionen_Regiomix[[Datenpunkt]:[2050]],MATCH('Refsz-Emissionen'!D215,Refsz_Emissionen_Regiomix[Datenpunkt],0),MATCH(E92,Refsz_Emissionen_Regiomix[[#Headers],[Datenpunkt]:[2050]],0))+
INDEX(Refsz_Emissionen_Regiomix[[Datenpunkt]:[2050]],MATCH('Refsz-Emissionen'!D216,Refsz_Emissionen_Regiomix[Datenpunkt],0),MATCH(E92,Refsz_Emissionen_Regiomix[[#Headers],[Datenpunkt]:[2050]],0))+
INDEX(Refsz_Emissionen_Regiomix[[Datenpunkt]:[2050]],MATCH('Refsz-Emissionen'!D217,Refsz_Emissionen_Regiomix[Datenpunkt],0),MATCH(E92,Refsz_Emissionen_Regiomix[[#Headers],[Datenpunkt]:[2050]],0))</f>
        <v>0</v>
      </c>
      <c r="F102" s="231">
        <f>INDEX(Refsz_Regiomix_Handlungsfelder[[Handlungsfeld]:[2050]],MATCH('Refsz-Emissionen'!C371,Refsz_Regiomix_Handlungsfelder[Handlungsfeld],0),MATCH(F92,Refsz_Regiomix_Handlungsfelder[#Headers],0))+INDEX(Refsz_Regiomix_Handlungsfelder[[Handlungsfeld]:[2050]],MATCH('Refsz-Emissionen'!C372,Refsz_Regiomix_Handlungsfelder[Handlungsfeld],0),MATCH(F92,Refsz_Regiomix_Handlungsfelder[#Headers],0))+INDEX(Refsz_Regiomix_Handlungsfelder[[Handlungsfeld]:[2050]],MATCH('Refsz-Emissionen'!C373,Refsz_Regiomix_Handlungsfelder[Handlungsfeld],0),MATCH(F92,Refsz_Regiomix_Handlungsfelder[#Headers],0))+
INDEX(Refsz_Emissionen_Regiomix[[Datenpunkt]:[2050]],MATCH('Refsz-Emissionen'!D213,Refsz_Emissionen_Regiomix[Datenpunkt],0),MATCH(F92,Refsz_Emissionen_Regiomix[[#Headers],[Datenpunkt]:[2050]],0))+
INDEX(Refsz_Emissionen_Regiomix[[Datenpunkt]:[2050]],MATCH('Refsz-Emissionen'!D214,Refsz_Emissionen_Regiomix[Datenpunkt],0),MATCH(F92,Refsz_Emissionen_Regiomix[[#Headers],[Datenpunkt]:[2050]],0))+
INDEX(Refsz_Emissionen_Regiomix[[Datenpunkt]:[2050]],MATCH('Refsz-Emissionen'!D215,Refsz_Emissionen_Regiomix[Datenpunkt],0),MATCH(F92,Refsz_Emissionen_Regiomix[[#Headers],[Datenpunkt]:[2050]],0))+
INDEX(Refsz_Emissionen_Regiomix[[Datenpunkt]:[2050]],MATCH('Refsz-Emissionen'!D216,Refsz_Emissionen_Regiomix[Datenpunkt],0),MATCH(F92,Refsz_Emissionen_Regiomix[[#Headers],[Datenpunkt]:[2050]],0))+
INDEX(Refsz_Emissionen_Regiomix[[Datenpunkt]:[2050]],MATCH('Refsz-Emissionen'!D217,Refsz_Emissionen_Regiomix[Datenpunkt],0),MATCH(F92,Refsz_Emissionen_Regiomix[[#Headers],[Datenpunkt]:[2050]],0))</f>
        <v>0</v>
      </c>
      <c r="G102" s="227"/>
      <c r="H102" s="227"/>
      <c r="I102" s="227"/>
      <c r="J102" s="227"/>
      <c r="K102" s="227"/>
      <c r="L102" s="227"/>
      <c r="M102" s="227"/>
      <c r="N102" s="227"/>
      <c r="O102" s="227"/>
    </row>
    <row r="103" spans="2:15">
      <c r="B103" s="227" t="s">
        <v>407</v>
      </c>
      <c r="C103" s="235"/>
      <c r="D103" s="237" t="str">
        <f>INDEX(Datengüte_Eingabe[[Datenpunkt der Endenergie]:[2050]],MATCH(Datengüte!B41,Datengüte_Eingabe[Datenpunkt der Endenergie],0),MATCH('KliMax-Auswertung'!D92,Datengüte_Eingabe[#Headers],0))</f>
        <v>Daten fehlen</v>
      </c>
      <c r="E103" s="237" t="str">
        <f>INDEX(Datengüte_Eingabe[[Datenpunkt der Endenergie]:[2050]],MATCH(Datengüte!B41,Datengüte_Eingabe[Datenpunkt der Endenergie],0),MATCH('KliMax-Auswertung'!E92,Datengüte_Eingabe[#Headers],0))</f>
        <v>Daten fehlen</v>
      </c>
      <c r="F103" s="237" t="str">
        <f>INDEX(Datengüte_Eingabe[[Datenpunkt der Endenergie]:[2050]],MATCH(Datengüte!B41,Datengüte_Eingabe[Datenpunkt der Endenergie],0),MATCH('KliMax-Auswertung'!F92,Datengüte_Eingabe[#Headers],0))</f>
        <v>Daten fehlen</v>
      </c>
      <c r="G103" s="227"/>
      <c r="H103" s="227"/>
      <c r="I103" s="227"/>
      <c r="J103" s="227"/>
      <c r="K103" s="227"/>
      <c r="L103" s="227"/>
      <c r="M103" s="227"/>
      <c r="N103" s="227"/>
      <c r="O103" s="227"/>
    </row>
    <row r="104" spans="2:15">
      <c r="B104" s="227"/>
      <c r="C104" s="227"/>
      <c r="D104" s="227"/>
      <c r="E104" s="227"/>
      <c r="F104" s="227"/>
      <c r="G104" s="227"/>
      <c r="H104" s="227"/>
      <c r="I104" s="227"/>
      <c r="J104" s="227"/>
      <c r="K104" s="227"/>
      <c r="L104" s="227"/>
      <c r="M104" s="227"/>
      <c r="N104" s="227"/>
      <c r="O104" s="227"/>
    </row>
    <row r="105" spans="2:15">
      <c r="B105" s="230" t="s">
        <v>392</v>
      </c>
      <c r="C105" s="238"/>
      <c r="D105" s="230"/>
      <c r="E105" s="230"/>
      <c r="F105" s="227"/>
      <c r="G105" s="227"/>
      <c r="H105" s="227"/>
      <c r="I105" s="227"/>
      <c r="J105" s="227"/>
      <c r="K105" s="227"/>
      <c r="L105" s="227"/>
      <c r="M105" s="227"/>
      <c r="N105" s="227"/>
      <c r="O105" s="227"/>
    </row>
    <row r="106" spans="2:15" ht="15.5">
      <c r="B106" s="173" t="s">
        <v>391</v>
      </c>
      <c r="C106" s="173" t="s">
        <v>2</v>
      </c>
      <c r="D106" s="173"/>
      <c r="E106" s="111" t="s">
        <v>15</v>
      </c>
      <c r="F106" s="111" t="s">
        <v>19</v>
      </c>
      <c r="G106" s="227"/>
      <c r="H106" s="135" t="str">
        <f>_xlfn.CONCAT("Ihre Institution spart ",E106," circa ",FIXED(D93-E107,2)," t CO2-Äq. im Vergleich zu ",D92," ein.")</f>
        <v>Ihre Institution spart 2030 circa 0,00 t CO2-Äq. im Vergleich zu 2021 ein.</v>
      </c>
      <c r="I106" s="134"/>
      <c r="J106" s="134"/>
      <c r="K106" s="134"/>
      <c r="L106" s="134"/>
      <c r="M106" s="134"/>
      <c r="N106" s="134"/>
      <c r="O106" s="227"/>
    </row>
    <row r="107" spans="2:15" ht="16.5">
      <c r="B107" s="239" t="s">
        <v>399</v>
      </c>
      <c r="C107" s="227" t="s">
        <v>195</v>
      </c>
      <c r="D107" s="227"/>
      <c r="E107" s="231">
        <f>INDEX(Klisz_Bundesmix_Handlungsfelder[[#Data],[#Totals]],MATCH('Klisz-Emissionen'!C706,Klisz_Bundesmix_Handlungsfelder[[#Data],[#Totals],[Handlungsfeld]],0),MATCH(E106,Klisz_Bundesmix_Handlungsfelder[#Headers],0))</f>
        <v>0</v>
      </c>
      <c r="F107" s="231">
        <f>INDEX(Klisz_Bundesmix_Handlungsfelder[[#Data],[#Totals]],MATCH('Klisz-Emissionen'!C706,Klisz_Bundesmix_Handlungsfelder[[#Data],[#Totals],[Handlungsfeld]],0),MATCH(F106,Klisz_Bundesmix_Handlungsfelder[#Headers],0))</f>
        <v>0</v>
      </c>
      <c r="G107" s="227"/>
      <c r="H107" s="227"/>
      <c r="I107" s="227"/>
      <c r="J107" s="227"/>
      <c r="K107" s="227"/>
      <c r="L107" s="227"/>
      <c r="M107" s="227"/>
      <c r="N107" s="227"/>
      <c r="O107" s="227"/>
    </row>
    <row r="108" spans="2:15" ht="16.5">
      <c r="B108" s="239" t="s">
        <v>400</v>
      </c>
      <c r="C108" s="227" t="s">
        <v>195</v>
      </c>
      <c r="D108" s="227"/>
      <c r="E108" s="231">
        <f>INDEX(Klisz_Bundesmix_KS80_Handlungsfelder[[#Data],[#Totals]],MATCH('Klisz-Emissionen'!C727,Klisz_Bundesmix_KS80_Handlungsfelder[[#Data],[#Totals],[Handlungsfeld]],0),MATCH(E106,Klisz_Bundesmix_KS80_Handlungsfelder[#Headers],0))</f>
        <v>0</v>
      </c>
      <c r="F108" s="231">
        <f>INDEX(Klisz_Bundesmix_KS80_Handlungsfelder[[#Data],[#Totals]],MATCH('Klisz-Emissionen'!C727,Klisz_Bundesmix_KS80_Handlungsfelder[[#Data],[#Totals],[Handlungsfeld]],0),MATCH(F106,Klisz_Bundesmix_KS80_Handlungsfelder[#Headers],0))</f>
        <v>0</v>
      </c>
      <c r="G108" s="227"/>
      <c r="H108" s="227"/>
      <c r="I108" s="227"/>
      <c r="J108" s="227"/>
      <c r="K108" s="227"/>
      <c r="L108" s="227"/>
      <c r="M108" s="227"/>
      <c r="N108" s="227"/>
      <c r="O108" s="227"/>
    </row>
    <row r="109" spans="2:15" ht="16.5">
      <c r="B109" s="239" t="s">
        <v>398</v>
      </c>
      <c r="C109" s="227" t="s">
        <v>195</v>
      </c>
      <c r="D109" s="227"/>
      <c r="E109" s="231">
        <f>INDEX(Klisz_Regiomix_Handlungsfelder[[#Data],[#Totals]],MATCH('Klisz-Emissionen'!C748,Klisz_Regiomix_Handlungsfelder[[#Data],[#Totals],[Handlungsfeld]],0),MATCH(E106,Klisz_Regiomix_Handlungsfelder[#Headers],0))</f>
        <v>0</v>
      </c>
      <c r="F109" s="231">
        <f>INDEX(Klisz_Regiomix_Handlungsfelder[[#Data],[#Totals]],MATCH('Klisz-Emissionen'!C748,Klisz_Regiomix_Handlungsfelder[[#Data],[#Totals],[Handlungsfeld]],0),MATCH(F106,Klisz_Regiomix_Handlungsfelder[#Headers],0))</f>
        <v>0</v>
      </c>
      <c r="G109" s="227"/>
      <c r="H109" s="227"/>
      <c r="I109" s="227"/>
      <c r="J109" s="227"/>
      <c r="K109" s="227"/>
      <c r="L109" s="227"/>
      <c r="M109" s="227"/>
      <c r="N109" s="227"/>
      <c r="O109" s="227"/>
    </row>
    <row r="110" spans="2:15" ht="16.5">
      <c r="B110" s="240" t="s">
        <v>591</v>
      </c>
      <c r="C110" s="227" t="s">
        <v>195</v>
      </c>
      <c r="D110" s="233"/>
      <c r="E110" s="234">
        <f>INDEX(Klisz_Eigenes_Klimaschutzszenario_Handlungsfelder[[#Data],[#Totals]],MATCH('Klisz-Emissionen'!C769,Klisz_Eigenes_Klimaschutzszenario_Handlungsfelder[[#Data],[#Totals],[Handlungsfeld]],0),MATCH(E106,Klisz_Eigenes_Klimaschutzszenario_Handlungsfelder[#Headers],0))</f>
        <v>0</v>
      </c>
      <c r="F110" s="234">
        <f>INDEX(Klisz_Eigenes_Klimaschutzszenario_Handlungsfelder[[#Data],[#Totals]],MATCH('Klisz-Emissionen'!C769,Klisz_Eigenes_Klimaschutzszenario_Handlungsfelder[[#Data],[#Totals],[Handlungsfeld]],0),MATCH(F106,Klisz_Eigenes_Klimaschutzszenario_Handlungsfelder[#Headers],0))</f>
        <v>0</v>
      </c>
      <c r="G110" s="227"/>
      <c r="H110" s="227"/>
      <c r="I110" s="227"/>
      <c r="J110" s="227"/>
      <c r="K110" s="227"/>
      <c r="L110" s="227"/>
      <c r="M110" s="227"/>
      <c r="N110" s="227"/>
      <c r="O110" s="227"/>
    </row>
    <row r="111" spans="2:15" ht="16.5">
      <c r="B111" s="239" t="s">
        <v>409</v>
      </c>
      <c r="C111" s="235" t="s">
        <v>195</v>
      </c>
      <c r="D111" s="227"/>
      <c r="E111" s="227" t="str">
        <f>IF((INDEX(Kennwerte[],MATCH(Startseite!E73,Kennwerte[Kennwerte],0),MATCH(E106,Kennwerte[#Headers],0))),E107/(INDEX(Kennwerte[],MATCH(Startseite!E73,Kennwerte[Kennwerte],0),MATCH(E106,Kennwerte[#Headers],0))),"Personenanzahl fehlt")</f>
        <v>Personenanzahl fehlt</v>
      </c>
      <c r="F111" s="227" t="str">
        <f>IF((INDEX(Kennwerte[],MATCH(Startseite!E73,Kennwerte[Kennwerte],0),MATCH(F106,Kennwerte[#Headers],0))),F107/(INDEX(Kennwerte[],MATCH(Startseite!E73,Kennwerte[Kennwerte],0),MATCH(F106,Kennwerte[#Headers],0))),"Personenanzahl fehlt")</f>
        <v>Personenanzahl fehlt</v>
      </c>
      <c r="G111" s="227"/>
      <c r="H111" s="135" t="str">
        <f>_xlfn.CONCAT(E106," hätte Ihre Institution ohne Klimaschutz ca. ", FIXED(E93,2)," t CO2-Äq. erzeugt.")</f>
        <v>2030 hätte Ihre Institution ohne Klimaschutz ca. 0,00 t CO2-Äq. erzeugt.</v>
      </c>
      <c r="I111" s="134"/>
      <c r="J111" s="134"/>
      <c r="K111" s="134"/>
      <c r="L111" s="134"/>
      <c r="M111" s="134"/>
      <c r="N111" s="134"/>
      <c r="O111" s="227"/>
    </row>
    <row r="112" spans="2:15" ht="16.5">
      <c r="B112" s="233" t="s">
        <v>410</v>
      </c>
      <c r="C112" s="227" t="s">
        <v>195</v>
      </c>
      <c r="D112" s="227"/>
      <c r="E112" s="227" t="str">
        <f>IF((INDEX(Kennwerte[],MATCH(Startseite!E73,Kennwerte[Kennwerte],0),MATCH(E106,Kennwerte[#Headers],0))),E108/(INDEX(Kennwerte[],MATCH(Startseite!E73,Kennwerte[Kennwerte],0),MATCH(E106,Kennwerte[#Headers],0))),"Personenanzahl fehlt")</f>
        <v>Personenanzahl fehlt</v>
      </c>
      <c r="F112" s="233" t="str">
        <f>IF((INDEX(Kennwerte[],MATCH(Startseite!E73,Kennwerte[Kennwerte],0),MATCH(F106,Kennwerte[#Headers],0))),F109/(INDEX(Kennwerte[],MATCH(Startseite!E73,Kennwerte[Kennwerte],0),MATCH(F106,Kennwerte[#Headers],0))),"Personenanzahl fehlt")</f>
        <v>Personenanzahl fehlt</v>
      </c>
      <c r="G112" s="227"/>
      <c r="H112" s="135" t="str">
        <f>_xlfn.CONCAT("Doch mit Klimaschutz wäre sie 2030 bei ca. ", FIXED(E107,2), " t CO2-Äq.!")</f>
        <v>Doch mit Klimaschutz wäre sie 2030 bei ca. 0,00 t CO2-Äq.!</v>
      </c>
      <c r="I112" s="134"/>
      <c r="J112" s="134"/>
      <c r="K112" s="134"/>
      <c r="L112" s="134"/>
      <c r="M112" s="134"/>
      <c r="N112" s="214"/>
      <c r="O112" s="227"/>
    </row>
    <row r="113" spans="2:15" ht="16.5">
      <c r="B113" s="227" t="s">
        <v>586</v>
      </c>
      <c r="C113" s="235" t="s">
        <v>195</v>
      </c>
      <c r="D113" s="235"/>
      <c r="E113" s="236">
        <f>INDEX(Klisz_Bundesmix_Handlungsfelder[[Handlungsfeld]:[2050]],MATCH('Klisz-Emissionen'!C695,Klisz_Bundesmix_Handlungsfelder[Handlungsfeld],0),MATCH(E106,Klisz_Bundesmix_Handlungsfelder[#Headers],0))+
INDEX(Klisz_Bundesmix_Handlungsfelder[[Handlungsfeld]:[2050]],MATCH('Klisz-Emissionen'!C696,Klisz_Bundesmix_Handlungsfelder[Handlungsfeld],0),MATCH(E106,Klisz_Bundesmix_Handlungsfelder[#Headers],0))+
INDEX(Klisz_Bundesmix_Handlungsfelder[[Handlungsfeld]:[2050]],MATCH('Klisz-Emissionen'!C697,Klisz_Bundesmix_Handlungsfelder[Handlungsfeld],0),MATCH(E106,Klisz_Bundesmix_Handlungsfelder[#Headers],0))+
INDEX(Klisz_Bundesmix_Handlungsfelder[[Handlungsfeld]:[2050]],MATCH('Klisz-Emissionen'!C698,Klisz_Bundesmix_Handlungsfelder[Handlungsfeld],0),MATCH(E106,Klisz_Bundesmix_Handlungsfelder[#Headers],0))</f>
        <v>0</v>
      </c>
      <c r="F113" s="231">
        <f>INDEX(Klisz_Bundesmix_Handlungsfelder[[Handlungsfeld]:[2050]],MATCH('Klisz-Emissionen'!C695,Klisz_Bundesmix_Handlungsfelder[Handlungsfeld],0),MATCH(F106,Klisz_Bundesmix_Handlungsfelder[#Headers],0))+
INDEX(Klisz_Bundesmix_Handlungsfelder[[Handlungsfeld]:[2050]],MATCH('Klisz-Emissionen'!C696,Klisz_Bundesmix_Handlungsfelder[Handlungsfeld],0),MATCH(F106,Klisz_Bundesmix_Handlungsfelder[#Headers],0))+
INDEX(Klisz_Bundesmix_Handlungsfelder[[Handlungsfeld]:[2050]],MATCH('Klisz-Emissionen'!C697,Klisz_Bundesmix_Handlungsfelder[Handlungsfeld],0),MATCH(F106,Klisz_Bundesmix_Handlungsfelder[#Headers],0))+
INDEX(Klisz_Bundesmix_Handlungsfelder[[Handlungsfeld]:[2050]],MATCH('Klisz-Emissionen'!C698,Klisz_Bundesmix_Handlungsfelder[Handlungsfeld],0),MATCH(F106,Klisz_Bundesmix_Handlungsfelder[#Headers],0))</f>
        <v>0</v>
      </c>
      <c r="G113" s="227"/>
      <c r="H113" s="227"/>
      <c r="I113" s="227"/>
      <c r="J113" s="227"/>
      <c r="K113" s="227"/>
      <c r="L113" s="227"/>
      <c r="M113" s="227"/>
      <c r="N113" s="227"/>
      <c r="O113" s="227"/>
    </row>
    <row r="114" spans="2:15" ht="16.5">
      <c r="B114" s="227" t="s">
        <v>587</v>
      </c>
      <c r="C114" s="227" t="s">
        <v>195</v>
      </c>
      <c r="D114" s="227"/>
      <c r="E114" s="231">
        <f>INDEX(Klisz_Bundesmix_KS80_Handlungsfelder[[Handlungsfeld]:[2050]],MATCH('Klisz-Emissionen'!C716,Klisz_Bundesmix_KS80_Handlungsfelder[Handlungsfeld],0),MATCH(E106,Klisz_Bundesmix_KS80_Handlungsfelder[#Headers],0))+
INDEX(Klisz_Bundesmix_KS80_Handlungsfelder[[Handlungsfeld]:[2050]],MATCH('Klisz-Emissionen'!C717,Klisz_Bundesmix_KS80_Handlungsfelder[Handlungsfeld],0),MATCH(E106,Klisz_Regiomix_Handlungsfelder[#Headers],0))+
INDEX(Klisz_Bundesmix_KS80_Handlungsfelder[[Handlungsfeld]:[2050]],MATCH('Klisz-Emissionen'!C718,Klisz_Bundesmix_KS80_Handlungsfelder[Handlungsfeld],0),MATCH(E106,Klisz_Regiomix_Handlungsfelder[#Headers],0))+
INDEX(Klisz_Bundesmix_KS80_Handlungsfelder[[Handlungsfeld]:[2050]],MATCH('Klisz-Emissionen'!C719,Klisz_Bundesmix_KS80_Handlungsfelder[Handlungsfeld],0),MATCH(E106,Klisz_Regiomix_Handlungsfelder[#Headers],0))</f>
        <v>0</v>
      </c>
      <c r="F114" s="231">
        <f>INDEX(Klisz_Bundesmix_KS80_Handlungsfelder[[Handlungsfeld]:[2050]],MATCH('Klisz-Emissionen'!C716,Klisz_Bundesmix_KS80_Handlungsfelder[Handlungsfeld],0),MATCH(F106,Klisz_Bundesmix_KS80_Handlungsfelder[#Headers],0))+
INDEX(Klisz_Bundesmix_KS80_Handlungsfelder[[Handlungsfeld]:[2050]],MATCH('Klisz-Emissionen'!C717,Klisz_Bundesmix_KS80_Handlungsfelder[Handlungsfeld],0),MATCH(F106,Klisz_Regiomix_Handlungsfelder[#Headers],0))+
INDEX(Klisz_Bundesmix_KS80_Handlungsfelder[[Handlungsfeld]:[2050]],MATCH('Klisz-Emissionen'!C718,Klisz_Bundesmix_KS80_Handlungsfelder[Handlungsfeld],0),MATCH(F106,Klisz_Regiomix_Handlungsfelder[#Headers],0))+
INDEX(Klisz_Bundesmix_KS80_Handlungsfelder[[Handlungsfeld]:[2050]],MATCH('Klisz-Emissionen'!C719,Klisz_Bundesmix_KS80_Handlungsfelder[Handlungsfeld],0),MATCH(F106,Klisz_Regiomix_Handlungsfelder[#Headers],0))</f>
        <v>0</v>
      </c>
      <c r="G114" s="227"/>
      <c r="H114" s="227"/>
      <c r="I114" s="227"/>
      <c r="J114" s="227"/>
      <c r="K114" s="227"/>
      <c r="L114" s="227"/>
      <c r="M114" s="227"/>
      <c r="N114" s="227"/>
      <c r="O114" s="227"/>
    </row>
    <row r="115" spans="2:15" ht="16.5">
      <c r="B115" s="239" t="s">
        <v>588</v>
      </c>
      <c r="C115" s="227" t="s">
        <v>195</v>
      </c>
      <c r="D115" s="227"/>
      <c r="E115" s="231">
        <f>INDEX(Klisz_Regiomix_Handlungsfelder[[Handlungsfeld]:[2050]],MATCH('Klisz-Emissionen'!C737,Klisz_Regiomix_Handlungsfelder[Handlungsfeld],0),MATCH(E106,Klisz_Regiomix_Handlungsfelder[#Headers],0))+
INDEX(Klisz_Regiomix_Handlungsfelder[[Handlungsfeld]:[2050]],MATCH('Klisz-Emissionen'!C738,Klisz_Regiomix_Handlungsfelder[Handlungsfeld],0),MATCH(E106,Klisz_Regiomix_Handlungsfelder[#Headers],0))+
INDEX(Klisz_Regiomix_Handlungsfelder[[Handlungsfeld]:[2050]],MATCH('Klisz-Emissionen'!C739,Klisz_Regiomix_Handlungsfelder[Handlungsfeld],0),MATCH(E106,Klisz_Regiomix_Handlungsfelder[#Headers],0))+
INDEX(Klisz_Regiomix_Handlungsfelder[[Handlungsfeld]:[2050]],MATCH('Klisz-Emissionen'!C740,Klisz_Regiomix_Handlungsfelder[Handlungsfeld],0),MATCH(E106,Klisz_Regiomix_Handlungsfelder[#Headers],0))</f>
        <v>0</v>
      </c>
      <c r="F115" s="231">
        <f>INDEX(Klisz_Regiomix_Handlungsfelder[[Handlungsfeld]:[2050]],MATCH('Klisz-Emissionen'!C737,Klisz_Regiomix_Handlungsfelder[Handlungsfeld],0),MATCH(F106,Klisz_Regiomix_Handlungsfelder[#Headers],0))+
INDEX(Klisz_Regiomix_Handlungsfelder[[Handlungsfeld]:[2050]],MATCH('Klisz-Emissionen'!C738,Klisz_Regiomix_Handlungsfelder[Handlungsfeld],0),MATCH(F106,Klisz_Regiomix_Handlungsfelder[#Headers],0))+
INDEX(Klisz_Regiomix_Handlungsfelder[[Handlungsfeld]:[2050]],MATCH('Klisz-Emissionen'!C739,Klisz_Regiomix_Handlungsfelder[Handlungsfeld],0),MATCH(F106,Klisz_Regiomix_Handlungsfelder[#Headers],0))+
INDEX(Klisz_Regiomix_Handlungsfelder[[Handlungsfeld]:[2050]],MATCH('Klisz-Emissionen'!C740,Klisz_Regiomix_Handlungsfelder[Handlungsfeld],0),MATCH(F106,Klisz_Regiomix_Handlungsfelder[#Headers],0))</f>
        <v>0</v>
      </c>
      <c r="G115" s="227"/>
      <c r="H115" s="227"/>
      <c r="I115" s="227"/>
      <c r="J115" s="227"/>
      <c r="K115" s="227"/>
      <c r="L115" s="227"/>
      <c r="M115" s="227"/>
      <c r="N115" s="227"/>
      <c r="O115" s="227"/>
    </row>
    <row r="116" spans="2:15" ht="16.5">
      <c r="B116" s="240" t="s">
        <v>590</v>
      </c>
      <c r="C116" s="227" t="s">
        <v>195</v>
      </c>
      <c r="D116" s="227"/>
      <c r="E116" s="231">
        <f>INDEX(Klisz_Eigenes_Klimaschutzszenario_Handlungsfelder[[Handlungsfeld]:[2050]],MATCH('Klisz-Emissionen'!C758,Klisz_Eigenes_Klimaschutzszenario_Handlungsfelder[Handlungsfeld],0),MATCH(E106,Klisz_Eigenes_Klimaschutzszenario_Handlungsfelder[#Headers],0))+
INDEX(Klisz_Eigenes_Klimaschutzszenario_Handlungsfelder[[Handlungsfeld]:[2050]],MATCH('Klisz-Emissionen'!C759,Klisz_Eigenes_Klimaschutzszenario_Handlungsfelder[Handlungsfeld],0),MATCH(E106,Klisz_Eigenes_Klimaschutzszenario_Handlungsfelder[#Headers],0))+
INDEX(Klisz_Eigenes_Klimaschutzszenario_Handlungsfelder[[Handlungsfeld]:[2050]],MATCH('Klisz-Emissionen'!C760,Klisz_Eigenes_Klimaschutzszenario_Handlungsfelder[Handlungsfeld],0),MATCH(E106,Klisz_Eigenes_Klimaschutzszenario_Handlungsfelder[#Headers],0))+
INDEX(Klisz_Eigenes_Klimaschutzszenario_Handlungsfelder[[Handlungsfeld]:[2050]],MATCH('Klisz-Emissionen'!C761,Klisz_Eigenes_Klimaschutzszenario_Handlungsfelder[Handlungsfeld],0),MATCH(E106,Klisz_Eigenes_Klimaschutzszenario_Handlungsfelder[#Headers],0))</f>
        <v>0</v>
      </c>
      <c r="F116" s="234">
        <f>INDEX(Klisz_Eigenes_Klimaschutzszenario_Handlungsfelder[[Handlungsfeld]:[2050]],MATCH('Klisz-Emissionen'!C758,Klisz_Eigenes_Klimaschutzszenario_Handlungsfelder[Handlungsfeld],0),MATCH(F106,Klisz_Eigenes_Klimaschutzszenario_Handlungsfelder[#Headers],0))+
INDEX(Klisz_Eigenes_Klimaschutzszenario_Handlungsfelder[[Handlungsfeld]:[2050]],MATCH('Klisz-Emissionen'!C759,Klisz_Eigenes_Klimaschutzszenario_Handlungsfelder[Handlungsfeld],0),MATCH(F106,Klisz_Eigenes_Klimaschutzszenario_Handlungsfelder[#Headers],0))+
INDEX(Klisz_Eigenes_Klimaschutzszenario_Handlungsfelder[[Handlungsfeld]:[2050]],MATCH('Klisz-Emissionen'!C760,Klisz_Eigenes_Klimaschutzszenario_Handlungsfelder[Handlungsfeld],0),MATCH(F106,Klisz_Eigenes_Klimaschutzszenario_Handlungsfelder[#Headers],0))+
INDEX(Klisz_Eigenes_Klimaschutzszenario_Handlungsfelder[[Handlungsfeld]:[2050]],MATCH('Klisz-Emissionen'!C761,Klisz_Eigenes_Klimaschutzszenario_Handlungsfelder[Handlungsfeld],0),MATCH(F106,Klisz_Eigenes_Klimaschutzszenario_Handlungsfelder[#Headers],0))</f>
        <v>0</v>
      </c>
      <c r="G116" s="227"/>
      <c r="H116" s="227"/>
      <c r="I116" s="227"/>
      <c r="J116" s="227"/>
      <c r="K116" s="227"/>
      <c r="L116" s="227"/>
      <c r="M116" s="227"/>
      <c r="N116" s="227"/>
      <c r="O116" s="227"/>
    </row>
    <row r="117" spans="2:15" ht="16.5">
      <c r="B117" s="227" t="s">
        <v>394</v>
      </c>
      <c r="C117" s="235" t="s">
        <v>195</v>
      </c>
      <c r="D117" s="235"/>
      <c r="E117" s="236">
        <f>INDEX(Klisz_Bundesmix_Handlungsfelder[[Handlungsfeld]:[2050]],MATCH('Klisz-Emissionen'!C695,Klisz_Bundesmix_Handlungsfelder[Handlungsfeld],0),MATCH(E106,Klisz_Bundesmix_Handlungsfelder[#Headers],0))+
INDEX(Klisz_Bundesmix_Handlungsfelder[[Handlungsfeld]:[2050]],MATCH('Klisz-Emissionen'!C696,Klisz_Bundesmix_Handlungsfelder[Handlungsfeld],0),MATCH(E106,Klisz_Bundesmix_Handlungsfelder[#Headers],0))+
INDEX(Klisz_Bundesmix_Handlungsfelder[[Handlungsfeld]:[2050]],MATCH('Klisz-Emissionen'!C697,Klisz_Bundesmix_Handlungsfelder[Handlungsfeld],0),MATCH(E106,Klisz_Bundesmix_Handlungsfelder[#Headers],0))+
INDEX(Klisz_Emissionen_Bundesmix[[Datenpunkt]:[2050]],MATCH('Klisz-Emissionen'!D48,Klisz_Emissionen_Bundesmix[Datenpunkt],0),MATCH(E106,Klisz_Emissionen_Bundesmix[[#Headers],[Datenpunkt]:[2050]],0))+
INDEX(Klisz_Emissionen_Bundesmix[[Datenpunkt]:[2050]],MATCH('Klisz-Emissionen'!D49,Klisz_Emissionen_Bundesmix[Datenpunkt],0),MATCH(E106,Klisz_Emissionen_Bundesmix[[#Headers],[Datenpunkt]:[2050]],0))+
INDEX(Klisz_Emissionen_Bundesmix[[Datenpunkt]:[2050]],MATCH('Klisz-Emissionen'!D50,Klisz_Emissionen_Bundesmix[Datenpunkt],0),MATCH(E106,Klisz_Emissionen_Bundesmix[[#Headers],[Datenpunkt]:[2050]],0))+
INDEX(Klisz_Emissionen_Bundesmix[[Datenpunkt]:[2050]],MATCH('Klisz-Emissionen'!D51,Klisz_Emissionen_Bundesmix[Datenpunkt],0),MATCH(E106,Klisz_Emissionen_Bundesmix[[#Headers],[Datenpunkt]:[2050]],0))+
INDEX(Klisz_Emissionen_Bundesmix[[Datenpunkt]:[2050]],MATCH('Klisz-Emissionen'!D52,Klisz_Emissionen_Bundesmix[Datenpunkt],0),MATCH(E106,Klisz_Emissionen_Bundesmix[[#Headers],[Datenpunkt]:[2050]],0))</f>
        <v>0</v>
      </c>
      <c r="F117" s="231">
        <f>INDEX(Klisz_Bundesmix_Handlungsfelder[[Handlungsfeld]:[2050]],MATCH('Klisz-Emissionen'!C695,Klisz_Bundesmix_Handlungsfelder[Handlungsfeld],0),MATCH(F106,Klisz_Bundesmix_Handlungsfelder[#Headers],0))+
INDEX(Klisz_Bundesmix_Handlungsfelder[[Handlungsfeld]:[2050]],MATCH('Klisz-Emissionen'!C696,Klisz_Bundesmix_Handlungsfelder[Handlungsfeld],0),MATCH(F106,Klisz_Bundesmix_Handlungsfelder[#Headers],0))+
INDEX(Klisz_Bundesmix_Handlungsfelder[[Handlungsfeld]:[2050]],MATCH('Klisz-Emissionen'!C697,Klisz_Bundesmix_Handlungsfelder[Handlungsfeld],0),MATCH(F106,Klisz_Bundesmix_Handlungsfelder[#Headers],0))+
INDEX(Klisz_Emissionen_Bundesmix[[Datenpunkt]:[2050]],MATCH('Klisz-Emissionen'!D48,Klisz_Emissionen_Bundesmix[Datenpunkt],0),MATCH(F106,Klisz_Emissionen_Bundesmix[[#Headers],[Datenpunkt]:[2050]],0))+
INDEX(Klisz_Emissionen_Bundesmix[[Datenpunkt]:[2050]],MATCH('Klisz-Emissionen'!D49,Klisz_Emissionen_Bundesmix[Datenpunkt],0),MATCH(F106,Klisz_Emissionen_Bundesmix[[#Headers],[Datenpunkt]:[2050]],0))+
INDEX(Klisz_Emissionen_Bundesmix[[Datenpunkt]:[2050]],MATCH('Klisz-Emissionen'!D50,Klisz_Emissionen_Bundesmix[Datenpunkt],0),MATCH(F106,Klisz_Emissionen_Bundesmix[[#Headers],[Datenpunkt]:[2050]],0))+
INDEX(Klisz_Emissionen_Bundesmix[[Datenpunkt]:[2050]],MATCH('Klisz-Emissionen'!D51,Klisz_Emissionen_Bundesmix[Datenpunkt],0),MATCH(F106,Klisz_Emissionen_Bundesmix[[#Headers],[Datenpunkt]:[2050]],0))+
INDEX(Klisz_Emissionen_Bundesmix[[Datenpunkt]:[2050]],MATCH('Klisz-Emissionen'!D52,Klisz_Emissionen_Bundesmix[Datenpunkt],0),MATCH(F106,Klisz_Emissionen_Bundesmix[[#Headers],[Datenpunkt]:[2050]],0))</f>
        <v>0</v>
      </c>
      <c r="G117" s="227"/>
      <c r="H117" s="227"/>
      <c r="I117" s="227"/>
      <c r="J117" s="227"/>
      <c r="K117" s="227"/>
      <c r="L117" s="227"/>
      <c r="M117" s="227"/>
      <c r="N117" s="227"/>
      <c r="O117" s="227"/>
    </row>
    <row r="118" spans="2:15" ht="16.5">
      <c r="B118" s="227" t="s">
        <v>395</v>
      </c>
      <c r="C118" s="227" t="s">
        <v>195</v>
      </c>
      <c r="D118" s="227"/>
      <c r="E118" s="231">
        <f>INDEX(Klisz_Bundesmix_KS80_Handlungsfelder[[Handlungsfeld]:[2050]],MATCH('Klisz-Emissionen'!C716,Klisz_Bundesmix_KS80_Handlungsfelder[Handlungsfeld],0),MATCH(E106,Klisz_Bundesmix_KS80_Handlungsfelder[#Headers],0))+
INDEX(Klisz_Bundesmix_KS80_Handlungsfelder[[Handlungsfeld]:[2050]],MATCH('Klisz-Emissionen'!C717,Klisz_Bundesmix_KS80_Handlungsfelder[Handlungsfeld],0),MATCH(E106,Klisz_Regiomix_Handlungsfelder[#Headers],0))+
INDEX(Klisz_Bundesmix_KS80_Handlungsfelder[[Handlungsfeld]:[2050]],MATCH('Klisz-Emissionen'!C718,Klisz_Bundesmix_KS80_Handlungsfelder[Handlungsfeld],0),MATCH(E106,Klisz_Regiomix_Handlungsfelder[#Headers],0))+
INDEX(Klisz_Emissionen_BundesmixKS80[[Datenpunkt]:[2050]],MATCH('Klisz-Emissionen'!D213,Klisz_Emissionen_BundesmixKS80[Datenpunkt],0),MATCH(E106,Klisz_Emissionen_BundesmixKS80[[#Headers],[Datenpunkt]:[2050]],0))+
INDEX(Klisz_Emissionen_BundesmixKS80[[Datenpunkt]:[2050]],MATCH('Klisz-Emissionen'!D214,Klisz_Emissionen_BundesmixKS80[Datenpunkt],0),MATCH(E106,Klisz_Emissionen_BundesmixKS80[[#Headers],[Datenpunkt]:[2050]],0))+
INDEX(Klisz_Emissionen_BundesmixKS80[[Datenpunkt]:[2050]],MATCH('Klisz-Emissionen'!D215,Klisz_Emissionen_BundesmixKS80[Datenpunkt],0),MATCH(E106,Klisz_Emissionen_BundesmixKS80[[#Headers],[Datenpunkt]:[2050]],0))+
INDEX(Klisz_Emissionen_BundesmixKS80[[Datenpunkt]:[2050]],MATCH('Klisz-Emissionen'!D216,Klisz_Emissionen_BundesmixKS80[Datenpunkt],0),MATCH(E106,Klisz_Emissionen_BundesmixKS80[[#Headers],[Datenpunkt]:[2050]],0))+
INDEX(Klisz_Emissionen_BundesmixKS80[[Datenpunkt]:[2050]],MATCH('Klisz-Emissionen'!D217,Klisz_Emissionen_BundesmixKS80[Datenpunkt],0),MATCH(E106,Klisz_Emissionen_BundesmixKS80[[#Headers],[Datenpunkt]:[2050]],0))</f>
        <v>0</v>
      </c>
      <c r="F118" s="231">
        <f>INDEX(Klisz_Bundesmix_KS80_Handlungsfelder[[Handlungsfeld]:[2050]],MATCH('Klisz-Emissionen'!C716,Klisz_Bundesmix_KS80_Handlungsfelder[Handlungsfeld],0),MATCH(F106,Klisz_Bundesmix_KS80_Handlungsfelder[#Headers],0))+
INDEX(Klisz_Bundesmix_KS80_Handlungsfelder[[Handlungsfeld]:[2050]],MATCH('Klisz-Emissionen'!C717,Klisz_Bundesmix_KS80_Handlungsfelder[Handlungsfeld],0),MATCH(F106,Klisz_Regiomix_Handlungsfelder[#Headers],0))+
INDEX(Klisz_Bundesmix_KS80_Handlungsfelder[[Handlungsfeld]:[2050]],MATCH('Klisz-Emissionen'!C718,Klisz_Bundesmix_KS80_Handlungsfelder[Handlungsfeld],0),MATCH(F106,Klisz_Regiomix_Handlungsfelder[#Headers],0))+
INDEX(Klisz_Emissionen_BundesmixKS80[[Datenpunkt]:[2050]],MATCH('Klisz-Emissionen'!D213,Klisz_Emissionen_BundesmixKS80[Datenpunkt],0),MATCH(F106,Klisz_Emissionen_BundesmixKS80[[#Headers],[Datenpunkt]:[2050]],0))+
INDEX(Klisz_Emissionen_BundesmixKS80[[Datenpunkt]:[2050]],MATCH('Klisz-Emissionen'!D214,Klisz_Emissionen_BundesmixKS80[Datenpunkt],0),MATCH(F106,Klisz_Emissionen_BundesmixKS80[[#Headers],[Datenpunkt]:[2050]],0))+
INDEX(Klisz_Emissionen_BundesmixKS80[[Datenpunkt]:[2050]],MATCH('Klisz-Emissionen'!D215,Klisz_Emissionen_BundesmixKS80[Datenpunkt],0),MATCH(F106,Klisz_Emissionen_BundesmixKS80[[#Headers],[Datenpunkt]:[2050]],0))+
INDEX(Klisz_Emissionen_BundesmixKS80[[Datenpunkt]:[2050]],MATCH('Klisz-Emissionen'!D216,Klisz_Emissionen_BundesmixKS80[Datenpunkt],0),MATCH(F106,Klisz_Emissionen_BundesmixKS80[[#Headers],[Datenpunkt]:[2050]],0))+
INDEX(Klisz_Emissionen_BundesmixKS80[[Datenpunkt]:[2050]],MATCH('Klisz-Emissionen'!D217,Klisz_Emissionen_BundesmixKS80[Datenpunkt],0),MATCH(F106,Klisz_Emissionen_BundesmixKS80[[#Headers],[Datenpunkt]:[2050]],0))</f>
        <v>0</v>
      </c>
      <c r="G118" s="227"/>
      <c r="H118" s="227"/>
      <c r="I118" s="227"/>
      <c r="J118" s="227"/>
      <c r="K118" s="227"/>
      <c r="L118" s="227"/>
      <c r="M118" s="227"/>
      <c r="N118" s="227"/>
      <c r="O118" s="227"/>
    </row>
    <row r="119" spans="2:15" ht="16.5">
      <c r="B119" s="239" t="s">
        <v>396</v>
      </c>
      <c r="C119" s="227" t="s">
        <v>195</v>
      </c>
      <c r="D119" s="227"/>
      <c r="E119" s="231">
        <f>INDEX(Klisz_Regiomix_Handlungsfelder[[Handlungsfeld]:[2050]],MATCH('Klisz-Emissionen'!C737,Klisz_Regiomix_Handlungsfelder[Handlungsfeld],0),MATCH(E106,Klisz_Regiomix_Handlungsfelder[#Headers],0))+
INDEX(Klisz_Regiomix_Handlungsfelder[[Handlungsfeld]:[2050]],MATCH('Klisz-Emissionen'!C738,Klisz_Regiomix_Handlungsfelder[Handlungsfeld],0),MATCH(E106,Klisz_Regiomix_Handlungsfelder[#Headers],0))+
INDEX(Klisz_Regiomix_Handlungsfelder[[Handlungsfeld]:[2050]],MATCH('Klisz-Emissionen'!C739,Klisz_Regiomix_Handlungsfelder[Handlungsfeld],0),MATCH(E106,Klisz_Regiomix_Handlungsfelder[#Headers],0))+
INDEX(Klisz_Emissionen_Regiomix[[Datenpunkt]:[2050]],MATCH('Klisz-Emissionen'!D378,Klisz_Emissionen_Regiomix[Datenpunkt],0),MATCH(E106,Klisz_Emissionen_Regiomix[[#Headers],[Datenpunkt]:[2050]],0))+
INDEX(Klisz_Emissionen_Regiomix[[Datenpunkt]:[2050]],MATCH('Klisz-Emissionen'!D379,Klisz_Emissionen_Regiomix[Datenpunkt],0),MATCH(E106,Klisz_Emissionen_Regiomix[[#Headers],[Datenpunkt]:[2050]],0))+
INDEX(Klisz_Emissionen_Regiomix[[Datenpunkt]:[2050]],MATCH('Klisz-Emissionen'!D380,Klisz_Emissionen_Regiomix[Datenpunkt],0),MATCH(E106,Klisz_Emissionen_Regiomix[[#Headers],[Datenpunkt]:[2050]],0))+
INDEX(Klisz_Emissionen_Regiomix[[Datenpunkt]:[2050]],MATCH('Klisz-Emissionen'!D381,Klisz_Emissionen_Regiomix[Datenpunkt],0),MATCH(E106,Klisz_Emissionen_Regiomix[[#Headers],[Datenpunkt]:[2050]],0))+
INDEX(Klisz_Emissionen_Regiomix[[Datenpunkt]:[2050]],MATCH('Klisz-Emissionen'!D382,Klisz_Emissionen_Regiomix[Datenpunkt],0),MATCH(E106,Klisz_Emissionen_Regiomix[[#Headers],[Datenpunkt]:[2050]],0))</f>
        <v>0</v>
      </c>
      <c r="F119" s="231">
        <f>INDEX(Klisz_Regiomix_Handlungsfelder[[Handlungsfeld]:[2050]],MATCH('Klisz-Emissionen'!C737,Klisz_Regiomix_Handlungsfelder[Handlungsfeld],0),MATCH(F106,Klisz_Regiomix_Handlungsfelder[#Headers],0))+
INDEX(Klisz_Regiomix_Handlungsfelder[[Handlungsfeld]:[2050]],MATCH('Klisz-Emissionen'!C738,Klisz_Regiomix_Handlungsfelder[Handlungsfeld],0),MATCH(F106,Klisz_Regiomix_Handlungsfelder[#Headers],0))+
INDEX(Klisz_Regiomix_Handlungsfelder[[Handlungsfeld]:[2050]],MATCH('Klisz-Emissionen'!C739,Klisz_Regiomix_Handlungsfelder[Handlungsfeld],0),MATCH(F106,Klisz_Regiomix_Handlungsfelder[#Headers],0))+
INDEX(Klisz_Emissionen_Regiomix[[Datenpunkt]:[2050]],MATCH('Klisz-Emissionen'!D378,Klisz_Emissionen_Regiomix[Datenpunkt],0),MATCH(F106,Klisz_Emissionen_Regiomix[[#Headers],[Datenpunkt]:[2050]],0))+
INDEX(Klisz_Emissionen_Regiomix[[Datenpunkt]:[2050]],MATCH('Klisz-Emissionen'!D379,Klisz_Emissionen_Regiomix[Datenpunkt],0),MATCH(F106,Klisz_Emissionen_Regiomix[[#Headers],[Datenpunkt]:[2050]],0))+
INDEX(Klisz_Emissionen_Regiomix[[Datenpunkt]:[2050]],MATCH('Klisz-Emissionen'!D380,Klisz_Emissionen_Regiomix[Datenpunkt],0),MATCH(F106,Klisz_Emissionen_Regiomix[[#Headers],[Datenpunkt]:[2050]],0))+
INDEX(Klisz_Emissionen_Regiomix[[Datenpunkt]:[2050]],MATCH('Klisz-Emissionen'!D381,Klisz_Emissionen_Regiomix[Datenpunkt],0),MATCH(F106,Klisz_Emissionen_Regiomix[[#Headers],[Datenpunkt]:[2050]],0))+
INDEX(Klisz_Emissionen_Regiomix[[Datenpunkt]:[2050]],MATCH('Klisz-Emissionen'!D382,Klisz_Emissionen_Regiomix[Datenpunkt],0),MATCH(F106,Klisz_Emissionen_Regiomix[[#Headers],[Datenpunkt]:[2050]],0))</f>
        <v>0</v>
      </c>
      <c r="G119" s="227"/>
      <c r="H119" s="227"/>
      <c r="I119" s="227"/>
      <c r="J119" s="227"/>
      <c r="K119" s="227"/>
      <c r="L119" s="227"/>
      <c r="M119" s="227"/>
      <c r="N119" s="227"/>
      <c r="O119" s="227"/>
    </row>
    <row r="120" spans="2:15" ht="16.5">
      <c r="B120" s="239" t="s">
        <v>589</v>
      </c>
      <c r="C120" s="233" t="s">
        <v>195</v>
      </c>
      <c r="D120" s="227"/>
      <c r="E120" s="231">
        <f>INDEX(Klisz_Eigenes_Klimaschutzszenario_Handlungsfelder[[Handlungsfeld]:[2050]],MATCH('Klisz-Emissionen'!C758,Klisz_Eigenes_Klimaschutzszenario_Handlungsfelder[Handlungsfeld],0),MATCH(E106,Klisz_Eigenes_Klimaschutzszenario_Handlungsfelder[#Headers],0))+
INDEX(Klisz_Eigenes_Klimaschutzszenario_Handlungsfelder[[Handlungsfeld]:[2050]],MATCH('Klisz-Emissionen'!C759,Klisz_Eigenes_Klimaschutzszenario_Handlungsfelder[Handlungsfeld],0),MATCH(E106,Klisz_Eigenes_Klimaschutzszenario_Handlungsfelder[#Headers],0))+
INDEX(Klisz_Eigenes_Klimaschutzszenario_Handlungsfelder[[Handlungsfeld]:[2050]],MATCH('Klisz-Emissionen'!C760,Klisz_Eigenes_Klimaschutzszenario_Handlungsfelder[Handlungsfeld],0),MATCH(E106,Klisz_Eigenes_Klimaschutzszenario_Handlungsfelder[#Headers],0))+
INDEX(Klisz_Emissionen_Eigenes_Klimaschutzszenario[[Datenpunkt]:[2050]],MATCH('Klisz-Emissionen'!D558,Klisz_Emissionen_Eigenes_Klimaschutzszenario[Datenpunkt],0),MATCH(E106,Klisz_Emissionen_Eigenes_Klimaschutzszenario[[#Headers],[Datenpunkt]:[2050]],0))+
INDEX(Klisz_Emissionen_Eigenes_Klimaschutzszenario[[Datenpunkt]:[2050]],MATCH('Klisz-Emissionen'!D559,Klisz_Emissionen_Eigenes_Klimaschutzszenario[Datenpunkt],0),MATCH(E106,Klisz_Emissionen_Eigenes_Klimaschutzszenario[[#Headers],[Datenpunkt]:[2050]],0))+
INDEX(Klisz_Emissionen_Eigenes_Klimaschutzszenario[[Datenpunkt]:[2050]],MATCH('Klisz-Emissionen'!D560,Klisz_Emissionen_Eigenes_Klimaschutzszenario[Datenpunkt],0),MATCH(E106,Klisz_Emissionen_Eigenes_Klimaschutzszenario[[#Headers],[Datenpunkt]:[2050]],0))+
INDEX(Klisz_Emissionen_Eigenes_Klimaschutzszenario[[Datenpunkt]:[2050]],MATCH('Klisz-Emissionen'!D561,Klisz_Emissionen_Eigenes_Klimaschutzszenario[Datenpunkt],0),MATCH(E106,Klisz_Emissionen_Eigenes_Klimaschutzszenario[[#Headers],[Datenpunkt]:[2050]],0))+
INDEX(Klisz_Emissionen_Eigenes_Klimaschutzszenario[[Datenpunkt]:[2050]],MATCH('Klisz-Emissionen'!D562,Klisz_Emissionen_Eigenes_Klimaschutzszenario[Datenpunkt],0),MATCH(E106,Klisz_Emissionen_Eigenes_Klimaschutzszenario[[#Headers],[Datenpunkt]:[2050]],0))</f>
        <v>0</v>
      </c>
      <c r="F120" s="234">
        <f>INDEX(Klisz_Eigenes_Klimaschutzszenario_Handlungsfelder[[Handlungsfeld]:[2050]],MATCH('Klisz-Emissionen'!C758,Klisz_Eigenes_Klimaschutzszenario_Handlungsfelder[Handlungsfeld],0),MATCH(F106,Klisz_Eigenes_Klimaschutzszenario_Handlungsfelder[#Headers],0))+
INDEX(Klisz_Eigenes_Klimaschutzszenario_Handlungsfelder[[Handlungsfeld]:[2050]],MATCH('Klisz-Emissionen'!C759,Klisz_Eigenes_Klimaschutzszenario_Handlungsfelder[Handlungsfeld],0),MATCH(F106,Klisz_Eigenes_Klimaschutzszenario_Handlungsfelder[#Headers],0))+
INDEX(Klisz_Eigenes_Klimaschutzszenario_Handlungsfelder[[Handlungsfeld]:[2050]],MATCH('Klisz-Emissionen'!C760,Klisz_Eigenes_Klimaschutzszenario_Handlungsfelder[Handlungsfeld],0),MATCH(F106,Klisz_Eigenes_Klimaschutzszenario_Handlungsfelder[#Headers],0))+
INDEX(Klisz_Emissionen_Eigenes_Klimaschutzszenario[[Datenpunkt]:[2050]],MATCH('Klisz-Emissionen'!D558,Klisz_Emissionen_Eigenes_Klimaschutzszenario[Datenpunkt],0),MATCH(F106,Klisz_Emissionen_Eigenes_Klimaschutzszenario[[#Headers],[Datenpunkt]:[2050]],0))+
INDEX(Klisz_Emissionen_Eigenes_Klimaschutzszenario[[Datenpunkt]:[2050]],MATCH('Klisz-Emissionen'!D559,Klisz_Emissionen_Eigenes_Klimaschutzszenario[Datenpunkt],0),MATCH(F106,Klisz_Emissionen_Eigenes_Klimaschutzszenario[[#Headers],[Datenpunkt]:[2050]],0))+
INDEX(Klisz_Emissionen_Eigenes_Klimaschutzszenario[[Datenpunkt]:[2050]],MATCH('Klisz-Emissionen'!D560,Klisz_Emissionen_Eigenes_Klimaschutzszenario[Datenpunkt],0),MATCH(F106,Klisz_Emissionen_Eigenes_Klimaschutzszenario[[#Headers],[Datenpunkt]:[2050]],0))+
INDEX(Klisz_Emissionen_Eigenes_Klimaschutzszenario[[Datenpunkt]:[2050]],MATCH('Klisz-Emissionen'!D561,Klisz_Emissionen_Eigenes_Klimaschutzszenario[Datenpunkt],0),MATCH(F106,Klisz_Emissionen_Eigenes_Klimaschutzszenario[[#Headers],[Datenpunkt]:[2050]],0))+
INDEX(Klisz_Emissionen_Eigenes_Klimaschutzszenario[[Datenpunkt]:[2050]],MATCH('Klisz-Emissionen'!D562,Klisz_Emissionen_Eigenes_Klimaschutzszenario[Datenpunkt],0),MATCH(F106,Klisz_Emissionen_Eigenes_Klimaschutzszenario[[#Headers],[Datenpunkt]:[2050]],0))</f>
        <v>0</v>
      </c>
      <c r="G120" s="227"/>
      <c r="H120" s="227"/>
      <c r="I120" s="227"/>
      <c r="J120" s="227"/>
      <c r="K120" s="227"/>
      <c r="L120" s="227"/>
      <c r="M120" s="227"/>
      <c r="N120" s="227"/>
      <c r="O120" s="227"/>
    </row>
    <row r="121" spans="2:15">
      <c r="B121" s="235" t="s">
        <v>407</v>
      </c>
      <c r="C121" s="227"/>
      <c r="D121" s="235"/>
      <c r="E121" s="237" t="str">
        <f>INDEX(Datengüte_Eingabe[[Datenpunkt der Endenergie]:[2050]],MATCH(Datengüte!B41,Datengüte_Eingabe[Datenpunkt der Endenergie],0),MATCH('KliMax-Auswertung'!E106,Datengüte_Eingabe[#Headers],0))</f>
        <v>Daten fehlen</v>
      </c>
      <c r="F121" s="238" t="str">
        <f>INDEX(Datengüte_Eingabe[[Datenpunkt der Endenergie]:[2050]],MATCH(Datengüte!B41,Datengüte_Eingabe[Datenpunkt der Endenergie],0),MATCH('KliMax-Auswertung'!F106,Datengüte_Eingabe[#Headers],0))</f>
        <v>Daten fehlen</v>
      </c>
      <c r="G121" s="227"/>
      <c r="H121" s="227"/>
      <c r="I121" s="227"/>
      <c r="J121" s="227"/>
      <c r="K121" s="227"/>
      <c r="L121" s="227"/>
      <c r="M121" s="227"/>
      <c r="N121" s="227"/>
      <c r="O121" s="227"/>
    </row>
    <row r="122" spans="2:15">
      <c r="B122" s="241"/>
      <c r="C122" s="227"/>
      <c r="D122" s="241"/>
      <c r="E122" s="242"/>
      <c r="F122" s="238"/>
      <c r="G122" s="227"/>
      <c r="H122" s="227"/>
      <c r="I122" s="227"/>
      <c r="J122" s="227"/>
      <c r="K122" s="227"/>
      <c r="L122" s="227"/>
      <c r="M122" s="227"/>
      <c r="N122" s="227"/>
      <c r="O122" s="227"/>
    </row>
    <row r="123" spans="2:15" ht="15.5">
      <c r="B123" s="226"/>
      <c r="C123" s="227"/>
      <c r="D123" s="227"/>
      <c r="E123" s="227"/>
      <c r="F123" s="227"/>
      <c r="G123" s="227"/>
      <c r="H123" s="227"/>
      <c r="I123" s="227"/>
      <c r="J123" s="227"/>
      <c r="K123" s="227"/>
      <c r="L123" s="227"/>
      <c r="M123" s="227"/>
      <c r="N123" s="227"/>
      <c r="O123" s="227"/>
    </row>
    <row r="124" spans="2:15">
      <c r="B124" s="230"/>
      <c r="C124" s="227"/>
      <c r="D124" s="227"/>
      <c r="E124" s="227"/>
      <c r="F124" s="230"/>
      <c r="G124" s="227"/>
      <c r="H124" s="227"/>
      <c r="I124" s="227"/>
      <c r="J124" s="227"/>
      <c r="K124" s="227"/>
      <c r="L124" s="227"/>
      <c r="M124" s="227"/>
      <c r="N124" s="227"/>
      <c r="O124" s="227"/>
    </row>
    <row r="125" spans="2:15">
      <c r="B125" s="227"/>
      <c r="C125" s="227"/>
      <c r="D125" s="227"/>
      <c r="E125" s="227"/>
      <c r="F125" s="227"/>
      <c r="G125" s="227"/>
      <c r="H125" s="227"/>
      <c r="I125" s="227"/>
      <c r="J125" s="227"/>
      <c r="K125" s="227"/>
      <c r="L125" s="227"/>
      <c r="M125" s="227"/>
      <c r="N125" s="227"/>
      <c r="O125" s="227"/>
    </row>
    <row r="126" spans="2:15">
      <c r="B126" s="227"/>
      <c r="C126" s="227"/>
      <c r="D126" s="227"/>
      <c r="E126" s="227"/>
      <c r="F126" s="227"/>
      <c r="G126" s="227"/>
      <c r="H126" s="227"/>
      <c r="I126" s="227"/>
      <c r="J126" s="227"/>
      <c r="K126" s="227"/>
      <c r="L126" s="227"/>
      <c r="M126" s="227"/>
      <c r="N126" s="227"/>
      <c r="O126" s="227"/>
    </row>
    <row r="127" spans="2:15">
      <c r="B127" s="227"/>
      <c r="C127" s="227"/>
      <c r="D127" s="227"/>
      <c r="E127" s="227"/>
      <c r="F127" s="227"/>
      <c r="G127" s="227"/>
      <c r="H127" s="227"/>
      <c r="I127" s="227"/>
      <c r="J127" s="227"/>
      <c r="K127" s="227"/>
      <c r="L127" s="227"/>
      <c r="M127" s="227"/>
      <c r="N127" s="227"/>
      <c r="O127" s="227"/>
    </row>
    <row r="128" spans="2:15">
      <c r="B128" s="227"/>
      <c r="C128" s="227"/>
      <c r="D128" s="227"/>
      <c r="E128" s="227"/>
      <c r="F128" s="227"/>
      <c r="G128" s="227"/>
      <c r="H128" s="227"/>
      <c r="I128" s="227"/>
      <c r="J128" s="227"/>
      <c r="K128" s="227"/>
      <c r="L128" s="227"/>
      <c r="M128" s="227"/>
      <c r="N128" s="227"/>
      <c r="O128" s="227"/>
    </row>
    <row r="129" spans="1:16">
      <c r="B129" s="227"/>
      <c r="C129" s="227"/>
      <c r="D129" s="227"/>
      <c r="E129" s="227"/>
      <c r="F129" s="227"/>
      <c r="G129" s="227"/>
      <c r="H129" s="227"/>
      <c r="I129" s="227"/>
      <c r="J129" s="227"/>
      <c r="K129" s="227"/>
      <c r="L129" s="227"/>
      <c r="M129" s="227"/>
      <c r="N129" s="227"/>
      <c r="O129" s="227"/>
    </row>
    <row r="130" spans="1:16">
      <c r="B130" s="227"/>
      <c r="C130" s="227"/>
      <c r="D130" s="227"/>
      <c r="E130" s="227"/>
      <c r="F130" s="227"/>
      <c r="G130" s="227"/>
      <c r="H130" s="227"/>
      <c r="I130" s="227"/>
      <c r="J130" s="227"/>
      <c r="K130" s="227"/>
      <c r="L130" s="227"/>
      <c r="M130" s="227"/>
      <c r="N130" s="227"/>
      <c r="O130" s="227"/>
    </row>
    <row r="131" spans="1:16">
      <c r="B131" s="227"/>
      <c r="C131" s="227"/>
      <c r="D131" s="227"/>
      <c r="E131" s="227"/>
      <c r="F131" s="227"/>
      <c r="G131" s="227"/>
      <c r="H131" s="227"/>
      <c r="I131" s="227"/>
      <c r="J131" s="227"/>
      <c r="K131" s="227"/>
      <c r="L131" s="227"/>
      <c r="M131" s="227"/>
      <c r="N131" s="227"/>
      <c r="O131" s="227"/>
    </row>
    <row r="132" spans="1:16">
      <c r="B132" s="227"/>
      <c r="C132" s="227"/>
      <c r="D132" s="227"/>
      <c r="E132" s="227"/>
      <c r="F132" s="227"/>
      <c r="G132" s="227"/>
      <c r="H132" s="227"/>
      <c r="I132" s="227"/>
      <c r="J132" s="227"/>
      <c r="K132" s="227"/>
      <c r="L132" s="227"/>
      <c r="M132" s="227"/>
      <c r="N132" s="227"/>
      <c r="O132" s="227"/>
    </row>
    <row r="133" spans="1:16">
      <c r="B133" s="227"/>
      <c r="C133" s="227"/>
      <c r="D133" s="227"/>
      <c r="E133" s="227"/>
      <c r="F133" s="227"/>
      <c r="G133" s="227"/>
      <c r="H133" s="227"/>
      <c r="I133" s="227"/>
      <c r="J133" s="227"/>
      <c r="K133" s="227"/>
      <c r="L133" s="227"/>
      <c r="M133" s="227"/>
      <c r="N133" s="227"/>
      <c r="O133" s="227"/>
    </row>
    <row r="134" spans="1:16">
      <c r="B134" s="227"/>
      <c r="C134" s="227"/>
      <c r="D134" s="227"/>
      <c r="E134" s="227"/>
      <c r="F134" s="227"/>
      <c r="G134" s="227"/>
      <c r="H134" s="227"/>
      <c r="I134" s="227"/>
      <c r="J134" s="227"/>
      <c r="K134" s="227"/>
      <c r="L134" s="227"/>
      <c r="M134" s="227"/>
      <c r="N134" s="227"/>
      <c r="O134" s="227"/>
    </row>
    <row r="135" spans="1:16">
      <c r="B135" s="227"/>
      <c r="C135" s="227"/>
      <c r="D135" s="227"/>
      <c r="E135" s="227"/>
      <c r="F135" s="227"/>
      <c r="G135" s="227"/>
      <c r="H135" s="227"/>
      <c r="I135" s="227"/>
      <c r="J135" s="227"/>
      <c r="K135" s="227"/>
      <c r="L135" s="227"/>
      <c r="M135" s="227"/>
      <c r="N135" s="227"/>
      <c r="O135" s="227"/>
    </row>
    <row r="136" spans="1:16">
      <c r="B136" s="227"/>
      <c r="C136" s="227"/>
      <c r="D136" s="227"/>
      <c r="E136" s="227"/>
      <c r="F136" s="227"/>
      <c r="G136" s="227"/>
      <c r="H136" s="227"/>
      <c r="I136" s="227"/>
      <c r="J136" s="227"/>
      <c r="K136" s="227"/>
      <c r="L136" s="227"/>
      <c r="M136" s="227"/>
      <c r="N136" s="227"/>
      <c r="O136" s="227"/>
    </row>
    <row r="137" spans="1:16">
      <c r="B137" s="227"/>
      <c r="C137" s="227"/>
      <c r="D137" s="227"/>
      <c r="E137" s="227"/>
      <c r="F137" s="227"/>
      <c r="G137" s="227"/>
      <c r="H137" s="227"/>
      <c r="I137" s="227"/>
      <c r="J137" s="227"/>
      <c r="K137" s="227"/>
      <c r="L137" s="227"/>
      <c r="M137" s="227"/>
      <c r="N137" s="227"/>
      <c r="O137" s="227"/>
    </row>
    <row r="138" spans="1:16">
      <c r="B138" s="227"/>
      <c r="C138" s="227"/>
      <c r="D138" s="227"/>
      <c r="E138" s="227"/>
      <c r="F138" s="227"/>
      <c r="G138" s="227"/>
      <c r="H138" s="227"/>
      <c r="I138" s="227"/>
      <c r="J138" s="227"/>
      <c r="K138" s="227"/>
      <c r="L138" s="227"/>
      <c r="M138" s="227"/>
      <c r="N138" s="227"/>
      <c r="O138" s="227"/>
    </row>
    <row r="139" spans="1:16">
      <c r="B139" s="227"/>
      <c r="C139" s="227"/>
      <c r="D139" s="227"/>
      <c r="E139" s="227"/>
      <c r="F139" s="227"/>
      <c r="G139" s="227"/>
      <c r="H139" s="227"/>
      <c r="I139" s="227"/>
      <c r="J139" s="227"/>
      <c r="K139" s="227"/>
      <c r="L139" s="227"/>
      <c r="M139" s="227"/>
      <c r="N139" s="227"/>
      <c r="O139" s="227"/>
    </row>
    <row r="140" spans="1:16">
      <c r="B140" s="227"/>
      <c r="C140" s="227"/>
      <c r="D140" s="227"/>
      <c r="E140" s="227"/>
      <c r="F140" s="227"/>
      <c r="G140" s="227"/>
      <c r="H140" s="227"/>
      <c r="I140" s="227"/>
      <c r="J140" s="227"/>
      <c r="K140" s="227"/>
      <c r="L140" s="227"/>
      <c r="M140" s="227"/>
      <c r="N140" s="227"/>
      <c r="O140" s="227"/>
    </row>
    <row r="141" spans="1:16">
      <c r="B141" s="227"/>
      <c r="C141" s="227"/>
      <c r="D141" s="227"/>
      <c r="E141" s="227"/>
      <c r="F141" s="227"/>
      <c r="G141" s="227"/>
      <c r="H141" s="227"/>
      <c r="I141" s="227"/>
      <c r="J141" s="227"/>
      <c r="K141" s="227"/>
      <c r="L141" s="227"/>
      <c r="M141" s="227"/>
      <c r="N141" s="227"/>
      <c r="O141" s="227"/>
    </row>
    <row r="142" spans="1:16">
      <c r="B142" s="227"/>
      <c r="C142" s="227"/>
      <c r="D142" s="227"/>
      <c r="E142" s="227"/>
      <c r="F142" s="227"/>
      <c r="G142" s="227"/>
      <c r="H142" s="227"/>
      <c r="I142" s="227"/>
      <c r="J142" s="227"/>
      <c r="K142" s="227"/>
      <c r="L142" s="227"/>
      <c r="M142" s="227"/>
      <c r="N142" s="227"/>
      <c r="O142" s="227"/>
    </row>
    <row r="143" spans="1:16">
      <c r="B143" s="227"/>
      <c r="C143" s="227"/>
      <c r="D143" s="227"/>
      <c r="E143" s="227"/>
      <c r="F143" s="227"/>
      <c r="G143" s="227"/>
      <c r="H143" s="227"/>
      <c r="I143" s="227"/>
      <c r="J143" s="227"/>
      <c r="K143" s="227"/>
      <c r="L143" s="227"/>
      <c r="M143" s="227"/>
      <c r="N143" s="227"/>
      <c r="O143" s="227"/>
    </row>
    <row r="144" spans="1:16">
      <c r="A144" s="199"/>
      <c r="B144" s="199"/>
      <c r="C144" s="199"/>
      <c r="D144" s="199"/>
      <c r="E144" s="199"/>
      <c r="F144" s="199"/>
      <c r="G144" s="199"/>
      <c r="H144" s="199"/>
      <c r="I144" s="199"/>
      <c r="J144" s="199"/>
      <c r="K144" s="199"/>
      <c r="L144" s="199"/>
      <c r="M144" s="199"/>
      <c r="N144" s="199"/>
      <c r="O144" s="199"/>
      <c r="P144" s="199"/>
    </row>
    <row r="145" spans="2:24" ht="15.5">
      <c r="B145" s="205" t="s">
        <v>610</v>
      </c>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row>
    <row r="146" spans="2:24" ht="15.5">
      <c r="B146" s="205" t="s">
        <v>611</v>
      </c>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c r="B147" s="207"/>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row>
    <row r="148" spans="2:24">
      <c r="B148" s="207" t="s">
        <v>393</v>
      </c>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row>
    <row r="149" spans="2:24" ht="15.5">
      <c r="B149" s="173" t="s">
        <v>391</v>
      </c>
      <c r="C149" s="111" t="str">
        <f>Startseite!D67</f>
        <v>2021</v>
      </c>
      <c r="D149" s="111" t="s">
        <v>15</v>
      </c>
      <c r="E149" s="111" t="s">
        <v>19</v>
      </c>
      <c r="F149" s="206"/>
      <c r="G149" s="135" t="str">
        <f>IF(ISNUMBER(C150),_xlfn.CONCAT("Der Mobilitätssekotr macht im Referenzjahr ",C149," ca. ",FIXED(C150*100,0)," % aus."),"Daten fehlen")</f>
        <v>Daten fehlen</v>
      </c>
      <c r="H149" s="134"/>
      <c r="I149" s="134"/>
      <c r="J149" s="134"/>
      <c r="K149" s="134"/>
      <c r="L149" s="134"/>
      <c r="M149" s="206"/>
      <c r="N149" s="206"/>
      <c r="O149" s="206"/>
      <c r="P149" s="206"/>
      <c r="Q149" s="206"/>
      <c r="R149" s="206"/>
      <c r="S149" s="206"/>
      <c r="T149" s="206"/>
      <c r="U149" s="206"/>
      <c r="V149" s="206"/>
      <c r="W149" s="206"/>
      <c r="X149" s="206"/>
    </row>
    <row r="150" spans="2:24">
      <c r="B150" s="208" t="s">
        <v>592</v>
      </c>
      <c r="C150" s="209" t="str">
        <f>IFERROR((INDEX(Modal_Split_Gruppen52[[#Data],[#Totals]],MATCH(Modal_Split_Gruppen52[[#Totals],[Zusammenfassung der Gruppen]],Modal_Split_Gruppen52[[#Data],[#Totals],[Zusammenfassung der Gruppen]],0),MATCH(C149,Modal_Split_Gruppen52[#Headers],0)))/INDEX(Refsz_Bundesmix_Handlungsfelder[[#Data],[#Totals]],MATCH(Refsz_Bundesmix_Handlungsfelder[[#Totals],[Handlungsfeld]],Refsz_Bundesmix_Handlungsfelder[[#Data],[#Totals],[Handlungsfeld]],0),MATCH(C149,Refsz_Bundesmix_Handlungsfelder[#Headers],0)),"")</f>
        <v/>
      </c>
      <c r="D150" s="209" t="str">
        <f>IFERROR((INDEX(Modal_Split_Gruppen52[[#Data],[#Totals]],MATCH(Modal_Split_Gruppen52[[#Totals],[Zusammenfassung der Gruppen]],Modal_Split_Gruppen52[[#Data],[#Totals],[Zusammenfassung der Gruppen]],0),MATCH(D149,Modal_Split_Gruppen52[#Headers],0)))/INDEX(Refsz_Bundesmix_Handlungsfelder[[#Data],[#Totals]],MATCH(Refsz_Bundesmix_Handlungsfelder[[#Totals],[Handlungsfeld]],Refsz_Bundesmix_Handlungsfelder[[#Data],[#Totals],[Handlungsfeld]],0),MATCH(D149,Refsz_Bundesmix_Handlungsfelder[#Headers],0)),"")</f>
        <v/>
      </c>
      <c r="E150" s="209" t="str">
        <f>IFERROR((INDEX(Modal_Split_Gruppen52[[#Data],[#Totals]],MATCH(Modal_Split_Gruppen52[[#Totals],[Zusammenfassung der Gruppen]],Modal_Split_Gruppen52[[#Data],[#Totals],[Zusammenfassung der Gruppen]],0),MATCH(E149,Modal_Split_Gruppen52[#Headers],0)))/INDEX(Refsz_Bundesmix_Handlungsfelder[[#Data],[#Totals]],MATCH(Refsz_Bundesmix_Handlungsfelder[[#Totals],[Handlungsfeld]],Refsz_Bundesmix_Handlungsfelder[[#Data],[#Totals],[Handlungsfeld]],0),MATCH(E149,Refsz_Bundesmix_Handlungsfelder[#Headers],0)),"")</f>
        <v/>
      </c>
      <c r="F150" s="206"/>
      <c r="G150" s="206"/>
      <c r="H150" s="206"/>
      <c r="I150" s="206"/>
      <c r="J150" s="206"/>
      <c r="K150" s="206"/>
      <c r="L150" s="206"/>
      <c r="M150" s="206"/>
      <c r="N150" s="206"/>
      <c r="O150" s="206"/>
      <c r="P150" s="206"/>
      <c r="Q150" s="206"/>
      <c r="R150" s="206"/>
      <c r="S150" s="206"/>
      <c r="T150" s="206"/>
      <c r="U150" s="206"/>
      <c r="V150" s="206"/>
      <c r="W150" s="206"/>
      <c r="X150" s="206"/>
    </row>
    <row r="151" spans="2:24">
      <c r="B151" s="247" t="s">
        <v>593</v>
      </c>
      <c r="C151" s="248" t="str">
        <f>IFERROR(INDEX(Refsz_Bundesmix_Handlungsfelder[[#Data],[#Totals]],MATCH('Refsz-Emissionen'!C353,'Refsz-Emissionen'!C350:C362,0),MATCH(C149,Refsz_Bundesmix_Handlungsfelder[#Headers],0))/INDEX(Refsz_Bundesmix_Handlungsfelder[[#Data],[#Totals]],MATCH(Refsz_Bundesmix_Handlungsfelder[[#Totals],[Handlungsfeld]],Refsz_Bundesmix_Handlungsfelder[[#Data],[#Totals],[Handlungsfeld]],0),MATCH(C149,Refsz_Bundesmix_Handlungsfelder[#Headers],0)),"")</f>
        <v/>
      </c>
      <c r="D151" s="248" t="str">
        <f>IFERROR(INDEX(Refsz_Bundesmix_Handlungsfelder[[#Data],[#Totals]],MATCH('Refsz-Emissionen'!C353,'Refsz-Emissionen'!C350:C362,0),MATCH(D149,Refsz_Bundesmix_Handlungsfelder[#Headers],0))/INDEX(Refsz_Bundesmix_Handlungsfelder[[#Data],[#Totals]],MATCH(Refsz_Bundesmix_Handlungsfelder[[#Totals],[Handlungsfeld]],Refsz_Bundesmix_Handlungsfelder[[#Data],[#Totals],[Handlungsfeld]],0),MATCH(D149,Refsz_Bundesmix_Handlungsfelder[#Headers],0)),"")</f>
        <v/>
      </c>
      <c r="E151" s="248" t="str">
        <f>IFERROR(INDEX(Refsz_Bundesmix_Handlungsfelder[[#Data],[#Totals]],MATCH('Refsz-Emissionen'!C353,'Refsz-Emissionen'!C350:C362,0),MATCH(E149,Refsz_Bundesmix_Handlungsfelder[#Headers],0))/INDEX(Refsz_Bundesmix_Handlungsfelder[[#Data],[#Totals]],MATCH(Refsz_Bundesmix_Handlungsfelder[[#Totals],[Handlungsfeld]],Refsz_Bundesmix_Handlungsfelder[[#Data],[#Totals],[Handlungsfeld]],0),MATCH(E149,Refsz_Bundesmix_Handlungsfelder[#Headers],0)),"")</f>
        <v/>
      </c>
      <c r="F151" s="206"/>
      <c r="G151" s="206"/>
      <c r="H151" s="206"/>
      <c r="I151" s="206"/>
      <c r="J151" s="206"/>
      <c r="K151" s="206"/>
      <c r="L151" s="206"/>
      <c r="M151" s="206"/>
      <c r="N151" s="206"/>
      <c r="O151" s="206"/>
      <c r="P151" s="206"/>
      <c r="Q151" s="206"/>
      <c r="R151" s="206"/>
      <c r="S151" s="206"/>
      <c r="T151" s="206"/>
      <c r="U151" s="206"/>
      <c r="V151" s="206"/>
      <c r="W151" s="206"/>
      <c r="X151" s="206"/>
    </row>
    <row r="152" spans="2:24">
      <c r="B152" s="208" t="s">
        <v>594</v>
      </c>
      <c r="C152" s="209" t="str">
        <f>IFERROR((INDEX(Refsz_Regiomix_Handlungsfelder[[#Data],[#Totals]],MATCH('Refsz-Emissionen'!C374,Refsz_Regiomix_Handlungsfelder[[#Data],[#Totals],[Handlungsfeld]],0),MATCH(C149,Refsz_Regiomix_Handlungsfelder[#Headers],0))+INDEX(Refsz_Regiomix_Handlungsfelder[[#Data],[#Totals]],MATCH('Refsz-Emissionen'!C375,Refsz_Regiomix_Handlungsfelder[[#Data],[#Totals],[Handlungsfeld]],0),MATCH(C149,Refsz_Regiomix_Handlungsfelder[#Headers],0)))/INDEX(Refsz_Regiomix_Handlungsfelder[[#Data],[#Totals]],MATCH(Refsz_Regiomix_Handlungsfelder[[#Totals],[Handlungsfeld]],Refsz_Regiomix_Handlungsfelder[[#Data],[#Totals],[Handlungsfeld]],0),MATCH(C149,Refsz_Regiomix_Handlungsfelder[#Headers],0)),"")</f>
        <v/>
      </c>
      <c r="D152" s="209" t="str">
        <f>IFERROR((INDEX(Refsz_Regiomix_Handlungsfelder[[#Data],[#Totals]],MATCH('Refsz-Emissionen'!C374,Refsz_Regiomix_Handlungsfelder[[#Data],[#Totals],[Handlungsfeld]],0),MATCH(D149,Refsz_Regiomix_Handlungsfelder[#Headers],0))+INDEX(Refsz_Regiomix_Handlungsfelder[[#Data],[#Totals]],MATCH('Refsz-Emissionen'!C375,Refsz_Regiomix_Handlungsfelder[[#Data],[#Totals],[Handlungsfeld]],0),MATCH(D149,Refsz_Regiomix_Handlungsfelder[#Headers],0)))/INDEX(Refsz_Regiomix_Handlungsfelder[[#Data],[#Totals]],MATCH(Refsz_Regiomix_Handlungsfelder[[#Totals],[Handlungsfeld]],Refsz_Regiomix_Handlungsfelder[[#Data],[#Totals],[Handlungsfeld]],0),MATCH(D149,Refsz_Regiomix_Handlungsfelder[#Headers],0)),"")</f>
        <v/>
      </c>
      <c r="E152" s="209" t="str">
        <f>IFERROR((INDEX(Refsz_Regiomix_Handlungsfelder[[#Data],[#Totals]],MATCH('Refsz-Emissionen'!C374,Refsz_Regiomix_Handlungsfelder[[#Data],[#Totals],[Handlungsfeld]],0),MATCH(E149,Refsz_Regiomix_Handlungsfelder[#Headers],0))+INDEX(Refsz_Regiomix_Handlungsfelder[[#Data],[#Totals]],MATCH('Refsz-Emissionen'!C375,Refsz_Regiomix_Handlungsfelder[[#Data],[#Totals],[Handlungsfeld]],0),MATCH(E149,Refsz_Regiomix_Handlungsfelder[#Headers],0)))/INDEX(Refsz_Regiomix_Handlungsfelder[[#Data],[#Totals]],MATCH(Refsz_Regiomix_Handlungsfelder[[#Totals],[Handlungsfeld]],Refsz_Regiomix_Handlungsfelder[[#Data],[#Totals],[Handlungsfeld]],0),MATCH(E149,Refsz_Regiomix_Handlungsfelder[#Headers],0)),"")</f>
        <v/>
      </c>
      <c r="F152" s="206"/>
      <c r="G152" s="206"/>
      <c r="H152" s="206"/>
      <c r="I152" s="206"/>
      <c r="J152" s="206"/>
      <c r="K152" s="206"/>
      <c r="L152" s="206"/>
      <c r="M152" s="206"/>
      <c r="N152" s="206"/>
      <c r="O152" s="206"/>
      <c r="P152" s="206"/>
      <c r="Q152" s="206"/>
      <c r="R152" s="206"/>
      <c r="S152" s="206"/>
      <c r="T152" s="206"/>
      <c r="U152" s="206"/>
      <c r="V152" s="206"/>
      <c r="W152" s="206"/>
      <c r="X152" s="206"/>
    </row>
    <row r="153" spans="2:24">
      <c r="B153" s="208" t="s">
        <v>595</v>
      </c>
      <c r="C153" s="209" t="str">
        <f>IFERROR(INDEX(Refsz_Regiomix_Handlungsfelder[[#Data],[#Totals]],MATCH('Refsz-Emissionen'!C374,'Refsz-Emissionen'!C350:C362,0),MATCH(C149,Refsz_Regiomix_Handlungsfelder[#Headers],0))/INDEX(Refsz_Regiomix_Handlungsfelder[[#Data],[#Totals]],MATCH(Refsz_Regiomix_Handlungsfelder[[#Totals],[Handlungsfeld]],Refsz_Regiomix_Handlungsfelder[[#Data],[#Totals],[Handlungsfeld]],0),MATCH(C149,Refsz_Regiomix_Handlungsfelder[#Headers],0)),"")</f>
        <v/>
      </c>
      <c r="D153" s="209" t="str">
        <f>IFERROR(INDEX(Refsz_Regiomix_Handlungsfelder[[#Data],[#Totals]],MATCH('Refsz-Emissionen'!C374,'Refsz-Emissionen'!C350:C362,0),MATCH(D149,Refsz_Regiomix_Handlungsfelder[#Headers],0))/INDEX(Refsz_Regiomix_Handlungsfelder[[#Data],[#Totals]],MATCH(Refsz_Regiomix_Handlungsfelder[[#Totals],[Handlungsfeld]],Refsz_Regiomix_Handlungsfelder[[#Data],[#Totals],[Handlungsfeld]],0),MATCH(D149,Refsz_Regiomix_Handlungsfelder[#Headers],0)),"")</f>
        <v/>
      </c>
      <c r="E153" s="209" t="str">
        <f>IFERROR(INDEX(Refsz_Regiomix_Handlungsfelder[[#Data],[#Totals]],MATCH('Refsz-Emissionen'!C374,'Refsz-Emissionen'!C350:C362,0),MATCH(E149,Refsz_Regiomix_Handlungsfelder[#Headers],0))/INDEX(Refsz_Regiomix_Handlungsfelder[[#Data],[#Totals]],MATCH(Refsz_Regiomix_Handlungsfelder[[#Totals],[Handlungsfeld]],Refsz_Regiomix_Handlungsfelder[[#Data],[#Totals],[Handlungsfeld]],0),MATCH(E149,Refsz_Regiomix_Handlungsfelder[#Headers],0)),"")</f>
        <v/>
      </c>
      <c r="F153" s="206"/>
      <c r="G153" s="206"/>
      <c r="H153" s="206"/>
      <c r="I153" s="206"/>
      <c r="J153" s="206"/>
      <c r="K153" s="206"/>
      <c r="L153" s="206"/>
      <c r="M153" s="206"/>
      <c r="N153" s="206"/>
      <c r="O153" s="206"/>
      <c r="P153" s="206"/>
      <c r="Q153" s="206"/>
      <c r="R153" s="206"/>
      <c r="S153" s="206"/>
      <c r="T153" s="206"/>
      <c r="U153" s="206"/>
      <c r="V153" s="206"/>
      <c r="W153" s="206"/>
      <c r="X153" s="206"/>
    </row>
    <row r="154" spans="2:24">
      <c r="B154" s="208"/>
      <c r="C154" s="209"/>
      <c r="D154" s="209"/>
      <c r="E154" s="209"/>
      <c r="F154" s="206"/>
      <c r="G154" s="206"/>
      <c r="H154" s="206"/>
      <c r="I154" s="206"/>
      <c r="J154" s="206"/>
      <c r="K154" s="206"/>
      <c r="L154" s="206"/>
      <c r="M154" s="206"/>
      <c r="N154" s="206"/>
      <c r="O154" s="206"/>
      <c r="P154" s="206"/>
      <c r="Q154" s="206"/>
      <c r="R154" s="206"/>
      <c r="S154" s="206"/>
      <c r="T154" s="206"/>
      <c r="U154" s="206"/>
      <c r="V154" s="206"/>
      <c r="W154" s="206"/>
      <c r="X154" s="206"/>
    </row>
    <row r="155" spans="2:24">
      <c r="B155" s="210" t="s">
        <v>392</v>
      </c>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row>
    <row r="156" spans="2:24">
      <c r="B156" s="173" t="s">
        <v>391</v>
      </c>
      <c r="C156" s="111" t="str">
        <f>Startseite!D67</f>
        <v>2021</v>
      </c>
      <c r="D156" s="111" t="s">
        <v>15</v>
      </c>
      <c r="E156" s="111" t="s">
        <v>19</v>
      </c>
      <c r="F156" s="206"/>
      <c r="G156" s="206"/>
      <c r="H156" s="206"/>
      <c r="I156" s="206"/>
      <c r="J156" s="206"/>
      <c r="K156" s="206"/>
      <c r="L156" s="206"/>
      <c r="M156" s="206"/>
      <c r="N156" s="206"/>
      <c r="O156" s="206"/>
      <c r="P156" s="206"/>
      <c r="Q156" s="206"/>
      <c r="R156" s="206"/>
      <c r="S156" s="206"/>
      <c r="T156" s="206"/>
      <c r="U156" s="206"/>
      <c r="V156" s="206"/>
      <c r="W156" s="206"/>
      <c r="X156" s="206"/>
    </row>
    <row r="157" spans="2:24">
      <c r="B157" s="208" t="s">
        <v>596</v>
      </c>
      <c r="C157" s="209" t="str">
        <f>IFERROR(((INDEX(Klisz_Bundesmix_Handlungsfelder[[#Data],[#Totals]],MATCH('Klisz-Emissionen'!C698,Klisz_Bundesmix_Handlungsfelder[[#Data],[#Totals],[Handlungsfeld]],0),MATCH(C156,Klisz_Bundesmix_Handlungsfelder[#Headers],0)))+(INDEX(Klisz_Bundesmix_Handlungsfelder[[#Data],[#Totals]],MATCH('Klisz-Emissionen'!C699,Klisz_Bundesmix_Handlungsfelder[[#Data],[#Totals],[Handlungsfeld]],0),MATCH(C156,Klisz_Bundesmix_Handlungsfelder[#Headers],0))))/INDEX(Klisz_Bundesmix_Handlungsfelder[[#Data],[#Totals]],MATCH(Klisz_Bundesmix_Handlungsfelder[[#Totals],[Handlungsfeld]],Klisz_Bundesmix_Handlungsfelder[[#Data],[#Totals],[Handlungsfeld]],0),MATCH(C156,Klisz_Bundesmix_Handlungsfelder[#Headers],0)),"")</f>
        <v/>
      </c>
      <c r="D157" s="209" t="str">
        <f>IFERROR(((INDEX(Klisz_Bundesmix_Handlungsfelder[[#Data],[#Totals]],MATCH('Klisz-Emissionen'!C698,Klisz_Bundesmix_Handlungsfelder[[#Data],[#Totals],[Handlungsfeld]],0),MATCH(D156,Klisz_Bundesmix_Handlungsfelder[#Headers],0)))+(INDEX(Klisz_Bundesmix_Handlungsfelder[[#Data],[#Totals]],MATCH('Klisz-Emissionen'!C699,Klisz_Bundesmix_Handlungsfelder[[#Data],[#Totals],[Handlungsfeld]],0),MATCH(D156,Klisz_Bundesmix_Handlungsfelder[#Headers],0))))/INDEX(Klisz_Bundesmix_Handlungsfelder[[#Data],[#Totals]],MATCH(Klisz_Bundesmix_Handlungsfelder[[#Totals],[Handlungsfeld]],Klisz_Bundesmix_Handlungsfelder[[#Data],[#Totals],[Handlungsfeld]],0),MATCH(D156,Klisz_Bundesmix_Handlungsfelder[#Headers],0)),"")</f>
        <v/>
      </c>
      <c r="E157" s="209" t="str">
        <f>IFERROR(((INDEX(Klisz_Bundesmix_Handlungsfelder[[#Data],[#Totals]],MATCH('Klisz-Emissionen'!C698,Klisz_Bundesmix_Handlungsfelder[[#Data],[#Totals],[Handlungsfeld]],0),MATCH(E156,Klisz_Bundesmix_Handlungsfelder[#Headers],0)))+(INDEX(Klisz_Bundesmix_Handlungsfelder[[#Data],[#Totals]],MATCH('Klisz-Emissionen'!C699,Klisz_Bundesmix_Handlungsfelder[[#Data],[#Totals],[Handlungsfeld]],0),MATCH(E156,Klisz_Bundesmix_Handlungsfelder[#Headers],0))))/INDEX(Klisz_Bundesmix_Handlungsfelder[[#Data],[#Totals]],MATCH(Klisz_Bundesmix_Handlungsfelder[[#Totals],[Handlungsfeld]],Klisz_Bundesmix_Handlungsfelder[[#Data],[#Totals],[Handlungsfeld]],0),MATCH(E156,Klisz_Bundesmix_Handlungsfelder[#Headers],0)),"")</f>
        <v/>
      </c>
      <c r="F157" s="206"/>
      <c r="G157" s="206"/>
      <c r="H157" s="206"/>
      <c r="I157" s="206"/>
      <c r="J157" s="206"/>
      <c r="K157" s="206"/>
      <c r="L157" s="206"/>
      <c r="M157" s="206"/>
      <c r="N157" s="206"/>
      <c r="O157" s="206"/>
      <c r="P157" s="206"/>
      <c r="Q157" s="206"/>
      <c r="R157" s="206"/>
      <c r="S157" s="206"/>
      <c r="T157" s="206"/>
      <c r="U157" s="206"/>
      <c r="V157" s="206"/>
      <c r="W157" s="206"/>
      <c r="X157" s="206"/>
    </row>
    <row r="158" spans="2:24">
      <c r="B158" s="247" t="s">
        <v>593</v>
      </c>
      <c r="C158" s="248" t="str">
        <f>IFERROR(INDEX(Klisz_Bundesmix_Handlungsfelder[[#Data],[#Totals]],MATCH('Klisz-Emissionen'!D369,'Klisz-Emissionen'!D366:D378,0),MATCH(C156,Klisz_Bundesmix_Handlungsfelder[#Headers],0))/INDEX(Klisz_Bundesmix_Handlungsfelder[[#Data],[#Totals]],MATCH(Klisz_Bundesmix_Handlungsfelder[[#Totals],[Handlungsfeld]],Klisz_Bundesmix_Handlungsfelder[[#Data],[#Totals],[Handlungsfeld]],0),MATCH(C156,Klisz_Bundesmix_Handlungsfelder[#Headers],0)),"")</f>
        <v/>
      </c>
      <c r="D158" s="248" t="str">
        <f>IFERROR(INDEX(Klisz_Bundesmix_Handlungsfelder[[#Data],[#Totals]],MATCH('Klisz-Emissionen'!D369,'Klisz-Emissionen'!D366:D378,0),MATCH(D156,Klisz_Bundesmix_Handlungsfelder[#Headers],0))/INDEX(Klisz_Bundesmix_Handlungsfelder[[#Data],[#Totals]],MATCH(Klisz_Bundesmix_Handlungsfelder[[#Totals],[Handlungsfeld]],Klisz_Bundesmix_Handlungsfelder[[#Data],[#Totals],[Handlungsfeld]],0),MATCH(D156,Klisz_Bundesmix_Handlungsfelder[#Headers],0)),"")</f>
        <v/>
      </c>
      <c r="E158" s="248" t="str">
        <f>IFERROR(INDEX(Klisz_Bundesmix_Handlungsfelder[[#Data],[#Totals]],MATCH('Klisz-Emissionen'!D369,'Klisz-Emissionen'!D366:D378,0),MATCH(E156,Klisz_Bundesmix_Handlungsfelder[#Headers],0))/INDEX(Klisz_Bundesmix_Handlungsfelder[[#Data],[#Totals]],MATCH(Klisz_Bundesmix_Handlungsfelder[[#Totals],[Handlungsfeld]],Klisz_Bundesmix_Handlungsfelder[[#Data],[#Totals],[Handlungsfeld]],0),MATCH(E156,Klisz_Bundesmix_Handlungsfelder[#Headers],0)),"")</f>
        <v/>
      </c>
      <c r="F158" s="206"/>
      <c r="G158" s="206"/>
      <c r="H158" s="206"/>
      <c r="I158" s="206"/>
      <c r="J158" s="206"/>
      <c r="K158" s="206"/>
      <c r="L158" s="206"/>
      <c r="M158" s="206"/>
      <c r="N158" s="206"/>
      <c r="O158" s="206"/>
      <c r="P158" s="206"/>
      <c r="Q158" s="206"/>
      <c r="R158" s="206"/>
      <c r="S158" s="206"/>
      <c r="T158" s="206"/>
      <c r="U158" s="206"/>
      <c r="V158" s="206"/>
      <c r="W158" s="206"/>
      <c r="X158" s="206"/>
    </row>
    <row r="159" spans="2:24">
      <c r="B159" s="208" t="s">
        <v>597</v>
      </c>
      <c r="C159" s="209" t="str">
        <f>IFERROR(((INDEX(Klisz_Regiomix_Handlungsfelder[[#Data],[#Totals]],MATCH('Klisz-Emissionen'!C740,Klisz_Regiomix_Handlungsfelder[[#Data],[#Totals],[Handlungsfeld]],0),MATCH(C156,Klisz_Regiomix_Handlungsfelder[#Headers],0)))+(INDEX(Klisz_Regiomix_Handlungsfelder[[#Data],[#Totals]],MATCH('Klisz-Emissionen'!C741,Klisz_Regiomix_Handlungsfelder[[#Data],[#Totals],[Handlungsfeld]],0),MATCH(C156,Klisz_Regiomix_Handlungsfelder[#Headers],0))))/INDEX(Klisz_Regiomix_Handlungsfelder[[#Data],[#Totals]],MATCH(Klisz_Regiomix_Handlungsfelder[[#Totals],[Handlungsfeld]],Klisz_Regiomix_Handlungsfelder[[#Data],[#Totals],[Handlungsfeld]],0),MATCH(C156,Klisz_Regiomix_Handlungsfelder[#Headers],0)),"")</f>
        <v/>
      </c>
      <c r="D159" s="209" t="str">
        <f>IFERROR(((INDEX(Klisz_Regiomix_Handlungsfelder[[#Data],[#Totals]],MATCH('Klisz-Emissionen'!C740,Klisz_Regiomix_Handlungsfelder[[#Data],[#Totals],[Handlungsfeld]],0),MATCH(D156,Klisz_Regiomix_Handlungsfelder[#Headers],0)))+(INDEX(Klisz_Regiomix_Handlungsfelder[[#Data],[#Totals]],MATCH('Klisz-Emissionen'!C741,Klisz_Regiomix_Handlungsfelder[[#Data],[#Totals],[Handlungsfeld]],0),MATCH(D156,Klisz_Regiomix_Handlungsfelder[#Headers],0))))/INDEX(Klisz_Regiomix_Handlungsfelder[[#Data],[#Totals]],MATCH(Klisz_Regiomix_Handlungsfelder[[#Totals],[Handlungsfeld]],Klisz_Regiomix_Handlungsfelder[[#Data],[#Totals],[Handlungsfeld]],0),MATCH(D156,Klisz_Regiomix_Handlungsfelder[#Headers],0)),"")</f>
        <v/>
      </c>
      <c r="E159" s="209" t="str">
        <f>IFERROR(((INDEX(Klisz_Regiomix_Handlungsfelder[[#Data],[#Totals]],MATCH('Klisz-Emissionen'!C740,Klisz_Regiomix_Handlungsfelder[[#Data],[#Totals],[Handlungsfeld]],0),MATCH(E156,Klisz_Regiomix_Handlungsfelder[#Headers],0)))+(INDEX(Klisz_Regiomix_Handlungsfelder[[#Data],[#Totals]],MATCH('Klisz-Emissionen'!C741,Klisz_Regiomix_Handlungsfelder[[#Data],[#Totals],[Handlungsfeld]],0),MATCH(E156,Klisz_Regiomix_Handlungsfelder[#Headers],0))))/INDEX(Klisz_Regiomix_Handlungsfelder[[#Data],[#Totals]],MATCH(Klisz_Regiomix_Handlungsfelder[[#Totals],[Handlungsfeld]],Klisz_Regiomix_Handlungsfelder[[#Data],[#Totals],[Handlungsfeld]],0),MATCH(E156,Klisz_Regiomix_Handlungsfelder[#Headers],0)),"")</f>
        <v/>
      </c>
      <c r="F159" s="206"/>
      <c r="G159" s="206"/>
      <c r="H159" s="206"/>
      <c r="I159" s="206"/>
      <c r="J159" s="206"/>
      <c r="K159" s="206"/>
      <c r="L159" s="206"/>
      <c r="M159" s="206"/>
      <c r="N159" s="206"/>
      <c r="O159" s="206"/>
      <c r="P159" s="206"/>
      <c r="Q159" s="206"/>
      <c r="R159" s="206"/>
      <c r="S159" s="206"/>
      <c r="T159" s="206"/>
      <c r="U159" s="206"/>
      <c r="V159" s="206"/>
      <c r="W159" s="206"/>
      <c r="X159" s="206"/>
    </row>
    <row r="160" spans="2:24">
      <c r="B160" s="208" t="s">
        <v>595</v>
      </c>
      <c r="C160" s="209" t="str">
        <f>IFERROR(INDEX(Klisz_Regiomix_Handlungsfelder[[#Data],[#Totals]],MATCH('Klisz-Emissionen'!C740,Klisz_Regiomix_Handlungsfelder[[#Data],[#Totals],[Handlungsfeld]],0),MATCH(C156,Klisz_Regiomix_Handlungsfelder[#Headers],0))/INDEX(Klisz_Regiomix_Handlungsfelder[[#Data],[#Totals]],MATCH(Klisz_Regiomix_Handlungsfelder[[#Totals],[Handlungsfeld]],Klisz_Regiomix_Handlungsfelder[[#Data],[#Totals],[Handlungsfeld]],0),MATCH(C156,Klisz_Regiomix_Handlungsfelder[#Headers],0)),"")</f>
        <v/>
      </c>
      <c r="D160" s="209" t="str">
        <f>IFERROR(INDEX(Klisz_Regiomix_Handlungsfelder[[#Data],[#Totals]],MATCH('Klisz-Emissionen'!C740,Klisz_Regiomix_Handlungsfelder[[#Data],[#Totals],[Handlungsfeld]],0),MATCH(D156,Klisz_Regiomix_Handlungsfelder[#Headers],0))/INDEX(Klisz_Regiomix_Handlungsfelder[[#Data],[#Totals]],MATCH(Klisz_Regiomix_Handlungsfelder[[#Totals],[Handlungsfeld]],Klisz_Regiomix_Handlungsfelder[[#Data],[#Totals],[Handlungsfeld]],0),MATCH(D156,Klisz_Regiomix_Handlungsfelder[#Headers],0)),"")</f>
        <v/>
      </c>
      <c r="E160" s="209" t="str">
        <f>IFERROR(INDEX(Klisz_Regiomix_Handlungsfelder[[#Data],[#Totals]],MATCH('Klisz-Emissionen'!C740,Klisz_Regiomix_Handlungsfelder[[#Data],[#Totals],[Handlungsfeld]],0),MATCH(E156,Klisz_Regiomix_Handlungsfelder[#Headers],0))/INDEX(Klisz_Regiomix_Handlungsfelder[[#Data],[#Totals]],MATCH(Klisz_Regiomix_Handlungsfelder[[#Totals],[Handlungsfeld]],Klisz_Regiomix_Handlungsfelder[[#Data],[#Totals],[Handlungsfeld]],0),MATCH(E156,Klisz_Regiomix_Handlungsfelder[#Headers],0)),"")</f>
        <v/>
      </c>
      <c r="F160" s="206"/>
      <c r="G160" s="206"/>
      <c r="H160" s="206"/>
      <c r="I160" s="206"/>
      <c r="J160" s="206"/>
      <c r="K160" s="206"/>
      <c r="L160" s="206"/>
      <c r="M160" s="206"/>
      <c r="N160" s="206"/>
      <c r="O160" s="206"/>
      <c r="P160" s="206"/>
      <c r="Q160" s="206"/>
      <c r="R160" s="206"/>
      <c r="S160" s="206"/>
      <c r="T160" s="206"/>
      <c r="U160" s="206"/>
      <c r="V160" s="206"/>
      <c r="W160" s="206"/>
      <c r="X160" s="206"/>
    </row>
    <row r="161" spans="2:24" ht="15.5">
      <c r="B161" s="20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row>
    <row r="162" spans="2:24" ht="15.5">
      <c r="B162" s="205" t="s">
        <v>612</v>
      </c>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row>
    <row r="163" spans="2:24">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row>
    <row r="164" spans="2:24" ht="15.5">
      <c r="B164" s="211" t="s">
        <v>619</v>
      </c>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row>
    <row r="165" spans="2:24" ht="15.5" hidden="1">
      <c r="B165" s="205" t="s">
        <v>449</v>
      </c>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row>
    <row r="166" spans="2:24" hidden="1">
      <c r="B166" s="214" t="s">
        <v>241</v>
      </c>
      <c r="C166" s="214" t="s">
        <v>2</v>
      </c>
      <c r="D166" s="214" t="s">
        <v>3</v>
      </c>
      <c r="E166" s="214" t="s">
        <v>4</v>
      </c>
      <c r="F166" s="214" t="s">
        <v>5</v>
      </c>
      <c r="G166" s="214" t="s">
        <v>6</v>
      </c>
      <c r="H166" s="214" t="s">
        <v>7</v>
      </c>
      <c r="I166" s="214" t="s">
        <v>8</v>
      </c>
      <c r="J166" s="214" t="s">
        <v>9</v>
      </c>
      <c r="K166" s="214" t="s">
        <v>10</v>
      </c>
      <c r="L166" s="214" t="s">
        <v>11</v>
      </c>
      <c r="M166" s="214" t="s">
        <v>12</v>
      </c>
      <c r="N166" s="214" t="s">
        <v>13</v>
      </c>
      <c r="O166" s="214" t="s">
        <v>14</v>
      </c>
      <c r="P166" s="214" t="s">
        <v>216</v>
      </c>
      <c r="Q166" s="214" t="s">
        <v>217</v>
      </c>
      <c r="R166" s="214" t="s">
        <v>218</v>
      </c>
      <c r="S166" s="214" t="s">
        <v>15</v>
      </c>
      <c r="T166" s="214" t="s">
        <v>16</v>
      </c>
      <c r="U166" s="214" t="s">
        <v>17</v>
      </c>
      <c r="V166" s="214" t="s">
        <v>18</v>
      </c>
      <c r="W166" s="214" t="s">
        <v>19</v>
      </c>
      <c r="X166" s="206"/>
    </row>
    <row r="167" spans="2:24" hidden="1">
      <c r="B167" s="206" t="str">
        <f>'Refsz-Verbräuche'!D48</f>
        <v>Fuhrpark (Diesel)</v>
      </c>
      <c r="C167" s="206" t="str">
        <f>'Refsz-Verbräuche'!E48</f>
        <v>Fkm</v>
      </c>
      <c r="D167" s="212" t="str">
        <f>IF(ISBLANK('Refsz-Verbräuche'!F48), "", 'Refsz-Verbräuche'!F48)</f>
        <v/>
      </c>
      <c r="E167" s="212" t="str">
        <f>IF(ISBLANK('Refsz-Verbräuche'!G48), "", 'Refsz-Verbräuche'!G48)</f>
        <v/>
      </c>
      <c r="F167" s="212" t="str">
        <f>IF(ISBLANK('Refsz-Verbräuche'!H48), "", 'Refsz-Verbräuche'!H48)</f>
        <v/>
      </c>
      <c r="G167" s="212" t="str">
        <f>IF(ISBLANK('Refsz-Verbräuche'!I48), "", 'Refsz-Verbräuche'!I48)</f>
        <v/>
      </c>
      <c r="H167" s="212" t="str">
        <f>IF(ISBLANK('Refsz-Verbräuche'!J48), "", 'Refsz-Verbräuche'!J48)</f>
        <v/>
      </c>
      <c r="I167" s="212" t="str">
        <f>IF(ISBLANK('Refsz-Verbräuche'!K48), "", 'Refsz-Verbräuche'!K48)</f>
        <v/>
      </c>
      <c r="J167" s="212" t="str">
        <f>IF(ISBLANK('Refsz-Verbräuche'!L48), "", 'Refsz-Verbräuche'!L48)</f>
        <v/>
      </c>
      <c r="K167" s="212" t="str">
        <f>IF(ISBLANK('Refsz-Verbräuche'!M48), "", 'Refsz-Verbräuche'!M48)</f>
        <v/>
      </c>
      <c r="L167" s="212" t="str">
        <f>IF(ISBLANK('Refsz-Verbräuche'!N48), "", 'Refsz-Verbräuche'!N48)</f>
        <v/>
      </c>
      <c r="M167" s="212" t="str">
        <f>IF(ISBLANK('Refsz-Verbräuche'!O48), "", 'Refsz-Verbräuche'!O48)</f>
        <v/>
      </c>
      <c r="N167" s="212" t="str">
        <f>IF(ISBLANK('Refsz-Verbräuche'!P48), "", 'Refsz-Verbräuche'!P48)</f>
        <v/>
      </c>
      <c r="O167" s="212" t="str">
        <f>IF(ISBLANK('Refsz-Verbräuche'!Q48), "", 'Refsz-Verbräuche'!Q48)</f>
        <v/>
      </c>
      <c r="P167" s="212" t="str">
        <f>IF(ISBLANK('Refsz-Verbräuche'!R48), "", 'Refsz-Verbräuche'!R48)</f>
        <v/>
      </c>
      <c r="Q167" s="212" t="str">
        <f>IF(ISBLANK('Refsz-Verbräuche'!S48), "", 'Refsz-Verbräuche'!S48)</f>
        <v/>
      </c>
      <c r="R167" s="212" t="str">
        <f>IF(ISBLANK('Refsz-Verbräuche'!T48), "", 'Refsz-Verbräuche'!T48)</f>
        <v/>
      </c>
      <c r="S167" s="212" t="str">
        <f>IF(ISBLANK('Refsz-Verbräuche'!U48), "", 'Refsz-Verbräuche'!U48)</f>
        <v/>
      </c>
      <c r="T167" s="212" t="str">
        <f>IF(ISBLANK('Refsz-Verbräuche'!V48), "", 'Refsz-Verbräuche'!V48)</f>
        <v/>
      </c>
      <c r="U167" s="212" t="str">
        <f>IF(ISBLANK('Refsz-Verbräuche'!W48), "", 'Refsz-Verbräuche'!W48)</f>
        <v/>
      </c>
      <c r="V167" s="212" t="str">
        <f>IF(ISBLANK('Refsz-Verbräuche'!X48), "", 'Refsz-Verbräuche'!X48)</f>
        <v/>
      </c>
      <c r="W167" s="212" t="str">
        <f>IF(ISBLANK('Refsz-Verbräuche'!Y48), "", 'Refsz-Verbräuche'!Y48)</f>
        <v/>
      </c>
      <c r="X167" s="206"/>
    </row>
    <row r="168" spans="2:24" hidden="1">
      <c r="B168" s="206" t="str">
        <f>'Refsz-Verbräuche'!D49</f>
        <v>Fuhrpark (Benzin)</v>
      </c>
      <c r="C168" s="206" t="str">
        <f>'Refsz-Verbräuche'!E49</f>
        <v>Fkm</v>
      </c>
      <c r="D168" s="212" t="str">
        <f>IF(ISBLANK('Refsz-Verbräuche'!F49), "", 'Refsz-Verbräuche'!F49)</f>
        <v/>
      </c>
      <c r="E168" s="212" t="str">
        <f>IF(ISBLANK('Refsz-Verbräuche'!G49), "", 'Refsz-Verbräuche'!G49)</f>
        <v/>
      </c>
      <c r="F168" s="212" t="str">
        <f>IF(ISBLANK('Refsz-Verbräuche'!H49), "", 'Refsz-Verbräuche'!H49)</f>
        <v/>
      </c>
      <c r="G168" s="212" t="str">
        <f>IF(ISBLANK('Refsz-Verbräuche'!I49), "", 'Refsz-Verbräuche'!I49)</f>
        <v/>
      </c>
      <c r="H168" s="212" t="str">
        <f>IF(ISBLANK('Refsz-Verbräuche'!J49), "", 'Refsz-Verbräuche'!J49)</f>
        <v/>
      </c>
      <c r="I168" s="212" t="str">
        <f>IF(ISBLANK('Refsz-Verbräuche'!K49), "", 'Refsz-Verbräuche'!K49)</f>
        <v/>
      </c>
      <c r="J168" s="212" t="str">
        <f>IF(ISBLANK('Refsz-Verbräuche'!L49), "", 'Refsz-Verbräuche'!L49)</f>
        <v/>
      </c>
      <c r="K168" s="212" t="str">
        <f>IF(ISBLANK('Refsz-Verbräuche'!M49), "", 'Refsz-Verbräuche'!M49)</f>
        <v/>
      </c>
      <c r="L168" s="212" t="str">
        <f>IF(ISBLANK('Refsz-Verbräuche'!N49), "", 'Refsz-Verbräuche'!N49)</f>
        <v/>
      </c>
      <c r="M168" s="212" t="str">
        <f>IF(ISBLANK('Refsz-Verbräuche'!O49), "", 'Refsz-Verbräuche'!O49)</f>
        <v/>
      </c>
      <c r="N168" s="212" t="str">
        <f>IF(ISBLANK('Refsz-Verbräuche'!P49), "", 'Refsz-Verbräuche'!P49)</f>
        <v/>
      </c>
      <c r="O168" s="212" t="str">
        <f>IF(ISBLANK('Refsz-Verbräuche'!Q49), "", 'Refsz-Verbräuche'!Q49)</f>
        <v/>
      </c>
      <c r="P168" s="212" t="str">
        <f>IF(ISBLANK('Refsz-Verbräuche'!R49), "", 'Refsz-Verbräuche'!R49)</f>
        <v/>
      </c>
      <c r="Q168" s="212" t="str">
        <f>IF(ISBLANK('Refsz-Verbräuche'!S49), "", 'Refsz-Verbräuche'!S49)</f>
        <v/>
      </c>
      <c r="R168" s="212" t="str">
        <f>IF(ISBLANK('Refsz-Verbräuche'!T49), "", 'Refsz-Verbräuche'!T49)</f>
        <v/>
      </c>
      <c r="S168" s="212" t="str">
        <f>IF(ISBLANK('Refsz-Verbräuche'!U49), "", 'Refsz-Verbräuche'!U49)</f>
        <v/>
      </c>
      <c r="T168" s="212" t="str">
        <f>IF(ISBLANK('Refsz-Verbräuche'!V49), "", 'Refsz-Verbräuche'!V49)</f>
        <v/>
      </c>
      <c r="U168" s="212" t="str">
        <f>IF(ISBLANK('Refsz-Verbräuche'!W49), "", 'Refsz-Verbräuche'!W49)</f>
        <v/>
      </c>
      <c r="V168" s="212" t="str">
        <f>IF(ISBLANK('Refsz-Verbräuche'!X49), "", 'Refsz-Verbräuche'!X49)</f>
        <v/>
      </c>
      <c r="W168" s="212" t="str">
        <f>IF(ISBLANK('Refsz-Verbräuche'!Y49), "", 'Refsz-Verbräuche'!Y49)</f>
        <v/>
      </c>
      <c r="X168" s="206"/>
    </row>
    <row r="169" spans="2:24" hidden="1">
      <c r="B169" s="206" t="str">
        <f>'Refsz-Verbräuche'!D50</f>
        <v>Fuhrpark (E-Auto/ BEV)</v>
      </c>
      <c r="C169" s="206" t="str">
        <f>'Refsz-Verbräuche'!E50</f>
        <v>Fkm</v>
      </c>
      <c r="D169" s="212" t="str">
        <f>IF(ISBLANK('Refsz-Verbräuche'!F50), "", 'Refsz-Verbräuche'!F50)</f>
        <v/>
      </c>
      <c r="E169" s="212" t="str">
        <f>IF(ISBLANK('Refsz-Verbräuche'!G50), "", 'Refsz-Verbräuche'!G50)</f>
        <v/>
      </c>
      <c r="F169" s="212" t="str">
        <f>IF(ISBLANK('Refsz-Verbräuche'!H50), "", 'Refsz-Verbräuche'!H50)</f>
        <v/>
      </c>
      <c r="G169" s="212" t="str">
        <f>IF(ISBLANK('Refsz-Verbräuche'!I50), "", 'Refsz-Verbräuche'!I50)</f>
        <v/>
      </c>
      <c r="H169" s="212" t="str">
        <f>IF(ISBLANK('Refsz-Verbräuche'!J50), "", 'Refsz-Verbräuche'!J50)</f>
        <v/>
      </c>
      <c r="I169" s="212" t="str">
        <f>IF(ISBLANK('Refsz-Verbräuche'!K50), "", 'Refsz-Verbräuche'!K50)</f>
        <v/>
      </c>
      <c r="J169" s="212" t="str">
        <f>IF(ISBLANK('Refsz-Verbräuche'!L50), "", 'Refsz-Verbräuche'!L50)</f>
        <v/>
      </c>
      <c r="K169" s="212" t="str">
        <f>IF(ISBLANK('Refsz-Verbräuche'!M50), "", 'Refsz-Verbräuche'!M50)</f>
        <v/>
      </c>
      <c r="L169" s="212" t="str">
        <f>IF(ISBLANK('Refsz-Verbräuche'!N50), "", 'Refsz-Verbräuche'!N50)</f>
        <v/>
      </c>
      <c r="M169" s="212" t="str">
        <f>IF(ISBLANK('Refsz-Verbräuche'!O50), "", 'Refsz-Verbräuche'!O50)</f>
        <v/>
      </c>
      <c r="N169" s="212" t="str">
        <f>IF(ISBLANK('Refsz-Verbräuche'!P50), "", 'Refsz-Verbräuche'!P50)</f>
        <v/>
      </c>
      <c r="O169" s="212" t="str">
        <f>IF(ISBLANK('Refsz-Verbräuche'!Q50), "", 'Refsz-Verbräuche'!Q50)</f>
        <v/>
      </c>
      <c r="P169" s="212" t="str">
        <f>IF(ISBLANK('Refsz-Verbräuche'!R50), "", 'Refsz-Verbräuche'!R50)</f>
        <v/>
      </c>
      <c r="Q169" s="212" t="str">
        <f>IF(ISBLANK('Refsz-Verbräuche'!S50), "", 'Refsz-Verbräuche'!S50)</f>
        <v/>
      </c>
      <c r="R169" s="212" t="str">
        <f>IF(ISBLANK('Refsz-Verbräuche'!T50), "", 'Refsz-Verbräuche'!T50)</f>
        <v/>
      </c>
      <c r="S169" s="212" t="str">
        <f>IF(ISBLANK('Refsz-Verbräuche'!U50), "", 'Refsz-Verbräuche'!U50)</f>
        <v/>
      </c>
      <c r="T169" s="212" t="str">
        <f>IF(ISBLANK('Refsz-Verbräuche'!V50), "", 'Refsz-Verbräuche'!V50)</f>
        <v/>
      </c>
      <c r="U169" s="212" t="str">
        <f>IF(ISBLANK('Refsz-Verbräuche'!W50), "", 'Refsz-Verbräuche'!W50)</f>
        <v/>
      </c>
      <c r="V169" s="212" t="str">
        <f>IF(ISBLANK('Refsz-Verbräuche'!X50), "", 'Refsz-Verbräuche'!X50)</f>
        <v/>
      </c>
      <c r="W169" s="212" t="str">
        <f>IF(ISBLANK('Refsz-Verbräuche'!Y50), "", 'Refsz-Verbräuche'!Y50)</f>
        <v/>
      </c>
      <c r="X169" s="206"/>
    </row>
    <row r="170" spans="2:24" hidden="1">
      <c r="B170" s="206" t="str">
        <f>'Refsz-Verbräuche'!D51</f>
        <v>Fuhrpark (Wasserstoff/ FCEV)</v>
      </c>
      <c r="C170" s="206" t="str">
        <f>'Refsz-Verbräuche'!E51</f>
        <v>Fkm</v>
      </c>
      <c r="D170" s="212" t="str">
        <f>IF(ISBLANK('Refsz-Verbräuche'!F51), "", 'Refsz-Verbräuche'!F51)</f>
        <v/>
      </c>
      <c r="E170" s="212" t="str">
        <f>IF(ISBLANK('Refsz-Verbräuche'!G51), "", 'Refsz-Verbräuche'!G51)</f>
        <v/>
      </c>
      <c r="F170" s="212" t="str">
        <f>IF(ISBLANK('Refsz-Verbräuche'!H51), "", 'Refsz-Verbräuche'!H51)</f>
        <v/>
      </c>
      <c r="G170" s="212" t="str">
        <f>IF(ISBLANK('Refsz-Verbräuche'!I51), "", 'Refsz-Verbräuche'!I51)</f>
        <v/>
      </c>
      <c r="H170" s="212" t="str">
        <f>IF(ISBLANK('Refsz-Verbräuche'!J51), "", 'Refsz-Verbräuche'!J51)</f>
        <v/>
      </c>
      <c r="I170" s="212" t="str">
        <f>IF(ISBLANK('Refsz-Verbräuche'!K51), "", 'Refsz-Verbräuche'!K51)</f>
        <v/>
      </c>
      <c r="J170" s="212" t="str">
        <f>IF(ISBLANK('Refsz-Verbräuche'!L51), "", 'Refsz-Verbräuche'!L51)</f>
        <v/>
      </c>
      <c r="K170" s="212" t="str">
        <f>IF(ISBLANK('Refsz-Verbräuche'!M51), "", 'Refsz-Verbräuche'!M51)</f>
        <v/>
      </c>
      <c r="L170" s="212" t="str">
        <f>IF(ISBLANK('Refsz-Verbräuche'!N51), "", 'Refsz-Verbräuche'!N51)</f>
        <v/>
      </c>
      <c r="M170" s="212" t="str">
        <f>IF(ISBLANK('Refsz-Verbräuche'!O51), "", 'Refsz-Verbräuche'!O51)</f>
        <v/>
      </c>
      <c r="N170" s="212" t="str">
        <f>IF(ISBLANK('Refsz-Verbräuche'!P51), "", 'Refsz-Verbräuche'!P51)</f>
        <v/>
      </c>
      <c r="O170" s="212" t="str">
        <f>IF(ISBLANK('Refsz-Verbräuche'!Q51), "", 'Refsz-Verbräuche'!Q51)</f>
        <v/>
      </c>
      <c r="P170" s="212" t="str">
        <f>IF(ISBLANK('Refsz-Verbräuche'!R51), "", 'Refsz-Verbräuche'!R51)</f>
        <v/>
      </c>
      <c r="Q170" s="212" t="str">
        <f>IF(ISBLANK('Refsz-Verbräuche'!S51), "", 'Refsz-Verbräuche'!S51)</f>
        <v/>
      </c>
      <c r="R170" s="212" t="str">
        <f>IF(ISBLANK('Refsz-Verbräuche'!T51), "", 'Refsz-Verbräuche'!T51)</f>
        <v/>
      </c>
      <c r="S170" s="212" t="str">
        <f>IF(ISBLANK('Refsz-Verbräuche'!U51), "", 'Refsz-Verbräuche'!U51)</f>
        <v/>
      </c>
      <c r="T170" s="212" t="str">
        <f>IF(ISBLANK('Refsz-Verbräuche'!V51), "", 'Refsz-Verbräuche'!V51)</f>
        <v/>
      </c>
      <c r="U170" s="212" t="str">
        <f>IF(ISBLANK('Refsz-Verbräuche'!W51), "", 'Refsz-Verbräuche'!W51)</f>
        <v/>
      </c>
      <c r="V170" s="212" t="str">
        <f>IF(ISBLANK('Refsz-Verbräuche'!X51), "", 'Refsz-Verbräuche'!X51)</f>
        <v/>
      </c>
      <c r="W170" s="212" t="str">
        <f>IF(ISBLANK('Refsz-Verbräuche'!Y51), "", 'Refsz-Verbräuche'!Y51)</f>
        <v/>
      </c>
      <c r="X170" s="206"/>
    </row>
    <row r="171" spans="2:24" hidden="1">
      <c r="B171" s="206" t="str">
        <f>'Refsz-Verbräuche'!D52</f>
        <v>Fuhrpark (CNG)</v>
      </c>
      <c r="C171" s="206" t="str">
        <f>'Refsz-Verbräuche'!E52</f>
        <v>Fkm</v>
      </c>
      <c r="D171" s="212" t="str">
        <f>IF(ISBLANK('Refsz-Verbräuche'!F52), "", 'Refsz-Verbräuche'!F52)</f>
        <v/>
      </c>
      <c r="E171" s="212" t="str">
        <f>IF(ISBLANK('Refsz-Verbräuche'!G52), "", 'Refsz-Verbräuche'!G52)</f>
        <v/>
      </c>
      <c r="F171" s="212" t="str">
        <f>IF(ISBLANK('Refsz-Verbräuche'!H52), "", 'Refsz-Verbräuche'!H52)</f>
        <v/>
      </c>
      <c r="G171" s="212" t="str">
        <f>IF(ISBLANK('Refsz-Verbräuche'!I52), "", 'Refsz-Verbräuche'!I52)</f>
        <v/>
      </c>
      <c r="H171" s="212" t="str">
        <f>IF(ISBLANK('Refsz-Verbräuche'!J52), "", 'Refsz-Verbräuche'!J52)</f>
        <v/>
      </c>
      <c r="I171" s="212" t="str">
        <f>IF(ISBLANK('Refsz-Verbräuche'!K52), "", 'Refsz-Verbräuche'!K52)</f>
        <v/>
      </c>
      <c r="J171" s="212" t="str">
        <f>IF(ISBLANK('Refsz-Verbräuche'!L52), "", 'Refsz-Verbräuche'!L52)</f>
        <v/>
      </c>
      <c r="K171" s="212" t="str">
        <f>IF(ISBLANK('Refsz-Verbräuche'!M52), "", 'Refsz-Verbräuche'!M52)</f>
        <v/>
      </c>
      <c r="L171" s="212" t="str">
        <f>IF(ISBLANK('Refsz-Verbräuche'!N52), "", 'Refsz-Verbräuche'!N52)</f>
        <v/>
      </c>
      <c r="M171" s="212" t="str">
        <f>IF(ISBLANK('Refsz-Verbräuche'!O52), "", 'Refsz-Verbräuche'!O52)</f>
        <v/>
      </c>
      <c r="N171" s="212" t="str">
        <f>IF(ISBLANK('Refsz-Verbräuche'!P52), "", 'Refsz-Verbräuche'!P52)</f>
        <v/>
      </c>
      <c r="O171" s="212" t="str">
        <f>IF(ISBLANK('Refsz-Verbräuche'!Q52), "", 'Refsz-Verbräuche'!Q52)</f>
        <v/>
      </c>
      <c r="P171" s="212" t="str">
        <f>IF(ISBLANK('Refsz-Verbräuche'!R52), "", 'Refsz-Verbräuche'!R52)</f>
        <v/>
      </c>
      <c r="Q171" s="212" t="str">
        <f>IF(ISBLANK('Refsz-Verbräuche'!S52), "", 'Refsz-Verbräuche'!S52)</f>
        <v/>
      </c>
      <c r="R171" s="212" t="str">
        <f>IF(ISBLANK('Refsz-Verbräuche'!T52), "", 'Refsz-Verbräuche'!T52)</f>
        <v/>
      </c>
      <c r="S171" s="212" t="str">
        <f>IF(ISBLANK('Refsz-Verbräuche'!U52), "", 'Refsz-Verbräuche'!U52)</f>
        <v/>
      </c>
      <c r="T171" s="212" t="str">
        <f>IF(ISBLANK('Refsz-Verbräuche'!V52), "", 'Refsz-Verbräuche'!V52)</f>
        <v/>
      </c>
      <c r="U171" s="212" t="str">
        <f>IF(ISBLANK('Refsz-Verbräuche'!W52), "", 'Refsz-Verbräuche'!W52)</f>
        <v/>
      </c>
      <c r="V171" s="212" t="str">
        <f>IF(ISBLANK('Refsz-Verbräuche'!X52), "", 'Refsz-Verbräuche'!X52)</f>
        <v/>
      </c>
      <c r="W171" s="212" t="str">
        <f>IF(ISBLANK('Refsz-Verbräuche'!Y52), "", 'Refsz-Verbräuche'!Y52)</f>
        <v/>
      </c>
      <c r="X171" s="206"/>
    </row>
    <row r="172" spans="2:24" hidden="1">
      <c r="B172" s="206" t="str">
        <f>'Refsz-Verbräuche'!D55</f>
        <v>DR - Flugreisen</v>
      </c>
      <c r="C172" s="206" t="str">
        <f>'Refsz-Verbräuche'!E55</f>
        <v>Pkm</v>
      </c>
      <c r="D172" s="212" t="str">
        <f>IF(ISBLANK('Refsz-Verbräuche'!F55), "", 'Refsz-Verbräuche'!F55)</f>
        <v/>
      </c>
      <c r="E172" s="212" t="str">
        <f>IF(ISBLANK('Refsz-Verbräuche'!G55), "", 'Refsz-Verbräuche'!G55)</f>
        <v/>
      </c>
      <c r="F172" s="212" t="str">
        <f>IF(ISBLANK('Refsz-Verbräuche'!H55), "", 'Refsz-Verbräuche'!H55)</f>
        <v/>
      </c>
      <c r="G172" s="212" t="str">
        <f>IF(ISBLANK('Refsz-Verbräuche'!I55), "", 'Refsz-Verbräuche'!I55)</f>
        <v/>
      </c>
      <c r="H172" s="212" t="str">
        <f>IF(ISBLANK('Refsz-Verbräuche'!J55), "", 'Refsz-Verbräuche'!J55)</f>
        <v/>
      </c>
      <c r="I172" s="212" t="str">
        <f>IF(ISBLANK('Refsz-Verbräuche'!K55), "", 'Refsz-Verbräuche'!K55)</f>
        <v/>
      </c>
      <c r="J172" s="212" t="str">
        <f>IF(ISBLANK('Refsz-Verbräuche'!L55), "", 'Refsz-Verbräuche'!L55)</f>
        <v/>
      </c>
      <c r="K172" s="212" t="str">
        <f>IF(ISBLANK('Refsz-Verbräuche'!M55), "", 'Refsz-Verbräuche'!M55)</f>
        <v/>
      </c>
      <c r="L172" s="212" t="str">
        <f>IF(ISBLANK('Refsz-Verbräuche'!N55), "", 'Refsz-Verbräuche'!N55)</f>
        <v/>
      </c>
      <c r="M172" s="212" t="str">
        <f>IF(ISBLANK('Refsz-Verbräuche'!O55), "", 'Refsz-Verbräuche'!O55)</f>
        <v/>
      </c>
      <c r="N172" s="212" t="str">
        <f>IF(ISBLANK('Refsz-Verbräuche'!P55), "", 'Refsz-Verbräuche'!P55)</f>
        <v/>
      </c>
      <c r="O172" s="212" t="str">
        <f>IF(ISBLANK('Refsz-Verbräuche'!Q55), "", 'Refsz-Verbräuche'!Q55)</f>
        <v/>
      </c>
      <c r="P172" s="212" t="str">
        <f>IF(ISBLANK('Refsz-Verbräuche'!R55), "", 'Refsz-Verbräuche'!R55)</f>
        <v/>
      </c>
      <c r="Q172" s="212" t="str">
        <f>IF(ISBLANK('Refsz-Verbräuche'!S55), "", 'Refsz-Verbräuche'!S55)</f>
        <v/>
      </c>
      <c r="R172" s="212" t="str">
        <f>IF(ISBLANK('Refsz-Verbräuche'!T55), "", 'Refsz-Verbräuche'!T55)</f>
        <v/>
      </c>
      <c r="S172" s="212" t="str">
        <f>IF(ISBLANK('Refsz-Verbräuche'!U55), "", 'Refsz-Verbräuche'!U55)</f>
        <v/>
      </c>
      <c r="T172" s="212" t="str">
        <f>IF(ISBLANK('Refsz-Verbräuche'!V55), "", 'Refsz-Verbräuche'!V55)</f>
        <v/>
      </c>
      <c r="U172" s="212" t="str">
        <f>IF(ISBLANK('Refsz-Verbräuche'!W55), "", 'Refsz-Verbräuche'!W55)</f>
        <v/>
      </c>
      <c r="V172" s="212" t="str">
        <f>IF(ISBLANK('Refsz-Verbräuche'!X55), "", 'Refsz-Verbräuche'!X55)</f>
        <v/>
      </c>
      <c r="W172" s="212" t="str">
        <f>IF(ISBLANK('Refsz-Verbräuche'!Y55), "", 'Refsz-Verbräuche'!Y55)</f>
        <v/>
      </c>
      <c r="X172" s="206"/>
    </row>
    <row r="173" spans="2:24" hidden="1">
      <c r="B173" s="206" t="str">
        <f>'Refsz-Verbräuche'!D56</f>
        <v>DR - Eisenbahn (Fernverkehr)</v>
      </c>
      <c r="C173" s="206" t="str">
        <f>'Refsz-Verbräuche'!E56</f>
        <v>Pkm</v>
      </c>
      <c r="D173" s="212" t="str">
        <f>IF(ISBLANK('Refsz-Verbräuche'!F56), "", 'Refsz-Verbräuche'!F56)</f>
        <v/>
      </c>
      <c r="E173" s="212" t="str">
        <f>IF(ISBLANK('Refsz-Verbräuche'!G56), "", 'Refsz-Verbräuche'!G56)</f>
        <v/>
      </c>
      <c r="F173" s="212" t="str">
        <f>IF(ISBLANK('Refsz-Verbräuche'!H56), "", 'Refsz-Verbräuche'!H56)</f>
        <v/>
      </c>
      <c r="G173" s="212" t="str">
        <f>IF(ISBLANK('Refsz-Verbräuche'!I56), "", 'Refsz-Verbräuche'!I56)</f>
        <v/>
      </c>
      <c r="H173" s="212" t="str">
        <f>IF(ISBLANK('Refsz-Verbräuche'!J56), "", 'Refsz-Verbräuche'!J56)</f>
        <v/>
      </c>
      <c r="I173" s="212" t="str">
        <f>IF(ISBLANK('Refsz-Verbräuche'!K56), "", 'Refsz-Verbräuche'!K56)</f>
        <v/>
      </c>
      <c r="J173" s="212" t="str">
        <f>IF(ISBLANK('Refsz-Verbräuche'!L56), "", 'Refsz-Verbräuche'!L56)</f>
        <v/>
      </c>
      <c r="K173" s="212" t="str">
        <f>IF(ISBLANK('Refsz-Verbräuche'!M56), "", 'Refsz-Verbräuche'!M56)</f>
        <v/>
      </c>
      <c r="L173" s="212" t="str">
        <f>IF(ISBLANK('Refsz-Verbräuche'!N56), "", 'Refsz-Verbräuche'!N56)</f>
        <v/>
      </c>
      <c r="M173" s="212" t="str">
        <f>IF(ISBLANK('Refsz-Verbräuche'!O56), "", 'Refsz-Verbräuche'!O56)</f>
        <v/>
      </c>
      <c r="N173" s="212" t="str">
        <f>IF(ISBLANK('Refsz-Verbräuche'!P56), "", 'Refsz-Verbräuche'!P56)</f>
        <v/>
      </c>
      <c r="O173" s="212" t="str">
        <f>IF(ISBLANK('Refsz-Verbräuche'!Q56), "", 'Refsz-Verbräuche'!Q56)</f>
        <v/>
      </c>
      <c r="P173" s="212" t="str">
        <f>IF(ISBLANK('Refsz-Verbräuche'!R56), "", 'Refsz-Verbräuche'!R56)</f>
        <v/>
      </c>
      <c r="Q173" s="212" t="str">
        <f>IF(ISBLANK('Refsz-Verbräuche'!S56), "", 'Refsz-Verbräuche'!S56)</f>
        <v/>
      </c>
      <c r="R173" s="212" t="str">
        <f>IF(ISBLANK('Refsz-Verbräuche'!T56), "", 'Refsz-Verbräuche'!T56)</f>
        <v/>
      </c>
      <c r="S173" s="212" t="str">
        <f>IF(ISBLANK('Refsz-Verbräuche'!U56), "", 'Refsz-Verbräuche'!U56)</f>
        <v/>
      </c>
      <c r="T173" s="212" t="str">
        <f>IF(ISBLANK('Refsz-Verbräuche'!V56), "", 'Refsz-Verbräuche'!V56)</f>
        <v/>
      </c>
      <c r="U173" s="212" t="str">
        <f>IF(ISBLANK('Refsz-Verbräuche'!W56), "", 'Refsz-Verbräuche'!W56)</f>
        <v/>
      </c>
      <c r="V173" s="212" t="str">
        <f>IF(ISBLANK('Refsz-Verbräuche'!X56), "", 'Refsz-Verbräuche'!X56)</f>
        <v/>
      </c>
      <c r="W173" s="212" t="str">
        <f>IF(ISBLANK('Refsz-Verbräuche'!Y56), "", 'Refsz-Verbräuche'!Y56)</f>
        <v/>
      </c>
      <c r="X173" s="206"/>
    </row>
    <row r="174" spans="2:24" hidden="1">
      <c r="B174" s="206" t="str">
        <f>'Refsz-Verbräuche'!D57</f>
        <v>DR - Eisenbahn (Nahverkehr)</v>
      </c>
      <c r="C174" s="206" t="str">
        <f>'Refsz-Verbräuche'!E57</f>
        <v>Pkm</v>
      </c>
      <c r="D174" s="212" t="str">
        <f>IF(ISBLANK('Refsz-Verbräuche'!F57), "", 'Refsz-Verbräuche'!F57)</f>
        <v/>
      </c>
      <c r="E174" s="212" t="str">
        <f>IF(ISBLANK('Refsz-Verbräuche'!G57), "", 'Refsz-Verbräuche'!G57)</f>
        <v/>
      </c>
      <c r="F174" s="212" t="str">
        <f>IF(ISBLANK('Refsz-Verbräuche'!H57), "", 'Refsz-Verbräuche'!H57)</f>
        <v/>
      </c>
      <c r="G174" s="212" t="str">
        <f>IF(ISBLANK('Refsz-Verbräuche'!I57), "", 'Refsz-Verbräuche'!I57)</f>
        <v/>
      </c>
      <c r="H174" s="212" t="str">
        <f>IF(ISBLANK('Refsz-Verbräuche'!J57), "", 'Refsz-Verbräuche'!J57)</f>
        <v/>
      </c>
      <c r="I174" s="212" t="str">
        <f>IF(ISBLANK('Refsz-Verbräuche'!K57), "", 'Refsz-Verbräuche'!K57)</f>
        <v/>
      </c>
      <c r="J174" s="212" t="str">
        <f>IF(ISBLANK('Refsz-Verbräuche'!L57), "", 'Refsz-Verbräuche'!L57)</f>
        <v/>
      </c>
      <c r="K174" s="212" t="str">
        <f>IF(ISBLANK('Refsz-Verbräuche'!M57), "", 'Refsz-Verbräuche'!M57)</f>
        <v/>
      </c>
      <c r="L174" s="212" t="str">
        <f>IF(ISBLANK('Refsz-Verbräuche'!N57), "", 'Refsz-Verbräuche'!N57)</f>
        <v/>
      </c>
      <c r="M174" s="212" t="str">
        <f>IF(ISBLANK('Refsz-Verbräuche'!O57), "", 'Refsz-Verbräuche'!O57)</f>
        <v/>
      </c>
      <c r="N174" s="212" t="str">
        <f>IF(ISBLANK('Refsz-Verbräuche'!P57), "", 'Refsz-Verbräuche'!P57)</f>
        <v/>
      </c>
      <c r="O174" s="212" t="str">
        <f>IF(ISBLANK('Refsz-Verbräuche'!Q57), "", 'Refsz-Verbräuche'!Q57)</f>
        <v/>
      </c>
      <c r="P174" s="212" t="str">
        <f>IF(ISBLANK('Refsz-Verbräuche'!R57), "", 'Refsz-Verbräuche'!R57)</f>
        <v/>
      </c>
      <c r="Q174" s="212" t="str">
        <f>IF(ISBLANK('Refsz-Verbräuche'!S57), "", 'Refsz-Verbräuche'!S57)</f>
        <v/>
      </c>
      <c r="R174" s="212" t="str">
        <f>IF(ISBLANK('Refsz-Verbräuche'!T57), "", 'Refsz-Verbräuche'!T57)</f>
        <v/>
      </c>
      <c r="S174" s="212" t="str">
        <f>IF(ISBLANK('Refsz-Verbräuche'!U57), "", 'Refsz-Verbräuche'!U57)</f>
        <v/>
      </c>
      <c r="T174" s="212" t="str">
        <f>IF(ISBLANK('Refsz-Verbräuche'!V57), "", 'Refsz-Verbräuche'!V57)</f>
        <v/>
      </c>
      <c r="U174" s="212" t="str">
        <f>IF(ISBLANK('Refsz-Verbräuche'!W57), "", 'Refsz-Verbräuche'!W57)</f>
        <v/>
      </c>
      <c r="V174" s="212" t="str">
        <f>IF(ISBLANK('Refsz-Verbräuche'!X57), "", 'Refsz-Verbräuche'!X57)</f>
        <v/>
      </c>
      <c r="W174" s="212" t="str">
        <f>IF(ISBLANK('Refsz-Verbräuche'!Y57), "", 'Refsz-Verbräuche'!Y57)</f>
        <v/>
      </c>
      <c r="X174" s="206"/>
    </row>
    <row r="175" spans="2:24" hidden="1">
      <c r="B175" s="206" t="str">
        <f>'Refsz-Verbräuche'!D58</f>
        <v>DR - Reisebus, Linienbus (Fernverkehr)</v>
      </c>
      <c r="C175" s="206" t="str">
        <f>'Refsz-Verbräuche'!E58</f>
        <v>Pkm</v>
      </c>
      <c r="D175" s="212" t="str">
        <f>IF(ISBLANK('Refsz-Verbräuche'!F58), "", 'Refsz-Verbräuche'!F58)</f>
        <v/>
      </c>
      <c r="E175" s="212" t="str">
        <f>IF(ISBLANK('Refsz-Verbräuche'!G58), "", 'Refsz-Verbräuche'!G58)</f>
        <v/>
      </c>
      <c r="F175" s="212" t="str">
        <f>IF(ISBLANK('Refsz-Verbräuche'!H58), "", 'Refsz-Verbräuche'!H58)</f>
        <v/>
      </c>
      <c r="G175" s="212" t="str">
        <f>IF(ISBLANK('Refsz-Verbräuche'!I58), "", 'Refsz-Verbräuche'!I58)</f>
        <v/>
      </c>
      <c r="H175" s="212" t="str">
        <f>IF(ISBLANK('Refsz-Verbräuche'!J58), "", 'Refsz-Verbräuche'!J58)</f>
        <v/>
      </c>
      <c r="I175" s="212" t="str">
        <f>IF(ISBLANK('Refsz-Verbräuche'!K58), "", 'Refsz-Verbräuche'!K58)</f>
        <v/>
      </c>
      <c r="J175" s="212" t="str">
        <f>IF(ISBLANK('Refsz-Verbräuche'!L58), "", 'Refsz-Verbräuche'!L58)</f>
        <v/>
      </c>
      <c r="K175" s="212" t="str">
        <f>IF(ISBLANK('Refsz-Verbräuche'!M58), "", 'Refsz-Verbräuche'!M58)</f>
        <v/>
      </c>
      <c r="L175" s="212" t="str">
        <f>IF(ISBLANK('Refsz-Verbräuche'!N58), "", 'Refsz-Verbräuche'!N58)</f>
        <v/>
      </c>
      <c r="M175" s="212" t="str">
        <f>IF(ISBLANK('Refsz-Verbräuche'!O58), "", 'Refsz-Verbräuche'!O58)</f>
        <v/>
      </c>
      <c r="N175" s="212" t="str">
        <f>IF(ISBLANK('Refsz-Verbräuche'!P58), "", 'Refsz-Verbräuche'!P58)</f>
        <v/>
      </c>
      <c r="O175" s="212" t="str">
        <f>IF(ISBLANK('Refsz-Verbräuche'!Q58), "", 'Refsz-Verbräuche'!Q58)</f>
        <v/>
      </c>
      <c r="P175" s="212" t="str">
        <f>IF(ISBLANK('Refsz-Verbräuche'!R58), "", 'Refsz-Verbräuche'!R58)</f>
        <v/>
      </c>
      <c r="Q175" s="212" t="str">
        <f>IF(ISBLANK('Refsz-Verbräuche'!S58), "", 'Refsz-Verbräuche'!S58)</f>
        <v/>
      </c>
      <c r="R175" s="212" t="str">
        <f>IF(ISBLANK('Refsz-Verbräuche'!T58), "", 'Refsz-Verbräuche'!T58)</f>
        <v/>
      </c>
      <c r="S175" s="212" t="str">
        <f>IF(ISBLANK('Refsz-Verbräuche'!U58), "", 'Refsz-Verbräuche'!U58)</f>
        <v/>
      </c>
      <c r="T175" s="212" t="str">
        <f>IF(ISBLANK('Refsz-Verbräuche'!V58), "", 'Refsz-Verbräuche'!V58)</f>
        <v/>
      </c>
      <c r="U175" s="212" t="str">
        <f>IF(ISBLANK('Refsz-Verbräuche'!W58), "", 'Refsz-Verbräuche'!W58)</f>
        <v/>
      </c>
      <c r="V175" s="212" t="str">
        <f>IF(ISBLANK('Refsz-Verbräuche'!X58), "", 'Refsz-Verbräuche'!X58)</f>
        <v/>
      </c>
      <c r="W175" s="212" t="str">
        <f>IF(ISBLANK('Refsz-Verbräuche'!Y58), "", 'Refsz-Verbräuche'!Y58)</f>
        <v/>
      </c>
      <c r="X175" s="206"/>
    </row>
    <row r="176" spans="2:24" hidden="1">
      <c r="B176" s="206" t="str">
        <f>'Refsz-Verbräuche'!D59</f>
        <v>DR - Linienbus (Nahverkehr)</v>
      </c>
      <c r="C176" s="206" t="str">
        <f>'Refsz-Verbräuche'!E59</f>
        <v>Pkm</v>
      </c>
      <c r="D176" s="212" t="str">
        <f>IF(ISBLANK('Refsz-Verbräuche'!F59), "", 'Refsz-Verbräuche'!F59)</f>
        <v/>
      </c>
      <c r="E176" s="212" t="str">
        <f>IF(ISBLANK('Refsz-Verbräuche'!G59), "", 'Refsz-Verbräuche'!G59)</f>
        <v/>
      </c>
      <c r="F176" s="212" t="str">
        <f>IF(ISBLANK('Refsz-Verbräuche'!H59), "", 'Refsz-Verbräuche'!H59)</f>
        <v/>
      </c>
      <c r="G176" s="212" t="str">
        <f>IF(ISBLANK('Refsz-Verbräuche'!I59), "", 'Refsz-Verbräuche'!I59)</f>
        <v/>
      </c>
      <c r="H176" s="212" t="str">
        <f>IF(ISBLANK('Refsz-Verbräuche'!J59), "", 'Refsz-Verbräuche'!J59)</f>
        <v/>
      </c>
      <c r="I176" s="212" t="str">
        <f>IF(ISBLANK('Refsz-Verbräuche'!K59), "", 'Refsz-Verbräuche'!K59)</f>
        <v/>
      </c>
      <c r="J176" s="212" t="str">
        <f>IF(ISBLANK('Refsz-Verbräuche'!L59), "", 'Refsz-Verbräuche'!L59)</f>
        <v/>
      </c>
      <c r="K176" s="212" t="str">
        <f>IF(ISBLANK('Refsz-Verbräuche'!M59), "", 'Refsz-Verbräuche'!M59)</f>
        <v/>
      </c>
      <c r="L176" s="212" t="str">
        <f>IF(ISBLANK('Refsz-Verbräuche'!N59), "", 'Refsz-Verbräuche'!N59)</f>
        <v/>
      </c>
      <c r="M176" s="212" t="str">
        <f>IF(ISBLANK('Refsz-Verbräuche'!O59), "", 'Refsz-Verbräuche'!O59)</f>
        <v/>
      </c>
      <c r="N176" s="212" t="str">
        <f>IF(ISBLANK('Refsz-Verbräuche'!P59), "", 'Refsz-Verbräuche'!P59)</f>
        <v/>
      </c>
      <c r="O176" s="212" t="str">
        <f>IF(ISBLANK('Refsz-Verbräuche'!Q59), "", 'Refsz-Verbräuche'!Q59)</f>
        <v/>
      </c>
      <c r="P176" s="212" t="str">
        <f>IF(ISBLANK('Refsz-Verbräuche'!R59), "", 'Refsz-Verbräuche'!R59)</f>
        <v/>
      </c>
      <c r="Q176" s="212" t="str">
        <f>IF(ISBLANK('Refsz-Verbräuche'!S59), "", 'Refsz-Verbräuche'!S59)</f>
        <v/>
      </c>
      <c r="R176" s="212" t="str">
        <f>IF(ISBLANK('Refsz-Verbräuche'!T59), "", 'Refsz-Verbräuche'!T59)</f>
        <v/>
      </c>
      <c r="S176" s="212" t="str">
        <f>IF(ISBLANK('Refsz-Verbräuche'!U59), "", 'Refsz-Verbräuche'!U59)</f>
        <v/>
      </c>
      <c r="T176" s="212" t="str">
        <f>IF(ISBLANK('Refsz-Verbräuche'!V59), "", 'Refsz-Verbräuche'!V59)</f>
        <v/>
      </c>
      <c r="U176" s="212" t="str">
        <f>IF(ISBLANK('Refsz-Verbräuche'!W59), "", 'Refsz-Verbräuche'!W59)</f>
        <v/>
      </c>
      <c r="V176" s="212" t="str">
        <f>IF(ISBLANK('Refsz-Verbräuche'!X59), "", 'Refsz-Verbräuche'!X59)</f>
        <v/>
      </c>
      <c r="W176" s="212" t="str">
        <f>IF(ISBLANK('Refsz-Verbräuche'!Y59), "", 'Refsz-Verbräuche'!Y59)</f>
        <v/>
      </c>
      <c r="X176" s="206"/>
    </row>
    <row r="177" spans="2:24" hidden="1">
      <c r="B177" s="206" t="str">
        <f>'Refsz-Verbräuche'!D60</f>
        <v>DR - Privater PKW (alle Antriebsarten)</v>
      </c>
      <c r="C177" s="206" t="str">
        <f>'Refsz-Verbräuche'!E60</f>
        <v>Fkm</v>
      </c>
      <c r="D177" s="212" t="str">
        <f>IF(ISBLANK('Refsz-Verbräuche'!F60), "", 'Refsz-Verbräuche'!F60)</f>
        <v/>
      </c>
      <c r="E177" s="212" t="str">
        <f>IF(ISBLANK('Refsz-Verbräuche'!G60), "", 'Refsz-Verbräuche'!G60)</f>
        <v/>
      </c>
      <c r="F177" s="212" t="str">
        <f>IF(ISBLANK('Refsz-Verbräuche'!H60), "", 'Refsz-Verbräuche'!H60)</f>
        <v/>
      </c>
      <c r="G177" s="212" t="str">
        <f>IF(ISBLANK('Refsz-Verbräuche'!I60), "", 'Refsz-Verbräuche'!I60)</f>
        <v/>
      </c>
      <c r="H177" s="212" t="str">
        <f>IF(ISBLANK('Refsz-Verbräuche'!J60), "", 'Refsz-Verbräuche'!J60)</f>
        <v/>
      </c>
      <c r="I177" s="212" t="str">
        <f>IF(ISBLANK('Refsz-Verbräuche'!K60), "", 'Refsz-Verbräuche'!K60)</f>
        <v/>
      </c>
      <c r="J177" s="212" t="str">
        <f>IF(ISBLANK('Refsz-Verbräuche'!L60), "", 'Refsz-Verbräuche'!L60)</f>
        <v/>
      </c>
      <c r="K177" s="212" t="str">
        <f>IF(ISBLANK('Refsz-Verbräuche'!M60), "", 'Refsz-Verbräuche'!M60)</f>
        <v/>
      </c>
      <c r="L177" s="212" t="str">
        <f>IF(ISBLANK('Refsz-Verbräuche'!N60), "", 'Refsz-Verbräuche'!N60)</f>
        <v/>
      </c>
      <c r="M177" s="212" t="str">
        <f>IF(ISBLANK('Refsz-Verbräuche'!O60), "", 'Refsz-Verbräuche'!O60)</f>
        <v/>
      </c>
      <c r="N177" s="212" t="str">
        <f>IF(ISBLANK('Refsz-Verbräuche'!P60), "", 'Refsz-Verbräuche'!P60)</f>
        <v/>
      </c>
      <c r="O177" s="212" t="str">
        <f>IF(ISBLANK('Refsz-Verbräuche'!Q60), "", 'Refsz-Verbräuche'!Q60)</f>
        <v/>
      </c>
      <c r="P177" s="212" t="str">
        <f>IF(ISBLANK('Refsz-Verbräuche'!R60), "", 'Refsz-Verbräuche'!R60)</f>
        <v/>
      </c>
      <c r="Q177" s="212" t="str">
        <f>IF(ISBLANK('Refsz-Verbräuche'!S60), "", 'Refsz-Verbräuche'!S60)</f>
        <v/>
      </c>
      <c r="R177" s="212" t="str">
        <f>IF(ISBLANK('Refsz-Verbräuche'!T60), "", 'Refsz-Verbräuche'!T60)</f>
        <v/>
      </c>
      <c r="S177" s="212" t="str">
        <f>IF(ISBLANK('Refsz-Verbräuche'!U60), "", 'Refsz-Verbräuche'!U60)</f>
        <v/>
      </c>
      <c r="T177" s="212" t="str">
        <f>IF(ISBLANK('Refsz-Verbräuche'!V60), "", 'Refsz-Verbräuche'!V60)</f>
        <v/>
      </c>
      <c r="U177" s="212" t="str">
        <f>IF(ISBLANK('Refsz-Verbräuche'!W60), "", 'Refsz-Verbräuche'!W60)</f>
        <v/>
      </c>
      <c r="V177" s="212" t="str">
        <f>IF(ISBLANK('Refsz-Verbräuche'!X60), "", 'Refsz-Verbräuche'!X60)</f>
        <v/>
      </c>
      <c r="W177" s="212" t="str">
        <f>IF(ISBLANK('Refsz-Verbräuche'!Y60), "", 'Refsz-Verbräuche'!Y60)</f>
        <v/>
      </c>
      <c r="X177" s="206"/>
    </row>
    <row r="178" spans="2:24" hidden="1">
      <c r="B178" s="206" t="str">
        <f>'Refsz-Verbräuche'!D61</f>
        <v>DR - Privater PKW (Diesel)</v>
      </c>
      <c r="C178" s="206" t="str">
        <f>'Refsz-Verbräuche'!E61</f>
        <v>Fkm</v>
      </c>
      <c r="D178" s="212" t="str">
        <f>IF(ISBLANK('Refsz-Verbräuche'!F61), "", 'Refsz-Verbräuche'!F61)</f>
        <v/>
      </c>
      <c r="E178" s="212" t="str">
        <f>IF(ISBLANK('Refsz-Verbräuche'!G61), "", 'Refsz-Verbräuche'!G61)</f>
        <v/>
      </c>
      <c r="F178" s="212" t="str">
        <f>IF(ISBLANK('Refsz-Verbräuche'!H61), "", 'Refsz-Verbräuche'!H61)</f>
        <v/>
      </c>
      <c r="G178" s="212" t="str">
        <f>IF(ISBLANK('Refsz-Verbräuche'!I61), "", 'Refsz-Verbräuche'!I61)</f>
        <v/>
      </c>
      <c r="H178" s="212" t="str">
        <f>IF(ISBLANK('Refsz-Verbräuche'!J61), "", 'Refsz-Verbräuche'!J61)</f>
        <v/>
      </c>
      <c r="I178" s="212" t="str">
        <f>IF(ISBLANK('Refsz-Verbräuche'!K61), "", 'Refsz-Verbräuche'!K61)</f>
        <v/>
      </c>
      <c r="J178" s="212" t="str">
        <f>IF(ISBLANK('Refsz-Verbräuche'!L61), "", 'Refsz-Verbräuche'!L61)</f>
        <v/>
      </c>
      <c r="K178" s="212" t="str">
        <f>IF(ISBLANK('Refsz-Verbräuche'!M61), "", 'Refsz-Verbräuche'!M61)</f>
        <v/>
      </c>
      <c r="L178" s="212" t="str">
        <f>IF(ISBLANK('Refsz-Verbräuche'!N61), "", 'Refsz-Verbräuche'!N61)</f>
        <v/>
      </c>
      <c r="M178" s="212" t="str">
        <f>IF(ISBLANK('Refsz-Verbräuche'!O61), "", 'Refsz-Verbräuche'!O61)</f>
        <v/>
      </c>
      <c r="N178" s="212" t="str">
        <f>IF(ISBLANK('Refsz-Verbräuche'!P61), "", 'Refsz-Verbräuche'!P61)</f>
        <v/>
      </c>
      <c r="O178" s="212" t="str">
        <f>IF(ISBLANK('Refsz-Verbräuche'!Q61), "", 'Refsz-Verbräuche'!Q61)</f>
        <v/>
      </c>
      <c r="P178" s="212" t="str">
        <f>IF(ISBLANK('Refsz-Verbräuche'!R61), "", 'Refsz-Verbräuche'!R61)</f>
        <v/>
      </c>
      <c r="Q178" s="212" t="str">
        <f>IF(ISBLANK('Refsz-Verbräuche'!S61), "", 'Refsz-Verbräuche'!S61)</f>
        <v/>
      </c>
      <c r="R178" s="212" t="str">
        <f>IF(ISBLANK('Refsz-Verbräuche'!T61), "", 'Refsz-Verbräuche'!T61)</f>
        <v/>
      </c>
      <c r="S178" s="212" t="str">
        <f>IF(ISBLANK('Refsz-Verbräuche'!U61), "", 'Refsz-Verbräuche'!U61)</f>
        <v/>
      </c>
      <c r="T178" s="212" t="str">
        <f>IF(ISBLANK('Refsz-Verbräuche'!V61), "", 'Refsz-Verbräuche'!V61)</f>
        <v/>
      </c>
      <c r="U178" s="212" t="str">
        <f>IF(ISBLANK('Refsz-Verbräuche'!W61), "", 'Refsz-Verbräuche'!W61)</f>
        <v/>
      </c>
      <c r="V178" s="212" t="str">
        <f>IF(ISBLANK('Refsz-Verbräuche'!X61), "", 'Refsz-Verbräuche'!X61)</f>
        <v/>
      </c>
      <c r="W178" s="212" t="str">
        <f>IF(ISBLANK('Refsz-Verbräuche'!Y61), "", 'Refsz-Verbräuche'!Y61)</f>
        <v/>
      </c>
      <c r="X178" s="206"/>
    </row>
    <row r="179" spans="2:24" hidden="1">
      <c r="B179" s="206" t="str">
        <f>'Refsz-Verbräuche'!D62</f>
        <v>DR - Privater PKW (Benzin)</v>
      </c>
      <c r="C179" s="206" t="str">
        <f>'Refsz-Verbräuche'!E62</f>
        <v>Fkm</v>
      </c>
      <c r="D179" s="212" t="str">
        <f>IF(ISBLANK('Refsz-Verbräuche'!F62), "", 'Refsz-Verbräuche'!F62)</f>
        <v/>
      </c>
      <c r="E179" s="212" t="str">
        <f>IF(ISBLANK('Refsz-Verbräuche'!G62), "", 'Refsz-Verbräuche'!G62)</f>
        <v/>
      </c>
      <c r="F179" s="212" t="str">
        <f>IF(ISBLANK('Refsz-Verbräuche'!H62), "", 'Refsz-Verbräuche'!H62)</f>
        <v/>
      </c>
      <c r="G179" s="212" t="str">
        <f>IF(ISBLANK('Refsz-Verbräuche'!I62), "", 'Refsz-Verbräuche'!I62)</f>
        <v/>
      </c>
      <c r="H179" s="212" t="str">
        <f>IF(ISBLANK('Refsz-Verbräuche'!J62), "", 'Refsz-Verbräuche'!J62)</f>
        <v/>
      </c>
      <c r="I179" s="212" t="str">
        <f>IF(ISBLANK('Refsz-Verbräuche'!K62), "", 'Refsz-Verbräuche'!K62)</f>
        <v/>
      </c>
      <c r="J179" s="212" t="str">
        <f>IF(ISBLANK('Refsz-Verbräuche'!L62), "", 'Refsz-Verbräuche'!L62)</f>
        <v/>
      </c>
      <c r="K179" s="212" t="str">
        <f>IF(ISBLANK('Refsz-Verbräuche'!M62), "", 'Refsz-Verbräuche'!M62)</f>
        <v/>
      </c>
      <c r="L179" s="212" t="str">
        <f>IF(ISBLANK('Refsz-Verbräuche'!N62), "", 'Refsz-Verbräuche'!N62)</f>
        <v/>
      </c>
      <c r="M179" s="212" t="str">
        <f>IF(ISBLANK('Refsz-Verbräuche'!O62), "", 'Refsz-Verbräuche'!O62)</f>
        <v/>
      </c>
      <c r="N179" s="212" t="str">
        <f>IF(ISBLANK('Refsz-Verbräuche'!P62), "", 'Refsz-Verbräuche'!P62)</f>
        <v/>
      </c>
      <c r="O179" s="212" t="str">
        <f>IF(ISBLANK('Refsz-Verbräuche'!Q62), "", 'Refsz-Verbräuche'!Q62)</f>
        <v/>
      </c>
      <c r="P179" s="212" t="str">
        <f>IF(ISBLANK('Refsz-Verbräuche'!R62), "", 'Refsz-Verbräuche'!R62)</f>
        <v/>
      </c>
      <c r="Q179" s="212" t="str">
        <f>IF(ISBLANK('Refsz-Verbräuche'!S62), "", 'Refsz-Verbräuche'!S62)</f>
        <v/>
      </c>
      <c r="R179" s="212" t="str">
        <f>IF(ISBLANK('Refsz-Verbräuche'!T62), "", 'Refsz-Verbräuche'!T62)</f>
        <v/>
      </c>
      <c r="S179" s="212" t="str">
        <f>IF(ISBLANK('Refsz-Verbräuche'!U62), "", 'Refsz-Verbräuche'!U62)</f>
        <v/>
      </c>
      <c r="T179" s="212" t="str">
        <f>IF(ISBLANK('Refsz-Verbräuche'!V62), "", 'Refsz-Verbräuche'!V62)</f>
        <v/>
      </c>
      <c r="U179" s="212" t="str">
        <f>IF(ISBLANK('Refsz-Verbräuche'!W62), "", 'Refsz-Verbräuche'!W62)</f>
        <v/>
      </c>
      <c r="V179" s="212" t="str">
        <f>IF(ISBLANK('Refsz-Verbräuche'!X62), "", 'Refsz-Verbräuche'!X62)</f>
        <v/>
      </c>
      <c r="W179" s="212" t="str">
        <f>IF(ISBLANK('Refsz-Verbräuche'!Y62), "", 'Refsz-Verbräuche'!Y62)</f>
        <v/>
      </c>
      <c r="X179" s="206"/>
    </row>
    <row r="180" spans="2:24" hidden="1">
      <c r="B180" s="206" t="str">
        <f>'Refsz-Verbräuche'!D63</f>
        <v>DR - Mietwägen (Diesel)</v>
      </c>
      <c r="C180" s="206" t="str">
        <f>'Refsz-Verbräuche'!E63</f>
        <v>Fkm</v>
      </c>
      <c r="D180" s="212" t="str">
        <f>IF(ISBLANK('Refsz-Verbräuche'!F63), "", 'Refsz-Verbräuche'!F63)</f>
        <v/>
      </c>
      <c r="E180" s="212" t="str">
        <f>IF(ISBLANK('Refsz-Verbräuche'!G63), "", 'Refsz-Verbräuche'!G63)</f>
        <v/>
      </c>
      <c r="F180" s="212" t="str">
        <f>IF(ISBLANK('Refsz-Verbräuche'!H63), "", 'Refsz-Verbräuche'!H63)</f>
        <v/>
      </c>
      <c r="G180" s="212" t="str">
        <f>IF(ISBLANK('Refsz-Verbräuche'!I63), "", 'Refsz-Verbräuche'!I63)</f>
        <v/>
      </c>
      <c r="H180" s="212" t="str">
        <f>IF(ISBLANK('Refsz-Verbräuche'!J63), "", 'Refsz-Verbräuche'!J63)</f>
        <v/>
      </c>
      <c r="I180" s="212" t="str">
        <f>IF(ISBLANK('Refsz-Verbräuche'!K63), "", 'Refsz-Verbräuche'!K63)</f>
        <v/>
      </c>
      <c r="J180" s="212" t="str">
        <f>IF(ISBLANK('Refsz-Verbräuche'!L63), "", 'Refsz-Verbräuche'!L63)</f>
        <v/>
      </c>
      <c r="K180" s="212" t="str">
        <f>IF(ISBLANK('Refsz-Verbräuche'!M63), "", 'Refsz-Verbräuche'!M63)</f>
        <v/>
      </c>
      <c r="L180" s="212" t="str">
        <f>IF(ISBLANK('Refsz-Verbräuche'!N63), "", 'Refsz-Verbräuche'!N63)</f>
        <v/>
      </c>
      <c r="M180" s="212" t="str">
        <f>IF(ISBLANK('Refsz-Verbräuche'!O63), "", 'Refsz-Verbräuche'!O63)</f>
        <v/>
      </c>
      <c r="N180" s="212" t="str">
        <f>IF(ISBLANK('Refsz-Verbräuche'!P63), "", 'Refsz-Verbräuche'!P63)</f>
        <v/>
      </c>
      <c r="O180" s="212" t="str">
        <f>IF(ISBLANK('Refsz-Verbräuche'!Q63), "", 'Refsz-Verbräuche'!Q63)</f>
        <v/>
      </c>
      <c r="P180" s="212" t="str">
        <f>IF(ISBLANK('Refsz-Verbräuche'!R63), "", 'Refsz-Verbräuche'!R63)</f>
        <v/>
      </c>
      <c r="Q180" s="212" t="str">
        <f>IF(ISBLANK('Refsz-Verbräuche'!S63), "", 'Refsz-Verbräuche'!S63)</f>
        <v/>
      </c>
      <c r="R180" s="212" t="str">
        <f>IF(ISBLANK('Refsz-Verbräuche'!T63), "", 'Refsz-Verbräuche'!T63)</f>
        <v/>
      </c>
      <c r="S180" s="212" t="str">
        <f>IF(ISBLANK('Refsz-Verbräuche'!U63), "", 'Refsz-Verbräuche'!U63)</f>
        <v/>
      </c>
      <c r="T180" s="212" t="str">
        <f>IF(ISBLANK('Refsz-Verbräuche'!V63), "", 'Refsz-Verbräuche'!V63)</f>
        <v/>
      </c>
      <c r="U180" s="212" t="str">
        <f>IF(ISBLANK('Refsz-Verbräuche'!W63), "", 'Refsz-Verbräuche'!W63)</f>
        <v/>
      </c>
      <c r="V180" s="212" t="str">
        <f>IF(ISBLANK('Refsz-Verbräuche'!X63), "", 'Refsz-Verbräuche'!X63)</f>
        <v/>
      </c>
      <c r="W180" s="212" t="str">
        <f>IF(ISBLANK('Refsz-Verbräuche'!Y63), "", 'Refsz-Verbräuche'!Y63)</f>
        <v/>
      </c>
      <c r="X180" s="206"/>
    </row>
    <row r="181" spans="2:24" hidden="1">
      <c r="B181" s="206" t="str">
        <f>'Refsz-Verbräuche'!D64</f>
        <v>DR - Mietwägen (Benzin)</v>
      </c>
      <c r="C181" s="206" t="str">
        <f>'Refsz-Verbräuche'!E64</f>
        <v>Fkm</v>
      </c>
      <c r="D181" s="212" t="str">
        <f>IF(ISBLANK('Refsz-Verbräuche'!F64), "", 'Refsz-Verbräuche'!F64)</f>
        <v/>
      </c>
      <c r="E181" s="212" t="str">
        <f>IF(ISBLANK('Refsz-Verbräuche'!G64), "", 'Refsz-Verbräuche'!G64)</f>
        <v/>
      </c>
      <c r="F181" s="212" t="str">
        <f>IF(ISBLANK('Refsz-Verbräuche'!H64), "", 'Refsz-Verbräuche'!H64)</f>
        <v/>
      </c>
      <c r="G181" s="212" t="str">
        <f>IF(ISBLANK('Refsz-Verbräuche'!I64), "", 'Refsz-Verbräuche'!I64)</f>
        <v/>
      </c>
      <c r="H181" s="212" t="str">
        <f>IF(ISBLANK('Refsz-Verbräuche'!J64), "", 'Refsz-Verbräuche'!J64)</f>
        <v/>
      </c>
      <c r="I181" s="212" t="str">
        <f>IF(ISBLANK('Refsz-Verbräuche'!K64), "", 'Refsz-Verbräuche'!K64)</f>
        <v/>
      </c>
      <c r="J181" s="212" t="str">
        <f>IF(ISBLANK('Refsz-Verbräuche'!L64), "", 'Refsz-Verbräuche'!L64)</f>
        <v/>
      </c>
      <c r="K181" s="212" t="str">
        <f>IF(ISBLANK('Refsz-Verbräuche'!M64), "", 'Refsz-Verbräuche'!M64)</f>
        <v/>
      </c>
      <c r="L181" s="212" t="str">
        <f>IF(ISBLANK('Refsz-Verbräuche'!N64), "", 'Refsz-Verbräuche'!N64)</f>
        <v/>
      </c>
      <c r="M181" s="212" t="str">
        <f>IF(ISBLANK('Refsz-Verbräuche'!O64), "", 'Refsz-Verbräuche'!O64)</f>
        <v/>
      </c>
      <c r="N181" s="212" t="str">
        <f>IF(ISBLANK('Refsz-Verbräuche'!P64), "", 'Refsz-Verbräuche'!P64)</f>
        <v/>
      </c>
      <c r="O181" s="212" t="str">
        <f>IF(ISBLANK('Refsz-Verbräuche'!Q64), "", 'Refsz-Verbräuche'!Q64)</f>
        <v/>
      </c>
      <c r="P181" s="212" t="str">
        <f>IF(ISBLANK('Refsz-Verbräuche'!R64), "", 'Refsz-Verbräuche'!R64)</f>
        <v/>
      </c>
      <c r="Q181" s="212" t="str">
        <f>IF(ISBLANK('Refsz-Verbräuche'!S64), "", 'Refsz-Verbräuche'!S64)</f>
        <v/>
      </c>
      <c r="R181" s="212" t="str">
        <f>IF(ISBLANK('Refsz-Verbräuche'!T64), "", 'Refsz-Verbräuche'!T64)</f>
        <v/>
      </c>
      <c r="S181" s="212" t="str">
        <f>IF(ISBLANK('Refsz-Verbräuche'!U64), "", 'Refsz-Verbräuche'!U64)</f>
        <v/>
      </c>
      <c r="T181" s="212" t="str">
        <f>IF(ISBLANK('Refsz-Verbräuche'!V64), "", 'Refsz-Verbräuche'!V64)</f>
        <v/>
      </c>
      <c r="U181" s="212" t="str">
        <f>IF(ISBLANK('Refsz-Verbräuche'!W64), "", 'Refsz-Verbräuche'!W64)</f>
        <v/>
      </c>
      <c r="V181" s="212" t="str">
        <f>IF(ISBLANK('Refsz-Verbräuche'!X64), "", 'Refsz-Verbräuche'!X64)</f>
        <v/>
      </c>
      <c r="W181" s="212" t="str">
        <f>IF(ISBLANK('Refsz-Verbräuche'!Y64), "", 'Refsz-Verbräuche'!Y64)</f>
        <v/>
      </c>
      <c r="X181" s="206"/>
    </row>
    <row r="182" spans="2:24" hidden="1">
      <c r="B182" s="206" t="str">
        <f>'Refsz-Verbräuche'!D65</f>
        <v>DR - Mietwägen (E-Auto/ BEV)</v>
      </c>
      <c r="C182" s="206" t="str">
        <f>'Refsz-Verbräuche'!E65</f>
        <v>Fkm</v>
      </c>
      <c r="D182" s="212" t="str">
        <f>IF(ISBLANK('Refsz-Verbräuche'!F65), "", 'Refsz-Verbräuche'!F65)</f>
        <v/>
      </c>
      <c r="E182" s="212" t="str">
        <f>IF(ISBLANK('Refsz-Verbräuche'!G65), "", 'Refsz-Verbräuche'!G65)</f>
        <v/>
      </c>
      <c r="F182" s="212" t="str">
        <f>IF(ISBLANK('Refsz-Verbräuche'!H65), "", 'Refsz-Verbräuche'!H65)</f>
        <v/>
      </c>
      <c r="G182" s="212" t="str">
        <f>IF(ISBLANK('Refsz-Verbräuche'!I65), "", 'Refsz-Verbräuche'!I65)</f>
        <v/>
      </c>
      <c r="H182" s="212" t="str">
        <f>IF(ISBLANK('Refsz-Verbräuche'!J65), "", 'Refsz-Verbräuche'!J65)</f>
        <v/>
      </c>
      <c r="I182" s="212" t="str">
        <f>IF(ISBLANK('Refsz-Verbräuche'!K65), "", 'Refsz-Verbräuche'!K65)</f>
        <v/>
      </c>
      <c r="J182" s="212" t="str">
        <f>IF(ISBLANK('Refsz-Verbräuche'!L65), "", 'Refsz-Verbräuche'!L65)</f>
        <v/>
      </c>
      <c r="K182" s="212" t="str">
        <f>IF(ISBLANK('Refsz-Verbräuche'!M65), "", 'Refsz-Verbräuche'!M65)</f>
        <v/>
      </c>
      <c r="L182" s="212" t="str">
        <f>IF(ISBLANK('Refsz-Verbräuche'!N65), "", 'Refsz-Verbräuche'!N65)</f>
        <v/>
      </c>
      <c r="M182" s="212" t="str">
        <f>IF(ISBLANK('Refsz-Verbräuche'!O65), "", 'Refsz-Verbräuche'!O65)</f>
        <v/>
      </c>
      <c r="N182" s="212" t="str">
        <f>IF(ISBLANK('Refsz-Verbräuche'!P65), "", 'Refsz-Verbräuche'!P65)</f>
        <v/>
      </c>
      <c r="O182" s="212" t="str">
        <f>IF(ISBLANK('Refsz-Verbräuche'!Q65), "", 'Refsz-Verbräuche'!Q65)</f>
        <v/>
      </c>
      <c r="P182" s="212" t="str">
        <f>IF(ISBLANK('Refsz-Verbräuche'!R65), "", 'Refsz-Verbräuche'!R65)</f>
        <v/>
      </c>
      <c r="Q182" s="212" t="str">
        <f>IF(ISBLANK('Refsz-Verbräuche'!S65), "", 'Refsz-Verbräuche'!S65)</f>
        <v/>
      </c>
      <c r="R182" s="212" t="str">
        <f>IF(ISBLANK('Refsz-Verbräuche'!T65), "", 'Refsz-Verbräuche'!T65)</f>
        <v/>
      </c>
      <c r="S182" s="212" t="str">
        <f>IF(ISBLANK('Refsz-Verbräuche'!U65), "", 'Refsz-Verbräuche'!U65)</f>
        <v/>
      </c>
      <c r="T182" s="212" t="str">
        <f>IF(ISBLANK('Refsz-Verbräuche'!V65), "", 'Refsz-Verbräuche'!V65)</f>
        <v/>
      </c>
      <c r="U182" s="212" t="str">
        <f>IF(ISBLANK('Refsz-Verbräuche'!W65), "", 'Refsz-Verbräuche'!W65)</f>
        <v/>
      </c>
      <c r="V182" s="212" t="str">
        <f>IF(ISBLANK('Refsz-Verbräuche'!X65), "", 'Refsz-Verbräuche'!X65)</f>
        <v/>
      </c>
      <c r="W182" s="212" t="str">
        <f>IF(ISBLANK('Refsz-Verbräuche'!Y65), "", 'Refsz-Verbräuche'!Y65)</f>
        <v/>
      </c>
      <c r="X182" s="206"/>
    </row>
    <row r="183" spans="2:24" hidden="1">
      <c r="B183" s="206" t="str">
        <f>'Refsz-Verbräuche'!D66</f>
        <v>DR - Mietwägen (Wasserstoff/ FCEV)</v>
      </c>
      <c r="C183" s="206" t="str">
        <f>'Refsz-Verbräuche'!E66</f>
        <v>Fkm</v>
      </c>
      <c r="D183" s="212" t="str">
        <f>IF(ISBLANK('Refsz-Verbräuche'!F66), "", 'Refsz-Verbräuche'!F66)</f>
        <v/>
      </c>
      <c r="E183" s="212" t="str">
        <f>IF(ISBLANK('Refsz-Verbräuche'!G66), "", 'Refsz-Verbräuche'!G66)</f>
        <v/>
      </c>
      <c r="F183" s="212" t="str">
        <f>IF(ISBLANK('Refsz-Verbräuche'!H66), "", 'Refsz-Verbräuche'!H66)</f>
        <v/>
      </c>
      <c r="G183" s="212" t="str">
        <f>IF(ISBLANK('Refsz-Verbräuche'!I66), "", 'Refsz-Verbräuche'!I66)</f>
        <v/>
      </c>
      <c r="H183" s="212" t="str">
        <f>IF(ISBLANK('Refsz-Verbräuche'!J66), "", 'Refsz-Verbräuche'!J66)</f>
        <v/>
      </c>
      <c r="I183" s="212" t="str">
        <f>IF(ISBLANK('Refsz-Verbräuche'!K66), "", 'Refsz-Verbräuche'!K66)</f>
        <v/>
      </c>
      <c r="J183" s="212" t="str">
        <f>IF(ISBLANK('Refsz-Verbräuche'!L66), "", 'Refsz-Verbräuche'!L66)</f>
        <v/>
      </c>
      <c r="K183" s="212" t="str">
        <f>IF(ISBLANK('Refsz-Verbräuche'!M66), "", 'Refsz-Verbräuche'!M66)</f>
        <v/>
      </c>
      <c r="L183" s="212" t="str">
        <f>IF(ISBLANK('Refsz-Verbräuche'!N66), "", 'Refsz-Verbräuche'!N66)</f>
        <v/>
      </c>
      <c r="M183" s="212" t="str">
        <f>IF(ISBLANK('Refsz-Verbräuche'!O66), "", 'Refsz-Verbräuche'!O66)</f>
        <v/>
      </c>
      <c r="N183" s="212" t="str">
        <f>IF(ISBLANK('Refsz-Verbräuche'!P66), "", 'Refsz-Verbräuche'!P66)</f>
        <v/>
      </c>
      <c r="O183" s="212" t="str">
        <f>IF(ISBLANK('Refsz-Verbräuche'!Q66), "", 'Refsz-Verbräuche'!Q66)</f>
        <v/>
      </c>
      <c r="P183" s="212" t="str">
        <f>IF(ISBLANK('Refsz-Verbräuche'!R66), "", 'Refsz-Verbräuche'!R66)</f>
        <v/>
      </c>
      <c r="Q183" s="212" t="str">
        <f>IF(ISBLANK('Refsz-Verbräuche'!S66), "", 'Refsz-Verbräuche'!S66)</f>
        <v/>
      </c>
      <c r="R183" s="212" t="str">
        <f>IF(ISBLANK('Refsz-Verbräuche'!T66), "", 'Refsz-Verbräuche'!T66)</f>
        <v/>
      </c>
      <c r="S183" s="212" t="str">
        <f>IF(ISBLANK('Refsz-Verbräuche'!U66), "", 'Refsz-Verbräuche'!U66)</f>
        <v/>
      </c>
      <c r="T183" s="212" t="str">
        <f>IF(ISBLANK('Refsz-Verbräuche'!V66), "", 'Refsz-Verbräuche'!V66)</f>
        <v/>
      </c>
      <c r="U183" s="212" t="str">
        <f>IF(ISBLANK('Refsz-Verbräuche'!W66), "", 'Refsz-Verbräuche'!W66)</f>
        <v/>
      </c>
      <c r="V183" s="212" t="str">
        <f>IF(ISBLANK('Refsz-Verbräuche'!X66), "", 'Refsz-Verbräuche'!X66)</f>
        <v/>
      </c>
      <c r="W183" s="212" t="str">
        <f>IF(ISBLANK('Refsz-Verbräuche'!Y66), "", 'Refsz-Verbräuche'!Y66)</f>
        <v/>
      </c>
      <c r="X183" s="206"/>
    </row>
    <row r="184" spans="2:24" hidden="1">
      <c r="B184" s="206" t="str">
        <f>'Refsz-Verbräuche'!D67</f>
        <v>DR - Mietwägen (CNG)</v>
      </c>
      <c r="C184" s="206" t="str">
        <f>'Refsz-Verbräuche'!E67</f>
        <v>Fkm</v>
      </c>
      <c r="D184" s="212" t="str">
        <f>IF(ISBLANK('Refsz-Verbräuche'!F67), "", 'Refsz-Verbräuche'!F67)</f>
        <v/>
      </c>
      <c r="E184" s="212" t="str">
        <f>IF(ISBLANK('Refsz-Verbräuche'!G67), "", 'Refsz-Verbräuche'!G67)</f>
        <v/>
      </c>
      <c r="F184" s="212" t="str">
        <f>IF(ISBLANK('Refsz-Verbräuche'!H67), "", 'Refsz-Verbräuche'!H67)</f>
        <v/>
      </c>
      <c r="G184" s="212" t="str">
        <f>IF(ISBLANK('Refsz-Verbräuche'!I67), "", 'Refsz-Verbräuche'!I67)</f>
        <v/>
      </c>
      <c r="H184" s="212" t="str">
        <f>IF(ISBLANK('Refsz-Verbräuche'!J67), "", 'Refsz-Verbräuche'!J67)</f>
        <v/>
      </c>
      <c r="I184" s="212" t="str">
        <f>IF(ISBLANK('Refsz-Verbräuche'!K67), "", 'Refsz-Verbräuche'!K67)</f>
        <v/>
      </c>
      <c r="J184" s="212" t="str">
        <f>IF(ISBLANK('Refsz-Verbräuche'!L67), "", 'Refsz-Verbräuche'!L67)</f>
        <v/>
      </c>
      <c r="K184" s="212" t="str">
        <f>IF(ISBLANK('Refsz-Verbräuche'!M67), "", 'Refsz-Verbräuche'!M67)</f>
        <v/>
      </c>
      <c r="L184" s="212" t="str">
        <f>IF(ISBLANK('Refsz-Verbräuche'!N67), "", 'Refsz-Verbräuche'!N67)</f>
        <v/>
      </c>
      <c r="M184" s="212" t="str">
        <f>IF(ISBLANK('Refsz-Verbräuche'!O67), "", 'Refsz-Verbräuche'!O67)</f>
        <v/>
      </c>
      <c r="N184" s="212" t="str">
        <f>IF(ISBLANK('Refsz-Verbräuche'!P67), "", 'Refsz-Verbräuche'!P67)</f>
        <v/>
      </c>
      <c r="O184" s="212" t="str">
        <f>IF(ISBLANK('Refsz-Verbräuche'!Q67), "", 'Refsz-Verbräuche'!Q67)</f>
        <v/>
      </c>
      <c r="P184" s="212" t="str">
        <f>IF(ISBLANK('Refsz-Verbräuche'!R67), "", 'Refsz-Verbräuche'!R67)</f>
        <v/>
      </c>
      <c r="Q184" s="212" t="str">
        <f>IF(ISBLANK('Refsz-Verbräuche'!S67), "", 'Refsz-Verbräuche'!S67)</f>
        <v/>
      </c>
      <c r="R184" s="212" t="str">
        <f>IF(ISBLANK('Refsz-Verbräuche'!T67), "", 'Refsz-Verbräuche'!T67)</f>
        <v/>
      </c>
      <c r="S184" s="212" t="str">
        <f>IF(ISBLANK('Refsz-Verbräuche'!U67), "", 'Refsz-Verbräuche'!U67)</f>
        <v/>
      </c>
      <c r="T184" s="212" t="str">
        <f>IF(ISBLANK('Refsz-Verbräuche'!V67), "", 'Refsz-Verbräuche'!V67)</f>
        <v/>
      </c>
      <c r="U184" s="212" t="str">
        <f>IF(ISBLANK('Refsz-Verbräuche'!W67), "", 'Refsz-Verbräuche'!W67)</f>
        <v/>
      </c>
      <c r="V184" s="212" t="str">
        <f>IF(ISBLANK('Refsz-Verbräuche'!X67), "", 'Refsz-Verbräuche'!X67)</f>
        <v/>
      </c>
      <c r="W184" s="212" t="str">
        <f>IF(ISBLANK('Refsz-Verbräuche'!Y67), "", 'Refsz-Verbräuche'!Y67)</f>
        <v/>
      </c>
      <c r="X184" s="206"/>
    </row>
    <row r="185" spans="2:24" hidden="1">
      <c r="B185" s="206" t="str">
        <f>'Refsz-Verbräuche'!D70</f>
        <v>DR - Fahrrad</v>
      </c>
      <c r="C185" s="206" t="str">
        <f>'Refsz-Verbräuche'!E68</f>
        <v>Fkm</v>
      </c>
      <c r="D185" s="212" t="str">
        <f>IF(ISBLANK('Refsz-Verbräuche'!F70), "", 'Refsz-Verbräuche'!F70)</f>
        <v/>
      </c>
      <c r="E185" s="212" t="str">
        <f>IF(ISBLANK('Refsz-Verbräuche'!G70), "", 'Refsz-Verbräuche'!G70)</f>
        <v/>
      </c>
      <c r="F185" s="212" t="str">
        <f>IF(ISBLANK('Refsz-Verbräuche'!H70), "", 'Refsz-Verbräuche'!H70)</f>
        <v/>
      </c>
      <c r="G185" s="212" t="str">
        <f>IF(ISBLANK('Refsz-Verbräuche'!I70), "", 'Refsz-Verbräuche'!I70)</f>
        <v/>
      </c>
      <c r="H185" s="212" t="str">
        <f>IF(ISBLANK('Refsz-Verbräuche'!J70), "", 'Refsz-Verbräuche'!J70)</f>
        <v/>
      </c>
      <c r="I185" s="212" t="str">
        <f>IF(ISBLANK('Refsz-Verbräuche'!K70), "", 'Refsz-Verbräuche'!K70)</f>
        <v/>
      </c>
      <c r="J185" s="212" t="str">
        <f>IF(ISBLANK('Refsz-Verbräuche'!L70), "", 'Refsz-Verbräuche'!L70)</f>
        <v/>
      </c>
      <c r="K185" s="212" t="str">
        <f>IF(ISBLANK('Refsz-Verbräuche'!M70), "", 'Refsz-Verbräuche'!M70)</f>
        <v/>
      </c>
      <c r="L185" s="212" t="str">
        <f>IF(ISBLANK('Refsz-Verbräuche'!N70), "", 'Refsz-Verbräuche'!N70)</f>
        <v/>
      </c>
      <c r="M185" s="212" t="str">
        <f>IF(ISBLANK('Refsz-Verbräuche'!O70), "", 'Refsz-Verbräuche'!O70)</f>
        <v/>
      </c>
      <c r="N185" s="212" t="str">
        <f>IF(ISBLANK('Refsz-Verbräuche'!P70), "", 'Refsz-Verbräuche'!P70)</f>
        <v/>
      </c>
      <c r="O185" s="212" t="str">
        <f>IF(ISBLANK('Refsz-Verbräuche'!Q70), "", 'Refsz-Verbräuche'!Q70)</f>
        <v/>
      </c>
      <c r="P185" s="212" t="str">
        <f>IF(ISBLANK('Refsz-Verbräuche'!R70), "", 'Refsz-Verbräuche'!R70)</f>
        <v/>
      </c>
      <c r="Q185" s="212" t="str">
        <f>IF(ISBLANK('Refsz-Verbräuche'!S70), "", 'Refsz-Verbräuche'!S70)</f>
        <v/>
      </c>
      <c r="R185" s="212" t="str">
        <f>IF(ISBLANK('Refsz-Verbräuche'!T70), "", 'Refsz-Verbräuche'!T70)</f>
        <v/>
      </c>
      <c r="S185" s="212" t="str">
        <f>IF(ISBLANK('Refsz-Verbräuche'!U70), "", 'Refsz-Verbräuche'!U70)</f>
        <v/>
      </c>
      <c r="T185" s="212" t="str">
        <f>IF(ISBLANK('Refsz-Verbräuche'!V70), "", 'Refsz-Verbräuche'!V70)</f>
        <v/>
      </c>
      <c r="U185" s="212" t="str">
        <f>IF(ISBLANK('Refsz-Verbräuche'!W70), "", 'Refsz-Verbräuche'!W70)</f>
        <v/>
      </c>
      <c r="V185" s="212" t="str">
        <f>IF(ISBLANK('Refsz-Verbräuche'!X70), "", 'Refsz-Verbräuche'!X70)</f>
        <v/>
      </c>
      <c r="W185" s="212" t="str">
        <f>IF(ISBLANK('Refsz-Verbräuche'!Y70), "", 'Refsz-Verbräuche'!Y70)</f>
        <v/>
      </c>
      <c r="X185" s="206"/>
    </row>
    <row r="186" spans="2:24" hidden="1">
      <c r="B186" s="206" t="str">
        <f>'Refsz-Verbräuche'!D72</f>
        <v>Studierendenreisen (Outgoing) - Flugreisen</v>
      </c>
      <c r="C186" s="206" t="str">
        <f>'Refsz-Verbräuche'!E72</f>
        <v>Pkm</v>
      </c>
      <c r="D186" s="212" t="str">
        <f>IF(ISBLANK('Refsz-Verbräuche'!F72), "", 'Refsz-Verbräuche'!F72)</f>
        <v/>
      </c>
      <c r="E186" s="212" t="str">
        <f>IF(ISBLANK('Refsz-Verbräuche'!G72), "", 'Refsz-Verbräuche'!G72)</f>
        <v/>
      </c>
      <c r="F186" s="212" t="str">
        <f>IF(ISBLANK('Refsz-Verbräuche'!H72), "", 'Refsz-Verbräuche'!H72)</f>
        <v/>
      </c>
      <c r="G186" s="212" t="str">
        <f>IF(ISBLANK('Refsz-Verbräuche'!I72), "", 'Refsz-Verbräuche'!I72)</f>
        <v/>
      </c>
      <c r="H186" s="212" t="str">
        <f>IF(ISBLANK('Refsz-Verbräuche'!J72), "", 'Refsz-Verbräuche'!J72)</f>
        <v/>
      </c>
      <c r="I186" s="212" t="str">
        <f>IF(ISBLANK('Refsz-Verbräuche'!K72), "", 'Refsz-Verbräuche'!K72)</f>
        <v/>
      </c>
      <c r="J186" s="212" t="str">
        <f>IF(ISBLANK('Refsz-Verbräuche'!L72), "", 'Refsz-Verbräuche'!L72)</f>
        <v/>
      </c>
      <c r="K186" s="212" t="str">
        <f>IF(ISBLANK('Refsz-Verbräuche'!M72), "", 'Refsz-Verbräuche'!M72)</f>
        <v/>
      </c>
      <c r="L186" s="212" t="str">
        <f>IF(ISBLANK('Refsz-Verbräuche'!N72), "", 'Refsz-Verbräuche'!N72)</f>
        <v/>
      </c>
      <c r="M186" s="212" t="str">
        <f>IF(ISBLANK('Refsz-Verbräuche'!O72), "", 'Refsz-Verbräuche'!O72)</f>
        <v/>
      </c>
      <c r="N186" s="212" t="str">
        <f>IF(ISBLANK('Refsz-Verbräuche'!P72), "", 'Refsz-Verbräuche'!P72)</f>
        <v/>
      </c>
      <c r="O186" s="212" t="str">
        <f>IF(ISBLANK('Refsz-Verbräuche'!Q72), "", 'Refsz-Verbräuche'!Q72)</f>
        <v/>
      </c>
      <c r="P186" s="212" t="str">
        <f>IF(ISBLANK('Refsz-Verbräuche'!R72), "", 'Refsz-Verbräuche'!R72)</f>
        <v/>
      </c>
      <c r="Q186" s="212" t="str">
        <f>IF(ISBLANK('Refsz-Verbräuche'!S72), "", 'Refsz-Verbräuche'!S72)</f>
        <v/>
      </c>
      <c r="R186" s="212" t="str">
        <f>IF(ISBLANK('Refsz-Verbräuche'!T72), "", 'Refsz-Verbräuche'!T72)</f>
        <v/>
      </c>
      <c r="S186" s="212" t="str">
        <f>IF(ISBLANK('Refsz-Verbräuche'!U72), "", 'Refsz-Verbräuche'!U72)</f>
        <v/>
      </c>
      <c r="T186" s="212" t="str">
        <f>IF(ISBLANK('Refsz-Verbräuche'!V72), "", 'Refsz-Verbräuche'!V72)</f>
        <v/>
      </c>
      <c r="U186" s="212" t="str">
        <f>IF(ISBLANK('Refsz-Verbräuche'!W72), "", 'Refsz-Verbräuche'!W72)</f>
        <v/>
      </c>
      <c r="V186" s="212" t="str">
        <f>IF(ISBLANK('Refsz-Verbräuche'!X72), "", 'Refsz-Verbräuche'!X72)</f>
        <v/>
      </c>
      <c r="W186" s="212" t="str">
        <f>IF(ISBLANK('Refsz-Verbräuche'!Y72), "", 'Refsz-Verbräuche'!Y72)</f>
        <v/>
      </c>
      <c r="X186" s="206"/>
    </row>
    <row r="187" spans="2:24" hidden="1">
      <c r="B187" s="206" t="str">
        <f>'Refsz-Verbräuche'!D73</f>
        <v>Studierendenreisen (Outgoing) - Eisenbahn (Nahverkehr)</v>
      </c>
      <c r="C187" s="206" t="str">
        <f>'Refsz-Verbräuche'!E73</f>
        <v>Pkm</v>
      </c>
      <c r="D187" s="212" t="str">
        <f>IF(ISBLANK('Refsz-Verbräuche'!F73), "", 'Refsz-Verbräuche'!F73)</f>
        <v/>
      </c>
      <c r="E187" s="212" t="str">
        <f>IF(ISBLANK('Refsz-Verbräuche'!G73), "", 'Refsz-Verbräuche'!G73)</f>
        <v/>
      </c>
      <c r="F187" s="212" t="str">
        <f>IF(ISBLANK('Refsz-Verbräuche'!H73), "", 'Refsz-Verbräuche'!H73)</f>
        <v/>
      </c>
      <c r="G187" s="212" t="str">
        <f>IF(ISBLANK('Refsz-Verbräuche'!I73), "", 'Refsz-Verbräuche'!I73)</f>
        <v/>
      </c>
      <c r="H187" s="212" t="str">
        <f>IF(ISBLANK('Refsz-Verbräuche'!J73), "", 'Refsz-Verbräuche'!J73)</f>
        <v/>
      </c>
      <c r="I187" s="212" t="str">
        <f>IF(ISBLANK('Refsz-Verbräuche'!K73), "", 'Refsz-Verbräuche'!K73)</f>
        <v/>
      </c>
      <c r="J187" s="212" t="str">
        <f>IF(ISBLANK('Refsz-Verbräuche'!L73), "", 'Refsz-Verbräuche'!L73)</f>
        <v/>
      </c>
      <c r="K187" s="212" t="str">
        <f>IF(ISBLANK('Refsz-Verbräuche'!M73), "", 'Refsz-Verbräuche'!M73)</f>
        <v/>
      </c>
      <c r="L187" s="212" t="str">
        <f>IF(ISBLANK('Refsz-Verbräuche'!N73), "", 'Refsz-Verbräuche'!N73)</f>
        <v/>
      </c>
      <c r="M187" s="212" t="str">
        <f>IF(ISBLANK('Refsz-Verbräuche'!O73), "", 'Refsz-Verbräuche'!O73)</f>
        <v/>
      </c>
      <c r="N187" s="212" t="str">
        <f>IF(ISBLANK('Refsz-Verbräuche'!P73), "", 'Refsz-Verbräuche'!P73)</f>
        <v/>
      </c>
      <c r="O187" s="212" t="str">
        <f>IF(ISBLANK('Refsz-Verbräuche'!Q73), "", 'Refsz-Verbräuche'!Q73)</f>
        <v/>
      </c>
      <c r="P187" s="212" t="str">
        <f>IF(ISBLANK('Refsz-Verbräuche'!R73), "", 'Refsz-Verbräuche'!R73)</f>
        <v/>
      </c>
      <c r="Q187" s="212" t="str">
        <f>IF(ISBLANK('Refsz-Verbräuche'!S73), "", 'Refsz-Verbräuche'!S73)</f>
        <v/>
      </c>
      <c r="R187" s="212" t="str">
        <f>IF(ISBLANK('Refsz-Verbräuche'!T73), "", 'Refsz-Verbräuche'!T73)</f>
        <v/>
      </c>
      <c r="S187" s="212" t="str">
        <f>IF(ISBLANK('Refsz-Verbräuche'!U73), "", 'Refsz-Verbräuche'!U73)</f>
        <v/>
      </c>
      <c r="T187" s="212" t="str">
        <f>IF(ISBLANK('Refsz-Verbräuche'!V73), "", 'Refsz-Verbräuche'!V73)</f>
        <v/>
      </c>
      <c r="U187" s="212" t="str">
        <f>IF(ISBLANK('Refsz-Verbräuche'!W73), "", 'Refsz-Verbräuche'!W73)</f>
        <v/>
      </c>
      <c r="V187" s="212" t="str">
        <f>IF(ISBLANK('Refsz-Verbräuche'!X73), "", 'Refsz-Verbräuche'!X73)</f>
        <v/>
      </c>
      <c r="W187" s="212" t="str">
        <f>IF(ISBLANK('Refsz-Verbräuche'!Y73), "", 'Refsz-Verbräuche'!Y73)</f>
        <v/>
      </c>
      <c r="X187" s="206"/>
    </row>
    <row r="188" spans="2:24" hidden="1">
      <c r="B188" s="206" t="str">
        <f>'Refsz-Verbräuche'!D74</f>
        <v>Studierendenreisen (Outgoing) - Privater PKW (alle Antriebsarten)</v>
      </c>
      <c r="C188" s="206" t="str">
        <f>'Refsz-Verbräuche'!E74</f>
        <v>Fkm</v>
      </c>
      <c r="D188" s="212" t="str">
        <f>IF(ISBLANK('Refsz-Verbräuche'!F74), "", 'Refsz-Verbräuche'!F74)</f>
        <v/>
      </c>
      <c r="E188" s="212" t="str">
        <f>IF(ISBLANK('Refsz-Verbräuche'!G74), "", 'Refsz-Verbräuche'!G74)</f>
        <v/>
      </c>
      <c r="F188" s="212" t="str">
        <f>IF(ISBLANK('Refsz-Verbräuche'!H74), "", 'Refsz-Verbräuche'!H74)</f>
        <v/>
      </c>
      <c r="G188" s="212" t="str">
        <f>IF(ISBLANK('Refsz-Verbräuche'!I74), "", 'Refsz-Verbräuche'!I74)</f>
        <v/>
      </c>
      <c r="H188" s="212" t="str">
        <f>IF(ISBLANK('Refsz-Verbräuche'!J74), "", 'Refsz-Verbräuche'!J74)</f>
        <v/>
      </c>
      <c r="I188" s="212" t="str">
        <f>IF(ISBLANK('Refsz-Verbräuche'!K74), "", 'Refsz-Verbräuche'!K74)</f>
        <v/>
      </c>
      <c r="J188" s="212" t="str">
        <f>IF(ISBLANK('Refsz-Verbräuche'!L74), "", 'Refsz-Verbräuche'!L74)</f>
        <v/>
      </c>
      <c r="K188" s="212" t="str">
        <f>IF(ISBLANK('Refsz-Verbräuche'!M74), "", 'Refsz-Verbräuche'!M74)</f>
        <v/>
      </c>
      <c r="L188" s="212" t="str">
        <f>IF(ISBLANK('Refsz-Verbräuche'!N74), "", 'Refsz-Verbräuche'!N74)</f>
        <v/>
      </c>
      <c r="M188" s="212" t="str">
        <f>IF(ISBLANK('Refsz-Verbräuche'!O74), "", 'Refsz-Verbräuche'!O74)</f>
        <v/>
      </c>
      <c r="N188" s="212" t="str">
        <f>IF(ISBLANK('Refsz-Verbräuche'!P74), "", 'Refsz-Verbräuche'!P74)</f>
        <v/>
      </c>
      <c r="O188" s="212" t="str">
        <f>IF(ISBLANK('Refsz-Verbräuche'!Q74), "", 'Refsz-Verbräuche'!Q74)</f>
        <v/>
      </c>
      <c r="P188" s="212" t="str">
        <f>IF(ISBLANK('Refsz-Verbräuche'!R74), "", 'Refsz-Verbräuche'!R74)</f>
        <v/>
      </c>
      <c r="Q188" s="212" t="str">
        <f>IF(ISBLANK('Refsz-Verbräuche'!S74), "", 'Refsz-Verbräuche'!S74)</f>
        <v/>
      </c>
      <c r="R188" s="212" t="str">
        <f>IF(ISBLANK('Refsz-Verbräuche'!T74), "", 'Refsz-Verbräuche'!T74)</f>
        <v/>
      </c>
      <c r="S188" s="212" t="str">
        <f>IF(ISBLANK('Refsz-Verbräuche'!U74), "", 'Refsz-Verbräuche'!U74)</f>
        <v/>
      </c>
      <c r="T188" s="212" t="str">
        <f>IF(ISBLANK('Refsz-Verbräuche'!V74), "", 'Refsz-Verbräuche'!V74)</f>
        <v/>
      </c>
      <c r="U188" s="212" t="str">
        <f>IF(ISBLANK('Refsz-Verbräuche'!W74), "", 'Refsz-Verbräuche'!W74)</f>
        <v/>
      </c>
      <c r="V188" s="212" t="str">
        <f>IF(ISBLANK('Refsz-Verbräuche'!X74), "", 'Refsz-Verbräuche'!X74)</f>
        <v/>
      </c>
      <c r="W188" s="212" t="str">
        <f>IF(ISBLANK('Refsz-Verbräuche'!Y74), "", 'Refsz-Verbräuche'!Y74)</f>
        <v/>
      </c>
      <c r="X188" s="206"/>
    </row>
    <row r="189" spans="2:24" hidden="1">
      <c r="B189" s="206" t="str">
        <f>'Refsz-Verbräuche'!D76</f>
        <v>Exkursionen - Flugreisen</v>
      </c>
      <c r="C189" s="206" t="str">
        <f>'Refsz-Verbräuche'!E76</f>
        <v>Pkm</v>
      </c>
      <c r="D189" s="212" t="str">
        <f>IF(ISBLANK('Refsz-Verbräuche'!F76), "", 'Refsz-Verbräuche'!F76)</f>
        <v/>
      </c>
      <c r="E189" s="212" t="str">
        <f>IF(ISBLANK('Refsz-Verbräuche'!G76), "", 'Refsz-Verbräuche'!G76)</f>
        <v/>
      </c>
      <c r="F189" s="212" t="str">
        <f>IF(ISBLANK('Refsz-Verbräuche'!H76), "", 'Refsz-Verbräuche'!H76)</f>
        <v/>
      </c>
      <c r="G189" s="212" t="str">
        <f>IF(ISBLANK('Refsz-Verbräuche'!I76), "", 'Refsz-Verbräuche'!I76)</f>
        <v/>
      </c>
      <c r="H189" s="212" t="str">
        <f>IF(ISBLANK('Refsz-Verbräuche'!J76), "", 'Refsz-Verbräuche'!J76)</f>
        <v/>
      </c>
      <c r="I189" s="212" t="str">
        <f>IF(ISBLANK('Refsz-Verbräuche'!K76), "", 'Refsz-Verbräuche'!K76)</f>
        <v/>
      </c>
      <c r="J189" s="212" t="str">
        <f>IF(ISBLANK('Refsz-Verbräuche'!L76), "", 'Refsz-Verbräuche'!L76)</f>
        <v/>
      </c>
      <c r="K189" s="212" t="str">
        <f>IF(ISBLANK('Refsz-Verbräuche'!M76), "", 'Refsz-Verbräuche'!M76)</f>
        <v/>
      </c>
      <c r="L189" s="212" t="str">
        <f>IF(ISBLANK('Refsz-Verbräuche'!N76), "", 'Refsz-Verbräuche'!N76)</f>
        <v/>
      </c>
      <c r="M189" s="212" t="str">
        <f>IF(ISBLANK('Refsz-Verbräuche'!O76), "", 'Refsz-Verbräuche'!O76)</f>
        <v/>
      </c>
      <c r="N189" s="212" t="str">
        <f>IF(ISBLANK('Refsz-Verbräuche'!P76), "", 'Refsz-Verbräuche'!P76)</f>
        <v/>
      </c>
      <c r="O189" s="212" t="str">
        <f>IF(ISBLANK('Refsz-Verbräuche'!Q76), "", 'Refsz-Verbräuche'!Q76)</f>
        <v/>
      </c>
      <c r="P189" s="212" t="str">
        <f>IF(ISBLANK('Refsz-Verbräuche'!R76), "", 'Refsz-Verbräuche'!R76)</f>
        <v/>
      </c>
      <c r="Q189" s="212" t="str">
        <f>IF(ISBLANK('Refsz-Verbräuche'!S76), "", 'Refsz-Verbräuche'!S76)</f>
        <v/>
      </c>
      <c r="R189" s="212" t="str">
        <f>IF(ISBLANK('Refsz-Verbräuche'!T76), "", 'Refsz-Verbräuche'!T76)</f>
        <v/>
      </c>
      <c r="S189" s="212" t="str">
        <f>IF(ISBLANK('Refsz-Verbräuche'!U76), "", 'Refsz-Verbräuche'!U76)</f>
        <v/>
      </c>
      <c r="T189" s="212" t="str">
        <f>IF(ISBLANK('Refsz-Verbräuche'!V76), "", 'Refsz-Verbräuche'!V76)</f>
        <v/>
      </c>
      <c r="U189" s="212" t="str">
        <f>IF(ISBLANK('Refsz-Verbräuche'!W76), "", 'Refsz-Verbräuche'!W76)</f>
        <v/>
      </c>
      <c r="V189" s="212" t="str">
        <f>IF(ISBLANK('Refsz-Verbräuche'!X76), "", 'Refsz-Verbräuche'!X76)</f>
        <v/>
      </c>
      <c r="W189" s="212" t="str">
        <f>IF(ISBLANK('Refsz-Verbräuche'!Y76), "", 'Refsz-Verbräuche'!Y76)</f>
        <v/>
      </c>
      <c r="X189" s="206"/>
    </row>
    <row r="190" spans="2:24" hidden="1">
      <c r="B190" s="206" t="str">
        <f>'Refsz-Verbräuche'!D77</f>
        <v>Exkursionen - Eisenbahn (Nahverkehr)</v>
      </c>
      <c r="C190" s="206" t="str">
        <f>'Refsz-Verbräuche'!E77</f>
        <v>Pkm</v>
      </c>
      <c r="D190" s="212" t="str">
        <f>IF(ISBLANK('Refsz-Verbräuche'!F77), "", 'Refsz-Verbräuche'!F77)</f>
        <v/>
      </c>
      <c r="E190" s="212" t="str">
        <f>IF(ISBLANK('Refsz-Verbräuche'!G77), "", 'Refsz-Verbräuche'!G77)</f>
        <v/>
      </c>
      <c r="F190" s="212" t="str">
        <f>IF(ISBLANK('Refsz-Verbräuche'!H77), "", 'Refsz-Verbräuche'!H77)</f>
        <v/>
      </c>
      <c r="G190" s="212" t="str">
        <f>IF(ISBLANK('Refsz-Verbräuche'!I77), "", 'Refsz-Verbräuche'!I77)</f>
        <v/>
      </c>
      <c r="H190" s="212" t="str">
        <f>IF(ISBLANK('Refsz-Verbräuche'!J77), "", 'Refsz-Verbräuche'!J77)</f>
        <v/>
      </c>
      <c r="I190" s="212" t="str">
        <f>IF(ISBLANK('Refsz-Verbräuche'!K77), "", 'Refsz-Verbräuche'!K77)</f>
        <v/>
      </c>
      <c r="J190" s="212" t="str">
        <f>IF(ISBLANK('Refsz-Verbräuche'!L77), "", 'Refsz-Verbräuche'!L77)</f>
        <v/>
      </c>
      <c r="K190" s="212" t="str">
        <f>IF(ISBLANK('Refsz-Verbräuche'!M77), "", 'Refsz-Verbräuche'!M77)</f>
        <v/>
      </c>
      <c r="L190" s="212" t="str">
        <f>IF(ISBLANK('Refsz-Verbräuche'!N77), "", 'Refsz-Verbräuche'!N77)</f>
        <v/>
      </c>
      <c r="M190" s="212" t="str">
        <f>IF(ISBLANK('Refsz-Verbräuche'!O77), "", 'Refsz-Verbräuche'!O77)</f>
        <v/>
      </c>
      <c r="N190" s="212" t="str">
        <f>IF(ISBLANK('Refsz-Verbräuche'!P77), "", 'Refsz-Verbräuche'!P77)</f>
        <v/>
      </c>
      <c r="O190" s="212" t="str">
        <f>IF(ISBLANK('Refsz-Verbräuche'!Q77), "", 'Refsz-Verbräuche'!Q77)</f>
        <v/>
      </c>
      <c r="P190" s="212" t="str">
        <f>IF(ISBLANK('Refsz-Verbräuche'!R77), "", 'Refsz-Verbräuche'!R77)</f>
        <v/>
      </c>
      <c r="Q190" s="212" t="str">
        <f>IF(ISBLANK('Refsz-Verbräuche'!S77), "", 'Refsz-Verbräuche'!S77)</f>
        <v/>
      </c>
      <c r="R190" s="212" t="str">
        <f>IF(ISBLANK('Refsz-Verbräuche'!T77), "", 'Refsz-Verbräuche'!T77)</f>
        <v/>
      </c>
      <c r="S190" s="212" t="str">
        <f>IF(ISBLANK('Refsz-Verbräuche'!U77), "", 'Refsz-Verbräuche'!U77)</f>
        <v/>
      </c>
      <c r="T190" s="212" t="str">
        <f>IF(ISBLANK('Refsz-Verbräuche'!V77), "", 'Refsz-Verbräuche'!V77)</f>
        <v/>
      </c>
      <c r="U190" s="212" t="str">
        <f>IF(ISBLANK('Refsz-Verbräuche'!W77), "", 'Refsz-Verbräuche'!W77)</f>
        <v/>
      </c>
      <c r="V190" s="212" t="str">
        <f>IF(ISBLANK('Refsz-Verbräuche'!X77), "", 'Refsz-Verbräuche'!X77)</f>
        <v/>
      </c>
      <c r="W190" s="212" t="str">
        <f>IF(ISBLANK('Refsz-Verbräuche'!Y77), "", 'Refsz-Verbräuche'!Y77)</f>
        <v/>
      </c>
      <c r="X190" s="206"/>
    </row>
    <row r="191" spans="2:24" hidden="1">
      <c r="B191" s="206" t="str">
        <f>'Refsz-Verbräuche'!D78</f>
        <v>Exkursionen - Privater PKW (alle Antriebsarten)</v>
      </c>
      <c r="C191" s="206" t="str">
        <f>'Refsz-Verbräuche'!E78</f>
        <v>Fkm</v>
      </c>
      <c r="D191" s="212" t="str">
        <f>IF(ISBLANK('Refsz-Verbräuche'!F78), "", 'Refsz-Verbräuche'!F78)</f>
        <v/>
      </c>
      <c r="E191" s="212" t="str">
        <f>IF(ISBLANK('Refsz-Verbräuche'!G78), "", 'Refsz-Verbräuche'!G78)</f>
        <v/>
      </c>
      <c r="F191" s="212" t="str">
        <f>IF(ISBLANK('Refsz-Verbräuche'!H78), "", 'Refsz-Verbräuche'!H78)</f>
        <v/>
      </c>
      <c r="G191" s="212" t="str">
        <f>IF(ISBLANK('Refsz-Verbräuche'!I78), "", 'Refsz-Verbräuche'!I78)</f>
        <v/>
      </c>
      <c r="H191" s="212" t="str">
        <f>IF(ISBLANK('Refsz-Verbräuche'!J78), "", 'Refsz-Verbräuche'!J78)</f>
        <v/>
      </c>
      <c r="I191" s="212" t="str">
        <f>IF(ISBLANK('Refsz-Verbräuche'!K78), "", 'Refsz-Verbräuche'!K78)</f>
        <v/>
      </c>
      <c r="J191" s="212" t="str">
        <f>IF(ISBLANK('Refsz-Verbräuche'!L78), "", 'Refsz-Verbräuche'!L78)</f>
        <v/>
      </c>
      <c r="K191" s="212" t="str">
        <f>IF(ISBLANK('Refsz-Verbräuche'!M78), "", 'Refsz-Verbräuche'!M78)</f>
        <v/>
      </c>
      <c r="L191" s="212" t="str">
        <f>IF(ISBLANK('Refsz-Verbräuche'!N78), "", 'Refsz-Verbräuche'!N78)</f>
        <v/>
      </c>
      <c r="M191" s="212" t="str">
        <f>IF(ISBLANK('Refsz-Verbräuche'!O78), "", 'Refsz-Verbräuche'!O78)</f>
        <v/>
      </c>
      <c r="N191" s="212" t="str">
        <f>IF(ISBLANK('Refsz-Verbräuche'!P78), "", 'Refsz-Verbräuche'!P78)</f>
        <v/>
      </c>
      <c r="O191" s="212" t="str">
        <f>IF(ISBLANK('Refsz-Verbräuche'!Q78), "", 'Refsz-Verbräuche'!Q78)</f>
        <v/>
      </c>
      <c r="P191" s="212" t="str">
        <f>IF(ISBLANK('Refsz-Verbräuche'!R78), "", 'Refsz-Verbräuche'!R78)</f>
        <v/>
      </c>
      <c r="Q191" s="212" t="str">
        <f>IF(ISBLANK('Refsz-Verbräuche'!S78), "", 'Refsz-Verbräuche'!S78)</f>
        <v/>
      </c>
      <c r="R191" s="212" t="str">
        <f>IF(ISBLANK('Refsz-Verbräuche'!T78), "", 'Refsz-Verbräuche'!T78)</f>
        <v/>
      </c>
      <c r="S191" s="212" t="str">
        <f>IF(ISBLANK('Refsz-Verbräuche'!U78), "", 'Refsz-Verbräuche'!U78)</f>
        <v/>
      </c>
      <c r="T191" s="212" t="str">
        <f>IF(ISBLANK('Refsz-Verbräuche'!V78), "", 'Refsz-Verbräuche'!V78)</f>
        <v/>
      </c>
      <c r="U191" s="212" t="str">
        <f>IF(ISBLANK('Refsz-Verbräuche'!W78), "", 'Refsz-Verbräuche'!W78)</f>
        <v/>
      </c>
      <c r="V191" s="212" t="str">
        <f>IF(ISBLANK('Refsz-Verbräuche'!X78), "", 'Refsz-Verbräuche'!X78)</f>
        <v/>
      </c>
      <c r="W191" s="212" t="str">
        <f>IF(ISBLANK('Refsz-Verbräuche'!Y78), "", 'Refsz-Verbräuche'!Y78)</f>
        <v/>
      </c>
      <c r="X191" s="206"/>
    </row>
    <row r="192" spans="2:24" hidden="1">
      <c r="B192" s="206" t="str">
        <f>'Refsz-Verbräuche'!D80</f>
        <v>Pendeln - Eisenbahn (Fernverkehr)</v>
      </c>
      <c r="C192" s="206" t="str">
        <f>'Refsz-Verbräuche'!E80</f>
        <v>Pkm</v>
      </c>
      <c r="D192" s="212" t="str">
        <f>IF(ISBLANK('Refsz-Verbräuche'!F80), "", 'Refsz-Verbräuche'!F80)</f>
        <v/>
      </c>
      <c r="E192" s="212" t="str">
        <f>IF(ISBLANK('Refsz-Verbräuche'!G80), "", 'Refsz-Verbräuche'!G80)</f>
        <v/>
      </c>
      <c r="F192" s="212" t="str">
        <f>IF(ISBLANK('Refsz-Verbräuche'!H80), "", 'Refsz-Verbräuche'!H80)</f>
        <v/>
      </c>
      <c r="G192" s="212" t="str">
        <f>IF(ISBLANK('Refsz-Verbräuche'!I80), "", 'Refsz-Verbräuche'!I80)</f>
        <v/>
      </c>
      <c r="H192" s="212" t="str">
        <f>IF(ISBLANK('Refsz-Verbräuche'!J80), "", 'Refsz-Verbräuche'!J80)</f>
        <v/>
      </c>
      <c r="I192" s="212" t="str">
        <f>IF(ISBLANK('Refsz-Verbräuche'!K80), "", 'Refsz-Verbräuche'!K80)</f>
        <v/>
      </c>
      <c r="J192" s="212" t="str">
        <f>IF(ISBLANK('Refsz-Verbräuche'!L80), "", 'Refsz-Verbräuche'!L80)</f>
        <v/>
      </c>
      <c r="K192" s="212" t="str">
        <f>IF(ISBLANK('Refsz-Verbräuche'!M80), "", 'Refsz-Verbräuche'!M80)</f>
        <v/>
      </c>
      <c r="L192" s="212" t="str">
        <f>IF(ISBLANK('Refsz-Verbräuche'!N80), "", 'Refsz-Verbräuche'!N80)</f>
        <v/>
      </c>
      <c r="M192" s="212" t="str">
        <f>IF(ISBLANK('Refsz-Verbräuche'!O80), "", 'Refsz-Verbräuche'!O80)</f>
        <v/>
      </c>
      <c r="N192" s="212" t="str">
        <f>IF(ISBLANK('Refsz-Verbräuche'!P80), "", 'Refsz-Verbräuche'!P80)</f>
        <v/>
      </c>
      <c r="O192" s="212" t="str">
        <f>IF(ISBLANK('Refsz-Verbräuche'!Q80), "", 'Refsz-Verbräuche'!Q80)</f>
        <v/>
      </c>
      <c r="P192" s="212" t="str">
        <f>IF(ISBLANK('Refsz-Verbräuche'!R80), "", 'Refsz-Verbräuche'!R80)</f>
        <v/>
      </c>
      <c r="Q192" s="212" t="str">
        <f>IF(ISBLANK('Refsz-Verbräuche'!S80), "", 'Refsz-Verbräuche'!S80)</f>
        <v/>
      </c>
      <c r="R192" s="212" t="str">
        <f>IF(ISBLANK('Refsz-Verbräuche'!T80), "", 'Refsz-Verbräuche'!T80)</f>
        <v/>
      </c>
      <c r="S192" s="212" t="str">
        <f>IF(ISBLANK('Refsz-Verbräuche'!U80), "", 'Refsz-Verbräuche'!U80)</f>
        <v/>
      </c>
      <c r="T192" s="212" t="str">
        <f>IF(ISBLANK('Refsz-Verbräuche'!V80), "", 'Refsz-Verbräuche'!V80)</f>
        <v/>
      </c>
      <c r="U192" s="212" t="str">
        <f>IF(ISBLANK('Refsz-Verbräuche'!W80), "", 'Refsz-Verbräuche'!W80)</f>
        <v/>
      </c>
      <c r="V192" s="212" t="str">
        <f>IF(ISBLANK('Refsz-Verbräuche'!X80), "", 'Refsz-Verbräuche'!X80)</f>
        <v/>
      </c>
      <c r="W192" s="212" t="str">
        <f>IF(ISBLANK('Refsz-Verbräuche'!Y80), "", 'Refsz-Verbräuche'!Y80)</f>
        <v/>
      </c>
      <c r="X192" s="206"/>
    </row>
    <row r="193" spans="2:24" hidden="1">
      <c r="B193" s="206" t="str">
        <f>'Refsz-Verbräuche'!D81</f>
        <v>Pendeln - Eisenbahn (Nahverkehr)</v>
      </c>
      <c r="C193" s="206" t="str">
        <f>'Refsz-Verbräuche'!E81</f>
        <v>Pkm</v>
      </c>
      <c r="D193" s="212" t="str">
        <f>IF(ISBLANK('Refsz-Verbräuche'!F81), "", 'Refsz-Verbräuche'!F81)</f>
        <v/>
      </c>
      <c r="E193" s="212" t="str">
        <f>IF(ISBLANK('Refsz-Verbräuche'!G81), "", 'Refsz-Verbräuche'!G81)</f>
        <v/>
      </c>
      <c r="F193" s="212" t="str">
        <f>IF(ISBLANK('Refsz-Verbräuche'!H81), "", 'Refsz-Verbräuche'!H81)</f>
        <v/>
      </c>
      <c r="G193" s="212" t="str">
        <f>IF(ISBLANK('Refsz-Verbräuche'!I81), "", 'Refsz-Verbräuche'!I81)</f>
        <v/>
      </c>
      <c r="H193" s="212" t="str">
        <f>IF(ISBLANK('Refsz-Verbräuche'!J81), "", 'Refsz-Verbräuche'!J81)</f>
        <v/>
      </c>
      <c r="I193" s="212" t="str">
        <f>IF(ISBLANK('Refsz-Verbräuche'!K81), "", 'Refsz-Verbräuche'!K81)</f>
        <v/>
      </c>
      <c r="J193" s="212" t="str">
        <f>IF(ISBLANK('Refsz-Verbräuche'!L81), "", 'Refsz-Verbräuche'!L81)</f>
        <v/>
      </c>
      <c r="K193" s="212" t="str">
        <f>IF(ISBLANK('Refsz-Verbräuche'!M81), "", 'Refsz-Verbräuche'!M81)</f>
        <v/>
      </c>
      <c r="L193" s="212" t="str">
        <f>IF(ISBLANK('Refsz-Verbräuche'!N81), "", 'Refsz-Verbräuche'!N81)</f>
        <v/>
      </c>
      <c r="M193" s="212" t="str">
        <f>IF(ISBLANK('Refsz-Verbräuche'!O81), "", 'Refsz-Verbräuche'!O81)</f>
        <v/>
      </c>
      <c r="N193" s="212" t="str">
        <f>IF(ISBLANK('Refsz-Verbräuche'!P81), "", 'Refsz-Verbräuche'!P81)</f>
        <v/>
      </c>
      <c r="O193" s="212" t="str">
        <f>IF(ISBLANK('Refsz-Verbräuche'!Q81), "", 'Refsz-Verbräuche'!Q81)</f>
        <v/>
      </c>
      <c r="P193" s="212" t="str">
        <f>IF(ISBLANK('Refsz-Verbräuche'!R81), "", 'Refsz-Verbräuche'!R81)</f>
        <v/>
      </c>
      <c r="Q193" s="212" t="str">
        <f>IF(ISBLANK('Refsz-Verbräuche'!S81), "", 'Refsz-Verbräuche'!S81)</f>
        <v/>
      </c>
      <c r="R193" s="212" t="str">
        <f>IF(ISBLANK('Refsz-Verbräuche'!T81), "", 'Refsz-Verbräuche'!T81)</f>
        <v/>
      </c>
      <c r="S193" s="212" t="str">
        <f>IF(ISBLANK('Refsz-Verbräuche'!U81), "", 'Refsz-Verbräuche'!U81)</f>
        <v/>
      </c>
      <c r="T193" s="212" t="str">
        <f>IF(ISBLANK('Refsz-Verbräuche'!V81), "", 'Refsz-Verbräuche'!V81)</f>
        <v/>
      </c>
      <c r="U193" s="212" t="str">
        <f>IF(ISBLANK('Refsz-Verbräuche'!W81), "", 'Refsz-Verbräuche'!W81)</f>
        <v/>
      </c>
      <c r="V193" s="212" t="str">
        <f>IF(ISBLANK('Refsz-Verbräuche'!X81), "", 'Refsz-Verbräuche'!X81)</f>
        <v/>
      </c>
      <c r="W193" s="212" t="str">
        <f>IF(ISBLANK('Refsz-Verbräuche'!Y81), "", 'Refsz-Verbräuche'!Y81)</f>
        <v/>
      </c>
      <c r="X193" s="206"/>
    </row>
    <row r="194" spans="2:24" hidden="1">
      <c r="B194" s="206" t="str">
        <f>'Refsz-Verbräuche'!D82</f>
        <v>Pendeln - Linienbus (Nahverkehr)</v>
      </c>
      <c r="C194" s="206" t="str">
        <f>'Refsz-Verbräuche'!E82</f>
        <v>Pkm</v>
      </c>
      <c r="D194" s="212" t="str">
        <f>IF(ISBLANK('Refsz-Verbräuche'!F82), "", 'Refsz-Verbräuche'!F82)</f>
        <v/>
      </c>
      <c r="E194" s="212" t="str">
        <f>IF(ISBLANK('Refsz-Verbräuche'!G82), "", 'Refsz-Verbräuche'!G82)</f>
        <v/>
      </c>
      <c r="F194" s="212" t="str">
        <f>IF(ISBLANK('Refsz-Verbräuche'!H82), "", 'Refsz-Verbräuche'!H82)</f>
        <v/>
      </c>
      <c r="G194" s="212" t="str">
        <f>IF(ISBLANK('Refsz-Verbräuche'!I82), "", 'Refsz-Verbräuche'!I82)</f>
        <v/>
      </c>
      <c r="H194" s="212" t="str">
        <f>IF(ISBLANK('Refsz-Verbräuche'!J82), "", 'Refsz-Verbräuche'!J82)</f>
        <v/>
      </c>
      <c r="I194" s="212" t="str">
        <f>IF(ISBLANK('Refsz-Verbräuche'!K82), "", 'Refsz-Verbräuche'!K82)</f>
        <v/>
      </c>
      <c r="J194" s="212" t="str">
        <f>IF(ISBLANK('Refsz-Verbräuche'!L82), "", 'Refsz-Verbräuche'!L82)</f>
        <v/>
      </c>
      <c r="K194" s="212" t="str">
        <f>IF(ISBLANK('Refsz-Verbräuche'!M82), "", 'Refsz-Verbräuche'!M82)</f>
        <v/>
      </c>
      <c r="L194" s="212" t="str">
        <f>IF(ISBLANK('Refsz-Verbräuche'!N82), "", 'Refsz-Verbräuche'!N82)</f>
        <v/>
      </c>
      <c r="M194" s="212" t="str">
        <f>IF(ISBLANK('Refsz-Verbräuche'!O82), "", 'Refsz-Verbräuche'!O82)</f>
        <v/>
      </c>
      <c r="N194" s="212" t="str">
        <f>IF(ISBLANK('Refsz-Verbräuche'!P82), "", 'Refsz-Verbräuche'!P82)</f>
        <v/>
      </c>
      <c r="O194" s="212" t="str">
        <f>IF(ISBLANK('Refsz-Verbräuche'!Q82), "", 'Refsz-Verbräuche'!Q82)</f>
        <v/>
      </c>
      <c r="P194" s="212" t="str">
        <f>IF(ISBLANK('Refsz-Verbräuche'!R82), "", 'Refsz-Verbräuche'!R82)</f>
        <v/>
      </c>
      <c r="Q194" s="212" t="str">
        <f>IF(ISBLANK('Refsz-Verbräuche'!S82), "", 'Refsz-Verbräuche'!S82)</f>
        <v/>
      </c>
      <c r="R194" s="212" t="str">
        <f>IF(ISBLANK('Refsz-Verbräuche'!T82), "", 'Refsz-Verbräuche'!T82)</f>
        <v/>
      </c>
      <c r="S194" s="212" t="str">
        <f>IF(ISBLANK('Refsz-Verbräuche'!U82), "", 'Refsz-Verbräuche'!U82)</f>
        <v/>
      </c>
      <c r="T194" s="212" t="str">
        <f>IF(ISBLANK('Refsz-Verbräuche'!V82), "", 'Refsz-Verbräuche'!V82)</f>
        <v/>
      </c>
      <c r="U194" s="212" t="str">
        <f>IF(ISBLANK('Refsz-Verbräuche'!W82), "", 'Refsz-Verbräuche'!W82)</f>
        <v/>
      </c>
      <c r="V194" s="212" t="str">
        <f>IF(ISBLANK('Refsz-Verbräuche'!X82), "", 'Refsz-Verbräuche'!X82)</f>
        <v/>
      </c>
      <c r="W194" s="212" t="str">
        <f>IF(ISBLANK('Refsz-Verbräuche'!Y82), "", 'Refsz-Verbräuche'!Y82)</f>
        <v/>
      </c>
      <c r="X194" s="206"/>
    </row>
    <row r="195" spans="2:24" hidden="1">
      <c r="B195" s="206" t="str">
        <f>'Refsz-Verbräuche'!D83</f>
        <v>Pendeln - PKW (alle Antriebsarten)</v>
      </c>
      <c r="C195" s="206" t="str">
        <f>'Refsz-Verbräuche'!E83</f>
        <v>Fkm</v>
      </c>
      <c r="D195" s="212" t="str">
        <f>IF(ISBLANK('Refsz-Verbräuche'!F83), "", 'Refsz-Verbräuche'!F83)</f>
        <v/>
      </c>
      <c r="E195" s="212" t="str">
        <f>IF(ISBLANK('Refsz-Verbräuche'!G83), "", 'Refsz-Verbräuche'!G83)</f>
        <v/>
      </c>
      <c r="F195" s="212" t="str">
        <f>IF(ISBLANK('Refsz-Verbräuche'!H83), "", 'Refsz-Verbräuche'!H83)</f>
        <v/>
      </c>
      <c r="G195" s="212" t="str">
        <f>IF(ISBLANK('Refsz-Verbräuche'!I83), "", 'Refsz-Verbräuche'!I83)</f>
        <v/>
      </c>
      <c r="H195" s="212" t="str">
        <f>IF(ISBLANK('Refsz-Verbräuche'!J83), "", 'Refsz-Verbräuche'!J83)</f>
        <v/>
      </c>
      <c r="I195" s="212" t="str">
        <f>IF(ISBLANK('Refsz-Verbräuche'!K83), "", 'Refsz-Verbräuche'!K83)</f>
        <v/>
      </c>
      <c r="J195" s="212" t="str">
        <f>IF(ISBLANK('Refsz-Verbräuche'!L83), "", 'Refsz-Verbräuche'!L83)</f>
        <v/>
      </c>
      <c r="K195" s="212" t="str">
        <f>IF(ISBLANK('Refsz-Verbräuche'!M83), "", 'Refsz-Verbräuche'!M83)</f>
        <v/>
      </c>
      <c r="L195" s="212" t="str">
        <f>IF(ISBLANK('Refsz-Verbräuche'!N83), "", 'Refsz-Verbräuche'!N83)</f>
        <v/>
      </c>
      <c r="M195" s="212" t="str">
        <f>IF(ISBLANK('Refsz-Verbräuche'!O83), "", 'Refsz-Verbräuche'!O83)</f>
        <v/>
      </c>
      <c r="N195" s="212" t="str">
        <f>IF(ISBLANK('Refsz-Verbräuche'!P83), "", 'Refsz-Verbräuche'!P83)</f>
        <v/>
      </c>
      <c r="O195" s="212" t="str">
        <f>IF(ISBLANK('Refsz-Verbräuche'!Q83), "", 'Refsz-Verbräuche'!Q83)</f>
        <v/>
      </c>
      <c r="P195" s="212" t="str">
        <f>IF(ISBLANK('Refsz-Verbräuche'!R83), "", 'Refsz-Verbräuche'!R83)</f>
        <v/>
      </c>
      <c r="Q195" s="212" t="str">
        <f>IF(ISBLANK('Refsz-Verbräuche'!S83), "", 'Refsz-Verbräuche'!S83)</f>
        <v/>
      </c>
      <c r="R195" s="212" t="str">
        <f>IF(ISBLANK('Refsz-Verbräuche'!T83), "", 'Refsz-Verbräuche'!T83)</f>
        <v/>
      </c>
      <c r="S195" s="212" t="str">
        <f>IF(ISBLANK('Refsz-Verbräuche'!U83), "", 'Refsz-Verbräuche'!U83)</f>
        <v/>
      </c>
      <c r="T195" s="212" t="str">
        <f>IF(ISBLANK('Refsz-Verbräuche'!V83), "", 'Refsz-Verbräuche'!V83)</f>
        <v/>
      </c>
      <c r="U195" s="212" t="str">
        <f>IF(ISBLANK('Refsz-Verbräuche'!W83), "", 'Refsz-Verbräuche'!W83)</f>
        <v/>
      </c>
      <c r="V195" s="212" t="str">
        <f>IF(ISBLANK('Refsz-Verbräuche'!X83), "", 'Refsz-Verbräuche'!X83)</f>
        <v/>
      </c>
      <c r="W195" s="212" t="str">
        <f>IF(ISBLANK('Refsz-Verbräuche'!Y83), "", 'Refsz-Verbräuche'!Y83)</f>
        <v/>
      </c>
      <c r="X195" s="206"/>
    </row>
    <row r="196" spans="2:24" hidden="1">
      <c r="B196" s="206" t="str">
        <f>'Refsz-Verbräuche'!D84</f>
        <v>Pendeln - PKW (Diesel)</v>
      </c>
      <c r="C196" s="206" t="str">
        <f>'Refsz-Verbräuche'!E84</f>
        <v>Fkm</v>
      </c>
      <c r="D196" s="212" t="str">
        <f>IF(ISBLANK('Refsz-Verbräuche'!F84), "", 'Refsz-Verbräuche'!F84)</f>
        <v/>
      </c>
      <c r="E196" s="212" t="str">
        <f>IF(ISBLANK('Refsz-Verbräuche'!G84), "", 'Refsz-Verbräuche'!G84)</f>
        <v/>
      </c>
      <c r="F196" s="212" t="str">
        <f>IF(ISBLANK('Refsz-Verbräuche'!H84), "", 'Refsz-Verbräuche'!H84)</f>
        <v/>
      </c>
      <c r="G196" s="212" t="str">
        <f>IF(ISBLANK('Refsz-Verbräuche'!I84), "", 'Refsz-Verbräuche'!I84)</f>
        <v/>
      </c>
      <c r="H196" s="212" t="str">
        <f>IF(ISBLANK('Refsz-Verbräuche'!J84), "", 'Refsz-Verbräuche'!J84)</f>
        <v/>
      </c>
      <c r="I196" s="212" t="str">
        <f>IF(ISBLANK('Refsz-Verbräuche'!K84), "", 'Refsz-Verbräuche'!K84)</f>
        <v/>
      </c>
      <c r="J196" s="212" t="str">
        <f>IF(ISBLANK('Refsz-Verbräuche'!L84), "", 'Refsz-Verbräuche'!L84)</f>
        <v/>
      </c>
      <c r="K196" s="212" t="str">
        <f>IF(ISBLANK('Refsz-Verbräuche'!M84), "", 'Refsz-Verbräuche'!M84)</f>
        <v/>
      </c>
      <c r="L196" s="212" t="str">
        <f>IF(ISBLANK('Refsz-Verbräuche'!N84), "", 'Refsz-Verbräuche'!N84)</f>
        <v/>
      </c>
      <c r="M196" s="212" t="str">
        <f>IF(ISBLANK('Refsz-Verbräuche'!O84), "", 'Refsz-Verbräuche'!O84)</f>
        <v/>
      </c>
      <c r="N196" s="212" t="str">
        <f>IF(ISBLANK('Refsz-Verbräuche'!P84), "", 'Refsz-Verbräuche'!P84)</f>
        <v/>
      </c>
      <c r="O196" s="212" t="str">
        <f>IF(ISBLANK('Refsz-Verbräuche'!Q84), "", 'Refsz-Verbräuche'!Q84)</f>
        <v/>
      </c>
      <c r="P196" s="212" t="str">
        <f>IF(ISBLANK('Refsz-Verbräuche'!R84), "", 'Refsz-Verbräuche'!R84)</f>
        <v/>
      </c>
      <c r="Q196" s="212" t="str">
        <f>IF(ISBLANK('Refsz-Verbräuche'!S84), "", 'Refsz-Verbräuche'!S84)</f>
        <v/>
      </c>
      <c r="R196" s="212" t="str">
        <f>IF(ISBLANK('Refsz-Verbräuche'!T84), "", 'Refsz-Verbräuche'!T84)</f>
        <v/>
      </c>
      <c r="S196" s="212" t="str">
        <f>IF(ISBLANK('Refsz-Verbräuche'!U84), "", 'Refsz-Verbräuche'!U84)</f>
        <v/>
      </c>
      <c r="T196" s="212" t="str">
        <f>IF(ISBLANK('Refsz-Verbräuche'!V84), "", 'Refsz-Verbräuche'!V84)</f>
        <v/>
      </c>
      <c r="U196" s="212" t="str">
        <f>IF(ISBLANK('Refsz-Verbräuche'!W84), "", 'Refsz-Verbräuche'!W84)</f>
        <v/>
      </c>
      <c r="V196" s="212" t="str">
        <f>IF(ISBLANK('Refsz-Verbräuche'!X84), "", 'Refsz-Verbräuche'!X84)</f>
        <v/>
      </c>
      <c r="W196" s="212" t="str">
        <f>IF(ISBLANK('Refsz-Verbräuche'!Y84), "", 'Refsz-Verbräuche'!Y84)</f>
        <v/>
      </c>
      <c r="X196" s="206"/>
    </row>
    <row r="197" spans="2:24" hidden="1">
      <c r="B197" s="206" t="str">
        <f>'Refsz-Verbräuche'!D85</f>
        <v>Pendeln - PKW (Benzin)</v>
      </c>
      <c r="C197" s="206" t="str">
        <f>'Refsz-Verbräuche'!E85</f>
        <v>Fkm</v>
      </c>
      <c r="D197" s="212" t="str">
        <f>IF(ISBLANK('Refsz-Verbräuche'!F85), "", 'Refsz-Verbräuche'!F85)</f>
        <v/>
      </c>
      <c r="E197" s="212" t="str">
        <f>IF(ISBLANK('Refsz-Verbräuche'!G85), "", 'Refsz-Verbräuche'!G85)</f>
        <v/>
      </c>
      <c r="F197" s="212" t="str">
        <f>IF(ISBLANK('Refsz-Verbräuche'!H85), "", 'Refsz-Verbräuche'!H85)</f>
        <v/>
      </c>
      <c r="G197" s="212" t="str">
        <f>IF(ISBLANK('Refsz-Verbräuche'!I85), "", 'Refsz-Verbräuche'!I85)</f>
        <v/>
      </c>
      <c r="H197" s="212" t="str">
        <f>IF(ISBLANK('Refsz-Verbräuche'!J85), "", 'Refsz-Verbräuche'!J85)</f>
        <v/>
      </c>
      <c r="I197" s="212" t="str">
        <f>IF(ISBLANK('Refsz-Verbräuche'!K85), "", 'Refsz-Verbräuche'!K85)</f>
        <v/>
      </c>
      <c r="J197" s="212" t="str">
        <f>IF(ISBLANK('Refsz-Verbräuche'!L85), "", 'Refsz-Verbräuche'!L85)</f>
        <v/>
      </c>
      <c r="K197" s="212" t="str">
        <f>IF(ISBLANK('Refsz-Verbräuche'!M85), "", 'Refsz-Verbräuche'!M85)</f>
        <v/>
      </c>
      <c r="L197" s="212" t="str">
        <f>IF(ISBLANK('Refsz-Verbräuche'!N85), "", 'Refsz-Verbräuche'!N85)</f>
        <v/>
      </c>
      <c r="M197" s="212" t="str">
        <f>IF(ISBLANK('Refsz-Verbräuche'!O85), "", 'Refsz-Verbräuche'!O85)</f>
        <v/>
      </c>
      <c r="N197" s="212" t="str">
        <f>IF(ISBLANK('Refsz-Verbräuche'!P85), "", 'Refsz-Verbräuche'!P85)</f>
        <v/>
      </c>
      <c r="O197" s="212" t="str">
        <f>IF(ISBLANK('Refsz-Verbräuche'!Q85), "", 'Refsz-Verbräuche'!Q85)</f>
        <v/>
      </c>
      <c r="P197" s="212" t="str">
        <f>IF(ISBLANK('Refsz-Verbräuche'!R85), "", 'Refsz-Verbräuche'!R85)</f>
        <v/>
      </c>
      <c r="Q197" s="212" t="str">
        <f>IF(ISBLANK('Refsz-Verbräuche'!S85), "", 'Refsz-Verbräuche'!S85)</f>
        <v/>
      </c>
      <c r="R197" s="212" t="str">
        <f>IF(ISBLANK('Refsz-Verbräuche'!T85), "", 'Refsz-Verbräuche'!T85)</f>
        <v/>
      </c>
      <c r="S197" s="212" t="str">
        <f>IF(ISBLANK('Refsz-Verbräuche'!U85), "", 'Refsz-Verbräuche'!U85)</f>
        <v/>
      </c>
      <c r="T197" s="212" t="str">
        <f>IF(ISBLANK('Refsz-Verbräuche'!V85), "", 'Refsz-Verbräuche'!V85)</f>
        <v/>
      </c>
      <c r="U197" s="212" t="str">
        <f>IF(ISBLANK('Refsz-Verbräuche'!W85), "", 'Refsz-Verbräuche'!W85)</f>
        <v/>
      </c>
      <c r="V197" s="212" t="str">
        <f>IF(ISBLANK('Refsz-Verbräuche'!X85), "", 'Refsz-Verbräuche'!X85)</f>
        <v/>
      </c>
      <c r="W197" s="212" t="str">
        <f>IF(ISBLANK('Refsz-Verbräuche'!Y85), "", 'Refsz-Verbräuche'!Y85)</f>
        <v/>
      </c>
      <c r="X197" s="206"/>
    </row>
    <row r="198" spans="2:24" hidden="1">
      <c r="B198" s="206" t="str">
        <f>'Refsz-Verbräuche'!D86</f>
        <v>Pendeln - PKW (E-Auto/ BEV)</v>
      </c>
      <c r="C198" s="206" t="str">
        <f>'Refsz-Verbräuche'!E86</f>
        <v>Fkm</v>
      </c>
      <c r="D198" s="212" t="str">
        <f>IF(ISBLANK('Refsz-Verbräuche'!F86), "", 'Refsz-Verbräuche'!F86)</f>
        <v/>
      </c>
      <c r="E198" s="212" t="str">
        <f>IF(ISBLANK('Refsz-Verbräuche'!G86), "", 'Refsz-Verbräuche'!G86)</f>
        <v/>
      </c>
      <c r="F198" s="212" t="str">
        <f>IF(ISBLANK('Refsz-Verbräuche'!H86), "", 'Refsz-Verbräuche'!H86)</f>
        <v/>
      </c>
      <c r="G198" s="212" t="str">
        <f>IF(ISBLANK('Refsz-Verbräuche'!I86), "", 'Refsz-Verbräuche'!I86)</f>
        <v/>
      </c>
      <c r="H198" s="212" t="str">
        <f>IF(ISBLANK('Refsz-Verbräuche'!J86), "", 'Refsz-Verbräuche'!J86)</f>
        <v/>
      </c>
      <c r="I198" s="212" t="str">
        <f>IF(ISBLANK('Refsz-Verbräuche'!K86), "", 'Refsz-Verbräuche'!K86)</f>
        <v/>
      </c>
      <c r="J198" s="212" t="str">
        <f>IF(ISBLANK('Refsz-Verbräuche'!L86), "", 'Refsz-Verbräuche'!L86)</f>
        <v/>
      </c>
      <c r="K198" s="212" t="str">
        <f>IF(ISBLANK('Refsz-Verbräuche'!M86), "", 'Refsz-Verbräuche'!M86)</f>
        <v/>
      </c>
      <c r="L198" s="212" t="str">
        <f>IF(ISBLANK('Refsz-Verbräuche'!N86), "", 'Refsz-Verbräuche'!N86)</f>
        <v/>
      </c>
      <c r="M198" s="212" t="str">
        <f>IF(ISBLANK('Refsz-Verbräuche'!O86), "", 'Refsz-Verbräuche'!O86)</f>
        <v/>
      </c>
      <c r="N198" s="212" t="str">
        <f>IF(ISBLANK('Refsz-Verbräuche'!P86), "", 'Refsz-Verbräuche'!P86)</f>
        <v/>
      </c>
      <c r="O198" s="212" t="str">
        <f>IF(ISBLANK('Refsz-Verbräuche'!Q86), "", 'Refsz-Verbräuche'!Q86)</f>
        <v/>
      </c>
      <c r="P198" s="212" t="str">
        <f>IF(ISBLANK('Refsz-Verbräuche'!R86), "", 'Refsz-Verbräuche'!R86)</f>
        <v/>
      </c>
      <c r="Q198" s="212" t="str">
        <f>IF(ISBLANK('Refsz-Verbräuche'!S86), "", 'Refsz-Verbräuche'!S86)</f>
        <v/>
      </c>
      <c r="R198" s="212" t="str">
        <f>IF(ISBLANK('Refsz-Verbräuche'!T86), "", 'Refsz-Verbräuche'!T86)</f>
        <v/>
      </c>
      <c r="S198" s="212" t="str">
        <f>IF(ISBLANK('Refsz-Verbräuche'!U86), "", 'Refsz-Verbräuche'!U86)</f>
        <v/>
      </c>
      <c r="T198" s="212" t="str">
        <f>IF(ISBLANK('Refsz-Verbräuche'!V86), "", 'Refsz-Verbräuche'!V86)</f>
        <v/>
      </c>
      <c r="U198" s="212" t="str">
        <f>IF(ISBLANK('Refsz-Verbräuche'!W86), "", 'Refsz-Verbräuche'!W86)</f>
        <v/>
      </c>
      <c r="V198" s="212" t="str">
        <f>IF(ISBLANK('Refsz-Verbräuche'!X86), "", 'Refsz-Verbräuche'!X86)</f>
        <v/>
      </c>
      <c r="W198" s="212" t="str">
        <f>IF(ISBLANK('Refsz-Verbräuche'!Y86), "", 'Refsz-Verbräuche'!Y86)</f>
        <v/>
      </c>
      <c r="X198" s="206"/>
    </row>
    <row r="199" spans="2:24" hidden="1">
      <c r="B199" s="206" t="str">
        <f>'Refsz-Verbräuche'!D87</f>
        <v>Pendeln - PKW (Wasserstoff/ FCEV)</v>
      </c>
      <c r="C199" s="206" t="str">
        <f>'Refsz-Verbräuche'!E87</f>
        <v>Fkm</v>
      </c>
      <c r="D199" s="212" t="str">
        <f>IF(ISBLANK('Refsz-Verbräuche'!F87), "", 'Refsz-Verbräuche'!F87)</f>
        <v/>
      </c>
      <c r="E199" s="212" t="str">
        <f>IF(ISBLANK('Refsz-Verbräuche'!G87), "", 'Refsz-Verbräuche'!G87)</f>
        <v/>
      </c>
      <c r="F199" s="212" t="str">
        <f>IF(ISBLANK('Refsz-Verbräuche'!H87), "", 'Refsz-Verbräuche'!H87)</f>
        <v/>
      </c>
      <c r="G199" s="212" t="str">
        <f>IF(ISBLANK('Refsz-Verbräuche'!I87), "", 'Refsz-Verbräuche'!I87)</f>
        <v/>
      </c>
      <c r="H199" s="212" t="str">
        <f>IF(ISBLANK('Refsz-Verbräuche'!J87), "", 'Refsz-Verbräuche'!J87)</f>
        <v/>
      </c>
      <c r="I199" s="212" t="str">
        <f>IF(ISBLANK('Refsz-Verbräuche'!K87), "", 'Refsz-Verbräuche'!K87)</f>
        <v/>
      </c>
      <c r="J199" s="212" t="str">
        <f>IF(ISBLANK('Refsz-Verbräuche'!L87), "", 'Refsz-Verbräuche'!L87)</f>
        <v/>
      </c>
      <c r="K199" s="212" t="str">
        <f>IF(ISBLANK('Refsz-Verbräuche'!M87), "", 'Refsz-Verbräuche'!M87)</f>
        <v/>
      </c>
      <c r="L199" s="212" t="str">
        <f>IF(ISBLANK('Refsz-Verbräuche'!N87), "", 'Refsz-Verbräuche'!N87)</f>
        <v/>
      </c>
      <c r="M199" s="212" t="str">
        <f>IF(ISBLANK('Refsz-Verbräuche'!O87), "", 'Refsz-Verbräuche'!O87)</f>
        <v/>
      </c>
      <c r="N199" s="212" t="str">
        <f>IF(ISBLANK('Refsz-Verbräuche'!P87), "", 'Refsz-Verbräuche'!P87)</f>
        <v/>
      </c>
      <c r="O199" s="212" t="str">
        <f>IF(ISBLANK('Refsz-Verbräuche'!Q87), "", 'Refsz-Verbräuche'!Q87)</f>
        <v/>
      </c>
      <c r="P199" s="212" t="str">
        <f>IF(ISBLANK('Refsz-Verbräuche'!R87), "", 'Refsz-Verbräuche'!R87)</f>
        <v/>
      </c>
      <c r="Q199" s="212" t="str">
        <f>IF(ISBLANK('Refsz-Verbräuche'!S87), "", 'Refsz-Verbräuche'!S87)</f>
        <v/>
      </c>
      <c r="R199" s="212" t="str">
        <f>IF(ISBLANK('Refsz-Verbräuche'!T87), "", 'Refsz-Verbräuche'!T87)</f>
        <v/>
      </c>
      <c r="S199" s="212" t="str">
        <f>IF(ISBLANK('Refsz-Verbräuche'!U87), "", 'Refsz-Verbräuche'!U87)</f>
        <v/>
      </c>
      <c r="T199" s="212" t="str">
        <f>IF(ISBLANK('Refsz-Verbräuche'!V87), "", 'Refsz-Verbräuche'!V87)</f>
        <v/>
      </c>
      <c r="U199" s="212" t="str">
        <f>IF(ISBLANK('Refsz-Verbräuche'!W87), "", 'Refsz-Verbräuche'!W87)</f>
        <v/>
      </c>
      <c r="V199" s="212" t="str">
        <f>IF(ISBLANK('Refsz-Verbräuche'!X87), "", 'Refsz-Verbräuche'!X87)</f>
        <v/>
      </c>
      <c r="W199" s="212" t="str">
        <f>IF(ISBLANK('Refsz-Verbräuche'!Y87), "", 'Refsz-Verbräuche'!Y87)</f>
        <v/>
      </c>
      <c r="X199" s="206"/>
    </row>
    <row r="200" spans="2:24" hidden="1">
      <c r="B200" s="206" t="str">
        <f>'Refsz-Verbräuche'!D88</f>
        <v>Pendeln - PKW (CNG)</v>
      </c>
      <c r="C200" s="206" t="str">
        <f>'Refsz-Verbräuche'!E88</f>
        <v>Fkm</v>
      </c>
      <c r="D200" s="212" t="str">
        <f>IF(ISBLANK('Refsz-Verbräuche'!F88), "", 'Refsz-Verbräuche'!F88)</f>
        <v/>
      </c>
      <c r="E200" s="212" t="str">
        <f>IF(ISBLANK('Refsz-Verbräuche'!G88), "", 'Refsz-Verbräuche'!G88)</f>
        <v/>
      </c>
      <c r="F200" s="212" t="str">
        <f>IF(ISBLANK('Refsz-Verbräuche'!H88), "", 'Refsz-Verbräuche'!H88)</f>
        <v/>
      </c>
      <c r="G200" s="212" t="str">
        <f>IF(ISBLANK('Refsz-Verbräuche'!I88), "", 'Refsz-Verbräuche'!I88)</f>
        <v/>
      </c>
      <c r="H200" s="212" t="str">
        <f>IF(ISBLANK('Refsz-Verbräuche'!J88), "", 'Refsz-Verbräuche'!J88)</f>
        <v/>
      </c>
      <c r="I200" s="212" t="str">
        <f>IF(ISBLANK('Refsz-Verbräuche'!K88), "", 'Refsz-Verbräuche'!K88)</f>
        <v/>
      </c>
      <c r="J200" s="212" t="str">
        <f>IF(ISBLANK('Refsz-Verbräuche'!L88), "", 'Refsz-Verbräuche'!L88)</f>
        <v/>
      </c>
      <c r="K200" s="212" t="str">
        <f>IF(ISBLANK('Refsz-Verbräuche'!M88), "", 'Refsz-Verbräuche'!M88)</f>
        <v/>
      </c>
      <c r="L200" s="212" t="str">
        <f>IF(ISBLANK('Refsz-Verbräuche'!N88), "", 'Refsz-Verbräuche'!N88)</f>
        <v/>
      </c>
      <c r="M200" s="212" t="str">
        <f>IF(ISBLANK('Refsz-Verbräuche'!O88), "", 'Refsz-Verbräuche'!O88)</f>
        <v/>
      </c>
      <c r="N200" s="212" t="str">
        <f>IF(ISBLANK('Refsz-Verbräuche'!P88), "", 'Refsz-Verbräuche'!P88)</f>
        <v/>
      </c>
      <c r="O200" s="212" t="str">
        <f>IF(ISBLANK('Refsz-Verbräuche'!Q88), "", 'Refsz-Verbräuche'!Q88)</f>
        <v/>
      </c>
      <c r="P200" s="212" t="str">
        <f>IF(ISBLANK('Refsz-Verbräuche'!R88), "", 'Refsz-Verbräuche'!R88)</f>
        <v/>
      </c>
      <c r="Q200" s="212" t="str">
        <f>IF(ISBLANK('Refsz-Verbräuche'!S88), "", 'Refsz-Verbräuche'!S88)</f>
        <v/>
      </c>
      <c r="R200" s="212" t="str">
        <f>IF(ISBLANK('Refsz-Verbräuche'!T88), "", 'Refsz-Verbräuche'!T88)</f>
        <v/>
      </c>
      <c r="S200" s="212" t="str">
        <f>IF(ISBLANK('Refsz-Verbräuche'!U88), "", 'Refsz-Verbräuche'!U88)</f>
        <v/>
      </c>
      <c r="T200" s="212" t="str">
        <f>IF(ISBLANK('Refsz-Verbräuche'!V88), "", 'Refsz-Verbräuche'!V88)</f>
        <v/>
      </c>
      <c r="U200" s="212" t="str">
        <f>IF(ISBLANK('Refsz-Verbräuche'!W88), "", 'Refsz-Verbräuche'!W88)</f>
        <v/>
      </c>
      <c r="V200" s="212" t="str">
        <f>IF(ISBLANK('Refsz-Verbräuche'!X88), "", 'Refsz-Verbräuche'!X88)</f>
        <v/>
      </c>
      <c r="W200" s="212" t="str">
        <f>IF(ISBLANK('Refsz-Verbräuche'!Y88), "", 'Refsz-Verbräuche'!Y88)</f>
        <v/>
      </c>
      <c r="X200" s="206"/>
    </row>
    <row r="201" spans="2:24" hidden="1">
      <c r="B201" s="206" t="str">
        <f>'Refsz-Verbräuche'!D91</f>
        <v>Pendeln - Fahrrad</v>
      </c>
      <c r="C201" s="206" t="str">
        <f>'Refsz-Verbräuche'!E89</f>
        <v>Fkm</v>
      </c>
      <c r="D201" s="212" t="str">
        <f>IF(ISBLANK('Refsz-Verbräuche'!F91), "", 'Refsz-Verbräuche'!F91)</f>
        <v/>
      </c>
      <c r="E201" s="212" t="str">
        <f>IF(ISBLANK('Refsz-Verbräuche'!G91), "", 'Refsz-Verbräuche'!G91)</f>
        <v/>
      </c>
      <c r="F201" s="212" t="str">
        <f>IF(ISBLANK('Refsz-Verbräuche'!H91), "", 'Refsz-Verbräuche'!H91)</f>
        <v/>
      </c>
      <c r="G201" s="212" t="str">
        <f>IF(ISBLANK('Refsz-Verbräuche'!I91), "", 'Refsz-Verbräuche'!I91)</f>
        <v/>
      </c>
      <c r="H201" s="212" t="str">
        <f>IF(ISBLANK('Refsz-Verbräuche'!J91), "", 'Refsz-Verbräuche'!J91)</f>
        <v/>
      </c>
      <c r="I201" s="212" t="str">
        <f>IF(ISBLANK('Refsz-Verbräuche'!K91), "", 'Refsz-Verbräuche'!K91)</f>
        <v/>
      </c>
      <c r="J201" s="212" t="str">
        <f>IF(ISBLANK('Refsz-Verbräuche'!L91), "", 'Refsz-Verbräuche'!L91)</f>
        <v/>
      </c>
      <c r="K201" s="212" t="str">
        <f>IF(ISBLANK('Refsz-Verbräuche'!M91), "", 'Refsz-Verbräuche'!M91)</f>
        <v/>
      </c>
      <c r="L201" s="212" t="str">
        <f>IF(ISBLANK('Refsz-Verbräuche'!N91), "", 'Refsz-Verbräuche'!N91)</f>
        <v/>
      </c>
      <c r="M201" s="212" t="str">
        <f>IF(ISBLANK('Refsz-Verbräuche'!O91), "", 'Refsz-Verbräuche'!O91)</f>
        <v/>
      </c>
      <c r="N201" s="212" t="str">
        <f>IF(ISBLANK('Refsz-Verbräuche'!P91), "", 'Refsz-Verbräuche'!P91)</f>
        <v/>
      </c>
      <c r="O201" s="212" t="str">
        <f>IF(ISBLANK('Refsz-Verbräuche'!Q91), "", 'Refsz-Verbräuche'!Q91)</f>
        <v/>
      </c>
      <c r="P201" s="212" t="str">
        <f>IF(ISBLANK('Refsz-Verbräuche'!R91), "", 'Refsz-Verbräuche'!R91)</f>
        <v/>
      </c>
      <c r="Q201" s="212" t="str">
        <f>IF(ISBLANK('Refsz-Verbräuche'!S91), "", 'Refsz-Verbräuche'!S91)</f>
        <v/>
      </c>
      <c r="R201" s="212" t="str">
        <f>IF(ISBLANK('Refsz-Verbräuche'!T91), "", 'Refsz-Verbräuche'!T91)</f>
        <v/>
      </c>
      <c r="S201" s="212" t="str">
        <f>IF(ISBLANK('Refsz-Verbräuche'!U91), "", 'Refsz-Verbräuche'!U91)</f>
        <v/>
      </c>
      <c r="T201" s="212" t="str">
        <f>IF(ISBLANK('Refsz-Verbräuche'!V91), "", 'Refsz-Verbräuche'!V91)</f>
        <v/>
      </c>
      <c r="U201" s="212" t="str">
        <f>IF(ISBLANK('Refsz-Verbräuche'!W91), "", 'Refsz-Verbräuche'!W91)</f>
        <v/>
      </c>
      <c r="V201" s="212" t="str">
        <f>IF(ISBLANK('Refsz-Verbräuche'!X91), "", 'Refsz-Verbräuche'!X91)</f>
        <v/>
      </c>
      <c r="W201" s="212" t="str">
        <f>IF(ISBLANK('Refsz-Verbräuche'!Y91), "", 'Refsz-Verbräuche'!Y91)</f>
        <v/>
      </c>
      <c r="X201" s="206"/>
    </row>
    <row r="202" spans="2:24" hidden="1">
      <c r="B202" s="206" t="str">
        <f>'Refsz-Verbräuche'!D93</f>
        <v>Pendeln - zu Fuß</v>
      </c>
      <c r="C202" s="206" t="str">
        <f>'Refsz-Verbräuche'!E90</f>
        <v>Fkm</v>
      </c>
      <c r="D202" s="212" t="str">
        <f>IF(ISBLANK('Refsz-Verbräuche'!F93), "", 'Refsz-Verbräuche'!F93)</f>
        <v/>
      </c>
      <c r="E202" s="212" t="str">
        <f>IF(ISBLANK('Refsz-Verbräuche'!G93), "", 'Refsz-Verbräuche'!G93)</f>
        <v/>
      </c>
      <c r="F202" s="212" t="str">
        <f>IF(ISBLANK('Refsz-Verbräuche'!H93), "", 'Refsz-Verbräuche'!H93)</f>
        <v/>
      </c>
      <c r="G202" s="212" t="str">
        <f>IF(ISBLANK('Refsz-Verbräuche'!I93), "", 'Refsz-Verbräuche'!I93)</f>
        <v/>
      </c>
      <c r="H202" s="212" t="str">
        <f>IF(ISBLANK('Refsz-Verbräuche'!J93), "", 'Refsz-Verbräuche'!J93)</f>
        <v/>
      </c>
      <c r="I202" s="212" t="str">
        <f>IF(ISBLANK('Refsz-Verbräuche'!K93), "", 'Refsz-Verbräuche'!K93)</f>
        <v/>
      </c>
      <c r="J202" s="212" t="str">
        <f>IF(ISBLANK('Refsz-Verbräuche'!L93), "", 'Refsz-Verbräuche'!L93)</f>
        <v/>
      </c>
      <c r="K202" s="212" t="str">
        <f>IF(ISBLANK('Refsz-Verbräuche'!M93), "", 'Refsz-Verbräuche'!M93)</f>
        <v/>
      </c>
      <c r="L202" s="212" t="str">
        <f>IF(ISBLANK('Refsz-Verbräuche'!N93), "", 'Refsz-Verbräuche'!N93)</f>
        <v/>
      </c>
      <c r="M202" s="212" t="str">
        <f>IF(ISBLANK('Refsz-Verbräuche'!O93), "", 'Refsz-Verbräuche'!O93)</f>
        <v/>
      </c>
      <c r="N202" s="212" t="str">
        <f>IF(ISBLANK('Refsz-Verbräuche'!P93), "", 'Refsz-Verbräuche'!P93)</f>
        <v/>
      </c>
      <c r="O202" s="212" t="str">
        <f>IF(ISBLANK('Refsz-Verbräuche'!Q93), "", 'Refsz-Verbräuche'!Q93)</f>
        <v/>
      </c>
      <c r="P202" s="212" t="str">
        <f>IF(ISBLANK('Refsz-Verbräuche'!R93), "", 'Refsz-Verbräuche'!R93)</f>
        <v/>
      </c>
      <c r="Q202" s="212" t="str">
        <f>IF(ISBLANK('Refsz-Verbräuche'!S93), "", 'Refsz-Verbräuche'!S93)</f>
        <v/>
      </c>
      <c r="R202" s="212" t="str">
        <f>IF(ISBLANK('Refsz-Verbräuche'!T93), "", 'Refsz-Verbräuche'!T93)</f>
        <v/>
      </c>
      <c r="S202" s="212" t="str">
        <f>IF(ISBLANK('Refsz-Verbräuche'!U93), "", 'Refsz-Verbräuche'!U93)</f>
        <v/>
      </c>
      <c r="T202" s="212" t="str">
        <f>IF(ISBLANK('Refsz-Verbräuche'!V93), "", 'Refsz-Verbräuche'!V93)</f>
        <v/>
      </c>
      <c r="U202" s="212" t="str">
        <f>IF(ISBLANK('Refsz-Verbräuche'!W93), "", 'Refsz-Verbräuche'!W93)</f>
        <v/>
      </c>
      <c r="V202" s="212" t="str">
        <f>IF(ISBLANK('Refsz-Verbräuche'!X93), "", 'Refsz-Verbräuche'!X93)</f>
        <v/>
      </c>
      <c r="W202" s="212" t="str">
        <f>IF(ISBLANK('Refsz-Verbräuche'!Y93), "", 'Refsz-Verbräuche'!Y93)</f>
        <v/>
      </c>
      <c r="X202" s="206"/>
    </row>
    <row r="203" spans="2:24" hidden="1">
      <c r="B203" s="206" t="str">
        <f>'Refsz-Verbräuche'!D95</f>
        <v>Studierendenreisen (Incoming) - Flugreisen</v>
      </c>
      <c r="C203" s="206" t="str">
        <f>'Refsz-Verbräuche'!E95</f>
        <v>Pkm</v>
      </c>
      <c r="D203" s="212" t="str">
        <f>IF(ISBLANK('Refsz-Verbräuche'!F95), "", 'Refsz-Verbräuche'!F95)</f>
        <v/>
      </c>
      <c r="E203" s="212" t="str">
        <f>IF(ISBLANK('Refsz-Verbräuche'!G95), "", 'Refsz-Verbräuche'!G95)</f>
        <v/>
      </c>
      <c r="F203" s="212" t="str">
        <f>IF(ISBLANK('Refsz-Verbräuche'!H95), "", 'Refsz-Verbräuche'!H95)</f>
        <v/>
      </c>
      <c r="G203" s="212" t="str">
        <f>IF(ISBLANK('Refsz-Verbräuche'!I95), "", 'Refsz-Verbräuche'!I95)</f>
        <v/>
      </c>
      <c r="H203" s="212" t="str">
        <f>IF(ISBLANK('Refsz-Verbräuche'!J95), "", 'Refsz-Verbräuche'!J95)</f>
        <v/>
      </c>
      <c r="I203" s="212" t="str">
        <f>IF(ISBLANK('Refsz-Verbräuche'!K95), "", 'Refsz-Verbräuche'!K95)</f>
        <v/>
      </c>
      <c r="J203" s="212" t="str">
        <f>IF(ISBLANK('Refsz-Verbräuche'!L95), "", 'Refsz-Verbräuche'!L95)</f>
        <v/>
      </c>
      <c r="K203" s="212" t="str">
        <f>IF(ISBLANK('Refsz-Verbräuche'!M95), "", 'Refsz-Verbräuche'!M95)</f>
        <v/>
      </c>
      <c r="L203" s="212" t="str">
        <f>IF(ISBLANK('Refsz-Verbräuche'!N95), "", 'Refsz-Verbräuche'!N95)</f>
        <v/>
      </c>
      <c r="M203" s="212" t="str">
        <f>IF(ISBLANK('Refsz-Verbräuche'!O95), "", 'Refsz-Verbräuche'!O95)</f>
        <v/>
      </c>
      <c r="N203" s="212" t="str">
        <f>IF(ISBLANK('Refsz-Verbräuche'!P95), "", 'Refsz-Verbräuche'!P95)</f>
        <v/>
      </c>
      <c r="O203" s="212" t="str">
        <f>IF(ISBLANK('Refsz-Verbräuche'!Q95), "", 'Refsz-Verbräuche'!Q95)</f>
        <v/>
      </c>
      <c r="P203" s="212" t="str">
        <f>IF(ISBLANK('Refsz-Verbräuche'!R95), "", 'Refsz-Verbräuche'!R95)</f>
        <v/>
      </c>
      <c r="Q203" s="212" t="str">
        <f>IF(ISBLANK('Refsz-Verbräuche'!S95), "", 'Refsz-Verbräuche'!S95)</f>
        <v/>
      </c>
      <c r="R203" s="212" t="str">
        <f>IF(ISBLANK('Refsz-Verbräuche'!T95), "", 'Refsz-Verbräuche'!T95)</f>
        <v/>
      </c>
      <c r="S203" s="212" t="str">
        <f>IF(ISBLANK('Refsz-Verbräuche'!U95), "", 'Refsz-Verbräuche'!U95)</f>
        <v/>
      </c>
      <c r="T203" s="212" t="str">
        <f>IF(ISBLANK('Refsz-Verbräuche'!V95), "", 'Refsz-Verbräuche'!V95)</f>
        <v/>
      </c>
      <c r="U203" s="212" t="str">
        <f>IF(ISBLANK('Refsz-Verbräuche'!W95), "", 'Refsz-Verbräuche'!W95)</f>
        <v/>
      </c>
      <c r="V203" s="212" t="str">
        <f>IF(ISBLANK('Refsz-Verbräuche'!X95), "", 'Refsz-Verbräuche'!X95)</f>
        <v/>
      </c>
      <c r="W203" s="212" t="str">
        <f>IF(ISBLANK('Refsz-Verbräuche'!Y95), "", 'Refsz-Verbräuche'!Y95)</f>
        <v/>
      </c>
      <c r="X203" s="206"/>
    </row>
    <row r="204" spans="2:24" hidden="1">
      <c r="B204" s="206" t="str">
        <f>'Refsz-Verbräuche'!D96</f>
        <v>Studierendenreisen (Incoming) - Eisenbahn (Nahverkehr)</v>
      </c>
      <c r="C204" s="206" t="str">
        <f>'Refsz-Verbräuche'!E96</f>
        <v>Pkm</v>
      </c>
      <c r="D204" s="212" t="str">
        <f>IF(ISBLANK('Refsz-Verbräuche'!F96), "", 'Refsz-Verbräuche'!F96)</f>
        <v/>
      </c>
      <c r="E204" s="212" t="str">
        <f>IF(ISBLANK('Refsz-Verbräuche'!G96), "", 'Refsz-Verbräuche'!G96)</f>
        <v/>
      </c>
      <c r="F204" s="212" t="str">
        <f>IF(ISBLANK('Refsz-Verbräuche'!H96), "", 'Refsz-Verbräuche'!H96)</f>
        <v/>
      </c>
      <c r="G204" s="212" t="str">
        <f>IF(ISBLANK('Refsz-Verbräuche'!I96), "", 'Refsz-Verbräuche'!I96)</f>
        <v/>
      </c>
      <c r="H204" s="212" t="str">
        <f>IF(ISBLANK('Refsz-Verbräuche'!J96), "", 'Refsz-Verbräuche'!J96)</f>
        <v/>
      </c>
      <c r="I204" s="212" t="str">
        <f>IF(ISBLANK('Refsz-Verbräuche'!K96), "", 'Refsz-Verbräuche'!K96)</f>
        <v/>
      </c>
      <c r="J204" s="212" t="str">
        <f>IF(ISBLANK('Refsz-Verbräuche'!L96), "", 'Refsz-Verbräuche'!L96)</f>
        <v/>
      </c>
      <c r="K204" s="212" t="str">
        <f>IF(ISBLANK('Refsz-Verbräuche'!M96), "", 'Refsz-Verbräuche'!M96)</f>
        <v/>
      </c>
      <c r="L204" s="212" t="str">
        <f>IF(ISBLANK('Refsz-Verbräuche'!N96), "", 'Refsz-Verbräuche'!N96)</f>
        <v/>
      </c>
      <c r="M204" s="212" t="str">
        <f>IF(ISBLANK('Refsz-Verbräuche'!O96), "", 'Refsz-Verbräuche'!O96)</f>
        <v/>
      </c>
      <c r="N204" s="212" t="str">
        <f>IF(ISBLANK('Refsz-Verbräuche'!P96), "", 'Refsz-Verbräuche'!P96)</f>
        <v/>
      </c>
      <c r="O204" s="212" t="str">
        <f>IF(ISBLANK('Refsz-Verbräuche'!Q96), "", 'Refsz-Verbräuche'!Q96)</f>
        <v/>
      </c>
      <c r="P204" s="212" t="str">
        <f>IF(ISBLANK('Refsz-Verbräuche'!R96), "", 'Refsz-Verbräuche'!R96)</f>
        <v/>
      </c>
      <c r="Q204" s="212" t="str">
        <f>IF(ISBLANK('Refsz-Verbräuche'!S96), "", 'Refsz-Verbräuche'!S96)</f>
        <v/>
      </c>
      <c r="R204" s="212" t="str">
        <f>IF(ISBLANK('Refsz-Verbräuche'!T96), "", 'Refsz-Verbräuche'!T96)</f>
        <v/>
      </c>
      <c r="S204" s="212" t="str">
        <f>IF(ISBLANK('Refsz-Verbräuche'!U96), "", 'Refsz-Verbräuche'!U96)</f>
        <v/>
      </c>
      <c r="T204" s="212" t="str">
        <f>IF(ISBLANK('Refsz-Verbräuche'!V96), "", 'Refsz-Verbräuche'!V96)</f>
        <v/>
      </c>
      <c r="U204" s="212" t="str">
        <f>IF(ISBLANK('Refsz-Verbräuche'!W96), "", 'Refsz-Verbräuche'!W96)</f>
        <v/>
      </c>
      <c r="V204" s="212" t="str">
        <f>IF(ISBLANK('Refsz-Verbräuche'!X96), "", 'Refsz-Verbräuche'!X96)</f>
        <v/>
      </c>
      <c r="W204" s="212" t="str">
        <f>IF(ISBLANK('Refsz-Verbräuche'!Y96), "", 'Refsz-Verbräuche'!Y96)</f>
        <v/>
      </c>
      <c r="X204" s="206"/>
    </row>
    <row r="205" spans="2:24" hidden="1">
      <c r="B205" s="206" t="str">
        <f>'Refsz-Verbräuche'!D97</f>
        <v>Studierendenreisen (Incoming) - Privater PKW (alle Antriebsarten)</v>
      </c>
      <c r="C205" s="206" t="str">
        <f>'Refsz-Verbräuche'!E97</f>
        <v>Fkm</v>
      </c>
      <c r="D205" s="212" t="str">
        <f>IF(ISBLANK('Refsz-Verbräuche'!F97), "", 'Refsz-Verbräuche'!F97)</f>
        <v/>
      </c>
      <c r="E205" s="212" t="str">
        <f>IF(ISBLANK('Refsz-Verbräuche'!G97), "", 'Refsz-Verbräuche'!G97)</f>
        <v/>
      </c>
      <c r="F205" s="212" t="str">
        <f>IF(ISBLANK('Refsz-Verbräuche'!H97), "", 'Refsz-Verbräuche'!H97)</f>
        <v/>
      </c>
      <c r="G205" s="212" t="str">
        <f>IF(ISBLANK('Refsz-Verbräuche'!I97), "", 'Refsz-Verbräuche'!I97)</f>
        <v/>
      </c>
      <c r="H205" s="212" t="str">
        <f>IF(ISBLANK('Refsz-Verbräuche'!J97), "", 'Refsz-Verbräuche'!J97)</f>
        <v/>
      </c>
      <c r="I205" s="212" t="str">
        <f>IF(ISBLANK('Refsz-Verbräuche'!K97), "", 'Refsz-Verbräuche'!K97)</f>
        <v/>
      </c>
      <c r="J205" s="212" t="str">
        <f>IF(ISBLANK('Refsz-Verbräuche'!L97), "", 'Refsz-Verbräuche'!L97)</f>
        <v/>
      </c>
      <c r="K205" s="212" t="str">
        <f>IF(ISBLANK('Refsz-Verbräuche'!M97), "", 'Refsz-Verbräuche'!M97)</f>
        <v/>
      </c>
      <c r="L205" s="212" t="str">
        <f>IF(ISBLANK('Refsz-Verbräuche'!N97), "", 'Refsz-Verbräuche'!N97)</f>
        <v/>
      </c>
      <c r="M205" s="212" t="str">
        <f>IF(ISBLANK('Refsz-Verbräuche'!O97), "", 'Refsz-Verbräuche'!O97)</f>
        <v/>
      </c>
      <c r="N205" s="212" t="str">
        <f>IF(ISBLANK('Refsz-Verbräuche'!P97), "", 'Refsz-Verbräuche'!P97)</f>
        <v/>
      </c>
      <c r="O205" s="212" t="str">
        <f>IF(ISBLANK('Refsz-Verbräuche'!Q97), "", 'Refsz-Verbräuche'!Q97)</f>
        <v/>
      </c>
      <c r="P205" s="212" t="str">
        <f>IF(ISBLANK('Refsz-Verbräuche'!R97), "", 'Refsz-Verbräuche'!R97)</f>
        <v/>
      </c>
      <c r="Q205" s="212" t="str">
        <f>IF(ISBLANK('Refsz-Verbräuche'!S97), "", 'Refsz-Verbräuche'!S97)</f>
        <v/>
      </c>
      <c r="R205" s="212" t="str">
        <f>IF(ISBLANK('Refsz-Verbräuche'!T97), "", 'Refsz-Verbräuche'!T97)</f>
        <v/>
      </c>
      <c r="S205" s="212" t="str">
        <f>IF(ISBLANK('Refsz-Verbräuche'!U97), "", 'Refsz-Verbräuche'!U97)</f>
        <v/>
      </c>
      <c r="T205" s="212" t="str">
        <f>IF(ISBLANK('Refsz-Verbräuche'!V97), "", 'Refsz-Verbräuche'!V97)</f>
        <v/>
      </c>
      <c r="U205" s="212" t="str">
        <f>IF(ISBLANK('Refsz-Verbräuche'!W97), "", 'Refsz-Verbräuche'!W97)</f>
        <v/>
      </c>
      <c r="V205" s="212" t="str">
        <f>IF(ISBLANK('Refsz-Verbräuche'!X97), "", 'Refsz-Verbräuche'!X97)</f>
        <v/>
      </c>
      <c r="W205" s="212" t="str">
        <f>IF(ISBLANK('Refsz-Verbräuche'!Y97), "", 'Refsz-Verbräuche'!Y97)</f>
        <v/>
      </c>
      <c r="X205" s="206"/>
    </row>
    <row r="206" spans="2:24" hidden="1">
      <c r="B206" s="206" t="str">
        <f>'Refsz-Verbräuche'!D99</f>
        <v>An- und Abreise von Gästen - Flugreisen</v>
      </c>
      <c r="C206" s="206" t="str">
        <f>'Refsz-Verbräuche'!E99</f>
        <v>Pkm</v>
      </c>
      <c r="D206" s="212" t="str">
        <f>IF(ISBLANK('Refsz-Verbräuche'!F99), "", 'Refsz-Verbräuche'!F99)</f>
        <v/>
      </c>
      <c r="E206" s="212" t="str">
        <f>IF(ISBLANK('Refsz-Verbräuche'!G99), "", 'Refsz-Verbräuche'!G99)</f>
        <v/>
      </c>
      <c r="F206" s="212" t="str">
        <f>IF(ISBLANK('Refsz-Verbräuche'!H99), "", 'Refsz-Verbräuche'!H99)</f>
        <v/>
      </c>
      <c r="G206" s="212" t="str">
        <f>IF(ISBLANK('Refsz-Verbräuche'!I99), "", 'Refsz-Verbräuche'!I99)</f>
        <v/>
      </c>
      <c r="H206" s="212" t="str">
        <f>IF(ISBLANK('Refsz-Verbräuche'!J99), "", 'Refsz-Verbräuche'!J99)</f>
        <v/>
      </c>
      <c r="I206" s="212" t="str">
        <f>IF(ISBLANK('Refsz-Verbräuche'!K99), "", 'Refsz-Verbräuche'!K99)</f>
        <v/>
      </c>
      <c r="J206" s="212" t="str">
        <f>IF(ISBLANK('Refsz-Verbräuche'!L99), "", 'Refsz-Verbräuche'!L99)</f>
        <v/>
      </c>
      <c r="K206" s="212" t="str">
        <f>IF(ISBLANK('Refsz-Verbräuche'!M99), "", 'Refsz-Verbräuche'!M99)</f>
        <v/>
      </c>
      <c r="L206" s="212" t="str">
        <f>IF(ISBLANK('Refsz-Verbräuche'!N99), "", 'Refsz-Verbräuche'!N99)</f>
        <v/>
      </c>
      <c r="M206" s="212" t="str">
        <f>IF(ISBLANK('Refsz-Verbräuche'!O99), "", 'Refsz-Verbräuche'!O99)</f>
        <v/>
      </c>
      <c r="N206" s="212" t="str">
        <f>IF(ISBLANK('Refsz-Verbräuche'!P99), "", 'Refsz-Verbräuche'!P99)</f>
        <v/>
      </c>
      <c r="O206" s="212" t="str">
        <f>IF(ISBLANK('Refsz-Verbräuche'!Q99), "", 'Refsz-Verbräuche'!Q99)</f>
        <v/>
      </c>
      <c r="P206" s="212" t="str">
        <f>IF(ISBLANK('Refsz-Verbräuche'!R99), "", 'Refsz-Verbräuche'!R99)</f>
        <v/>
      </c>
      <c r="Q206" s="212" t="str">
        <f>IF(ISBLANK('Refsz-Verbräuche'!S99), "", 'Refsz-Verbräuche'!S99)</f>
        <v/>
      </c>
      <c r="R206" s="212" t="str">
        <f>IF(ISBLANK('Refsz-Verbräuche'!T99), "", 'Refsz-Verbräuche'!T99)</f>
        <v/>
      </c>
      <c r="S206" s="212" t="str">
        <f>IF(ISBLANK('Refsz-Verbräuche'!U99), "", 'Refsz-Verbräuche'!U99)</f>
        <v/>
      </c>
      <c r="T206" s="212" t="str">
        <f>IF(ISBLANK('Refsz-Verbräuche'!V99), "", 'Refsz-Verbräuche'!V99)</f>
        <v/>
      </c>
      <c r="U206" s="212" t="str">
        <f>IF(ISBLANK('Refsz-Verbräuche'!W99), "", 'Refsz-Verbräuche'!W99)</f>
        <v/>
      </c>
      <c r="V206" s="212" t="str">
        <f>IF(ISBLANK('Refsz-Verbräuche'!X99), "", 'Refsz-Verbräuche'!X99)</f>
        <v/>
      </c>
      <c r="W206" s="212" t="str">
        <f>IF(ISBLANK('Refsz-Verbräuche'!Y99), "", 'Refsz-Verbräuche'!Y99)</f>
        <v/>
      </c>
      <c r="X206" s="206"/>
    </row>
    <row r="207" spans="2:24" hidden="1">
      <c r="B207" s="206" t="str">
        <f>'Refsz-Verbräuche'!D100</f>
        <v>An- und Abreise von Gästen - Eisenbahn (Nahverkehr)</v>
      </c>
      <c r="C207" s="206" t="str">
        <f>'Refsz-Verbräuche'!E100</f>
        <v>Pkm</v>
      </c>
      <c r="D207" s="212" t="str">
        <f>IF(ISBLANK('Refsz-Verbräuche'!F100), "", 'Refsz-Verbräuche'!F100)</f>
        <v/>
      </c>
      <c r="E207" s="212" t="str">
        <f>IF(ISBLANK('Refsz-Verbräuche'!G100), "", 'Refsz-Verbräuche'!G100)</f>
        <v/>
      </c>
      <c r="F207" s="212" t="str">
        <f>IF(ISBLANK('Refsz-Verbräuche'!H100), "", 'Refsz-Verbräuche'!H100)</f>
        <v/>
      </c>
      <c r="G207" s="212" t="str">
        <f>IF(ISBLANK('Refsz-Verbräuche'!I100), "", 'Refsz-Verbräuche'!I100)</f>
        <v/>
      </c>
      <c r="H207" s="212" t="str">
        <f>IF(ISBLANK('Refsz-Verbräuche'!J100), "", 'Refsz-Verbräuche'!J100)</f>
        <v/>
      </c>
      <c r="I207" s="212" t="str">
        <f>IF(ISBLANK('Refsz-Verbräuche'!K100), "", 'Refsz-Verbräuche'!K100)</f>
        <v/>
      </c>
      <c r="J207" s="212" t="str">
        <f>IF(ISBLANK('Refsz-Verbräuche'!L100), "", 'Refsz-Verbräuche'!L100)</f>
        <v/>
      </c>
      <c r="K207" s="212" t="str">
        <f>IF(ISBLANK('Refsz-Verbräuche'!M100), "", 'Refsz-Verbräuche'!M100)</f>
        <v/>
      </c>
      <c r="L207" s="212" t="str">
        <f>IF(ISBLANK('Refsz-Verbräuche'!N100), "", 'Refsz-Verbräuche'!N100)</f>
        <v/>
      </c>
      <c r="M207" s="212" t="str">
        <f>IF(ISBLANK('Refsz-Verbräuche'!O100), "", 'Refsz-Verbräuche'!O100)</f>
        <v/>
      </c>
      <c r="N207" s="212" t="str">
        <f>IF(ISBLANK('Refsz-Verbräuche'!P100), "", 'Refsz-Verbräuche'!P100)</f>
        <v/>
      </c>
      <c r="O207" s="212" t="str">
        <f>IF(ISBLANK('Refsz-Verbräuche'!Q100), "", 'Refsz-Verbräuche'!Q100)</f>
        <v/>
      </c>
      <c r="P207" s="212" t="str">
        <f>IF(ISBLANK('Refsz-Verbräuche'!R100), "", 'Refsz-Verbräuche'!R100)</f>
        <v/>
      </c>
      <c r="Q207" s="212" t="str">
        <f>IF(ISBLANK('Refsz-Verbräuche'!S100), "", 'Refsz-Verbräuche'!S100)</f>
        <v/>
      </c>
      <c r="R207" s="212" t="str">
        <f>IF(ISBLANK('Refsz-Verbräuche'!T100), "", 'Refsz-Verbräuche'!T100)</f>
        <v/>
      </c>
      <c r="S207" s="212" t="str">
        <f>IF(ISBLANK('Refsz-Verbräuche'!U100), "", 'Refsz-Verbräuche'!U100)</f>
        <v/>
      </c>
      <c r="T207" s="212" t="str">
        <f>IF(ISBLANK('Refsz-Verbräuche'!V100), "", 'Refsz-Verbräuche'!V100)</f>
        <v/>
      </c>
      <c r="U207" s="212" t="str">
        <f>IF(ISBLANK('Refsz-Verbräuche'!W100), "", 'Refsz-Verbräuche'!W100)</f>
        <v/>
      </c>
      <c r="V207" s="212" t="str">
        <f>IF(ISBLANK('Refsz-Verbräuche'!X100), "", 'Refsz-Verbräuche'!X100)</f>
        <v/>
      </c>
      <c r="W207" s="212" t="str">
        <f>IF(ISBLANK('Refsz-Verbräuche'!Y100), "", 'Refsz-Verbräuche'!Y100)</f>
        <v/>
      </c>
      <c r="X207" s="206"/>
    </row>
    <row r="208" spans="2:24" hidden="1">
      <c r="B208" s="206" t="str">
        <f>'Refsz-Verbräuche'!D101</f>
        <v>An- und Abreise von Gästen - Privater PKW (alle Antriebsarten)</v>
      </c>
      <c r="C208" s="206" t="str">
        <f>'Refsz-Verbräuche'!E101</f>
        <v>Fkm</v>
      </c>
      <c r="D208" s="212" t="str">
        <f>IF(ISBLANK('Refsz-Verbräuche'!F101), "", 'Refsz-Verbräuche'!F101)</f>
        <v/>
      </c>
      <c r="E208" s="212" t="str">
        <f>IF(ISBLANK('Refsz-Verbräuche'!G101), "", 'Refsz-Verbräuche'!G101)</f>
        <v/>
      </c>
      <c r="F208" s="212" t="str">
        <f>IF(ISBLANK('Refsz-Verbräuche'!H101), "", 'Refsz-Verbräuche'!H101)</f>
        <v/>
      </c>
      <c r="G208" s="212" t="str">
        <f>IF(ISBLANK('Refsz-Verbräuche'!I101), "", 'Refsz-Verbräuche'!I101)</f>
        <v/>
      </c>
      <c r="H208" s="212" t="str">
        <f>IF(ISBLANK('Refsz-Verbräuche'!J101), "", 'Refsz-Verbräuche'!J101)</f>
        <v/>
      </c>
      <c r="I208" s="212" t="str">
        <f>IF(ISBLANK('Refsz-Verbräuche'!K101), "", 'Refsz-Verbräuche'!K101)</f>
        <v/>
      </c>
      <c r="J208" s="212" t="str">
        <f>IF(ISBLANK('Refsz-Verbräuche'!L101), "", 'Refsz-Verbräuche'!L101)</f>
        <v/>
      </c>
      <c r="K208" s="212" t="str">
        <f>IF(ISBLANK('Refsz-Verbräuche'!M101), "", 'Refsz-Verbräuche'!M101)</f>
        <v/>
      </c>
      <c r="L208" s="212" t="str">
        <f>IF(ISBLANK('Refsz-Verbräuche'!N101), "", 'Refsz-Verbräuche'!N101)</f>
        <v/>
      </c>
      <c r="M208" s="212" t="str">
        <f>IF(ISBLANK('Refsz-Verbräuche'!O101), "", 'Refsz-Verbräuche'!O101)</f>
        <v/>
      </c>
      <c r="N208" s="212" t="str">
        <f>IF(ISBLANK('Refsz-Verbräuche'!P101), "", 'Refsz-Verbräuche'!P101)</f>
        <v/>
      </c>
      <c r="O208" s="212" t="str">
        <f>IF(ISBLANK('Refsz-Verbräuche'!Q101), "", 'Refsz-Verbräuche'!Q101)</f>
        <v/>
      </c>
      <c r="P208" s="212" t="str">
        <f>IF(ISBLANK('Refsz-Verbräuche'!R101), "", 'Refsz-Verbräuche'!R101)</f>
        <v/>
      </c>
      <c r="Q208" s="212" t="str">
        <f>IF(ISBLANK('Refsz-Verbräuche'!S101), "", 'Refsz-Verbräuche'!S101)</f>
        <v/>
      </c>
      <c r="R208" s="212" t="str">
        <f>IF(ISBLANK('Refsz-Verbräuche'!T101), "", 'Refsz-Verbräuche'!T101)</f>
        <v/>
      </c>
      <c r="S208" s="212" t="str">
        <f>IF(ISBLANK('Refsz-Verbräuche'!U101), "", 'Refsz-Verbräuche'!U101)</f>
        <v/>
      </c>
      <c r="T208" s="212" t="str">
        <f>IF(ISBLANK('Refsz-Verbräuche'!V101), "", 'Refsz-Verbräuche'!V101)</f>
        <v/>
      </c>
      <c r="U208" s="212" t="str">
        <f>IF(ISBLANK('Refsz-Verbräuche'!W101), "", 'Refsz-Verbräuche'!W101)</f>
        <v/>
      </c>
      <c r="V208" s="212" t="str">
        <f>IF(ISBLANK('Refsz-Verbräuche'!X101), "", 'Refsz-Verbräuche'!X101)</f>
        <v/>
      </c>
      <c r="W208" s="212" t="str">
        <f>IF(ISBLANK('Refsz-Verbräuche'!Y101), "", 'Refsz-Verbräuche'!Y101)</f>
        <v/>
      </c>
      <c r="X208" s="206"/>
    </row>
    <row r="209" spans="2:24" hidden="1">
      <c r="B209" s="213" t="s">
        <v>39</v>
      </c>
      <c r="C209" s="213" t="s">
        <v>43</v>
      </c>
      <c r="D209" s="212">
        <f>SUBTOTAL(109,Modal_Split_Verkehrsmittel[2015])</f>
        <v>0</v>
      </c>
      <c r="E209" s="212">
        <f>SUBTOTAL(109,Modal_Split_Verkehrsmittel[2016])</f>
        <v>0</v>
      </c>
      <c r="F209" s="212">
        <f>SUBTOTAL(109,Modal_Split_Verkehrsmittel[2017])</f>
        <v>0</v>
      </c>
      <c r="G209" s="212">
        <f>SUBTOTAL(109,Modal_Split_Verkehrsmittel[2018])</f>
        <v>0</v>
      </c>
      <c r="H209" s="212">
        <f>SUBTOTAL(109,Modal_Split_Verkehrsmittel[2019])</f>
        <v>0</v>
      </c>
      <c r="I209" s="212">
        <f>SUBTOTAL(109,Modal_Split_Verkehrsmittel[2020])</f>
        <v>0</v>
      </c>
      <c r="J209" s="212">
        <f>SUBTOTAL(109,Modal_Split_Verkehrsmittel[2021])</f>
        <v>0</v>
      </c>
      <c r="K209" s="212">
        <f>SUBTOTAL(109,Modal_Split_Verkehrsmittel[2022])</f>
        <v>0</v>
      </c>
      <c r="L209" s="212">
        <f>SUBTOTAL(109,Modal_Split_Verkehrsmittel[2023])</f>
        <v>0</v>
      </c>
      <c r="M209" s="212">
        <f>SUBTOTAL(109,Modal_Split_Verkehrsmittel[2024])</f>
        <v>0</v>
      </c>
      <c r="N209" s="212">
        <f>SUBTOTAL(109,Modal_Split_Verkehrsmittel[2025])</f>
        <v>0</v>
      </c>
      <c r="O209" s="212">
        <f>SUBTOTAL(109,Modal_Split_Verkehrsmittel[2026])</f>
        <v>0</v>
      </c>
      <c r="P209" s="212">
        <f>SUBTOTAL(109,Modal_Split_Verkehrsmittel[2027])</f>
        <v>0</v>
      </c>
      <c r="Q209" s="212">
        <f>SUBTOTAL(109,Modal_Split_Verkehrsmittel[2028])</f>
        <v>0</v>
      </c>
      <c r="R209" s="212">
        <f>SUBTOTAL(109,Modal_Split_Verkehrsmittel[2029])</f>
        <v>0</v>
      </c>
      <c r="S209" s="212">
        <f>SUBTOTAL(109,Modal_Split_Verkehrsmittel[2030])</f>
        <v>0</v>
      </c>
      <c r="T209" s="212">
        <f>SUBTOTAL(109,Modal_Split_Verkehrsmittel[2035])</f>
        <v>0</v>
      </c>
      <c r="U209" s="212">
        <f>SUBTOTAL(109,Modal_Split_Verkehrsmittel[2040])</f>
        <v>0</v>
      </c>
      <c r="V209" s="212">
        <f>SUBTOTAL(109,Modal_Split_Verkehrsmittel[2045])</f>
        <v>0</v>
      </c>
      <c r="W209" s="212">
        <f>SUBTOTAL(109,Modal_Split_Verkehrsmittel[2050])</f>
        <v>0</v>
      </c>
      <c r="X209" s="206"/>
    </row>
    <row r="210" spans="2:24">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row>
    <row r="211" spans="2:24" ht="15.5">
      <c r="B211" s="205" t="s">
        <v>451</v>
      </c>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row>
    <row r="212" spans="2:24">
      <c r="B212" s="214" t="s">
        <v>242</v>
      </c>
      <c r="C212" s="214" t="s">
        <v>2</v>
      </c>
      <c r="D212" s="214" t="s">
        <v>3</v>
      </c>
      <c r="E212" s="214" t="s">
        <v>4</v>
      </c>
      <c r="F212" s="214" t="s">
        <v>5</v>
      </c>
      <c r="G212" s="214" t="s">
        <v>6</v>
      </c>
      <c r="H212" s="214" t="s">
        <v>7</v>
      </c>
      <c r="I212" s="214" t="s">
        <v>8</v>
      </c>
      <c r="J212" s="214" t="s">
        <v>9</v>
      </c>
      <c r="K212" s="214" t="s">
        <v>10</v>
      </c>
      <c r="L212" s="214" t="s">
        <v>11</v>
      </c>
      <c r="M212" s="214" t="s">
        <v>12</v>
      </c>
      <c r="N212" s="214" t="s">
        <v>13</v>
      </c>
      <c r="O212" s="214" t="s">
        <v>14</v>
      </c>
      <c r="P212" s="214" t="s">
        <v>216</v>
      </c>
      <c r="Q212" s="214" t="s">
        <v>217</v>
      </c>
      <c r="R212" s="214" t="s">
        <v>218</v>
      </c>
      <c r="S212" s="214" t="s">
        <v>15</v>
      </c>
      <c r="T212" s="214" t="s">
        <v>16</v>
      </c>
      <c r="U212" s="214" t="s">
        <v>17</v>
      </c>
      <c r="V212" s="214" t="s">
        <v>18</v>
      </c>
      <c r="W212" s="214" t="s">
        <v>19</v>
      </c>
      <c r="X212" s="206"/>
    </row>
    <row r="213" spans="2:24">
      <c r="B213" s="206" t="str">
        <f>Startseite!E80</f>
        <v>Fuhrpark</v>
      </c>
      <c r="C213" s="206" t="s">
        <v>43</v>
      </c>
      <c r="D213" s="212">
        <f>SUM(D167:D171)</f>
        <v>0</v>
      </c>
      <c r="E213" s="212">
        <f t="shared" ref="E213:W213" si="0">SUM(E167:E171)</f>
        <v>0</v>
      </c>
      <c r="F213" s="212">
        <f t="shared" si="0"/>
        <v>0</v>
      </c>
      <c r="G213" s="212">
        <f t="shared" si="0"/>
        <v>0</v>
      </c>
      <c r="H213" s="212">
        <f t="shared" si="0"/>
        <v>0</v>
      </c>
      <c r="I213" s="212">
        <f t="shared" si="0"/>
        <v>0</v>
      </c>
      <c r="J213" s="212">
        <f t="shared" si="0"/>
        <v>0</v>
      </c>
      <c r="K213" s="212">
        <f t="shared" si="0"/>
        <v>0</v>
      </c>
      <c r="L213" s="212">
        <f t="shared" si="0"/>
        <v>0</v>
      </c>
      <c r="M213" s="212">
        <f t="shared" si="0"/>
        <v>0</v>
      </c>
      <c r="N213" s="212">
        <f t="shared" si="0"/>
        <v>0</v>
      </c>
      <c r="O213" s="212">
        <f t="shared" si="0"/>
        <v>0</v>
      </c>
      <c r="P213" s="212">
        <f t="shared" si="0"/>
        <v>0</v>
      </c>
      <c r="Q213" s="212">
        <f t="shared" si="0"/>
        <v>0</v>
      </c>
      <c r="R213" s="212">
        <f t="shared" si="0"/>
        <v>0</v>
      </c>
      <c r="S213" s="212">
        <f t="shared" si="0"/>
        <v>0</v>
      </c>
      <c r="T213" s="212">
        <f t="shared" si="0"/>
        <v>0</v>
      </c>
      <c r="U213" s="212">
        <f t="shared" si="0"/>
        <v>0</v>
      </c>
      <c r="V213" s="212">
        <f t="shared" si="0"/>
        <v>0</v>
      </c>
      <c r="W213" s="212">
        <f t="shared" si="0"/>
        <v>0</v>
      </c>
      <c r="X213" s="206"/>
    </row>
    <row r="214" spans="2:24">
      <c r="B214" s="206" t="str">
        <f>Startseite!E81</f>
        <v>DR</v>
      </c>
      <c r="C214" s="206" t="s">
        <v>43</v>
      </c>
      <c r="D214" s="212">
        <f>SUM(D172:D185)</f>
        <v>0</v>
      </c>
      <c r="E214" s="212">
        <f t="shared" ref="E214:W214" si="1">SUM(E172:E185)</f>
        <v>0</v>
      </c>
      <c r="F214" s="212">
        <f t="shared" si="1"/>
        <v>0</v>
      </c>
      <c r="G214" s="212">
        <f t="shared" si="1"/>
        <v>0</v>
      </c>
      <c r="H214" s="212">
        <f t="shared" si="1"/>
        <v>0</v>
      </c>
      <c r="I214" s="212">
        <f t="shared" si="1"/>
        <v>0</v>
      </c>
      <c r="J214" s="212">
        <f t="shared" si="1"/>
        <v>0</v>
      </c>
      <c r="K214" s="212">
        <f t="shared" si="1"/>
        <v>0</v>
      </c>
      <c r="L214" s="212">
        <f t="shared" si="1"/>
        <v>0</v>
      </c>
      <c r="M214" s="212">
        <f t="shared" si="1"/>
        <v>0</v>
      </c>
      <c r="N214" s="212">
        <f t="shared" si="1"/>
        <v>0</v>
      </c>
      <c r="O214" s="212">
        <f t="shared" si="1"/>
        <v>0</v>
      </c>
      <c r="P214" s="212">
        <f t="shared" si="1"/>
        <v>0</v>
      </c>
      <c r="Q214" s="212">
        <f t="shared" si="1"/>
        <v>0</v>
      </c>
      <c r="R214" s="212">
        <f t="shared" si="1"/>
        <v>0</v>
      </c>
      <c r="S214" s="212">
        <f t="shared" si="1"/>
        <v>0</v>
      </c>
      <c r="T214" s="212">
        <f t="shared" si="1"/>
        <v>0</v>
      </c>
      <c r="U214" s="212">
        <f t="shared" si="1"/>
        <v>0</v>
      </c>
      <c r="V214" s="212">
        <f t="shared" si="1"/>
        <v>0</v>
      </c>
      <c r="W214" s="212">
        <f t="shared" si="1"/>
        <v>0</v>
      </c>
      <c r="X214" s="206"/>
    </row>
    <row r="215" spans="2:24">
      <c r="B215" s="206" t="str">
        <f>Startseite!E82</f>
        <v>Studierendenreisen (Outgoing)</v>
      </c>
      <c r="C215" s="206" t="s">
        <v>43</v>
      </c>
      <c r="D215" s="212">
        <f>SUM(D186:D188)</f>
        <v>0</v>
      </c>
      <c r="E215" s="212">
        <f t="shared" ref="E215:W215" si="2">SUM(E186:E188)</f>
        <v>0</v>
      </c>
      <c r="F215" s="212">
        <f t="shared" si="2"/>
        <v>0</v>
      </c>
      <c r="G215" s="212">
        <f t="shared" si="2"/>
        <v>0</v>
      </c>
      <c r="H215" s="212">
        <f t="shared" si="2"/>
        <v>0</v>
      </c>
      <c r="I215" s="212">
        <f t="shared" si="2"/>
        <v>0</v>
      </c>
      <c r="J215" s="212">
        <f t="shared" si="2"/>
        <v>0</v>
      </c>
      <c r="K215" s="212">
        <f t="shared" si="2"/>
        <v>0</v>
      </c>
      <c r="L215" s="212">
        <f t="shared" si="2"/>
        <v>0</v>
      </c>
      <c r="M215" s="212">
        <f t="shared" si="2"/>
        <v>0</v>
      </c>
      <c r="N215" s="212">
        <f t="shared" si="2"/>
        <v>0</v>
      </c>
      <c r="O215" s="212">
        <f t="shared" si="2"/>
        <v>0</v>
      </c>
      <c r="P215" s="212">
        <f t="shared" si="2"/>
        <v>0</v>
      </c>
      <c r="Q215" s="212">
        <f t="shared" si="2"/>
        <v>0</v>
      </c>
      <c r="R215" s="212">
        <f t="shared" si="2"/>
        <v>0</v>
      </c>
      <c r="S215" s="212">
        <f t="shared" si="2"/>
        <v>0</v>
      </c>
      <c r="T215" s="212">
        <f t="shared" si="2"/>
        <v>0</v>
      </c>
      <c r="U215" s="212">
        <f t="shared" si="2"/>
        <v>0</v>
      </c>
      <c r="V215" s="212">
        <f t="shared" si="2"/>
        <v>0</v>
      </c>
      <c r="W215" s="212">
        <f t="shared" si="2"/>
        <v>0</v>
      </c>
      <c r="X215" s="206"/>
    </row>
    <row r="216" spans="2:24">
      <c r="B216" s="206" t="str">
        <f>Startseite!E83</f>
        <v>Exkursionen</v>
      </c>
      <c r="C216" s="206" t="s">
        <v>43</v>
      </c>
      <c r="D216" s="212">
        <f>SUM(D189:D191)</f>
        <v>0</v>
      </c>
      <c r="E216" s="212">
        <f t="shared" ref="E216:W216" si="3">SUM(E189:E191)</f>
        <v>0</v>
      </c>
      <c r="F216" s="212">
        <f t="shared" si="3"/>
        <v>0</v>
      </c>
      <c r="G216" s="212">
        <f t="shared" si="3"/>
        <v>0</v>
      </c>
      <c r="H216" s="212">
        <f t="shared" si="3"/>
        <v>0</v>
      </c>
      <c r="I216" s="212">
        <f t="shared" si="3"/>
        <v>0</v>
      </c>
      <c r="J216" s="212">
        <f t="shared" si="3"/>
        <v>0</v>
      </c>
      <c r="K216" s="212">
        <f t="shared" si="3"/>
        <v>0</v>
      </c>
      <c r="L216" s="212">
        <f t="shared" si="3"/>
        <v>0</v>
      </c>
      <c r="M216" s="212">
        <f t="shared" si="3"/>
        <v>0</v>
      </c>
      <c r="N216" s="212">
        <f t="shared" si="3"/>
        <v>0</v>
      </c>
      <c r="O216" s="212">
        <f t="shared" si="3"/>
        <v>0</v>
      </c>
      <c r="P216" s="212">
        <f t="shared" si="3"/>
        <v>0</v>
      </c>
      <c r="Q216" s="212">
        <f t="shared" si="3"/>
        <v>0</v>
      </c>
      <c r="R216" s="212">
        <f t="shared" si="3"/>
        <v>0</v>
      </c>
      <c r="S216" s="212">
        <f t="shared" si="3"/>
        <v>0</v>
      </c>
      <c r="T216" s="212">
        <f t="shared" si="3"/>
        <v>0</v>
      </c>
      <c r="U216" s="212">
        <f t="shared" si="3"/>
        <v>0</v>
      </c>
      <c r="V216" s="212">
        <f t="shared" si="3"/>
        <v>0</v>
      </c>
      <c r="W216" s="212">
        <f t="shared" si="3"/>
        <v>0</v>
      </c>
      <c r="X216" s="206"/>
    </row>
    <row r="217" spans="2:24">
      <c r="B217" s="206" t="str">
        <f>Startseite!E84</f>
        <v>Pendeln</v>
      </c>
      <c r="C217" s="206" t="s">
        <v>43</v>
      </c>
      <c r="D217" s="212">
        <f>SUM(D192:D202)</f>
        <v>0</v>
      </c>
      <c r="E217" s="212">
        <f t="shared" ref="E217:W217" si="4">SUM(E192:E202)</f>
        <v>0</v>
      </c>
      <c r="F217" s="212">
        <f t="shared" si="4"/>
        <v>0</v>
      </c>
      <c r="G217" s="212">
        <f t="shared" si="4"/>
        <v>0</v>
      </c>
      <c r="H217" s="212">
        <f t="shared" si="4"/>
        <v>0</v>
      </c>
      <c r="I217" s="212">
        <f t="shared" si="4"/>
        <v>0</v>
      </c>
      <c r="J217" s="212">
        <f t="shared" si="4"/>
        <v>0</v>
      </c>
      <c r="K217" s="212">
        <f t="shared" si="4"/>
        <v>0</v>
      </c>
      <c r="L217" s="212">
        <f t="shared" si="4"/>
        <v>0</v>
      </c>
      <c r="M217" s="212">
        <f t="shared" si="4"/>
        <v>0</v>
      </c>
      <c r="N217" s="212">
        <f t="shared" si="4"/>
        <v>0</v>
      </c>
      <c r="O217" s="212">
        <f t="shared" si="4"/>
        <v>0</v>
      </c>
      <c r="P217" s="212">
        <f t="shared" si="4"/>
        <v>0</v>
      </c>
      <c r="Q217" s="212">
        <f t="shared" si="4"/>
        <v>0</v>
      </c>
      <c r="R217" s="212">
        <f t="shared" si="4"/>
        <v>0</v>
      </c>
      <c r="S217" s="212">
        <f t="shared" si="4"/>
        <v>0</v>
      </c>
      <c r="T217" s="212">
        <f t="shared" si="4"/>
        <v>0</v>
      </c>
      <c r="U217" s="212">
        <f t="shared" si="4"/>
        <v>0</v>
      </c>
      <c r="V217" s="212">
        <f t="shared" si="4"/>
        <v>0</v>
      </c>
      <c r="W217" s="212">
        <f t="shared" si="4"/>
        <v>0</v>
      </c>
      <c r="X217" s="206"/>
    </row>
    <row r="218" spans="2:24">
      <c r="B218" s="206" t="str">
        <f>Startseite!E85</f>
        <v>Studierendenreisen (Incoming)</v>
      </c>
      <c r="C218" s="206" t="s">
        <v>43</v>
      </c>
      <c r="D218" s="212">
        <f>SUM(D203:D205)</f>
        <v>0</v>
      </c>
      <c r="E218" s="212">
        <f t="shared" ref="E218:W218" si="5">SUM(E203:E205)</f>
        <v>0</v>
      </c>
      <c r="F218" s="212">
        <f t="shared" si="5"/>
        <v>0</v>
      </c>
      <c r="G218" s="212">
        <f t="shared" si="5"/>
        <v>0</v>
      </c>
      <c r="H218" s="212">
        <f t="shared" si="5"/>
        <v>0</v>
      </c>
      <c r="I218" s="212">
        <f t="shared" si="5"/>
        <v>0</v>
      </c>
      <c r="J218" s="212">
        <f t="shared" si="5"/>
        <v>0</v>
      </c>
      <c r="K218" s="212">
        <f t="shared" si="5"/>
        <v>0</v>
      </c>
      <c r="L218" s="212">
        <f t="shared" si="5"/>
        <v>0</v>
      </c>
      <c r="M218" s="212">
        <f t="shared" si="5"/>
        <v>0</v>
      </c>
      <c r="N218" s="212">
        <f t="shared" si="5"/>
        <v>0</v>
      </c>
      <c r="O218" s="212">
        <f t="shared" si="5"/>
        <v>0</v>
      </c>
      <c r="P218" s="212">
        <f t="shared" si="5"/>
        <v>0</v>
      </c>
      <c r="Q218" s="212">
        <f t="shared" si="5"/>
        <v>0</v>
      </c>
      <c r="R218" s="212">
        <f t="shared" si="5"/>
        <v>0</v>
      </c>
      <c r="S218" s="212">
        <f t="shared" si="5"/>
        <v>0</v>
      </c>
      <c r="T218" s="212">
        <f t="shared" si="5"/>
        <v>0</v>
      </c>
      <c r="U218" s="212">
        <f t="shared" si="5"/>
        <v>0</v>
      </c>
      <c r="V218" s="212">
        <f t="shared" si="5"/>
        <v>0</v>
      </c>
      <c r="W218" s="212">
        <f t="shared" si="5"/>
        <v>0</v>
      </c>
      <c r="X218" s="206"/>
    </row>
    <row r="219" spans="2:24">
      <c r="B219" s="206" t="str">
        <f>Startseite!E86</f>
        <v>An- und Abreise von Gästen</v>
      </c>
      <c r="C219" s="206" t="s">
        <v>43</v>
      </c>
      <c r="D219" s="212">
        <f>SUM(D206:D208)</f>
        <v>0</v>
      </c>
      <c r="E219" s="212">
        <f t="shared" ref="E219:W219" si="6">SUM(E206:E208)</f>
        <v>0</v>
      </c>
      <c r="F219" s="212">
        <f t="shared" si="6"/>
        <v>0</v>
      </c>
      <c r="G219" s="212">
        <f t="shared" si="6"/>
        <v>0</v>
      </c>
      <c r="H219" s="212">
        <f t="shared" si="6"/>
        <v>0</v>
      </c>
      <c r="I219" s="212">
        <f t="shared" si="6"/>
        <v>0</v>
      </c>
      <c r="J219" s="212">
        <f t="shared" si="6"/>
        <v>0</v>
      </c>
      <c r="K219" s="212">
        <f t="shared" si="6"/>
        <v>0</v>
      </c>
      <c r="L219" s="212">
        <f t="shared" si="6"/>
        <v>0</v>
      </c>
      <c r="M219" s="212">
        <f t="shared" si="6"/>
        <v>0</v>
      </c>
      <c r="N219" s="212">
        <f t="shared" si="6"/>
        <v>0</v>
      </c>
      <c r="O219" s="212">
        <f t="shared" si="6"/>
        <v>0</v>
      </c>
      <c r="P219" s="212">
        <f t="shared" si="6"/>
        <v>0</v>
      </c>
      <c r="Q219" s="212">
        <f t="shared" si="6"/>
        <v>0</v>
      </c>
      <c r="R219" s="212">
        <f t="shared" si="6"/>
        <v>0</v>
      </c>
      <c r="S219" s="212">
        <f t="shared" si="6"/>
        <v>0</v>
      </c>
      <c r="T219" s="212">
        <f t="shared" si="6"/>
        <v>0</v>
      </c>
      <c r="U219" s="212">
        <f t="shared" si="6"/>
        <v>0</v>
      </c>
      <c r="V219" s="212">
        <f t="shared" si="6"/>
        <v>0</v>
      </c>
      <c r="W219" s="212">
        <f t="shared" si="6"/>
        <v>0</v>
      </c>
      <c r="X219" s="206"/>
    </row>
    <row r="220" spans="2:24">
      <c r="B220" s="213" t="s">
        <v>39</v>
      </c>
      <c r="C220" s="213" t="s">
        <v>43</v>
      </c>
      <c r="D220" s="212">
        <f>SUBTOTAL(109,Modal_Split_Gruppen[2015])</f>
        <v>0</v>
      </c>
      <c r="E220" s="212">
        <f>SUBTOTAL(109,Modal_Split_Gruppen[2016])</f>
        <v>0</v>
      </c>
      <c r="F220" s="212">
        <f>SUBTOTAL(109,Modal_Split_Gruppen[2017])</f>
        <v>0</v>
      </c>
      <c r="G220" s="212">
        <f>SUBTOTAL(109,Modal_Split_Gruppen[2018])</f>
        <v>0</v>
      </c>
      <c r="H220" s="212">
        <f>SUBTOTAL(109,Modal_Split_Gruppen[2019])</f>
        <v>0</v>
      </c>
      <c r="I220" s="212">
        <f>SUBTOTAL(109,Modal_Split_Gruppen[2020])</f>
        <v>0</v>
      </c>
      <c r="J220" s="212">
        <f>SUBTOTAL(109,Modal_Split_Gruppen[2021])</f>
        <v>0</v>
      </c>
      <c r="K220" s="212">
        <f>SUBTOTAL(109,Modal_Split_Gruppen[2022])</f>
        <v>0</v>
      </c>
      <c r="L220" s="212">
        <f>SUBTOTAL(109,Modal_Split_Gruppen[2023])</f>
        <v>0</v>
      </c>
      <c r="M220" s="212">
        <f>SUBTOTAL(109,Modal_Split_Gruppen[2024])</f>
        <v>0</v>
      </c>
      <c r="N220" s="212">
        <f>SUBTOTAL(109,Modal_Split_Gruppen[2025])</f>
        <v>0</v>
      </c>
      <c r="O220" s="212">
        <f>SUBTOTAL(109,Modal_Split_Gruppen[2026])</f>
        <v>0</v>
      </c>
      <c r="P220" s="212">
        <f>SUBTOTAL(109,Modal_Split_Gruppen[2027])</f>
        <v>0</v>
      </c>
      <c r="Q220" s="212">
        <f>SUBTOTAL(109,Modal_Split_Gruppen[2028])</f>
        <v>0</v>
      </c>
      <c r="R220" s="212">
        <f>SUBTOTAL(109,Modal_Split_Gruppen[2029])</f>
        <v>0</v>
      </c>
      <c r="S220" s="212">
        <f>SUBTOTAL(109,Modal_Split_Gruppen[2030])</f>
        <v>0</v>
      </c>
      <c r="T220" s="212">
        <f>SUBTOTAL(109,Modal_Split_Gruppen[2035])</f>
        <v>0</v>
      </c>
      <c r="U220" s="212">
        <f>SUBTOTAL(109,Modal_Split_Gruppen[2040])</f>
        <v>0</v>
      </c>
      <c r="V220" s="212">
        <f>SUBTOTAL(109,Modal_Split_Gruppen[2045])</f>
        <v>0</v>
      </c>
      <c r="W220" s="212">
        <f>SUBTOTAL(109,Modal_Split_Gruppen[2050])</f>
        <v>0</v>
      </c>
      <c r="X220" s="206"/>
    </row>
    <row r="221" spans="2:24">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row>
    <row r="222" spans="2:24" ht="15.5">
      <c r="B222" s="205" t="s">
        <v>613</v>
      </c>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row>
    <row r="223" spans="2:24" ht="15.5">
      <c r="B223" s="20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row>
    <row r="224" spans="2:24" ht="15.5">
      <c r="B224" s="211" t="s">
        <v>620</v>
      </c>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row>
    <row r="225" spans="2:24" ht="15.5" hidden="1">
      <c r="B225" s="205" t="s">
        <v>450</v>
      </c>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row>
    <row r="226" spans="2:24" hidden="1">
      <c r="B226" s="214" t="s">
        <v>241</v>
      </c>
      <c r="C226" s="214" t="s">
        <v>2</v>
      </c>
      <c r="D226" s="214" t="s">
        <v>3</v>
      </c>
      <c r="E226" s="214" t="s">
        <v>4</v>
      </c>
      <c r="F226" s="214" t="s">
        <v>5</v>
      </c>
      <c r="G226" s="214" t="s">
        <v>6</v>
      </c>
      <c r="H226" s="214" t="s">
        <v>7</v>
      </c>
      <c r="I226" s="214" t="s">
        <v>8</v>
      </c>
      <c r="J226" s="214" t="s">
        <v>9</v>
      </c>
      <c r="K226" s="214" t="s">
        <v>10</v>
      </c>
      <c r="L226" s="214" t="s">
        <v>11</v>
      </c>
      <c r="M226" s="214" t="s">
        <v>12</v>
      </c>
      <c r="N226" s="214" t="s">
        <v>13</v>
      </c>
      <c r="O226" s="214" t="s">
        <v>14</v>
      </c>
      <c r="P226" s="214" t="s">
        <v>216</v>
      </c>
      <c r="Q226" s="214" t="s">
        <v>217</v>
      </c>
      <c r="R226" s="214" t="s">
        <v>218</v>
      </c>
      <c r="S226" s="214" t="s">
        <v>15</v>
      </c>
      <c r="T226" s="214" t="s">
        <v>16</v>
      </c>
      <c r="U226" s="214" t="s">
        <v>17</v>
      </c>
      <c r="V226" s="214" t="s">
        <v>18</v>
      </c>
      <c r="W226" s="214" t="s">
        <v>19</v>
      </c>
      <c r="X226" s="206"/>
    </row>
    <row r="227" spans="2:24" ht="16.5" hidden="1">
      <c r="B227" s="206" t="str">
        <f t="shared" ref="B227:B268" si="7">B167</f>
        <v>Fuhrpark (Diesel)</v>
      </c>
      <c r="C227" s="206" t="s">
        <v>195</v>
      </c>
      <c r="D227" s="212">
        <f>IF(ISBLANK('Refsz-Emissionen'!F48), "", 'Refsz-Emissionen'!F48)</f>
        <v>0</v>
      </c>
      <c r="E227" s="212">
        <f>IF(ISBLANK('Refsz-Emissionen'!G48), "", 'Refsz-Emissionen'!G48)</f>
        <v>0</v>
      </c>
      <c r="F227" s="212">
        <f>IF(ISBLANK('Refsz-Emissionen'!H48), "", 'Refsz-Emissionen'!H48)</f>
        <v>0</v>
      </c>
      <c r="G227" s="212">
        <f>IF(ISBLANK('Refsz-Emissionen'!I48), "", 'Refsz-Emissionen'!I48)</f>
        <v>0</v>
      </c>
      <c r="H227" s="212">
        <f>IF(ISBLANK('Refsz-Emissionen'!J48), "", 'Refsz-Emissionen'!J48)</f>
        <v>0</v>
      </c>
      <c r="I227" s="212">
        <f>IF(ISBLANK('Refsz-Emissionen'!K48), "", 'Refsz-Emissionen'!K48)</f>
        <v>0</v>
      </c>
      <c r="J227" s="212">
        <f>IF(ISBLANK('Refsz-Emissionen'!L48), "", 'Refsz-Emissionen'!L48)</f>
        <v>0</v>
      </c>
      <c r="K227" s="212">
        <f>IF(ISBLANK('Refsz-Emissionen'!M48), "", 'Refsz-Emissionen'!M48)</f>
        <v>0</v>
      </c>
      <c r="L227" s="212">
        <f>IF(ISBLANK('Refsz-Emissionen'!N48), "", 'Refsz-Emissionen'!N48)</f>
        <v>0</v>
      </c>
      <c r="M227" s="212">
        <f>IF(ISBLANK('Refsz-Emissionen'!O48), "", 'Refsz-Emissionen'!O48)</f>
        <v>0</v>
      </c>
      <c r="N227" s="212">
        <f>IF(ISBLANK('Refsz-Emissionen'!P48), "", 'Refsz-Emissionen'!P48)</f>
        <v>0</v>
      </c>
      <c r="O227" s="212">
        <f>IF(ISBLANK('Refsz-Emissionen'!Q48), "", 'Refsz-Emissionen'!Q48)</f>
        <v>0</v>
      </c>
      <c r="P227" s="212">
        <f>IF(ISBLANK('Refsz-Emissionen'!R48), "", 'Refsz-Emissionen'!R48)</f>
        <v>0</v>
      </c>
      <c r="Q227" s="212">
        <f>IF(ISBLANK('Refsz-Emissionen'!S48), "", 'Refsz-Emissionen'!S48)</f>
        <v>0</v>
      </c>
      <c r="R227" s="212">
        <f>IF(ISBLANK('Refsz-Emissionen'!T48), "", 'Refsz-Emissionen'!T48)</f>
        <v>0</v>
      </c>
      <c r="S227" s="212">
        <f>IF(ISBLANK('Refsz-Emissionen'!U48), "", 'Refsz-Emissionen'!U48)</f>
        <v>0</v>
      </c>
      <c r="T227" s="212">
        <f>IF(ISBLANK('Refsz-Emissionen'!V48), "", 'Refsz-Emissionen'!V48)</f>
        <v>0</v>
      </c>
      <c r="U227" s="212">
        <f>IF(ISBLANK('Refsz-Emissionen'!W48), "", 'Refsz-Emissionen'!W48)</f>
        <v>0</v>
      </c>
      <c r="V227" s="212">
        <f>IF(ISBLANK('Refsz-Emissionen'!X48), "", 'Refsz-Emissionen'!X48)</f>
        <v>0</v>
      </c>
      <c r="W227" s="212">
        <f>IF(ISBLANK('Refsz-Emissionen'!Y48), "", 'Refsz-Emissionen'!Y48)</f>
        <v>0</v>
      </c>
      <c r="X227" s="206"/>
    </row>
    <row r="228" spans="2:24" ht="16.5" hidden="1">
      <c r="B228" s="206" t="str">
        <f t="shared" si="7"/>
        <v>Fuhrpark (Benzin)</v>
      </c>
      <c r="C228" s="206" t="s">
        <v>195</v>
      </c>
      <c r="D228" s="212">
        <f>IF(ISBLANK('Refsz-Emissionen'!F49), "", 'Refsz-Emissionen'!F49)</f>
        <v>0</v>
      </c>
      <c r="E228" s="212">
        <f>IF(ISBLANK('Refsz-Emissionen'!G49), "", 'Refsz-Emissionen'!G49)</f>
        <v>0</v>
      </c>
      <c r="F228" s="212">
        <f>IF(ISBLANK('Refsz-Emissionen'!H49), "", 'Refsz-Emissionen'!H49)</f>
        <v>0</v>
      </c>
      <c r="G228" s="212">
        <f>IF(ISBLANK('Refsz-Emissionen'!I49), "", 'Refsz-Emissionen'!I49)</f>
        <v>0</v>
      </c>
      <c r="H228" s="212">
        <f>IF(ISBLANK('Refsz-Emissionen'!J49), "", 'Refsz-Emissionen'!J49)</f>
        <v>0</v>
      </c>
      <c r="I228" s="212">
        <f>IF(ISBLANK('Refsz-Emissionen'!K49), "", 'Refsz-Emissionen'!K49)</f>
        <v>0</v>
      </c>
      <c r="J228" s="212">
        <f>IF(ISBLANK('Refsz-Emissionen'!L49), "", 'Refsz-Emissionen'!L49)</f>
        <v>0</v>
      </c>
      <c r="K228" s="212">
        <f>IF(ISBLANK('Refsz-Emissionen'!M49), "", 'Refsz-Emissionen'!M49)</f>
        <v>0</v>
      </c>
      <c r="L228" s="212">
        <f>IF(ISBLANK('Refsz-Emissionen'!N49), "", 'Refsz-Emissionen'!N49)</f>
        <v>0</v>
      </c>
      <c r="M228" s="212">
        <f>IF(ISBLANK('Refsz-Emissionen'!O49), "", 'Refsz-Emissionen'!O49)</f>
        <v>0</v>
      </c>
      <c r="N228" s="212">
        <f>IF(ISBLANK('Refsz-Emissionen'!P49), "", 'Refsz-Emissionen'!P49)</f>
        <v>0</v>
      </c>
      <c r="O228" s="212">
        <f>IF(ISBLANK('Refsz-Emissionen'!Q49), "", 'Refsz-Emissionen'!Q49)</f>
        <v>0</v>
      </c>
      <c r="P228" s="212">
        <f>IF(ISBLANK('Refsz-Emissionen'!R49), "", 'Refsz-Emissionen'!R49)</f>
        <v>0</v>
      </c>
      <c r="Q228" s="212">
        <f>IF(ISBLANK('Refsz-Emissionen'!S49), "", 'Refsz-Emissionen'!S49)</f>
        <v>0</v>
      </c>
      <c r="R228" s="212">
        <f>IF(ISBLANK('Refsz-Emissionen'!T49), "", 'Refsz-Emissionen'!T49)</f>
        <v>0</v>
      </c>
      <c r="S228" s="212">
        <f>IF(ISBLANK('Refsz-Emissionen'!U49), "", 'Refsz-Emissionen'!U49)</f>
        <v>0</v>
      </c>
      <c r="T228" s="212">
        <f>IF(ISBLANK('Refsz-Emissionen'!V49), "", 'Refsz-Emissionen'!V49)</f>
        <v>0</v>
      </c>
      <c r="U228" s="212">
        <f>IF(ISBLANK('Refsz-Emissionen'!W49), "", 'Refsz-Emissionen'!W49)</f>
        <v>0</v>
      </c>
      <c r="V228" s="212">
        <f>IF(ISBLANK('Refsz-Emissionen'!X49), "", 'Refsz-Emissionen'!X49)</f>
        <v>0</v>
      </c>
      <c r="W228" s="212">
        <f>IF(ISBLANK('Refsz-Emissionen'!Y49), "", 'Refsz-Emissionen'!Y49)</f>
        <v>0</v>
      </c>
      <c r="X228" s="206"/>
    </row>
    <row r="229" spans="2:24" ht="16.5" hidden="1">
      <c r="B229" s="206" t="str">
        <f t="shared" si="7"/>
        <v>Fuhrpark (E-Auto/ BEV)</v>
      </c>
      <c r="C229" s="206" t="s">
        <v>195</v>
      </c>
      <c r="D229" s="212">
        <f>IF(ISBLANK('Refsz-Emissionen'!F50), "", 'Refsz-Emissionen'!F50)</f>
        <v>0</v>
      </c>
      <c r="E229" s="212">
        <f>IF(ISBLANK('Refsz-Emissionen'!G50), "", 'Refsz-Emissionen'!G50)</f>
        <v>0</v>
      </c>
      <c r="F229" s="212">
        <f>IF(ISBLANK('Refsz-Emissionen'!H50), "", 'Refsz-Emissionen'!H50)</f>
        <v>0</v>
      </c>
      <c r="G229" s="212">
        <f>IF(ISBLANK('Refsz-Emissionen'!I50), "", 'Refsz-Emissionen'!I50)</f>
        <v>0</v>
      </c>
      <c r="H229" s="212">
        <f>IF(ISBLANK('Refsz-Emissionen'!J50), "", 'Refsz-Emissionen'!J50)</f>
        <v>0</v>
      </c>
      <c r="I229" s="212">
        <f>IF(ISBLANK('Refsz-Emissionen'!K50), "", 'Refsz-Emissionen'!K50)</f>
        <v>0</v>
      </c>
      <c r="J229" s="212">
        <f>IF(ISBLANK('Refsz-Emissionen'!L50), "", 'Refsz-Emissionen'!L50)</f>
        <v>0</v>
      </c>
      <c r="K229" s="212">
        <f>IF(ISBLANK('Refsz-Emissionen'!M50), "", 'Refsz-Emissionen'!M50)</f>
        <v>0</v>
      </c>
      <c r="L229" s="212">
        <f>IF(ISBLANK('Refsz-Emissionen'!N50), "", 'Refsz-Emissionen'!N50)</f>
        <v>0</v>
      </c>
      <c r="M229" s="212">
        <f>IF(ISBLANK('Refsz-Emissionen'!O50), "", 'Refsz-Emissionen'!O50)</f>
        <v>0</v>
      </c>
      <c r="N229" s="212">
        <f>IF(ISBLANK('Refsz-Emissionen'!P50), "", 'Refsz-Emissionen'!P50)</f>
        <v>0</v>
      </c>
      <c r="O229" s="212">
        <f>IF(ISBLANK('Refsz-Emissionen'!Q50), "", 'Refsz-Emissionen'!Q50)</f>
        <v>0</v>
      </c>
      <c r="P229" s="212">
        <f>IF(ISBLANK('Refsz-Emissionen'!R50), "", 'Refsz-Emissionen'!R50)</f>
        <v>0</v>
      </c>
      <c r="Q229" s="212">
        <f>IF(ISBLANK('Refsz-Emissionen'!S50), "", 'Refsz-Emissionen'!S50)</f>
        <v>0</v>
      </c>
      <c r="R229" s="212">
        <f>IF(ISBLANK('Refsz-Emissionen'!T50), "", 'Refsz-Emissionen'!T50)</f>
        <v>0</v>
      </c>
      <c r="S229" s="212">
        <f>IF(ISBLANK('Refsz-Emissionen'!U50), "", 'Refsz-Emissionen'!U50)</f>
        <v>0</v>
      </c>
      <c r="T229" s="212">
        <f>IF(ISBLANK('Refsz-Emissionen'!V50), "", 'Refsz-Emissionen'!V50)</f>
        <v>0</v>
      </c>
      <c r="U229" s="212">
        <f>IF(ISBLANK('Refsz-Emissionen'!W50), "", 'Refsz-Emissionen'!W50)</f>
        <v>0</v>
      </c>
      <c r="V229" s="212">
        <f>IF(ISBLANK('Refsz-Emissionen'!X50), "", 'Refsz-Emissionen'!X50)</f>
        <v>0</v>
      </c>
      <c r="W229" s="212">
        <f>IF(ISBLANK('Refsz-Emissionen'!Y50), "", 'Refsz-Emissionen'!Y50)</f>
        <v>0</v>
      </c>
      <c r="X229" s="206"/>
    </row>
    <row r="230" spans="2:24" ht="16.5" hidden="1">
      <c r="B230" s="206" t="str">
        <f t="shared" si="7"/>
        <v>Fuhrpark (Wasserstoff/ FCEV)</v>
      </c>
      <c r="C230" s="206" t="s">
        <v>195</v>
      </c>
      <c r="D230" s="212">
        <f>IF(ISBLANK('Refsz-Emissionen'!F51), "", 'Refsz-Emissionen'!F51)</f>
        <v>0</v>
      </c>
      <c r="E230" s="212">
        <f>IF(ISBLANK('Refsz-Emissionen'!G51), "", 'Refsz-Emissionen'!G51)</f>
        <v>0</v>
      </c>
      <c r="F230" s="212">
        <f>IF(ISBLANK('Refsz-Emissionen'!H51), "", 'Refsz-Emissionen'!H51)</f>
        <v>0</v>
      </c>
      <c r="G230" s="212">
        <f>IF(ISBLANK('Refsz-Emissionen'!I51), "", 'Refsz-Emissionen'!I51)</f>
        <v>0</v>
      </c>
      <c r="H230" s="212">
        <f>IF(ISBLANK('Refsz-Emissionen'!J51), "", 'Refsz-Emissionen'!J51)</f>
        <v>0</v>
      </c>
      <c r="I230" s="212">
        <f>IF(ISBLANK('Refsz-Emissionen'!K51), "", 'Refsz-Emissionen'!K51)</f>
        <v>0</v>
      </c>
      <c r="J230" s="212">
        <f>IF(ISBLANK('Refsz-Emissionen'!L51), "", 'Refsz-Emissionen'!L51)</f>
        <v>0</v>
      </c>
      <c r="K230" s="212">
        <f>IF(ISBLANK('Refsz-Emissionen'!M51), "", 'Refsz-Emissionen'!M51)</f>
        <v>0</v>
      </c>
      <c r="L230" s="212">
        <f>IF(ISBLANK('Refsz-Emissionen'!N51), "", 'Refsz-Emissionen'!N51)</f>
        <v>0</v>
      </c>
      <c r="M230" s="212">
        <f>IF(ISBLANK('Refsz-Emissionen'!O51), "", 'Refsz-Emissionen'!O51)</f>
        <v>0</v>
      </c>
      <c r="N230" s="212">
        <f>IF(ISBLANK('Refsz-Emissionen'!P51), "", 'Refsz-Emissionen'!P51)</f>
        <v>0</v>
      </c>
      <c r="O230" s="212">
        <f>IF(ISBLANK('Refsz-Emissionen'!Q51), "", 'Refsz-Emissionen'!Q51)</f>
        <v>0</v>
      </c>
      <c r="P230" s="212">
        <f>IF(ISBLANK('Refsz-Emissionen'!R51), "", 'Refsz-Emissionen'!R51)</f>
        <v>0</v>
      </c>
      <c r="Q230" s="212">
        <f>IF(ISBLANK('Refsz-Emissionen'!S51), "", 'Refsz-Emissionen'!S51)</f>
        <v>0</v>
      </c>
      <c r="R230" s="212">
        <f>IF(ISBLANK('Refsz-Emissionen'!T51), "", 'Refsz-Emissionen'!T51)</f>
        <v>0</v>
      </c>
      <c r="S230" s="212">
        <f>IF(ISBLANK('Refsz-Emissionen'!U51), "", 'Refsz-Emissionen'!U51)</f>
        <v>0</v>
      </c>
      <c r="T230" s="212">
        <f>IF(ISBLANK('Refsz-Emissionen'!V51), "", 'Refsz-Emissionen'!V51)</f>
        <v>0</v>
      </c>
      <c r="U230" s="212">
        <f>IF(ISBLANK('Refsz-Emissionen'!W51), "", 'Refsz-Emissionen'!W51)</f>
        <v>0</v>
      </c>
      <c r="V230" s="212">
        <f>IF(ISBLANK('Refsz-Emissionen'!X51), "", 'Refsz-Emissionen'!X51)</f>
        <v>0</v>
      </c>
      <c r="W230" s="212">
        <f>IF(ISBLANK('Refsz-Emissionen'!Y51), "", 'Refsz-Emissionen'!Y51)</f>
        <v>0</v>
      </c>
      <c r="X230" s="206"/>
    </row>
    <row r="231" spans="2:24" ht="16.5" hidden="1">
      <c r="B231" s="206" t="str">
        <f t="shared" si="7"/>
        <v>Fuhrpark (CNG)</v>
      </c>
      <c r="C231" s="206" t="s">
        <v>195</v>
      </c>
      <c r="D231" s="212">
        <f>IF(ISBLANK('Refsz-Emissionen'!F52), "", 'Refsz-Emissionen'!F52)</f>
        <v>0</v>
      </c>
      <c r="E231" s="212">
        <f>IF(ISBLANK('Refsz-Emissionen'!G52), "", 'Refsz-Emissionen'!G52)</f>
        <v>0</v>
      </c>
      <c r="F231" s="212">
        <f>IF(ISBLANK('Refsz-Emissionen'!H52), "", 'Refsz-Emissionen'!H52)</f>
        <v>0</v>
      </c>
      <c r="G231" s="212">
        <f>IF(ISBLANK('Refsz-Emissionen'!I52), "", 'Refsz-Emissionen'!I52)</f>
        <v>0</v>
      </c>
      <c r="H231" s="212">
        <f>IF(ISBLANK('Refsz-Emissionen'!J52), "", 'Refsz-Emissionen'!J52)</f>
        <v>0</v>
      </c>
      <c r="I231" s="212">
        <f>IF(ISBLANK('Refsz-Emissionen'!K52), "", 'Refsz-Emissionen'!K52)</f>
        <v>0</v>
      </c>
      <c r="J231" s="212">
        <f>IF(ISBLANK('Refsz-Emissionen'!L52), "", 'Refsz-Emissionen'!L52)</f>
        <v>0</v>
      </c>
      <c r="K231" s="212">
        <f>IF(ISBLANK('Refsz-Emissionen'!M52), "", 'Refsz-Emissionen'!M52)</f>
        <v>0</v>
      </c>
      <c r="L231" s="212">
        <f>IF(ISBLANK('Refsz-Emissionen'!N52), "", 'Refsz-Emissionen'!N52)</f>
        <v>0</v>
      </c>
      <c r="M231" s="212">
        <f>IF(ISBLANK('Refsz-Emissionen'!O52), "", 'Refsz-Emissionen'!O52)</f>
        <v>0</v>
      </c>
      <c r="N231" s="212">
        <f>IF(ISBLANK('Refsz-Emissionen'!P52), "", 'Refsz-Emissionen'!P52)</f>
        <v>0</v>
      </c>
      <c r="O231" s="212">
        <f>IF(ISBLANK('Refsz-Emissionen'!Q52), "", 'Refsz-Emissionen'!Q52)</f>
        <v>0</v>
      </c>
      <c r="P231" s="212">
        <f>IF(ISBLANK('Refsz-Emissionen'!R52), "", 'Refsz-Emissionen'!R52)</f>
        <v>0</v>
      </c>
      <c r="Q231" s="212">
        <f>IF(ISBLANK('Refsz-Emissionen'!S52), "", 'Refsz-Emissionen'!S52)</f>
        <v>0</v>
      </c>
      <c r="R231" s="212">
        <f>IF(ISBLANK('Refsz-Emissionen'!T52), "", 'Refsz-Emissionen'!T52)</f>
        <v>0</v>
      </c>
      <c r="S231" s="212">
        <f>IF(ISBLANK('Refsz-Emissionen'!U52), "", 'Refsz-Emissionen'!U52)</f>
        <v>0</v>
      </c>
      <c r="T231" s="212">
        <f>IF(ISBLANK('Refsz-Emissionen'!V52), "", 'Refsz-Emissionen'!V52)</f>
        <v>0</v>
      </c>
      <c r="U231" s="212">
        <f>IF(ISBLANK('Refsz-Emissionen'!W52), "", 'Refsz-Emissionen'!W52)</f>
        <v>0</v>
      </c>
      <c r="V231" s="212">
        <f>IF(ISBLANK('Refsz-Emissionen'!X52), "", 'Refsz-Emissionen'!X52)</f>
        <v>0</v>
      </c>
      <c r="W231" s="212">
        <f>IF(ISBLANK('Refsz-Emissionen'!Y52), "", 'Refsz-Emissionen'!Y52)</f>
        <v>0</v>
      </c>
      <c r="X231" s="206"/>
    </row>
    <row r="232" spans="2:24" ht="16.5" hidden="1">
      <c r="B232" s="206" t="str">
        <f t="shared" si="7"/>
        <v>DR - Flugreisen</v>
      </c>
      <c r="C232" s="206" t="s">
        <v>195</v>
      </c>
      <c r="D232" s="212">
        <f>IF(ISBLANK('Refsz-Emissionen'!F55), "", 'Refsz-Emissionen'!F55)</f>
        <v>0</v>
      </c>
      <c r="E232" s="212">
        <f>IF(ISBLANK('Refsz-Emissionen'!G55), "", 'Refsz-Emissionen'!G55)</f>
        <v>0</v>
      </c>
      <c r="F232" s="212">
        <f>IF(ISBLANK('Refsz-Emissionen'!H55), "", 'Refsz-Emissionen'!H55)</f>
        <v>0</v>
      </c>
      <c r="G232" s="212">
        <f>IF(ISBLANK('Refsz-Emissionen'!I55), "", 'Refsz-Emissionen'!I55)</f>
        <v>0</v>
      </c>
      <c r="H232" s="212">
        <f>IF(ISBLANK('Refsz-Emissionen'!J55), "", 'Refsz-Emissionen'!J55)</f>
        <v>0</v>
      </c>
      <c r="I232" s="212">
        <f>IF(ISBLANK('Refsz-Emissionen'!K55), "", 'Refsz-Emissionen'!K55)</f>
        <v>0</v>
      </c>
      <c r="J232" s="212">
        <f>IF(ISBLANK('Refsz-Emissionen'!L55), "", 'Refsz-Emissionen'!L55)</f>
        <v>0</v>
      </c>
      <c r="K232" s="212">
        <f>IF(ISBLANK('Refsz-Emissionen'!M55), "", 'Refsz-Emissionen'!M55)</f>
        <v>0</v>
      </c>
      <c r="L232" s="212">
        <f>IF(ISBLANK('Refsz-Emissionen'!N55), "", 'Refsz-Emissionen'!N55)</f>
        <v>0</v>
      </c>
      <c r="M232" s="212">
        <f>IF(ISBLANK('Refsz-Emissionen'!O55), "", 'Refsz-Emissionen'!O55)</f>
        <v>0</v>
      </c>
      <c r="N232" s="212">
        <f>IF(ISBLANK('Refsz-Emissionen'!P55), "", 'Refsz-Emissionen'!P55)</f>
        <v>0</v>
      </c>
      <c r="O232" s="212">
        <f>IF(ISBLANK('Refsz-Emissionen'!Q55), "", 'Refsz-Emissionen'!Q55)</f>
        <v>0</v>
      </c>
      <c r="P232" s="212">
        <f>IF(ISBLANK('Refsz-Emissionen'!R55), "", 'Refsz-Emissionen'!R55)</f>
        <v>0</v>
      </c>
      <c r="Q232" s="212">
        <f>IF(ISBLANK('Refsz-Emissionen'!S55), "", 'Refsz-Emissionen'!S55)</f>
        <v>0</v>
      </c>
      <c r="R232" s="212">
        <f>IF(ISBLANK('Refsz-Emissionen'!T55), "", 'Refsz-Emissionen'!T55)</f>
        <v>0</v>
      </c>
      <c r="S232" s="212">
        <f>IF(ISBLANK('Refsz-Emissionen'!U55), "", 'Refsz-Emissionen'!U55)</f>
        <v>0</v>
      </c>
      <c r="T232" s="212">
        <f>IF(ISBLANK('Refsz-Emissionen'!V55), "", 'Refsz-Emissionen'!V55)</f>
        <v>0</v>
      </c>
      <c r="U232" s="212">
        <f>IF(ISBLANK('Refsz-Emissionen'!W55), "", 'Refsz-Emissionen'!W55)</f>
        <v>0</v>
      </c>
      <c r="V232" s="212">
        <f>IF(ISBLANK('Refsz-Emissionen'!X55), "", 'Refsz-Emissionen'!X55)</f>
        <v>0</v>
      </c>
      <c r="W232" s="212">
        <f>IF(ISBLANK('Refsz-Emissionen'!Y55), "", 'Refsz-Emissionen'!Y55)</f>
        <v>0</v>
      </c>
      <c r="X232" s="206"/>
    </row>
    <row r="233" spans="2:24" ht="16.5" hidden="1">
      <c r="B233" s="206" t="str">
        <f t="shared" si="7"/>
        <v>DR - Eisenbahn (Fernverkehr)</v>
      </c>
      <c r="C233" s="206" t="s">
        <v>195</v>
      </c>
      <c r="D233" s="212">
        <f>IF(ISBLANK('Refsz-Emissionen'!F56), "", 'Refsz-Emissionen'!F56)</f>
        <v>0</v>
      </c>
      <c r="E233" s="212">
        <f>IF(ISBLANK('Refsz-Emissionen'!G56), "", 'Refsz-Emissionen'!G56)</f>
        <v>0</v>
      </c>
      <c r="F233" s="212">
        <f>IF(ISBLANK('Refsz-Emissionen'!H56), "", 'Refsz-Emissionen'!H56)</f>
        <v>0</v>
      </c>
      <c r="G233" s="212">
        <f>IF(ISBLANK('Refsz-Emissionen'!I56), "", 'Refsz-Emissionen'!I56)</f>
        <v>0</v>
      </c>
      <c r="H233" s="212">
        <f>IF(ISBLANK('Refsz-Emissionen'!J56), "", 'Refsz-Emissionen'!J56)</f>
        <v>0</v>
      </c>
      <c r="I233" s="212">
        <f>IF(ISBLANK('Refsz-Emissionen'!K56), "", 'Refsz-Emissionen'!K56)</f>
        <v>0</v>
      </c>
      <c r="J233" s="212">
        <f>IF(ISBLANK('Refsz-Emissionen'!L56), "", 'Refsz-Emissionen'!L56)</f>
        <v>0</v>
      </c>
      <c r="K233" s="212">
        <f>IF(ISBLANK('Refsz-Emissionen'!M56), "", 'Refsz-Emissionen'!M56)</f>
        <v>0</v>
      </c>
      <c r="L233" s="212">
        <f>IF(ISBLANK('Refsz-Emissionen'!N56), "", 'Refsz-Emissionen'!N56)</f>
        <v>0</v>
      </c>
      <c r="M233" s="212">
        <f>IF(ISBLANK('Refsz-Emissionen'!O56), "", 'Refsz-Emissionen'!O56)</f>
        <v>0</v>
      </c>
      <c r="N233" s="212">
        <f>IF(ISBLANK('Refsz-Emissionen'!P56), "", 'Refsz-Emissionen'!P56)</f>
        <v>0</v>
      </c>
      <c r="O233" s="212">
        <f>IF(ISBLANK('Refsz-Emissionen'!Q56), "", 'Refsz-Emissionen'!Q56)</f>
        <v>0</v>
      </c>
      <c r="P233" s="212">
        <f>IF(ISBLANK('Refsz-Emissionen'!R56), "", 'Refsz-Emissionen'!R56)</f>
        <v>0</v>
      </c>
      <c r="Q233" s="212">
        <f>IF(ISBLANK('Refsz-Emissionen'!S56), "", 'Refsz-Emissionen'!S56)</f>
        <v>0</v>
      </c>
      <c r="R233" s="212">
        <f>IF(ISBLANK('Refsz-Emissionen'!T56), "", 'Refsz-Emissionen'!T56)</f>
        <v>0</v>
      </c>
      <c r="S233" s="212">
        <f>IF(ISBLANK('Refsz-Emissionen'!U56), "", 'Refsz-Emissionen'!U56)</f>
        <v>0</v>
      </c>
      <c r="T233" s="212">
        <f>IF(ISBLANK('Refsz-Emissionen'!V56), "", 'Refsz-Emissionen'!V56)</f>
        <v>0</v>
      </c>
      <c r="U233" s="212">
        <f>IF(ISBLANK('Refsz-Emissionen'!W56), "", 'Refsz-Emissionen'!W56)</f>
        <v>0</v>
      </c>
      <c r="V233" s="212">
        <f>IF(ISBLANK('Refsz-Emissionen'!X56), "", 'Refsz-Emissionen'!X56)</f>
        <v>0</v>
      </c>
      <c r="W233" s="212">
        <f>IF(ISBLANK('Refsz-Emissionen'!Y56), "", 'Refsz-Emissionen'!Y56)</f>
        <v>0</v>
      </c>
      <c r="X233" s="206"/>
    </row>
    <row r="234" spans="2:24" ht="16.5" hidden="1">
      <c r="B234" s="206" t="str">
        <f t="shared" si="7"/>
        <v>DR - Eisenbahn (Nahverkehr)</v>
      </c>
      <c r="C234" s="206" t="s">
        <v>195</v>
      </c>
      <c r="D234" s="212">
        <f>IF(ISBLANK('Refsz-Emissionen'!F57), "", 'Refsz-Emissionen'!F57)</f>
        <v>0</v>
      </c>
      <c r="E234" s="212">
        <f>IF(ISBLANK('Refsz-Emissionen'!G57), "", 'Refsz-Emissionen'!G57)</f>
        <v>0</v>
      </c>
      <c r="F234" s="212">
        <f>IF(ISBLANK('Refsz-Emissionen'!H57), "", 'Refsz-Emissionen'!H57)</f>
        <v>0</v>
      </c>
      <c r="G234" s="212">
        <f>IF(ISBLANK('Refsz-Emissionen'!I57), "", 'Refsz-Emissionen'!I57)</f>
        <v>0</v>
      </c>
      <c r="H234" s="212">
        <f>IF(ISBLANK('Refsz-Emissionen'!J57), "", 'Refsz-Emissionen'!J57)</f>
        <v>0</v>
      </c>
      <c r="I234" s="212">
        <f>IF(ISBLANK('Refsz-Emissionen'!K57), "", 'Refsz-Emissionen'!K57)</f>
        <v>0</v>
      </c>
      <c r="J234" s="212">
        <f>IF(ISBLANK('Refsz-Emissionen'!L57), "", 'Refsz-Emissionen'!L57)</f>
        <v>0</v>
      </c>
      <c r="K234" s="212">
        <f>IF(ISBLANK('Refsz-Emissionen'!M57), "", 'Refsz-Emissionen'!M57)</f>
        <v>0</v>
      </c>
      <c r="L234" s="212">
        <f>IF(ISBLANK('Refsz-Emissionen'!N57), "", 'Refsz-Emissionen'!N57)</f>
        <v>0</v>
      </c>
      <c r="M234" s="212">
        <f>IF(ISBLANK('Refsz-Emissionen'!O57), "", 'Refsz-Emissionen'!O57)</f>
        <v>0</v>
      </c>
      <c r="N234" s="212">
        <f>IF(ISBLANK('Refsz-Emissionen'!P57), "", 'Refsz-Emissionen'!P57)</f>
        <v>0</v>
      </c>
      <c r="O234" s="212">
        <f>IF(ISBLANK('Refsz-Emissionen'!Q57), "", 'Refsz-Emissionen'!Q57)</f>
        <v>0</v>
      </c>
      <c r="P234" s="212">
        <f>IF(ISBLANK('Refsz-Emissionen'!R57), "", 'Refsz-Emissionen'!R57)</f>
        <v>0</v>
      </c>
      <c r="Q234" s="212">
        <f>IF(ISBLANK('Refsz-Emissionen'!S57), "", 'Refsz-Emissionen'!S57)</f>
        <v>0</v>
      </c>
      <c r="R234" s="212">
        <f>IF(ISBLANK('Refsz-Emissionen'!T57), "", 'Refsz-Emissionen'!T57)</f>
        <v>0</v>
      </c>
      <c r="S234" s="212">
        <f>IF(ISBLANK('Refsz-Emissionen'!U57), "", 'Refsz-Emissionen'!U57)</f>
        <v>0</v>
      </c>
      <c r="T234" s="212">
        <f>IF(ISBLANK('Refsz-Emissionen'!V57), "", 'Refsz-Emissionen'!V57)</f>
        <v>0</v>
      </c>
      <c r="U234" s="212">
        <f>IF(ISBLANK('Refsz-Emissionen'!W57), "", 'Refsz-Emissionen'!W57)</f>
        <v>0</v>
      </c>
      <c r="V234" s="212">
        <f>IF(ISBLANK('Refsz-Emissionen'!X57), "", 'Refsz-Emissionen'!X57)</f>
        <v>0</v>
      </c>
      <c r="W234" s="212">
        <f>IF(ISBLANK('Refsz-Emissionen'!Y57), "", 'Refsz-Emissionen'!Y57)</f>
        <v>0</v>
      </c>
      <c r="X234" s="206"/>
    </row>
    <row r="235" spans="2:24" ht="16.5" hidden="1">
      <c r="B235" s="206" t="str">
        <f t="shared" si="7"/>
        <v>DR - Reisebus, Linienbus (Fernverkehr)</v>
      </c>
      <c r="C235" s="206" t="s">
        <v>195</v>
      </c>
      <c r="D235" s="212">
        <f>IF(ISBLANK('Refsz-Emissionen'!F58), "", 'Refsz-Emissionen'!F58)</f>
        <v>0</v>
      </c>
      <c r="E235" s="212">
        <f>IF(ISBLANK('Refsz-Emissionen'!G58), "", 'Refsz-Emissionen'!G58)</f>
        <v>0</v>
      </c>
      <c r="F235" s="212">
        <f>IF(ISBLANK('Refsz-Emissionen'!H58), "", 'Refsz-Emissionen'!H58)</f>
        <v>0</v>
      </c>
      <c r="G235" s="212">
        <f>IF(ISBLANK('Refsz-Emissionen'!I58), "", 'Refsz-Emissionen'!I58)</f>
        <v>0</v>
      </c>
      <c r="H235" s="212">
        <f>IF(ISBLANK('Refsz-Emissionen'!J58), "", 'Refsz-Emissionen'!J58)</f>
        <v>0</v>
      </c>
      <c r="I235" s="212">
        <f>IF(ISBLANK('Refsz-Emissionen'!K58), "", 'Refsz-Emissionen'!K58)</f>
        <v>0</v>
      </c>
      <c r="J235" s="212">
        <f>IF(ISBLANK('Refsz-Emissionen'!L58), "", 'Refsz-Emissionen'!L58)</f>
        <v>0</v>
      </c>
      <c r="K235" s="212">
        <f>IF(ISBLANK('Refsz-Emissionen'!M58), "", 'Refsz-Emissionen'!M58)</f>
        <v>0</v>
      </c>
      <c r="L235" s="212">
        <f>IF(ISBLANK('Refsz-Emissionen'!N58), "", 'Refsz-Emissionen'!N58)</f>
        <v>0</v>
      </c>
      <c r="M235" s="212">
        <f>IF(ISBLANK('Refsz-Emissionen'!O58), "", 'Refsz-Emissionen'!O58)</f>
        <v>0</v>
      </c>
      <c r="N235" s="212">
        <f>IF(ISBLANK('Refsz-Emissionen'!P58), "", 'Refsz-Emissionen'!P58)</f>
        <v>0</v>
      </c>
      <c r="O235" s="212">
        <f>IF(ISBLANK('Refsz-Emissionen'!Q58), "", 'Refsz-Emissionen'!Q58)</f>
        <v>0</v>
      </c>
      <c r="P235" s="212">
        <f>IF(ISBLANK('Refsz-Emissionen'!R58), "", 'Refsz-Emissionen'!R58)</f>
        <v>0</v>
      </c>
      <c r="Q235" s="212">
        <f>IF(ISBLANK('Refsz-Emissionen'!S58), "", 'Refsz-Emissionen'!S58)</f>
        <v>0</v>
      </c>
      <c r="R235" s="212">
        <f>IF(ISBLANK('Refsz-Emissionen'!T58), "", 'Refsz-Emissionen'!T58)</f>
        <v>0</v>
      </c>
      <c r="S235" s="212">
        <f>IF(ISBLANK('Refsz-Emissionen'!U58), "", 'Refsz-Emissionen'!U58)</f>
        <v>0</v>
      </c>
      <c r="T235" s="212">
        <f>IF(ISBLANK('Refsz-Emissionen'!V58), "", 'Refsz-Emissionen'!V58)</f>
        <v>0</v>
      </c>
      <c r="U235" s="212">
        <f>IF(ISBLANK('Refsz-Emissionen'!W58), "", 'Refsz-Emissionen'!W58)</f>
        <v>0</v>
      </c>
      <c r="V235" s="212">
        <f>IF(ISBLANK('Refsz-Emissionen'!X58), "", 'Refsz-Emissionen'!X58)</f>
        <v>0</v>
      </c>
      <c r="W235" s="212">
        <f>IF(ISBLANK('Refsz-Emissionen'!Y58), "", 'Refsz-Emissionen'!Y58)</f>
        <v>0</v>
      </c>
      <c r="X235" s="206"/>
    </row>
    <row r="236" spans="2:24" ht="16.5" hidden="1">
      <c r="B236" s="206" t="str">
        <f t="shared" si="7"/>
        <v>DR - Linienbus (Nahverkehr)</v>
      </c>
      <c r="C236" s="206" t="s">
        <v>195</v>
      </c>
      <c r="D236" s="212">
        <f>IF(ISBLANK('Refsz-Emissionen'!F59), "", 'Refsz-Emissionen'!F59)</f>
        <v>0</v>
      </c>
      <c r="E236" s="212">
        <f>IF(ISBLANK('Refsz-Emissionen'!G59), "", 'Refsz-Emissionen'!G59)</f>
        <v>0</v>
      </c>
      <c r="F236" s="212">
        <f>IF(ISBLANK('Refsz-Emissionen'!H59), "", 'Refsz-Emissionen'!H59)</f>
        <v>0</v>
      </c>
      <c r="G236" s="212">
        <f>IF(ISBLANK('Refsz-Emissionen'!I59), "", 'Refsz-Emissionen'!I59)</f>
        <v>0</v>
      </c>
      <c r="H236" s="212">
        <f>IF(ISBLANK('Refsz-Emissionen'!J59), "", 'Refsz-Emissionen'!J59)</f>
        <v>0</v>
      </c>
      <c r="I236" s="212">
        <f>IF(ISBLANK('Refsz-Emissionen'!K59), "", 'Refsz-Emissionen'!K59)</f>
        <v>0</v>
      </c>
      <c r="J236" s="212">
        <f>IF(ISBLANK('Refsz-Emissionen'!L59), "", 'Refsz-Emissionen'!L59)</f>
        <v>0</v>
      </c>
      <c r="K236" s="212">
        <f>IF(ISBLANK('Refsz-Emissionen'!M59), "", 'Refsz-Emissionen'!M59)</f>
        <v>0</v>
      </c>
      <c r="L236" s="212">
        <f>IF(ISBLANK('Refsz-Emissionen'!N59), "", 'Refsz-Emissionen'!N59)</f>
        <v>0</v>
      </c>
      <c r="M236" s="212">
        <f>IF(ISBLANK('Refsz-Emissionen'!O59), "", 'Refsz-Emissionen'!O59)</f>
        <v>0</v>
      </c>
      <c r="N236" s="212">
        <f>IF(ISBLANK('Refsz-Emissionen'!P59), "", 'Refsz-Emissionen'!P59)</f>
        <v>0</v>
      </c>
      <c r="O236" s="212">
        <f>IF(ISBLANK('Refsz-Emissionen'!Q59), "", 'Refsz-Emissionen'!Q59)</f>
        <v>0</v>
      </c>
      <c r="P236" s="212">
        <f>IF(ISBLANK('Refsz-Emissionen'!R59), "", 'Refsz-Emissionen'!R59)</f>
        <v>0</v>
      </c>
      <c r="Q236" s="212">
        <f>IF(ISBLANK('Refsz-Emissionen'!S59), "", 'Refsz-Emissionen'!S59)</f>
        <v>0</v>
      </c>
      <c r="R236" s="212">
        <f>IF(ISBLANK('Refsz-Emissionen'!T59), "", 'Refsz-Emissionen'!T59)</f>
        <v>0</v>
      </c>
      <c r="S236" s="212">
        <f>IF(ISBLANK('Refsz-Emissionen'!U59), "", 'Refsz-Emissionen'!U59)</f>
        <v>0</v>
      </c>
      <c r="T236" s="212">
        <f>IF(ISBLANK('Refsz-Emissionen'!V59), "", 'Refsz-Emissionen'!V59)</f>
        <v>0</v>
      </c>
      <c r="U236" s="212">
        <f>IF(ISBLANK('Refsz-Emissionen'!W59), "", 'Refsz-Emissionen'!W59)</f>
        <v>0</v>
      </c>
      <c r="V236" s="212">
        <f>IF(ISBLANK('Refsz-Emissionen'!X59), "", 'Refsz-Emissionen'!X59)</f>
        <v>0</v>
      </c>
      <c r="W236" s="212">
        <f>IF(ISBLANK('Refsz-Emissionen'!Y59), "", 'Refsz-Emissionen'!Y59)</f>
        <v>0</v>
      </c>
      <c r="X236" s="206"/>
    </row>
    <row r="237" spans="2:24" ht="16.5" hidden="1">
      <c r="B237" s="206" t="str">
        <f t="shared" si="7"/>
        <v>DR - Privater PKW (alle Antriebsarten)</v>
      </c>
      <c r="C237" s="206" t="s">
        <v>195</v>
      </c>
      <c r="D237" s="212">
        <f>IF(ISBLANK('Refsz-Emissionen'!F60), "", 'Refsz-Emissionen'!F60)</f>
        <v>0</v>
      </c>
      <c r="E237" s="212">
        <f>IF(ISBLANK('Refsz-Emissionen'!G60), "", 'Refsz-Emissionen'!G60)</f>
        <v>0</v>
      </c>
      <c r="F237" s="212">
        <f>IF(ISBLANK('Refsz-Emissionen'!H60), "", 'Refsz-Emissionen'!H60)</f>
        <v>0</v>
      </c>
      <c r="G237" s="212">
        <f>IF(ISBLANK('Refsz-Emissionen'!I60), "", 'Refsz-Emissionen'!I60)</f>
        <v>0</v>
      </c>
      <c r="H237" s="212">
        <f>IF(ISBLANK('Refsz-Emissionen'!J60), "", 'Refsz-Emissionen'!J60)</f>
        <v>0</v>
      </c>
      <c r="I237" s="212">
        <f>IF(ISBLANK('Refsz-Emissionen'!K60), "", 'Refsz-Emissionen'!K60)</f>
        <v>0</v>
      </c>
      <c r="J237" s="212">
        <f>IF(ISBLANK('Refsz-Emissionen'!L60), "", 'Refsz-Emissionen'!L60)</f>
        <v>0</v>
      </c>
      <c r="K237" s="212">
        <f>IF(ISBLANK('Refsz-Emissionen'!M60), "", 'Refsz-Emissionen'!M60)</f>
        <v>0</v>
      </c>
      <c r="L237" s="212">
        <f>IF(ISBLANK('Refsz-Emissionen'!N60), "", 'Refsz-Emissionen'!N60)</f>
        <v>0</v>
      </c>
      <c r="M237" s="212">
        <f>IF(ISBLANK('Refsz-Emissionen'!O60), "", 'Refsz-Emissionen'!O60)</f>
        <v>0</v>
      </c>
      <c r="N237" s="212">
        <f>IF(ISBLANK('Refsz-Emissionen'!P60), "", 'Refsz-Emissionen'!P60)</f>
        <v>0</v>
      </c>
      <c r="O237" s="212">
        <f>IF(ISBLANK('Refsz-Emissionen'!Q60), "", 'Refsz-Emissionen'!Q60)</f>
        <v>0</v>
      </c>
      <c r="P237" s="212">
        <f>IF(ISBLANK('Refsz-Emissionen'!R60), "", 'Refsz-Emissionen'!R60)</f>
        <v>0</v>
      </c>
      <c r="Q237" s="212">
        <f>IF(ISBLANK('Refsz-Emissionen'!S60), "", 'Refsz-Emissionen'!S60)</f>
        <v>0</v>
      </c>
      <c r="R237" s="212">
        <f>IF(ISBLANK('Refsz-Emissionen'!T60), "", 'Refsz-Emissionen'!T60)</f>
        <v>0</v>
      </c>
      <c r="S237" s="212">
        <f>IF(ISBLANK('Refsz-Emissionen'!U60), "", 'Refsz-Emissionen'!U60)</f>
        <v>0</v>
      </c>
      <c r="T237" s="212">
        <f>IF(ISBLANK('Refsz-Emissionen'!V60), "", 'Refsz-Emissionen'!V60)</f>
        <v>0</v>
      </c>
      <c r="U237" s="212">
        <f>IF(ISBLANK('Refsz-Emissionen'!W60), "", 'Refsz-Emissionen'!W60)</f>
        <v>0</v>
      </c>
      <c r="V237" s="212">
        <f>IF(ISBLANK('Refsz-Emissionen'!X60), "", 'Refsz-Emissionen'!X60)</f>
        <v>0</v>
      </c>
      <c r="W237" s="212">
        <f>IF(ISBLANK('Refsz-Emissionen'!Y60), "", 'Refsz-Emissionen'!Y60)</f>
        <v>0</v>
      </c>
      <c r="X237" s="206"/>
    </row>
    <row r="238" spans="2:24" ht="16.5" hidden="1">
      <c r="B238" s="206" t="str">
        <f t="shared" si="7"/>
        <v>DR - Privater PKW (Diesel)</v>
      </c>
      <c r="C238" s="206" t="s">
        <v>195</v>
      </c>
      <c r="D238" s="212">
        <f>IF(ISBLANK('Refsz-Emissionen'!F61), "", 'Refsz-Emissionen'!F61)</f>
        <v>0</v>
      </c>
      <c r="E238" s="212">
        <f>IF(ISBLANK('Refsz-Emissionen'!G61), "", 'Refsz-Emissionen'!G61)</f>
        <v>0</v>
      </c>
      <c r="F238" s="212">
        <f>IF(ISBLANK('Refsz-Emissionen'!H61), "", 'Refsz-Emissionen'!H61)</f>
        <v>0</v>
      </c>
      <c r="G238" s="212">
        <f>IF(ISBLANK('Refsz-Emissionen'!I61), "", 'Refsz-Emissionen'!I61)</f>
        <v>0</v>
      </c>
      <c r="H238" s="212">
        <f>IF(ISBLANK('Refsz-Emissionen'!J61), "", 'Refsz-Emissionen'!J61)</f>
        <v>0</v>
      </c>
      <c r="I238" s="212">
        <f>IF(ISBLANK('Refsz-Emissionen'!K61), "", 'Refsz-Emissionen'!K61)</f>
        <v>0</v>
      </c>
      <c r="J238" s="212">
        <f>IF(ISBLANK('Refsz-Emissionen'!L61), "", 'Refsz-Emissionen'!L61)</f>
        <v>0</v>
      </c>
      <c r="K238" s="212">
        <f>IF(ISBLANK('Refsz-Emissionen'!M61), "", 'Refsz-Emissionen'!M61)</f>
        <v>0</v>
      </c>
      <c r="L238" s="212">
        <f>IF(ISBLANK('Refsz-Emissionen'!N61), "", 'Refsz-Emissionen'!N61)</f>
        <v>0</v>
      </c>
      <c r="M238" s="212">
        <f>IF(ISBLANK('Refsz-Emissionen'!O61), "", 'Refsz-Emissionen'!O61)</f>
        <v>0</v>
      </c>
      <c r="N238" s="212">
        <f>IF(ISBLANK('Refsz-Emissionen'!P61), "", 'Refsz-Emissionen'!P61)</f>
        <v>0</v>
      </c>
      <c r="O238" s="212">
        <f>IF(ISBLANK('Refsz-Emissionen'!Q61), "", 'Refsz-Emissionen'!Q61)</f>
        <v>0</v>
      </c>
      <c r="P238" s="212">
        <f>IF(ISBLANK('Refsz-Emissionen'!R61), "", 'Refsz-Emissionen'!R61)</f>
        <v>0</v>
      </c>
      <c r="Q238" s="212">
        <f>IF(ISBLANK('Refsz-Emissionen'!S61), "", 'Refsz-Emissionen'!S61)</f>
        <v>0</v>
      </c>
      <c r="R238" s="212">
        <f>IF(ISBLANK('Refsz-Emissionen'!T61), "", 'Refsz-Emissionen'!T61)</f>
        <v>0</v>
      </c>
      <c r="S238" s="212">
        <f>IF(ISBLANK('Refsz-Emissionen'!U61), "", 'Refsz-Emissionen'!U61)</f>
        <v>0</v>
      </c>
      <c r="T238" s="212">
        <f>IF(ISBLANK('Refsz-Emissionen'!V61), "", 'Refsz-Emissionen'!V61)</f>
        <v>0</v>
      </c>
      <c r="U238" s="212">
        <f>IF(ISBLANK('Refsz-Emissionen'!W61), "", 'Refsz-Emissionen'!W61)</f>
        <v>0</v>
      </c>
      <c r="V238" s="212">
        <f>IF(ISBLANK('Refsz-Emissionen'!X61), "", 'Refsz-Emissionen'!X61)</f>
        <v>0</v>
      </c>
      <c r="W238" s="212">
        <f>IF(ISBLANK('Refsz-Emissionen'!Y61), "", 'Refsz-Emissionen'!Y61)</f>
        <v>0</v>
      </c>
      <c r="X238" s="206"/>
    </row>
    <row r="239" spans="2:24" ht="16.5" hidden="1">
      <c r="B239" s="206" t="str">
        <f t="shared" si="7"/>
        <v>DR - Privater PKW (Benzin)</v>
      </c>
      <c r="C239" s="206" t="s">
        <v>195</v>
      </c>
      <c r="D239" s="212">
        <f>IF(ISBLANK('Refsz-Emissionen'!F62), "", 'Refsz-Emissionen'!F62)</f>
        <v>0</v>
      </c>
      <c r="E239" s="212">
        <f>IF(ISBLANK('Refsz-Emissionen'!G62), "", 'Refsz-Emissionen'!G62)</f>
        <v>0</v>
      </c>
      <c r="F239" s="212">
        <f>IF(ISBLANK('Refsz-Emissionen'!H62), "", 'Refsz-Emissionen'!H62)</f>
        <v>0</v>
      </c>
      <c r="G239" s="212">
        <f>IF(ISBLANK('Refsz-Emissionen'!I62), "", 'Refsz-Emissionen'!I62)</f>
        <v>0</v>
      </c>
      <c r="H239" s="212">
        <f>IF(ISBLANK('Refsz-Emissionen'!J62), "", 'Refsz-Emissionen'!J62)</f>
        <v>0</v>
      </c>
      <c r="I239" s="212">
        <f>IF(ISBLANK('Refsz-Emissionen'!K62), "", 'Refsz-Emissionen'!K62)</f>
        <v>0</v>
      </c>
      <c r="J239" s="212">
        <f>IF(ISBLANK('Refsz-Emissionen'!L62), "", 'Refsz-Emissionen'!L62)</f>
        <v>0</v>
      </c>
      <c r="K239" s="212">
        <f>IF(ISBLANK('Refsz-Emissionen'!M62), "", 'Refsz-Emissionen'!M62)</f>
        <v>0</v>
      </c>
      <c r="L239" s="212">
        <f>IF(ISBLANK('Refsz-Emissionen'!N62), "", 'Refsz-Emissionen'!N62)</f>
        <v>0</v>
      </c>
      <c r="M239" s="212">
        <f>IF(ISBLANK('Refsz-Emissionen'!O62), "", 'Refsz-Emissionen'!O62)</f>
        <v>0</v>
      </c>
      <c r="N239" s="212">
        <f>IF(ISBLANK('Refsz-Emissionen'!P62), "", 'Refsz-Emissionen'!P62)</f>
        <v>0</v>
      </c>
      <c r="O239" s="212">
        <f>IF(ISBLANK('Refsz-Emissionen'!Q62), "", 'Refsz-Emissionen'!Q62)</f>
        <v>0</v>
      </c>
      <c r="P239" s="212">
        <f>IF(ISBLANK('Refsz-Emissionen'!R62), "", 'Refsz-Emissionen'!R62)</f>
        <v>0</v>
      </c>
      <c r="Q239" s="212">
        <f>IF(ISBLANK('Refsz-Emissionen'!S62), "", 'Refsz-Emissionen'!S62)</f>
        <v>0</v>
      </c>
      <c r="R239" s="212">
        <f>IF(ISBLANK('Refsz-Emissionen'!T62), "", 'Refsz-Emissionen'!T62)</f>
        <v>0</v>
      </c>
      <c r="S239" s="212">
        <f>IF(ISBLANK('Refsz-Emissionen'!U62), "", 'Refsz-Emissionen'!U62)</f>
        <v>0</v>
      </c>
      <c r="T239" s="212">
        <f>IF(ISBLANK('Refsz-Emissionen'!V62), "", 'Refsz-Emissionen'!V62)</f>
        <v>0</v>
      </c>
      <c r="U239" s="212">
        <f>IF(ISBLANK('Refsz-Emissionen'!W62), "", 'Refsz-Emissionen'!W62)</f>
        <v>0</v>
      </c>
      <c r="V239" s="212">
        <f>IF(ISBLANK('Refsz-Emissionen'!X62), "", 'Refsz-Emissionen'!X62)</f>
        <v>0</v>
      </c>
      <c r="W239" s="212">
        <f>IF(ISBLANK('Refsz-Emissionen'!Y62), "", 'Refsz-Emissionen'!Y62)</f>
        <v>0</v>
      </c>
      <c r="X239" s="206"/>
    </row>
    <row r="240" spans="2:24" ht="16.5" hidden="1">
      <c r="B240" s="206" t="str">
        <f t="shared" si="7"/>
        <v>DR - Mietwägen (Diesel)</v>
      </c>
      <c r="C240" s="206" t="s">
        <v>195</v>
      </c>
      <c r="D240" s="212">
        <f>IF(ISBLANK('Refsz-Emissionen'!F63), "", 'Refsz-Emissionen'!F63)</f>
        <v>0</v>
      </c>
      <c r="E240" s="212">
        <f>IF(ISBLANK('Refsz-Emissionen'!G63), "", 'Refsz-Emissionen'!G63)</f>
        <v>0</v>
      </c>
      <c r="F240" s="212">
        <f>IF(ISBLANK('Refsz-Emissionen'!H63), "", 'Refsz-Emissionen'!H63)</f>
        <v>0</v>
      </c>
      <c r="G240" s="212">
        <f>IF(ISBLANK('Refsz-Emissionen'!I63), "", 'Refsz-Emissionen'!I63)</f>
        <v>0</v>
      </c>
      <c r="H240" s="212">
        <f>IF(ISBLANK('Refsz-Emissionen'!J63), "", 'Refsz-Emissionen'!J63)</f>
        <v>0</v>
      </c>
      <c r="I240" s="212">
        <f>IF(ISBLANK('Refsz-Emissionen'!K63), "", 'Refsz-Emissionen'!K63)</f>
        <v>0</v>
      </c>
      <c r="J240" s="212">
        <f>IF(ISBLANK('Refsz-Emissionen'!L63), "", 'Refsz-Emissionen'!L63)</f>
        <v>0</v>
      </c>
      <c r="K240" s="212">
        <f>IF(ISBLANK('Refsz-Emissionen'!M63), "", 'Refsz-Emissionen'!M63)</f>
        <v>0</v>
      </c>
      <c r="L240" s="212">
        <f>IF(ISBLANK('Refsz-Emissionen'!N63), "", 'Refsz-Emissionen'!N63)</f>
        <v>0</v>
      </c>
      <c r="M240" s="212">
        <f>IF(ISBLANK('Refsz-Emissionen'!O63), "", 'Refsz-Emissionen'!O63)</f>
        <v>0</v>
      </c>
      <c r="N240" s="212">
        <f>IF(ISBLANK('Refsz-Emissionen'!P63), "", 'Refsz-Emissionen'!P63)</f>
        <v>0</v>
      </c>
      <c r="O240" s="212">
        <f>IF(ISBLANK('Refsz-Emissionen'!Q63), "", 'Refsz-Emissionen'!Q63)</f>
        <v>0</v>
      </c>
      <c r="P240" s="212">
        <f>IF(ISBLANK('Refsz-Emissionen'!R63), "", 'Refsz-Emissionen'!R63)</f>
        <v>0</v>
      </c>
      <c r="Q240" s="212">
        <f>IF(ISBLANK('Refsz-Emissionen'!S63), "", 'Refsz-Emissionen'!S63)</f>
        <v>0</v>
      </c>
      <c r="R240" s="212">
        <f>IF(ISBLANK('Refsz-Emissionen'!T63), "", 'Refsz-Emissionen'!T63)</f>
        <v>0</v>
      </c>
      <c r="S240" s="212">
        <f>IF(ISBLANK('Refsz-Emissionen'!U63), "", 'Refsz-Emissionen'!U63)</f>
        <v>0</v>
      </c>
      <c r="T240" s="212">
        <f>IF(ISBLANK('Refsz-Emissionen'!V63), "", 'Refsz-Emissionen'!V63)</f>
        <v>0</v>
      </c>
      <c r="U240" s="212">
        <f>IF(ISBLANK('Refsz-Emissionen'!W63), "", 'Refsz-Emissionen'!W63)</f>
        <v>0</v>
      </c>
      <c r="V240" s="212">
        <f>IF(ISBLANK('Refsz-Emissionen'!X63), "", 'Refsz-Emissionen'!X63)</f>
        <v>0</v>
      </c>
      <c r="W240" s="212">
        <f>IF(ISBLANK('Refsz-Emissionen'!Y63), "", 'Refsz-Emissionen'!Y63)</f>
        <v>0</v>
      </c>
      <c r="X240" s="206"/>
    </row>
    <row r="241" spans="2:24" ht="16.5" hidden="1">
      <c r="B241" s="206" t="str">
        <f t="shared" si="7"/>
        <v>DR - Mietwägen (Benzin)</v>
      </c>
      <c r="C241" s="206" t="s">
        <v>195</v>
      </c>
      <c r="D241" s="212">
        <f>IF(ISBLANK('Refsz-Emissionen'!F64), "", 'Refsz-Emissionen'!F64)</f>
        <v>0</v>
      </c>
      <c r="E241" s="212">
        <f>IF(ISBLANK('Refsz-Emissionen'!G64), "", 'Refsz-Emissionen'!G64)</f>
        <v>0</v>
      </c>
      <c r="F241" s="212">
        <f>IF(ISBLANK('Refsz-Emissionen'!H64), "", 'Refsz-Emissionen'!H64)</f>
        <v>0</v>
      </c>
      <c r="G241" s="212">
        <f>IF(ISBLANK('Refsz-Emissionen'!I64), "", 'Refsz-Emissionen'!I64)</f>
        <v>0</v>
      </c>
      <c r="H241" s="212">
        <f>IF(ISBLANK('Refsz-Emissionen'!J64), "", 'Refsz-Emissionen'!J64)</f>
        <v>0</v>
      </c>
      <c r="I241" s="212">
        <f>IF(ISBLANK('Refsz-Emissionen'!K64), "", 'Refsz-Emissionen'!K64)</f>
        <v>0</v>
      </c>
      <c r="J241" s="212">
        <f>IF(ISBLANK('Refsz-Emissionen'!L64), "", 'Refsz-Emissionen'!L64)</f>
        <v>0</v>
      </c>
      <c r="K241" s="212">
        <f>IF(ISBLANK('Refsz-Emissionen'!M64), "", 'Refsz-Emissionen'!M64)</f>
        <v>0</v>
      </c>
      <c r="L241" s="212">
        <f>IF(ISBLANK('Refsz-Emissionen'!N64), "", 'Refsz-Emissionen'!N64)</f>
        <v>0</v>
      </c>
      <c r="M241" s="212">
        <f>IF(ISBLANK('Refsz-Emissionen'!O64), "", 'Refsz-Emissionen'!O64)</f>
        <v>0</v>
      </c>
      <c r="N241" s="212">
        <f>IF(ISBLANK('Refsz-Emissionen'!P64), "", 'Refsz-Emissionen'!P64)</f>
        <v>0</v>
      </c>
      <c r="O241" s="212">
        <f>IF(ISBLANK('Refsz-Emissionen'!Q64), "", 'Refsz-Emissionen'!Q64)</f>
        <v>0</v>
      </c>
      <c r="P241" s="212">
        <f>IF(ISBLANK('Refsz-Emissionen'!R64), "", 'Refsz-Emissionen'!R64)</f>
        <v>0</v>
      </c>
      <c r="Q241" s="212">
        <f>IF(ISBLANK('Refsz-Emissionen'!S64), "", 'Refsz-Emissionen'!S64)</f>
        <v>0</v>
      </c>
      <c r="R241" s="212">
        <f>IF(ISBLANK('Refsz-Emissionen'!T64), "", 'Refsz-Emissionen'!T64)</f>
        <v>0</v>
      </c>
      <c r="S241" s="212">
        <f>IF(ISBLANK('Refsz-Emissionen'!U64), "", 'Refsz-Emissionen'!U64)</f>
        <v>0</v>
      </c>
      <c r="T241" s="212">
        <f>IF(ISBLANK('Refsz-Emissionen'!V64), "", 'Refsz-Emissionen'!V64)</f>
        <v>0</v>
      </c>
      <c r="U241" s="212">
        <f>IF(ISBLANK('Refsz-Emissionen'!W64), "", 'Refsz-Emissionen'!W64)</f>
        <v>0</v>
      </c>
      <c r="V241" s="212">
        <f>IF(ISBLANK('Refsz-Emissionen'!X64), "", 'Refsz-Emissionen'!X64)</f>
        <v>0</v>
      </c>
      <c r="W241" s="212">
        <f>IF(ISBLANK('Refsz-Emissionen'!Y64), "", 'Refsz-Emissionen'!Y64)</f>
        <v>0</v>
      </c>
      <c r="X241" s="206"/>
    </row>
    <row r="242" spans="2:24" ht="16.5" hidden="1">
      <c r="B242" s="206" t="str">
        <f t="shared" si="7"/>
        <v>DR - Mietwägen (E-Auto/ BEV)</v>
      </c>
      <c r="C242" s="206" t="s">
        <v>195</v>
      </c>
      <c r="D242" s="212">
        <f>IF(ISBLANK('Refsz-Emissionen'!F65), "", 'Refsz-Emissionen'!F65)</f>
        <v>0</v>
      </c>
      <c r="E242" s="212">
        <f>IF(ISBLANK('Refsz-Emissionen'!G65), "", 'Refsz-Emissionen'!G65)</f>
        <v>0</v>
      </c>
      <c r="F242" s="212">
        <f>IF(ISBLANK('Refsz-Emissionen'!H65), "", 'Refsz-Emissionen'!H65)</f>
        <v>0</v>
      </c>
      <c r="G242" s="212">
        <f>IF(ISBLANK('Refsz-Emissionen'!I65), "", 'Refsz-Emissionen'!I65)</f>
        <v>0</v>
      </c>
      <c r="H242" s="212">
        <f>IF(ISBLANK('Refsz-Emissionen'!J65), "", 'Refsz-Emissionen'!J65)</f>
        <v>0</v>
      </c>
      <c r="I242" s="212">
        <f>IF(ISBLANK('Refsz-Emissionen'!K65), "", 'Refsz-Emissionen'!K65)</f>
        <v>0</v>
      </c>
      <c r="J242" s="212">
        <f>IF(ISBLANK('Refsz-Emissionen'!L65), "", 'Refsz-Emissionen'!L65)</f>
        <v>0</v>
      </c>
      <c r="K242" s="212">
        <f>IF(ISBLANK('Refsz-Emissionen'!M65), "", 'Refsz-Emissionen'!M65)</f>
        <v>0</v>
      </c>
      <c r="L242" s="212">
        <f>IF(ISBLANK('Refsz-Emissionen'!N65), "", 'Refsz-Emissionen'!N65)</f>
        <v>0</v>
      </c>
      <c r="M242" s="212">
        <f>IF(ISBLANK('Refsz-Emissionen'!O65), "", 'Refsz-Emissionen'!O65)</f>
        <v>0</v>
      </c>
      <c r="N242" s="212">
        <f>IF(ISBLANK('Refsz-Emissionen'!P65), "", 'Refsz-Emissionen'!P65)</f>
        <v>0</v>
      </c>
      <c r="O242" s="212">
        <f>IF(ISBLANK('Refsz-Emissionen'!Q65), "", 'Refsz-Emissionen'!Q65)</f>
        <v>0</v>
      </c>
      <c r="P242" s="212">
        <f>IF(ISBLANK('Refsz-Emissionen'!R65), "", 'Refsz-Emissionen'!R65)</f>
        <v>0</v>
      </c>
      <c r="Q242" s="212">
        <f>IF(ISBLANK('Refsz-Emissionen'!S65), "", 'Refsz-Emissionen'!S65)</f>
        <v>0</v>
      </c>
      <c r="R242" s="212">
        <f>IF(ISBLANK('Refsz-Emissionen'!T65), "", 'Refsz-Emissionen'!T65)</f>
        <v>0</v>
      </c>
      <c r="S242" s="212">
        <f>IF(ISBLANK('Refsz-Emissionen'!U65), "", 'Refsz-Emissionen'!U65)</f>
        <v>0</v>
      </c>
      <c r="T242" s="212">
        <f>IF(ISBLANK('Refsz-Emissionen'!V65), "", 'Refsz-Emissionen'!V65)</f>
        <v>0</v>
      </c>
      <c r="U242" s="212">
        <f>IF(ISBLANK('Refsz-Emissionen'!W65), "", 'Refsz-Emissionen'!W65)</f>
        <v>0</v>
      </c>
      <c r="V242" s="212">
        <f>IF(ISBLANK('Refsz-Emissionen'!X65), "", 'Refsz-Emissionen'!X65)</f>
        <v>0</v>
      </c>
      <c r="W242" s="212">
        <f>IF(ISBLANK('Refsz-Emissionen'!Y65), "", 'Refsz-Emissionen'!Y65)</f>
        <v>0</v>
      </c>
      <c r="X242" s="206"/>
    </row>
    <row r="243" spans="2:24" ht="16.5" hidden="1">
      <c r="B243" s="206" t="str">
        <f t="shared" si="7"/>
        <v>DR - Mietwägen (Wasserstoff/ FCEV)</v>
      </c>
      <c r="C243" s="206" t="s">
        <v>195</v>
      </c>
      <c r="D243" s="212">
        <f>IF(ISBLANK('Refsz-Emissionen'!F66), "", 'Refsz-Emissionen'!F66)</f>
        <v>0</v>
      </c>
      <c r="E243" s="212">
        <f>IF(ISBLANK('Refsz-Emissionen'!G66), "", 'Refsz-Emissionen'!G66)</f>
        <v>0</v>
      </c>
      <c r="F243" s="212">
        <f>IF(ISBLANK('Refsz-Emissionen'!H66), "", 'Refsz-Emissionen'!H66)</f>
        <v>0</v>
      </c>
      <c r="G243" s="212">
        <f>IF(ISBLANK('Refsz-Emissionen'!I66), "", 'Refsz-Emissionen'!I66)</f>
        <v>0</v>
      </c>
      <c r="H243" s="212">
        <f>IF(ISBLANK('Refsz-Emissionen'!J66), "", 'Refsz-Emissionen'!J66)</f>
        <v>0</v>
      </c>
      <c r="I243" s="212">
        <f>IF(ISBLANK('Refsz-Emissionen'!K66), "", 'Refsz-Emissionen'!K66)</f>
        <v>0</v>
      </c>
      <c r="J243" s="212">
        <f>IF(ISBLANK('Refsz-Emissionen'!L66), "", 'Refsz-Emissionen'!L66)</f>
        <v>0</v>
      </c>
      <c r="K243" s="212">
        <f>IF(ISBLANK('Refsz-Emissionen'!M66), "", 'Refsz-Emissionen'!M66)</f>
        <v>0</v>
      </c>
      <c r="L243" s="212">
        <f>IF(ISBLANK('Refsz-Emissionen'!N66), "", 'Refsz-Emissionen'!N66)</f>
        <v>0</v>
      </c>
      <c r="M243" s="212">
        <f>IF(ISBLANK('Refsz-Emissionen'!O66), "", 'Refsz-Emissionen'!O66)</f>
        <v>0</v>
      </c>
      <c r="N243" s="212">
        <f>IF(ISBLANK('Refsz-Emissionen'!P66), "", 'Refsz-Emissionen'!P66)</f>
        <v>0</v>
      </c>
      <c r="O243" s="212">
        <f>IF(ISBLANK('Refsz-Emissionen'!Q66), "", 'Refsz-Emissionen'!Q66)</f>
        <v>0</v>
      </c>
      <c r="P243" s="212">
        <f>IF(ISBLANK('Refsz-Emissionen'!R66), "", 'Refsz-Emissionen'!R66)</f>
        <v>0</v>
      </c>
      <c r="Q243" s="212">
        <f>IF(ISBLANK('Refsz-Emissionen'!S66), "", 'Refsz-Emissionen'!S66)</f>
        <v>0</v>
      </c>
      <c r="R243" s="212">
        <f>IF(ISBLANK('Refsz-Emissionen'!T66), "", 'Refsz-Emissionen'!T66)</f>
        <v>0</v>
      </c>
      <c r="S243" s="212">
        <f>IF(ISBLANK('Refsz-Emissionen'!U66), "", 'Refsz-Emissionen'!U66)</f>
        <v>0</v>
      </c>
      <c r="T243" s="212">
        <f>IF(ISBLANK('Refsz-Emissionen'!V66), "", 'Refsz-Emissionen'!V66)</f>
        <v>0</v>
      </c>
      <c r="U243" s="212">
        <f>IF(ISBLANK('Refsz-Emissionen'!W66), "", 'Refsz-Emissionen'!W66)</f>
        <v>0</v>
      </c>
      <c r="V243" s="212">
        <f>IF(ISBLANK('Refsz-Emissionen'!X66), "", 'Refsz-Emissionen'!X66)</f>
        <v>0</v>
      </c>
      <c r="W243" s="212">
        <f>IF(ISBLANK('Refsz-Emissionen'!Y66), "", 'Refsz-Emissionen'!Y66)</f>
        <v>0</v>
      </c>
      <c r="X243" s="206"/>
    </row>
    <row r="244" spans="2:24" ht="16.5" hidden="1">
      <c r="B244" s="206" t="str">
        <f t="shared" si="7"/>
        <v>DR - Mietwägen (CNG)</v>
      </c>
      <c r="C244" s="206" t="s">
        <v>195</v>
      </c>
      <c r="D244" s="212">
        <f>IF(ISBLANK('Refsz-Emissionen'!F67), "", 'Refsz-Emissionen'!F67)</f>
        <v>0</v>
      </c>
      <c r="E244" s="212">
        <f>IF(ISBLANK('Refsz-Emissionen'!G67), "", 'Refsz-Emissionen'!G67)</f>
        <v>0</v>
      </c>
      <c r="F244" s="212">
        <f>IF(ISBLANK('Refsz-Emissionen'!H67), "", 'Refsz-Emissionen'!H67)</f>
        <v>0</v>
      </c>
      <c r="G244" s="212">
        <f>IF(ISBLANK('Refsz-Emissionen'!I67), "", 'Refsz-Emissionen'!I67)</f>
        <v>0</v>
      </c>
      <c r="H244" s="212">
        <f>IF(ISBLANK('Refsz-Emissionen'!J67), "", 'Refsz-Emissionen'!J67)</f>
        <v>0</v>
      </c>
      <c r="I244" s="212">
        <f>IF(ISBLANK('Refsz-Emissionen'!K67), "", 'Refsz-Emissionen'!K67)</f>
        <v>0</v>
      </c>
      <c r="J244" s="212">
        <f>IF(ISBLANK('Refsz-Emissionen'!L67), "", 'Refsz-Emissionen'!L67)</f>
        <v>0</v>
      </c>
      <c r="K244" s="212">
        <f>IF(ISBLANK('Refsz-Emissionen'!M67), "", 'Refsz-Emissionen'!M67)</f>
        <v>0</v>
      </c>
      <c r="L244" s="212">
        <f>IF(ISBLANK('Refsz-Emissionen'!N67), "", 'Refsz-Emissionen'!N67)</f>
        <v>0</v>
      </c>
      <c r="M244" s="212">
        <f>IF(ISBLANK('Refsz-Emissionen'!O67), "", 'Refsz-Emissionen'!O67)</f>
        <v>0</v>
      </c>
      <c r="N244" s="212">
        <f>IF(ISBLANK('Refsz-Emissionen'!P67), "", 'Refsz-Emissionen'!P67)</f>
        <v>0</v>
      </c>
      <c r="O244" s="212">
        <f>IF(ISBLANK('Refsz-Emissionen'!Q67), "", 'Refsz-Emissionen'!Q67)</f>
        <v>0</v>
      </c>
      <c r="P244" s="212">
        <f>IF(ISBLANK('Refsz-Emissionen'!R67), "", 'Refsz-Emissionen'!R67)</f>
        <v>0</v>
      </c>
      <c r="Q244" s="212">
        <f>IF(ISBLANK('Refsz-Emissionen'!S67), "", 'Refsz-Emissionen'!S67)</f>
        <v>0</v>
      </c>
      <c r="R244" s="212">
        <f>IF(ISBLANK('Refsz-Emissionen'!T67), "", 'Refsz-Emissionen'!T67)</f>
        <v>0</v>
      </c>
      <c r="S244" s="212">
        <f>IF(ISBLANK('Refsz-Emissionen'!U67), "", 'Refsz-Emissionen'!U67)</f>
        <v>0</v>
      </c>
      <c r="T244" s="212">
        <f>IF(ISBLANK('Refsz-Emissionen'!V67), "", 'Refsz-Emissionen'!V67)</f>
        <v>0</v>
      </c>
      <c r="U244" s="212">
        <f>IF(ISBLANK('Refsz-Emissionen'!W67), "", 'Refsz-Emissionen'!W67)</f>
        <v>0</v>
      </c>
      <c r="V244" s="212">
        <f>IF(ISBLANK('Refsz-Emissionen'!X67), "", 'Refsz-Emissionen'!X67)</f>
        <v>0</v>
      </c>
      <c r="W244" s="212">
        <f>IF(ISBLANK('Refsz-Emissionen'!Y67), "", 'Refsz-Emissionen'!Y67)</f>
        <v>0</v>
      </c>
      <c r="X244" s="206"/>
    </row>
    <row r="245" spans="2:24" ht="16.5" hidden="1">
      <c r="B245" s="206" t="str">
        <f t="shared" si="7"/>
        <v>DR - Fahrrad</v>
      </c>
      <c r="C245" s="206" t="s">
        <v>195</v>
      </c>
      <c r="D245" s="212">
        <f>IF(ISBLANK('Refsz-Emissionen'!F70), "", 'Refsz-Emissionen'!F70)</f>
        <v>0</v>
      </c>
      <c r="E245" s="212">
        <f>IF(ISBLANK('Refsz-Emissionen'!G70), "", 'Refsz-Emissionen'!G70)</f>
        <v>0</v>
      </c>
      <c r="F245" s="212">
        <f>IF(ISBLANK('Refsz-Emissionen'!H70), "", 'Refsz-Emissionen'!H70)</f>
        <v>0</v>
      </c>
      <c r="G245" s="212">
        <f>IF(ISBLANK('Refsz-Emissionen'!I70), "", 'Refsz-Emissionen'!I70)</f>
        <v>0</v>
      </c>
      <c r="H245" s="212">
        <f>IF(ISBLANK('Refsz-Emissionen'!J70), "", 'Refsz-Emissionen'!J70)</f>
        <v>0</v>
      </c>
      <c r="I245" s="212">
        <f>IF(ISBLANK('Refsz-Emissionen'!K70), "", 'Refsz-Emissionen'!K70)</f>
        <v>0</v>
      </c>
      <c r="J245" s="212">
        <f>IF(ISBLANK('Refsz-Emissionen'!L70), "", 'Refsz-Emissionen'!L70)</f>
        <v>0</v>
      </c>
      <c r="K245" s="212">
        <f>IF(ISBLANK('Refsz-Emissionen'!M70), "", 'Refsz-Emissionen'!M70)</f>
        <v>0</v>
      </c>
      <c r="L245" s="212">
        <f>IF(ISBLANK('Refsz-Emissionen'!N70), "", 'Refsz-Emissionen'!N70)</f>
        <v>0</v>
      </c>
      <c r="M245" s="212">
        <f>IF(ISBLANK('Refsz-Emissionen'!O70), "", 'Refsz-Emissionen'!O70)</f>
        <v>0</v>
      </c>
      <c r="N245" s="212">
        <f>IF(ISBLANK('Refsz-Emissionen'!P70), "", 'Refsz-Emissionen'!P70)</f>
        <v>0</v>
      </c>
      <c r="O245" s="212">
        <f>IF(ISBLANK('Refsz-Emissionen'!Q70), "", 'Refsz-Emissionen'!Q70)</f>
        <v>0</v>
      </c>
      <c r="P245" s="212">
        <f>IF(ISBLANK('Refsz-Emissionen'!R70), "", 'Refsz-Emissionen'!R70)</f>
        <v>0</v>
      </c>
      <c r="Q245" s="212">
        <f>IF(ISBLANK('Refsz-Emissionen'!S70), "", 'Refsz-Emissionen'!S70)</f>
        <v>0</v>
      </c>
      <c r="R245" s="212">
        <f>IF(ISBLANK('Refsz-Emissionen'!T70), "", 'Refsz-Emissionen'!T70)</f>
        <v>0</v>
      </c>
      <c r="S245" s="212">
        <f>IF(ISBLANK('Refsz-Emissionen'!U70), "", 'Refsz-Emissionen'!U70)</f>
        <v>0</v>
      </c>
      <c r="T245" s="212">
        <f>IF(ISBLANK('Refsz-Emissionen'!V70), "", 'Refsz-Emissionen'!V70)</f>
        <v>0</v>
      </c>
      <c r="U245" s="212">
        <f>IF(ISBLANK('Refsz-Emissionen'!W70), "", 'Refsz-Emissionen'!W70)</f>
        <v>0</v>
      </c>
      <c r="V245" s="212">
        <f>IF(ISBLANK('Refsz-Emissionen'!X70), "", 'Refsz-Emissionen'!X70)</f>
        <v>0</v>
      </c>
      <c r="W245" s="212">
        <f>IF(ISBLANK('Refsz-Emissionen'!Y70), "", 'Refsz-Emissionen'!Y70)</f>
        <v>0</v>
      </c>
      <c r="X245" s="206"/>
    </row>
    <row r="246" spans="2:24" ht="16.5" hidden="1">
      <c r="B246" s="206" t="str">
        <f t="shared" si="7"/>
        <v>Studierendenreisen (Outgoing) - Flugreisen</v>
      </c>
      <c r="C246" s="206" t="s">
        <v>195</v>
      </c>
      <c r="D246" s="212">
        <f>IF(ISBLANK('Refsz-Emissionen'!F72), "", 'Refsz-Emissionen'!F72)</f>
        <v>0</v>
      </c>
      <c r="E246" s="212">
        <f>IF(ISBLANK('Refsz-Emissionen'!G72), "", 'Refsz-Emissionen'!G72)</f>
        <v>0</v>
      </c>
      <c r="F246" s="212">
        <f>IF(ISBLANK('Refsz-Emissionen'!H72), "", 'Refsz-Emissionen'!H72)</f>
        <v>0</v>
      </c>
      <c r="G246" s="212">
        <f>IF(ISBLANK('Refsz-Emissionen'!I72), "", 'Refsz-Emissionen'!I72)</f>
        <v>0</v>
      </c>
      <c r="H246" s="212">
        <f>IF(ISBLANK('Refsz-Emissionen'!J72), "", 'Refsz-Emissionen'!J72)</f>
        <v>0</v>
      </c>
      <c r="I246" s="212">
        <f>IF(ISBLANK('Refsz-Emissionen'!K72), "", 'Refsz-Emissionen'!K72)</f>
        <v>0</v>
      </c>
      <c r="J246" s="212">
        <f>IF(ISBLANK('Refsz-Emissionen'!L72), "", 'Refsz-Emissionen'!L72)</f>
        <v>0</v>
      </c>
      <c r="K246" s="212">
        <f>IF(ISBLANK('Refsz-Emissionen'!M72), "", 'Refsz-Emissionen'!M72)</f>
        <v>0</v>
      </c>
      <c r="L246" s="212">
        <f>IF(ISBLANK('Refsz-Emissionen'!N72), "", 'Refsz-Emissionen'!N72)</f>
        <v>0</v>
      </c>
      <c r="M246" s="212">
        <f>IF(ISBLANK('Refsz-Emissionen'!O72), "", 'Refsz-Emissionen'!O72)</f>
        <v>0</v>
      </c>
      <c r="N246" s="212">
        <f>IF(ISBLANK('Refsz-Emissionen'!P72), "", 'Refsz-Emissionen'!P72)</f>
        <v>0</v>
      </c>
      <c r="O246" s="212">
        <f>IF(ISBLANK('Refsz-Emissionen'!Q72), "", 'Refsz-Emissionen'!Q72)</f>
        <v>0</v>
      </c>
      <c r="P246" s="212">
        <f>IF(ISBLANK('Refsz-Emissionen'!R72), "", 'Refsz-Emissionen'!R72)</f>
        <v>0</v>
      </c>
      <c r="Q246" s="212">
        <f>IF(ISBLANK('Refsz-Emissionen'!S72), "", 'Refsz-Emissionen'!S72)</f>
        <v>0</v>
      </c>
      <c r="R246" s="212">
        <f>IF(ISBLANK('Refsz-Emissionen'!T72), "", 'Refsz-Emissionen'!T72)</f>
        <v>0</v>
      </c>
      <c r="S246" s="212">
        <f>IF(ISBLANK('Refsz-Emissionen'!U72), "", 'Refsz-Emissionen'!U72)</f>
        <v>0</v>
      </c>
      <c r="T246" s="212">
        <f>IF(ISBLANK('Refsz-Emissionen'!V72), "", 'Refsz-Emissionen'!V72)</f>
        <v>0</v>
      </c>
      <c r="U246" s="212">
        <f>IF(ISBLANK('Refsz-Emissionen'!W72), "", 'Refsz-Emissionen'!W72)</f>
        <v>0</v>
      </c>
      <c r="V246" s="212">
        <f>IF(ISBLANK('Refsz-Emissionen'!X72), "", 'Refsz-Emissionen'!X72)</f>
        <v>0</v>
      </c>
      <c r="W246" s="212">
        <f>IF(ISBLANK('Refsz-Emissionen'!Y72), "", 'Refsz-Emissionen'!Y72)</f>
        <v>0</v>
      </c>
      <c r="X246" s="206"/>
    </row>
    <row r="247" spans="2:24" ht="16.5" hidden="1">
      <c r="B247" s="206" t="str">
        <f t="shared" si="7"/>
        <v>Studierendenreisen (Outgoing) - Eisenbahn (Nahverkehr)</v>
      </c>
      <c r="C247" s="206" t="s">
        <v>195</v>
      </c>
      <c r="D247" s="212">
        <f>IF(ISBLANK('Refsz-Emissionen'!F73), "", 'Refsz-Emissionen'!F73)</f>
        <v>0</v>
      </c>
      <c r="E247" s="212">
        <f>IF(ISBLANK('Refsz-Emissionen'!G73), "", 'Refsz-Emissionen'!G73)</f>
        <v>0</v>
      </c>
      <c r="F247" s="212">
        <f>IF(ISBLANK('Refsz-Emissionen'!H73), "", 'Refsz-Emissionen'!H73)</f>
        <v>0</v>
      </c>
      <c r="G247" s="212">
        <f>IF(ISBLANK('Refsz-Emissionen'!I73), "", 'Refsz-Emissionen'!I73)</f>
        <v>0</v>
      </c>
      <c r="H247" s="212">
        <f>IF(ISBLANK('Refsz-Emissionen'!J73), "", 'Refsz-Emissionen'!J73)</f>
        <v>0</v>
      </c>
      <c r="I247" s="212">
        <f>IF(ISBLANK('Refsz-Emissionen'!K73), "", 'Refsz-Emissionen'!K73)</f>
        <v>0</v>
      </c>
      <c r="J247" s="212">
        <f>IF(ISBLANK('Refsz-Emissionen'!L73), "", 'Refsz-Emissionen'!L73)</f>
        <v>0</v>
      </c>
      <c r="K247" s="212">
        <f>IF(ISBLANK('Refsz-Emissionen'!M73), "", 'Refsz-Emissionen'!M73)</f>
        <v>0</v>
      </c>
      <c r="L247" s="212">
        <f>IF(ISBLANK('Refsz-Emissionen'!N73), "", 'Refsz-Emissionen'!N73)</f>
        <v>0</v>
      </c>
      <c r="M247" s="212">
        <f>IF(ISBLANK('Refsz-Emissionen'!O73), "", 'Refsz-Emissionen'!O73)</f>
        <v>0</v>
      </c>
      <c r="N247" s="212">
        <f>IF(ISBLANK('Refsz-Emissionen'!P73), "", 'Refsz-Emissionen'!P73)</f>
        <v>0</v>
      </c>
      <c r="O247" s="212">
        <f>IF(ISBLANK('Refsz-Emissionen'!Q73), "", 'Refsz-Emissionen'!Q73)</f>
        <v>0</v>
      </c>
      <c r="P247" s="212">
        <f>IF(ISBLANK('Refsz-Emissionen'!R73), "", 'Refsz-Emissionen'!R73)</f>
        <v>0</v>
      </c>
      <c r="Q247" s="212">
        <f>IF(ISBLANK('Refsz-Emissionen'!S73), "", 'Refsz-Emissionen'!S73)</f>
        <v>0</v>
      </c>
      <c r="R247" s="212">
        <f>IF(ISBLANK('Refsz-Emissionen'!T73), "", 'Refsz-Emissionen'!T73)</f>
        <v>0</v>
      </c>
      <c r="S247" s="212">
        <f>IF(ISBLANK('Refsz-Emissionen'!U73), "", 'Refsz-Emissionen'!U73)</f>
        <v>0</v>
      </c>
      <c r="T247" s="212">
        <f>IF(ISBLANK('Refsz-Emissionen'!V73), "", 'Refsz-Emissionen'!V73)</f>
        <v>0</v>
      </c>
      <c r="U247" s="212">
        <f>IF(ISBLANK('Refsz-Emissionen'!W73), "", 'Refsz-Emissionen'!W73)</f>
        <v>0</v>
      </c>
      <c r="V247" s="212">
        <f>IF(ISBLANK('Refsz-Emissionen'!X73), "", 'Refsz-Emissionen'!X73)</f>
        <v>0</v>
      </c>
      <c r="W247" s="212">
        <f>IF(ISBLANK('Refsz-Emissionen'!Y73), "", 'Refsz-Emissionen'!Y73)</f>
        <v>0</v>
      </c>
      <c r="X247" s="206"/>
    </row>
    <row r="248" spans="2:24" ht="16.5" hidden="1">
      <c r="B248" s="206" t="str">
        <f t="shared" si="7"/>
        <v>Studierendenreisen (Outgoing) - Privater PKW (alle Antriebsarten)</v>
      </c>
      <c r="C248" s="206" t="s">
        <v>195</v>
      </c>
      <c r="D248" s="212">
        <f>IF(ISBLANK('Refsz-Emissionen'!F74), "", 'Refsz-Emissionen'!F74)</f>
        <v>0</v>
      </c>
      <c r="E248" s="212">
        <f>IF(ISBLANK('Refsz-Emissionen'!G74), "", 'Refsz-Emissionen'!G74)</f>
        <v>0</v>
      </c>
      <c r="F248" s="212">
        <f>IF(ISBLANK('Refsz-Emissionen'!H74), "", 'Refsz-Emissionen'!H74)</f>
        <v>0</v>
      </c>
      <c r="G248" s="212">
        <f>IF(ISBLANK('Refsz-Emissionen'!I74), "", 'Refsz-Emissionen'!I74)</f>
        <v>0</v>
      </c>
      <c r="H248" s="212">
        <f>IF(ISBLANK('Refsz-Emissionen'!J74), "", 'Refsz-Emissionen'!J74)</f>
        <v>0</v>
      </c>
      <c r="I248" s="212">
        <f>IF(ISBLANK('Refsz-Emissionen'!K74), "", 'Refsz-Emissionen'!K74)</f>
        <v>0</v>
      </c>
      <c r="J248" s="212">
        <f>IF(ISBLANK('Refsz-Emissionen'!L74), "", 'Refsz-Emissionen'!L74)</f>
        <v>0</v>
      </c>
      <c r="K248" s="212">
        <f>IF(ISBLANK('Refsz-Emissionen'!M74), "", 'Refsz-Emissionen'!M74)</f>
        <v>0</v>
      </c>
      <c r="L248" s="212">
        <f>IF(ISBLANK('Refsz-Emissionen'!N74), "", 'Refsz-Emissionen'!N74)</f>
        <v>0</v>
      </c>
      <c r="M248" s="212">
        <f>IF(ISBLANK('Refsz-Emissionen'!O74), "", 'Refsz-Emissionen'!O74)</f>
        <v>0</v>
      </c>
      <c r="N248" s="212">
        <f>IF(ISBLANK('Refsz-Emissionen'!P74), "", 'Refsz-Emissionen'!P74)</f>
        <v>0</v>
      </c>
      <c r="O248" s="212">
        <f>IF(ISBLANK('Refsz-Emissionen'!Q74), "", 'Refsz-Emissionen'!Q74)</f>
        <v>0</v>
      </c>
      <c r="P248" s="212">
        <f>IF(ISBLANK('Refsz-Emissionen'!R74), "", 'Refsz-Emissionen'!R74)</f>
        <v>0</v>
      </c>
      <c r="Q248" s="212">
        <f>IF(ISBLANK('Refsz-Emissionen'!S74), "", 'Refsz-Emissionen'!S74)</f>
        <v>0</v>
      </c>
      <c r="R248" s="212">
        <f>IF(ISBLANK('Refsz-Emissionen'!T74), "", 'Refsz-Emissionen'!T74)</f>
        <v>0</v>
      </c>
      <c r="S248" s="212">
        <f>IF(ISBLANK('Refsz-Emissionen'!U74), "", 'Refsz-Emissionen'!U74)</f>
        <v>0</v>
      </c>
      <c r="T248" s="212">
        <f>IF(ISBLANK('Refsz-Emissionen'!V74), "", 'Refsz-Emissionen'!V74)</f>
        <v>0</v>
      </c>
      <c r="U248" s="212">
        <f>IF(ISBLANK('Refsz-Emissionen'!W74), "", 'Refsz-Emissionen'!W74)</f>
        <v>0</v>
      </c>
      <c r="V248" s="212">
        <f>IF(ISBLANK('Refsz-Emissionen'!X74), "", 'Refsz-Emissionen'!X74)</f>
        <v>0</v>
      </c>
      <c r="W248" s="212">
        <f>IF(ISBLANK('Refsz-Emissionen'!Y74), "", 'Refsz-Emissionen'!Y74)</f>
        <v>0</v>
      </c>
      <c r="X248" s="206"/>
    </row>
    <row r="249" spans="2:24" ht="16.5" hidden="1">
      <c r="B249" s="206" t="str">
        <f t="shared" si="7"/>
        <v>Exkursionen - Flugreisen</v>
      </c>
      <c r="C249" s="206" t="s">
        <v>195</v>
      </c>
      <c r="D249" s="212">
        <f>IF(ISBLANK('Refsz-Emissionen'!F76), "", 'Refsz-Emissionen'!F76)</f>
        <v>0</v>
      </c>
      <c r="E249" s="212">
        <f>IF(ISBLANK('Refsz-Emissionen'!G76), "", 'Refsz-Emissionen'!G76)</f>
        <v>0</v>
      </c>
      <c r="F249" s="212">
        <f>IF(ISBLANK('Refsz-Emissionen'!H76), "", 'Refsz-Emissionen'!H76)</f>
        <v>0</v>
      </c>
      <c r="G249" s="212">
        <f>IF(ISBLANK('Refsz-Emissionen'!I76), "", 'Refsz-Emissionen'!I76)</f>
        <v>0</v>
      </c>
      <c r="H249" s="212">
        <f>IF(ISBLANK('Refsz-Emissionen'!J76), "", 'Refsz-Emissionen'!J76)</f>
        <v>0</v>
      </c>
      <c r="I249" s="212">
        <f>IF(ISBLANK('Refsz-Emissionen'!K76), "", 'Refsz-Emissionen'!K76)</f>
        <v>0</v>
      </c>
      <c r="J249" s="212">
        <f>IF(ISBLANK('Refsz-Emissionen'!L76), "", 'Refsz-Emissionen'!L76)</f>
        <v>0</v>
      </c>
      <c r="K249" s="212">
        <f>IF(ISBLANK('Refsz-Emissionen'!M76), "", 'Refsz-Emissionen'!M76)</f>
        <v>0</v>
      </c>
      <c r="L249" s="212">
        <f>IF(ISBLANK('Refsz-Emissionen'!N76), "", 'Refsz-Emissionen'!N76)</f>
        <v>0</v>
      </c>
      <c r="M249" s="212">
        <f>IF(ISBLANK('Refsz-Emissionen'!O76), "", 'Refsz-Emissionen'!O76)</f>
        <v>0</v>
      </c>
      <c r="N249" s="212">
        <f>IF(ISBLANK('Refsz-Emissionen'!P76), "", 'Refsz-Emissionen'!P76)</f>
        <v>0</v>
      </c>
      <c r="O249" s="212">
        <f>IF(ISBLANK('Refsz-Emissionen'!Q76), "", 'Refsz-Emissionen'!Q76)</f>
        <v>0</v>
      </c>
      <c r="P249" s="212">
        <f>IF(ISBLANK('Refsz-Emissionen'!R76), "", 'Refsz-Emissionen'!R76)</f>
        <v>0</v>
      </c>
      <c r="Q249" s="212">
        <f>IF(ISBLANK('Refsz-Emissionen'!S76), "", 'Refsz-Emissionen'!S76)</f>
        <v>0</v>
      </c>
      <c r="R249" s="212">
        <f>IF(ISBLANK('Refsz-Emissionen'!T76), "", 'Refsz-Emissionen'!T76)</f>
        <v>0</v>
      </c>
      <c r="S249" s="212">
        <f>IF(ISBLANK('Refsz-Emissionen'!U76), "", 'Refsz-Emissionen'!U76)</f>
        <v>0</v>
      </c>
      <c r="T249" s="212">
        <f>IF(ISBLANK('Refsz-Emissionen'!V76), "", 'Refsz-Emissionen'!V76)</f>
        <v>0</v>
      </c>
      <c r="U249" s="212">
        <f>IF(ISBLANK('Refsz-Emissionen'!W76), "", 'Refsz-Emissionen'!W76)</f>
        <v>0</v>
      </c>
      <c r="V249" s="212">
        <f>IF(ISBLANK('Refsz-Emissionen'!X76), "", 'Refsz-Emissionen'!X76)</f>
        <v>0</v>
      </c>
      <c r="W249" s="212">
        <f>IF(ISBLANK('Refsz-Emissionen'!Y76), "", 'Refsz-Emissionen'!Y76)</f>
        <v>0</v>
      </c>
      <c r="X249" s="206"/>
    </row>
    <row r="250" spans="2:24" ht="16.5" hidden="1">
      <c r="B250" s="206" t="str">
        <f t="shared" si="7"/>
        <v>Exkursionen - Eisenbahn (Nahverkehr)</v>
      </c>
      <c r="C250" s="206" t="s">
        <v>195</v>
      </c>
      <c r="D250" s="212">
        <f>IF(ISBLANK('Refsz-Emissionen'!F77), "", 'Refsz-Emissionen'!F77)</f>
        <v>0</v>
      </c>
      <c r="E250" s="212">
        <f>IF(ISBLANK('Refsz-Emissionen'!G77), "", 'Refsz-Emissionen'!G77)</f>
        <v>0</v>
      </c>
      <c r="F250" s="212">
        <f>IF(ISBLANK('Refsz-Emissionen'!H77), "", 'Refsz-Emissionen'!H77)</f>
        <v>0</v>
      </c>
      <c r="G250" s="212">
        <f>IF(ISBLANK('Refsz-Emissionen'!I77), "", 'Refsz-Emissionen'!I77)</f>
        <v>0</v>
      </c>
      <c r="H250" s="212">
        <f>IF(ISBLANK('Refsz-Emissionen'!J77), "", 'Refsz-Emissionen'!J77)</f>
        <v>0</v>
      </c>
      <c r="I250" s="212">
        <f>IF(ISBLANK('Refsz-Emissionen'!K77), "", 'Refsz-Emissionen'!K77)</f>
        <v>0</v>
      </c>
      <c r="J250" s="212">
        <f>IF(ISBLANK('Refsz-Emissionen'!L77), "", 'Refsz-Emissionen'!L77)</f>
        <v>0</v>
      </c>
      <c r="K250" s="212">
        <f>IF(ISBLANK('Refsz-Emissionen'!M77), "", 'Refsz-Emissionen'!M77)</f>
        <v>0</v>
      </c>
      <c r="L250" s="212">
        <f>IF(ISBLANK('Refsz-Emissionen'!N77), "", 'Refsz-Emissionen'!N77)</f>
        <v>0</v>
      </c>
      <c r="M250" s="212">
        <f>IF(ISBLANK('Refsz-Emissionen'!O77), "", 'Refsz-Emissionen'!O77)</f>
        <v>0</v>
      </c>
      <c r="N250" s="212">
        <f>IF(ISBLANK('Refsz-Emissionen'!P77), "", 'Refsz-Emissionen'!P77)</f>
        <v>0</v>
      </c>
      <c r="O250" s="212">
        <f>IF(ISBLANK('Refsz-Emissionen'!Q77), "", 'Refsz-Emissionen'!Q77)</f>
        <v>0</v>
      </c>
      <c r="P250" s="212">
        <f>IF(ISBLANK('Refsz-Emissionen'!R77), "", 'Refsz-Emissionen'!R77)</f>
        <v>0</v>
      </c>
      <c r="Q250" s="212">
        <f>IF(ISBLANK('Refsz-Emissionen'!S77), "", 'Refsz-Emissionen'!S77)</f>
        <v>0</v>
      </c>
      <c r="R250" s="212">
        <f>IF(ISBLANK('Refsz-Emissionen'!T77), "", 'Refsz-Emissionen'!T77)</f>
        <v>0</v>
      </c>
      <c r="S250" s="212">
        <f>IF(ISBLANK('Refsz-Emissionen'!U77), "", 'Refsz-Emissionen'!U77)</f>
        <v>0</v>
      </c>
      <c r="T250" s="212">
        <f>IF(ISBLANK('Refsz-Emissionen'!V77), "", 'Refsz-Emissionen'!V77)</f>
        <v>0</v>
      </c>
      <c r="U250" s="212">
        <f>IF(ISBLANK('Refsz-Emissionen'!W77), "", 'Refsz-Emissionen'!W77)</f>
        <v>0</v>
      </c>
      <c r="V250" s="212">
        <f>IF(ISBLANK('Refsz-Emissionen'!X77), "", 'Refsz-Emissionen'!X77)</f>
        <v>0</v>
      </c>
      <c r="W250" s="212">
        <f>IF(ISBLANK('Refsz-Emissionen'!Y77), "", 'Refsz-Emissionen'!Y77)</f>
        <v>0</v>
      </c>
      <c r="X250" s="206"/>
    </row>
    <row r="251" spans="2:24" ht="16.5" hidden="1">
      <c r="B251" s="206" t="str">
        <f t="shared" si="7"/>
        <v>Exkursionen - Privater PKW (alle Antriebsarten)</v>
      </c>
      <c r="C251" s="206" t="s">
        <v>195</v>
      </c>
      <c r="D251" s="212">
        <f>IF(ISBLANK('Refsz-Emissionen'!F78), "", 'Refsz-Emissionen'!F78)</f>
        <v>0</v>
      </c>
      <c r="E251" s="212">
        <f>IF(ISBLANK('Refsz-Emissionen'!G78), "", 'Refsz-Emissionen'!G78)</f>
        <v>0</v>
      </c>
      <c r="F251" s="212">
        <f>IF(ISBLANK('Refsz-Emissionen'!H78), "", 'Refsz-Emissionen'!H78)</f>
        <v>0</v>
      </c>
      <c r="G251" s="212">
        <f>IF(ISBLANK('Refsz-Emissionen'!I78), "", 'Refsz-Emissionen'!I78)</f>
        <v>0</v>
      </c>
      <c r="H251" s="212">
        <f>IF(ISBLANK('Refsz-Emissionen'!J78), "", 'Refsz-Emissionen'!J78)</f>
        <v>0</v>
      </c>
      <c r="I251" s="212">
        <f>IF(ISBLANK('Refsz-Emissionen'!K78), "", 'Refsz-Emissionen'!K78)</f>
        <v>0</v>
      </c>
      <c r="J251" s="212">
        <f>IF(ISBLANK('Refsz-Emissionen'!L78), "", 'Refsz-Emissionen'!L78)</f>
        <v>0</v>
      </c>
      <c r="K251" s="212">
        <f>IF(ISBLANK('Refsz-Emissionen'!M78), "", 'Refsz-Emissionen'!M78)</f>
        <v>0</v>
      </c>
      <c r="L251" s="212">
        <f>IF(ISBLANK('Refsz-Emissionen'!N78), "", 'Refsz-Emissionen'!N78)</f>
        <v>0</v>
      </c>
      <c r="M251" s="212">
        <f>IF(ISBLANK('Refsz-Emissionen'!O78), "", 'Refsz-Emissionen'!O78)</f>
        <v>0</v>
      </c>
      <c r="N251" s="212">
        <f>IF(ISBLANK('Refsz-Emissionen'!P78), "", 'Refsz-Emissionen'!P78)</f>
        <v>0</v>
      </c>
      <c r="O251" s="212">
        <f>IF(ISBLANK('Refsz-Emissionen'!Q78), "", 'Refsz-Emissionen'!Q78)</f>
        <v>0</v>
      </c>
      <c r="P251" s="212">
        <f>IF(ISBLANK('Refsz-Emissionen'!R78), "", 'Refsz-Emissionen'!R78)</f>
        <v>0</v>
      </c>
      <c r="Q251" s="212">
        <f>IF(ISBLANK('Refsz-Emissionen'!S78), "", 'Refsz-Emissionen'!S78)</f>
        <v>0</v>
      </c>
      <c r="R251" s="212">
        <f>IF(ISBLANK('Refsz-Emissionen'!T78), "", 'Refsz-Emissionen'!T78)</f>
        <v>0</v>
      </c>
      <c r="S251" s="212">
        <f>IF(ISBLANK('Refsz-Emissionen'!U78), "", 'Refsz-Emissionen'!U78)</f>
        <v>0</v>
      </c>
      <c r="T251" s="212">
        <f>IF(ISBLANK('Refsz-Emissionen'!V78), "", 'Refsz-Emissionen'!V78)</f>
        <v>0</v>
      </c>
      <c r="U251" s="212">
        <f>IF(ISBLANK('Refsz-Emissionen'!W78), "", 'Refsz-Emissionen'!W78)</f>
        <v>0</v>
      </c>
      <c r="V251" s="212">
        <f>IF(ISBLANK('Refsz-Emissionen'!X78), "", 'Refsz-Emissionen'!X78)</f>
        <v>0</v>
      </c>
      <c r="W251" s="212">
        <f>IF(ISBLANK('Refsz-Emissionen'!Y78), "", 'Refsz-Emissionen'!Y78)</f>
        <v>0</v>
      </c>
      <c r="X251" s="206"/>
    </row>
    <row r="252" spans="2:24" ht="16.5" hidden="1">
      <c r="B252" s="206" t="str">
        <f t="shared" si="7"/>
        <v>Pendeln - Eisenbahn (Fernverkehr)</v>
      </c>
      <c r="C252" s="206" t="s">
        <v>195</v>
      </c>
      <c r="D252" s="212">
        <f>IF(ISBLANK('Refsz-Emissionen'!F80), "", 'Refsz-Emissionen'!F80)</f>
        <v>0</v>
      </c>
      <c r="E252" s="212">
        <f>IF(ISBLANK('Refsz-Emissionen'!G80), "", 'Refsz-Emissionen'!G80)</f>
        <v>0</v>
      </c>
      <c r="F252" s="212">
        <f>IF(ISBLANK('Refsz-Emissionen'!H80), "", 'Refsz-Emissionen'!H80)</f>
        <v>0</v>
      </c>
      <c r="G252" s="212">
        <f>IF(ISBLANK('Refsz-Emissionen'!I80), "", 'Refsz-Emissionen'!I80)</f>
        <v>0</v>
      </c>
      <c r="H252" s="212">
        <f>IF(ISBLANK('Refsz-Emissionen'!J80), "", 'Refsz-Emissionen'!J80)</f>
        <v>0</v>
      </c>
      <c r="I252" s="212">
        <f>IF(ISBLANK('Refsz-Emissionen'!K80), "", 'Refsz-Emissionen'!K80)</f>
        <v>0</v>
      </c>
      <c r="J252" s="212">
        <f>IF(ISBLANK('Refsz-Emissionen'!L80), "", 'Refsz-Emissionen'!L80)</f>
        <v>0</v>
      </c>
      <c r="K252" s="212">
        <f>IF(ISBLANK('Refsz-Emissionen'!M80), "", 'Refsz-Emissionen'!M80)</f>
        <v>0</v>
      </c>
      <c r="L252" s="212">
        <f>IF(ISBLANK('Refsz-Emissionen'!N80), "", 'Refsz-Emissionen'!N80)</f>
        <v>0</v>
      </c>
      <c r="M252" s="212">
        <f>IF(ISBLANK('Refsz-Emissionen'!O80), "", 'Refsz-Emissionen'!O80)</f>
        <v>0</v>
      </c>
      <c r="N252" s="212">
        <f>IF(ISBLANK('Refsz-Emissionen'!P80), "", 'Refsz-Emissionen'!P80)</f>
        <v>0</v>
      </c>
      <c r="O252" s="212">
        <f>IF(ISBLANK('Refsz-Emissionen'!Q80), "", 'Refsz-Emissionen'!Q80)</f>
        <v>0</v>
      </c>
      <c r="P252" s="212">
        <f>IF(ISBLANK('Refsz-Emissionen'!R80), "", 'Refsz-Emissionen'!R80)</f>
        <v>0</v>
      </c>
      <c r="Q252" s="212">
        <f>IF(ISBLANK('Refsz-Emissionen'!S80), "", 'Refsz-Emissionen'!S80)</f>
        <v>0</v>
      </c>
      <c r="R252" s="212">
        <f>IF(ISBLANK('Refsz-Emissionen'!T80), "", 'Refsz-Emissionen'!T80)</f>
        <v>0</v>
      </c>
      <c r="S252" s="212">
        <f>IF(ISBLANK('Refsz-Emissionen'!U80), "", 'Refsz-Emissionen'!U80)</f>
        <v>0</v>
      </c>
      <c r="T252" s="212">
        <f>IF(ISBLANK('Refsz-Emissionen'!V80), "", 'Refsz-Emissionen'!V80)</f>
        <v>0</v>
      </c>
      <c r="U252" s="212">
        <f>IF(ISBLANK('Refsz-Emissionen'!W80), "", 'Refsz-Emissionen'!W80)</f>
        <v>0</v>
      </c>
      <c r="V252" s="212">
        <f>IF(ISBLANK('Refsz-Emissionen'!X80), "", 'Refsz-Emissionen'!X80)</f>
        <v>0</v>
      </c>
      <c r="W252" s="212">
        <f>IF(ISBLANK('Refsz-Emissionen'!Y80), "", 'Refsz-Emissionen'!Y80)</f>
        <v>0</v>
      </c>
      <c r="X252" s="206"/>
    </row>
    <row r="253" spans="2:24" ht="16.5" hidden="1">
      <c r="B253" s="206" t="str">
        <f t="shared" si="7"/>
        <v>Pendeln - Eisenbahn (Nahverkehr)</v>
      </c>
      <c r="C253" s="206" t="s">
        <v>195</v>
      </c>
      <c r="D253" s="212">
        <f>IF(ISBLANK('Refsz-Emissionen'!F81), "", 'Refsz-Emissionen'!F81)</f>
        <v>0</v>
      </c>
      <c r="E253" s="212">
        <f>IF(ISBLANK('Refsz-Emissionen'!G81), "", 'Refsz-Emissionen'!G81)</f>
        <v>0</v>
      </c>
      <c r="F253" s="212">
        <f>IF(ISBLANK('Refsz-Emissionen'!H81), "", 'Refsz-Emissionen'!H81)</f>
        <v>0</v>
      </c>
      <c r="G253" s="212">
        <f>IF(ISBLANK('Refsz-Emissionen'!I81), "", 'Refsz-Emissionen'!I81)</f>
        <v>0</v>
      </c>
      <c r="H253" s="212">
        <f>IF(ISBLANK('Refsz-Emissionen'!J81), "", 'Refsz-Emissionen'!J81)</f>
        <v>0</v>
      </c>
      <c r="I253" s="212">
        <f>IF(ISBLANK('Refsz-Emissionen'!K81), "", 'Refsz-Emissionen'!K81)</f>
        <v>0</v>
      </c>
      <c r="J253" s="212">
        <f>IF(ISBLANK('Refsz-Emissionen'!L81), "", 'Refsz-Emissionen'!L81)</f>
        <v>0</v>
      </c>
      <c r="K253" s="212">
        <f>IF(ISBLANK('Refsz-Emissionen'!M81), "", 'Refsz-Emissionen'!M81)</f>
        <v>0</v>
      </c>
      <c r="L253" s="212">
        <f>IF(ISBLANK('Refsz-Emissionen'!N81), "", 'Refsz-Emissionen'!N81)</f>
        <v>0</v>
      </c>
      <c r="M253" s="212">
        <f>IF(ISBLANK('Refsz-Emissionen'!O81), "", 'Refsz-Emissionen'!O81)</f>
        <v>0</v>
      </c>
      <c r="N253" s="212">
        <f>IF(ISBLANK('Refsz-Emissionen'!P81), "", 'Refsz-Emissionen'!P81)</f>
        <v>0</v>
      </c>
      <c r="O253" s="212">
        <f>IF(ISBLANK('Refsz-Emissionen'!Q81), "", 'Refsz-Emissionen'!Q81)</f>
        <v>0</v>
      </c>
      <c r="P253" s="212">
        <f>IF(ISBLANK('Refsz-Emissionen'!R81), "", 'Refsz-Emissionen'!R81)</f>
        <v>0</v>
      </c>
      <c r="Q253" s="212">
        <f>IF(ISBLANK('Refsz-Emissionen'!S81), "", 'Refsz-Emissionen'!S81)</f>
        <v>0</v>
      </c>
      <c r="R253" s="212">
        <f>IF(ISBLANK('Refsz-Emissionen'!T81), "", 'Refsz-Emissionen'!T81)</f>
        <v>0</v>
      </c>
      <c r="S253" s="212">
        <f>IF(ISBLANK('Refsz-Emissionen'!U81), "", 'Refsz-Emissionen'!U81)</f>
        <v>0</v>
      </c>
      <c r="T253" s="212">
        <f>IF(ISBLANK('Refsz-Emissionen'!V81), "", 'Refsz-Emissionen'!V81)</f>
        <v>0</v>
      </c>
      <c r="U253" s="212">
        <f>IF(ISBLANK('Refsz-Emissionen'!W81), "", 'Refsz-Emissionen'!W81)</f>
        <v>0</v>
      </c>
      <c r="V253" s="212">
        <f>IF(ISBLANK('Refsz-Emissionen'!X81), "", 'Refsz-Emissionen'!X81)</f>
        <v>0</v>
      </c>
      <c r="W253" s="212">
        <f>IF(ISBLANK('Refsz-Emissionen'!Y81), "", 'Refsz-Emissionen'!Y81)</f>
        <v>0</v>
      </c>
      <c r="X253" s="206"/>
    </row>
    <row r="254" spans="2:24" ht="16.5" hidden="1">
      <c r="B254" s="206" t="str">
        <f t="shared" si="7"/>
        <v>Pendeln - Linienbus (Nahverkehr)</v>
      </c>
      <c r="C254" s="206" t="s">
        <v>195</v>
      </c>
      <c r="D254" s="212">
        <f>IF(ISBLANK('Refsz-Emissionen'!F82), "", 'Refsz-Emissionen'!F82)</f>
        <v>0</v>
      </c>
      <c r="E254" s="212">
        <f>IF(ISBLANK('Refsz-Emissionen'!G82), "", 'Refsz-Emissionen'!G82)</f>
        <v>0</v>
      </c>
      <c r="F254" s="212">
        <f>IF(ISBLANK('Refsz-Emissionen'!H82), "", 'Refsz-Emissionen'!H82)</f>
        <v>0</v>
      </c>
      <c r="G254" s="212">
        <f>IF(ISBLANK('Refsz-Emissionen'!I82), "", 'Refsz-Emissionen'!I82)</f>
        <v>0</v>
      </c>
      <c r="H254" s="212">
        <f>IF(ISBLANK('Refsz-Emissionen'!J82), "", 'Refsz-Emissionen'!J82)</f>
        <v>0</v>
      </c>
      <c r="I254" s="212">
        <f>IF(ISBLANK('Refsz-Emissionen'!K82), "", 'Refsz-Emissionen'!K82)</f>
        <v>0</v>
      </c>
      <c r="J254" s="212">
        <f>IF(ISBLANK('Refsz-Emissionen'!L82), "", 'Refsz-Emissionen'!L82)</f>
        <v>0</v>
      </c>
      <c r="K254" s="212">
        <f>IF(ISBLANK('Refsz-Emissionen'!M82), "", 'Refsz-Emissionen'!M82)</f>
        <v>0</v>
      </c>
      <c r="L254" s="212">
        <f>IF(ISBLANK('Refsz-Emissionen'!N82), "", 'Refsz-Emissionen'!N82)</f>
        <v>0</v>
      </c>
      <c r="M254" s="212">
        <f>IF(ISBLANK('Refsz-Emissionen'!O82), "", 'Refsz-Emissionen'!O82)</f>
        <v>0</v>
      </c>
      <c r="N254" s="212">
        <f>IF(ISBLANK('Refsz-Emissionen'!P82), "", 'Refsz-Emissionen'!P82)</f>
        <v>0</v>
      </c>
      <c r="O254" s="212">
        <f>IF(ISBLANK('Refsz-Emissionen'!Q82), "", 'Refsz-Emissionen'!Q82)</f>
        <v>0</v>
      </c>
      <c r="P254" s="212">
        <f>IF(ISBLANK('Refsz-Emissionen'!R82), "", 'Refsz-Emissionen'!R82)</f>
        <v>0</v>
      </c>
      <c r="Q254" s="212">
        <f>IF(ISBLANK('Refsz-Emissionen'!S82), "", 'Refsz-Emissionen'!S82)</f>
        <v>0</v>
      </c>
      <c r="R254" s="212">
        <f>IF(ISBLANK('Refsz-Emissionen'!T82), "", 'Refsz-Emissionen'!T82)</f>
        <v>0</v>
      </c>
      <c r="S254" s="212">
        <f>IF(ISBLANK('Refsz-Emissionen'!U82), "", 'Refsz-Emissionen'!U82)</f>
        <v>0</v>
      </c>
      <c r="T254" s="212">
        <f>IF(ISBLANK('Refsz-Emissionen'!V82), "", 'Refsz-Emissionen'!V82)</f>
        <v>0</v>
      </c>
      <c r="U254" s="212">
        <f>IF(ISBLANK('Refsz-Emissionen'!W82), "", 'Refsz-Emissionen'!W82)</f>
        <v>0</v>
      </c>
      <c r="V254" s="212">
        <f>IF(ISBLANK('Refsz-Emissionen'!X82), "", 'Refsz-Emissionen'!X82)</f>
        <v>0</v>
      </c>
      <c r="W254" s="212">
        <f>IF(ISBLANK('Refsz-Emissionen'!Y82), "", 'Refsz-Emissionen'!Y82)</f>
        <v>0</v>
      </c>
      <c r="X254" s="206"/>
    </row>
    <row r="255" spans="2:24" ht="16.5" hidden="1">
      <c r="B255" s="206" t="str">
        <f t="shared" si="7"/>
        <v>Pendeln - PKW (alle Antriebsarten)</v>
      </c>
      <c r="C255" s="206" t="s">
        <v>195</v>
      </c>
      <c r="D255" s="212">
        <f>IF(ISBLANK('Refsz-Emissionen'!F83), "", 'Refsz-Emissionen'!F83)</f>
        <v>0</v>
      </c>
      <c r="E255" s="212">
        <f>IF(ISBLANK('Refsz-Emissionen'!G83), "", 'Refsz-Emissionen'!G83)</f>
        <v>0</v>
      </c>
      <c r="F255" s="212">
        <f>IF(ISBLANK('Refsz-Emissionen'!H83), "", 'Refsz-Emissionen'!H83)</f>
        <v>0</v>
      </c>
      <c r="G255" s="212">
        <f>IF(ISBLANK('Refsz-Emissionen'!I83), "", 'Refsz-Emissionen'!I83)</f>
        <v>0</v>
      </c>
      <c r="H255" s="212">
        <f>IF(ISBLANK('Refsz-Emissionen'!J83), "", 'Refsz-Emissionen'!J83)</f>
        <v>0</v>
      </c>
      <c r="I255" s="212">
        <f>IF(ISBLANK('Refsz-Emissionen'!K83), "", 'Refsz-Emissionen'!K83)</f>
        <v>0</v>
      </c>
      <c r="J255" s="212">
        <f>IF(ISBLANK('Refsz-Emissionen'!L83), "", 'Refsz-Emissionen'!L83)</f>
        <v>0</v>
      </c>
      <c r="K255" s="212">
        <f>IF(ISBLANK('Refsz-Emissionen'!M83), "", 'Refsz-Emissionen'!M83)</f>
        <v>0</v>
      </c>
      <c r="L255" s="212">
        <f>IF(ISBLANK('Refsz-Emissionen'!N83), "", 'Refsz-Emissionen'!N83)</f>
        <v>0</v>
      </c>
      <c r="M255" s="212">
        <f>IF(ISBLANK('Refsz-Emissionen'!O83), "", 'Refsz-Emissionen'!O83)</f>
        <v>0</v>
      </c>
      <c r="N255" s="212">
        <f>IF(ISBLANK('Refsz-Emissionen'!P83), "", 'Refsz-Emissionen'!P83)</f>
        <v>0</v>
      </c>
      <c r="O255" s="212">
        <f>IF(ISBLANK('Refsz-Emissionen'!Q83), "", 'Refsz-Emissionen'!Q83)</f>
        <v>0</v>
      </c>
      <c r="P255" s="212">
        <f>IF(ISBLANK('Refsz-Emissionen'!R83), "", 'Refsz-Emissionen'!R83)</f>
        <v>0</v>
      </c>
      <c r="Q255" s="212">
        <f>IF(ISBLANK('Refsz-Emissionen'!S83), "", 'Refsz-Emissionen'!S83)</f>
        <v>0</v>
      </c>
      <c r="R255" s="212">
        <f>IF(ISBLANK('Refsz-Emissionen'!T83), "", 'Refsz-Emissionen'!T83)</f>
        <v>0</v>
      </c>
      <c r="S255" s="212">
        <f>IF(ISBLANK('Refsz-Emissionen'!U83), "", 'Refsz-Emissionen'!U83)</f>
        <v>0</v>
      </c>
      <c r="T255" s="212">
        <f>IF(ISBLANK('Refsz-Emissionen'!V83), "", 'Refsz-Emissionen'!V83)</f>
        <v>0</v>
      </c>
      <c r="U255" s="212">
        <f>IF(ISBLANK('Refsz-Emissionen'!W83), "", 'Refsz-Emissionen'!W83)</f>
        <v>0</v>
      </c>
      <c r="V255" s="212">
        <f>IF(ISBLANK('Refsz-Emissionen'!X83), "", 'Refsz-Emissionen'!X83)</f>
        <v>0</v>
      </c>
      <c r="W255" s="212">
        <f>IF(ISBLANK('Refsz-Emissionen'!Y83), "", 'Refsz-Emissionen'!Y83)</f>
        <v>0</v>
      </c>
      <c r="X255" s="206"/>
    </row>
    <row r="256" spans="2:24" ht="16.5" hidden="1">
      <c r="B256" s="206" t="str">
        <f t="shared" si="7"/>
        <v>Pendeln - PKW (Diesel)</v>
      </c>
      <c r="C256" s="206" t="s">
        <v>195</v>
      </c>
      <c r="D256" s="212">
        <f>IF(ISBLANK('Refsz-Emissionen'!F84), "", 'Refsz-Emissionen'!F84)</f>
        <v>0</v>
      </c>
      <c r="E256" s="212">
        <f>IF(ISBLANK('Refsz-Emissionen'!G84), "", 'Refsz-Emissionen'!G84)</f>
        <v>0</v>
      </c>
      <c r="F256" s="212">
        <f>IF(ISBLANK('Refsz-Emissionen'!H84), "", 'Refsz-Emissionen'!H84)</f>
        <v>0</v>
      </c>
      <c r="G256" s="212">
        <f>IF(ISBLANK('Refsz-Emissionen'!I84), "", 'Refsz-Emissionen'!I84)</f>
        <v>0</v>
      </c>
      <c r="H256" s="212">
        <f>IF(ISBLANK('Refsz-Emissionen'!J84), "", 'Refsz-Emissionen'!J84)</f>
        <v>0</v>
      </c>
      <c r="I256" s="212">
        <f>IF(ISBLANK('Refsz-Emissionen'!K84), "", 'Refsz-Emissionen'!K84)</f>
        <v>0</v>
      </c>
      <c r="J256" s="212">
        <f>IF(ISBLANK('Refsz-Emissionen'!L84), "", 'Refsz-Emissionen'!L84)</f>
        <v>0</v>
      </c>
      <c r="K256" s="212">
        <f>IF(ISBLANK('Refsz-Emissionen'!M84), "", 'Refsz-Emissionen'!M84)</f>
        <v>0</v>
      </c>
      <c r="L256" s="212">
        <f>IF(ISBLANK('Refsz-Emissionen'!N84), "", 'Refsz-Emissionen'!N84)</f>
        <v>0</v>
      </c>
      <c r="M256" s="212">
        <f>IF(ISBLANK('Refsz-Emissionen'!O84), "", 'Refsz-Emissionen'!O84)</f>
        <v>0</v>
      </c>
      <c r="N256" s="212">
        <f>IF(ISBLANK('Refsz-Emissionen'!P84), "", 'Refsz-Emissionen'!P84)</f>
        <v>0</v>
      </c>
      <c r="O256" s="212">
        <f>IF(ISBLANK('Refsz-Emissionen'!Q84), "", 'Refsz-Emissionen'!Q84)</f>
        <v>0</v>
      </c>
      <c r="P256" s="212">
        <f>IF(ISBLANK('Refsz-Emissionen'!R84), "", 'Refsz-Emissionen'!R84)</f>
        <v>0</v>
      </c>
      <c r="Q256" s="212">
        <f>IF(ISBLANK('Refsz-Emissionen'!S84), "", 'Refsz-Emissionen'!S84)</f>
        <v>0</v>
      </c>
      <c r="R256" s="212">
        <f>IF(ISBLANK('Refsz-Emissionen'!T84), "", 'Refsz-Emissionen'!T84)</f>
        <v>0</v>
      </c>
      <c r="S256" s="212">
        <f>IF(ISBLANK('Refsz-Emissionen'!U84), "", 'Refsz-Emissionen'!U84)</f>
        <v>0</v>
      </c>
      <c r="T256" s="212">
        <f>IF(ISBLANK('Refsz-Emissionen'!V84), "", 'Refsz-Emissionen'!V84)</f>
        <v>0</v>
      </c>
      <c r="U256" s="212">
        <f>IF(ISBLANK('Refsz-Emissionen'!W84), "", 'Refsz-Emissionen'!W84)</f>
        <v>0</v>
      </c>
      <c r="V256" s="212">
        <f>IF(ISBLANK('Refsz-Emissionen'!X84), "", 'Refsz-Emissionen'!X84)</f>
        <v>0</v>
      </c>
      <c r="W256" s="212">
        <f>IF(ISBLANK('Refsz-Emissionen'!Y84), "", 'Refsz-Emissionen'!Y84)</f>
        <v>0</v>
      </c>
      <c r="X256" s="206"/>
    </row>
    <row r="257" spans="2:24" ht="16.5" hidden="1">
      <c r="B257" s="206" t="str">
        <f t="shared" si="7"/>
        <v>Pendeln - PKW (Benzin)</v>
      </c>
      <c r="C257" s="206" t="s">
        <v>195</v>
      </c>
      <c r="D257" s="212">
        <f>IF(ISBLANK('Refsz-Emissionen'!F85), "", 'Refsz-Emissionen'!F85)</f>
        <v>0</v>
      </c>
      <c r="E257" s="212">
        <f>IF(ISBLANK('Refsz-Emissionen'!G85), "", 'Refsz-Emissionen'!G85)</f>
        <v>0</v>
      </c>
      <c r="F257" s="212">
        <f>IF(ISBLANK('Refsz-Emissionen'!H85), "", 'Refsz-Emissionen'!H85)</f>
        <v>0</v>
      </c>
      <c r="G257" s="212">
        <f>IF(ISBLANK('Refsz-Emissionen'!I85), "", 'Refsz-Emissionen'!I85)</f>
        <v>0</v>
      </c>
      <c r="H257" s="212">
        <f>IF(ISBLANK('Refsz-Emissionen'!J85), "", 'Refsz-Emissionen'!J85)</f>
        <v>0</v>
      </c>
      <c r="I257" s="212">
        <f>IF(ISBLANK('Refsz-Emissionen'!K85), "", 'Refsz-Emissionen'!K85)</f>
        <v>0</v>
      </c>
      <c r="J257" s="212">
        <f>IF(ISBLANK('Refsz-Emissionen'!L85), "", 'Refsz-Emissionen'!L85)</f>
        <v>0</v>
      </c>
      <c r="K257" s="212">
        <f>IF(ISBLANK('Refsz-Emissionen'!M85), "", 'Refsz-Emissionen'!M85)</f>
        <v>0</v>
      </c>
      <c r="L257" s="212">
        <f>IF(ISBLANK('Refsz-Emissionen'!N85), "", 'Refsz-Emissionen'!N85)</f>
        <v>0</v>
      </c>
      <c r="M257" s="212">
        <f>IF(ISBLANK('Refsz-Emissionen'!O85), "", 'Refsz-Emissionen'!O85)</f>
        <v>0</v>
      </c>
      <c r="N257" s="212">
        <f>IF(ISBLANK('Refsz-Emissionen'!P85), "", 'Refsz-Emissionen'!P85)</f>
        <v>0</v>
      </c>
      <c r="O257" s="212">
        <f>IF(ISBLANK('Refsz-Emissionen'!Q85), "", 'Refsz-Emissionen'!Q85)</f>
        <v>0</v>
      </c>
      <c r="P257" s="212">
        <f>IF(ISBLANK('Refsz-Emissionen'!R85), "", 'Refsz-Emissionen'!R85)</f>
        <v>0</v>
      </c>
      <c r="Q257" s="212">
        <f>IF(ISBLANK('Refsz-Emissionen'!S85), "", 'Refsz-Emissionen'!S85)</f>
        <v>0</v>
      </c>
      <c r="R257" s="212">
        <f>IF(ISBLANK('Refsz-Emissionen'!T85), "", 'Refsz-Emissionen'!T85)</f>
        <v>0</v>
      </c>
      <c r="S257" s="212">
        <f>IF(ISBLANK('Refsz-Emissionen'!U85), "", 'Refsz-Emissionen'!U85)</f>
        <v>0</v>
      </c>
      <c r="T257" s="212">
        <f>IF(ISBLANK('Refsz-Emissionen'!V85), "", 'Refsz-Emissionen'!V85)</f>
        <v>0</v>
      </c>
      <c r="U257" s="212">
        <f>IF(ISBLANK('Refsz-Emissionen'!W85), "", 'Refsz-Emissionen'!W85)</f>
        <v>0</v>
      </c>
      <c r="V257" s="212">
        <f>IF(ISBLANK('Refsz-Emissionen'!X85), "", 'Refsz-Emissionen'!X85)</f>
        <v>0</v>
      </c>
      <c r="W257" s="212">
        <f>IF(ISBLANK('Refsz-Emissionen'!Y85), "", 'Refsz-Emissionen'!Y85)</f>
        <v>0</v>
      </c>
      <c r="X257" s="206"/>
    </row>
    <row r="258" spans="2:24" ht="16.5" hidden="1">
      <c r="B258" s="206" t="str">
        <f t="shared" si="7"/>
        <v>Pendeln - PKW (E-Auto/ BEV)</v>
      </c>
      <c r="C258" s="206" t="s">
        <v>195</v>
      </c>
      <c r="D258" s="212">
        <f>IF(ISBLANK('Refsz-Emissionen'!F86), "", 'Refsz-Emissionen'!F86)</f>
        <v>0</v>
      </c>
      <c r="E258" s="212">
        <f>IF(ISBLANK('Refsz-Emissionen'!G86), "", 'Refsz-Emissionen'!G86)</f>
        <v>0</v>
      </c>
      <c r="F258" s="212">
        <f>IF(ISBLANK('Refsz-Emissionen'!H86), "", 'Refsz-Emissionen'!H86)</f>
        <v>0</v>
      </c>
      <c r="G258" s="212">
        <f>IF(ISBLANK('Refsz-Emissionen'!I86), "", 'Refsz-Emissionen'!I86)</f>
        <v>0</v>
      </c>
      <c r="H258" s="212">
        <f>IF(ISBLANK('Refsz-Emissionen'!J86), "", 'Refsz-Emissionen'!J86)</f>
        <v>0</v>
      </c>
      <c r="I258" s="212">
        <f>IF(ISBLANK('Refsz-Emissionen'!K86), "", 'Refsz-Emissionen'!K86)</f>
        <v>0</v>
      </c>
      <c r="J258" s="212">
        <f>IF(ISBLANK('Refsz-Emissionen'!L86), "", 'Refsz-Emissionen'!L86)</f>
        <v>0</v>
      </c>
      <c r="K258" s="212">
        <f>IF(ISBLANK('Refsz-Emissionen'!M86), "", 'Refsz-Emissionen'!M86)</f>
        <v>0</v>
      </c>
      <c r="L258" s="212">
        <f>IF(ISBLANK('Refsz-Emissionen'!N86), "", 'Refsz-Emissionen'!N86)</f>
        <v>0</v>
      </c>
      <c r="M258" s="212">
        <f>IF(ISBLANK('Refsz-Emissionen'!O86), "", 'Refsz-Emissionen'!O86)</f>
        <v>0</v>
      </c>
      <c r="N258" s="212">
        <f>IF(ISBLANK('Refsz-Emissionen'!P86), "", 'Refsz-Emissionen'!P86)</f>
        <v>0</v>
      </c>
      <c r="O258" s="212">
        <f>IF(ISBLANK('Refsz-Emissionen'!Q86), "", 'Refsz-Emissionen'!Q86)</f>
        <v>0</v>
      </c>
      <c r="P258" s="212">
        <f>IF(ISBLANK('Refsz-Emissionen'!R86), "", 'Refsz-Emissionen'!R86)</f>
        <v>0</v>
      </c>
      <c r="Q258" s="212">
        <f>IF(ISBLANK('Refsz-Emissionen'!S86), "", 'Refsz-Emissionen'!S86)</f>
        <v>0</v>
      </c>
      <c r="R258" s="212">
        <f>IF(ISBLANK('Refsz-Emissionen'!T86), "", 'Refsz-Emissionen'!T86)</f>
        <v>0</v>
      </c>
      <c r="S258" s="212">
        <f>IF(ISBLANK('Refsz-Emissionen'!U86), "", 'Refsz-Emissionen'!U86)</f>
        <v>0</v>
      </c>
      <c r="T258" s="212">
        <f>IF(ISBLANK('Refsz-Emissionen'!V86), "", 'Refsz-Emissionen'!V86)</f>
        <v>0</v>
      </c>
      <c r="U258" s="212">
        <f>IF(ISBLANK('Refsz-Emissionen'!W86), "", 'Refsz-Emissionen'!W86)</f>
        <v>0</v>
      </c>
      <c r="V258" s="212">
        <f>IF(ISBLANK('Refsz-Emissionen'!X86), "", 'Refsz-Emissionen'!X86)</f>
        <v>0</v>
      </c>
      <c r="W258" s="212">
        <f>IF(ISBLANK('Refsz-Emissionen'!Y86), "", 'Refsz-Emissionen'!Y86)</f>
        <v>0</v>
      </c>
      <c r="X258" s="206"/>
    </row>
    <row r="259" spans="2:24" ht="15.65" hidden="1" customHeight="1">
      <c r="B259" s="206" t="str">
        <f t="shared" si="7"/>
        <v>Pendeln - PKW (Wasserstoff/ FCEV)</v>
      </c>
      <c r="C259" s="206" t="s">
        <v>195</v>
      </c>
      <c r="D259" s="212">
        <f>IF(ISBLANK('Refsz-Emissionen'!F87), "", 'Refsz-Emissionen'!F87)</f>
        <v>0</v>
      </c>
      <c r="E259" s="212">
        <f>IF(ISBLANK('Refsz-Emissionen'!G87), "", 'Refsz-Emissionen'!G87)</f>
        <v>0</v>
      </c>
      <c r="F259" s="212">
        <f>IF(ISBLANK('Refsz-Emissionen'!H87), "", 'Refsz-Emissionen'!H87)</f>
        <v>0</v>
      </c>
      <c r="G259" s="212">
        <f>IF(ISBLANK('Refsz-Emissionen'!I87), "", 'Refsz-Emissionen'!I87)</f>
        <v>0</v>
      </c>
      <c r="H259" s="212">
        <f>IF(ISBLANK('Refsz-Emissionen'!J87), "", 'Refsz-Emissionen'!J87)</f>
        <v>0</v>
      </c>
      <c r="I259" s="212">
        <f>IF(ISBLANK('Refsz-Emissionen'!K87), "", 'Refsz-Emissionen'!K87)</f>
        <v>0</v>
      </c>
      <c r="J259" s="212">
        <f>IF(ISBLANK('Refsz-Emissionen'!L87), "", 'Refsz-Emissionen'!L87)</f>
        <v>0</v>
      </c>
      <c r="K259" s="212">
        <f>IF(ISBLANK('Refsz-Emissionen'!M87), "", 'Refsz-Emissionen'!M87)</f>
        <v>0</v>
      </c>
      <c r="L259" s="212">
        <f>IF(ISBLANK('Refsz-Emissionen'!N87), "", 'Refsz-Emissionen'!N87)</f>
        <v>0</v>
      </c>
      <c r="M259" s="212">
        <f>IF(ISBLANK('Refsz-Emissionen'!O87), "", 'Refsz-Emissionen'!O87)</f>
        <v>0</v>
      </c>
      <c r="N259" s="212">
        <f>IF(ISBLANK('Refsz-Emissionen'!P87), "", 'Refsz-Emissionen'!P87)</f>
        <v>0</v>
      </c>
      <c r="O259" s="212">
        <f>IF(ISBLANK('Refsz-Emissionen'!Q87), "", 'Refsz-Emissionen'!Q87)</f>
        <v>0</v>
      </c>
      <c r="P259" s="212">
        <f>IF(ISBLANK('Refsz-Emissionen'!R87), "", 'Refsz-Emissionen'!R87)</f>
        <v>0</v>
      </c>
      <c r="Q259" s="212">
        <f>IF(ISBLANK('Refsz-Emissionen'!S87), "", 'Refsz-Emissionen'!S87)</f>
        <v>0</v>
      </c>
      <c r="R259" s="212">
        <f>IF(ISBLANK('Refsz-Emissionen'!T87), "", 'Refsz-Emissionen'!T87)</f>
        <v>0</v>
      </c>
      <c r="S259" s="212">
        <f>IF(ISBLANK('Refsz-Emissionen'!U87), "", 'Refsz-Emissionen'!U87)</f>
        <v>0</v>
      </c>
      <c r="T259" s="212">
        <f>IF(ISBLANK('Refsz-Emissionen'!V87), "", 'Refsz-Emissionen'!V87)</f>
        <v>0</v>
      </c>
      <c r="U259" s="212">
        <f>IF(ISBLANK('Refsz-Emissionen'!W87), "", 'Refsz-Emissionen'!W87)</f>
        <v>0</v>
      </c>
      <c r="V259" s="212">
        <f>IF(ISBLANK('Refsz-Emissionen'!X87), "", 'Refsz-Emissionen'!X87)</f>
        <v>0</v>
      </c>
      <c r="W259" s="212">
        <f>IF(ISBLANK('Refsz-Emissionen'!Y87), "", 'Refsz-Emissionen'!Y87)</f>
        <v>0</v>
      </c>
      <c r="X259" s="206"/>
    </row>
    <row r="260" spans="2:24" ht="16.5" hidden="1">
      <c r="B260" s="206" t="str">
        <f t="shared" si="7"/>
        <v>Pendeln - PKW (CNG)</v>
      </c>
      <c r="C260" s="206" t="s">
        <v>195</v>
      </c>
      <c r="D260" s="212">
        <f>IF(ISBLANK('Refsz-Emissionen'!F90), "", 'Refsz-Emissionen'!F90)</f>
        <v>0</v>
      </c>
      <c r="E260" s="212">
        <f>IF(ISBLANK('Refsz-Emissionen'!G90), "", 'Refsz-Emissionen'!G90)</f>
        <v>0</v>
      </c>
      <c r="F260" s="212">
        <f>IF(ISBLANK('Refsz-Emissionen'!H90), "", 'Refsz-Emissionen'!H90)</f>
        <v>0</v>
      </c>
      <c r="G260" s="212">
        <f>IF(ISBLANK('Refsz-Emissionen'!I90), "", 'Refsz-Emissionen'!I90)</f>
        <v>0</v>
      </c>
      <c r="H260" s="212">
        <f>IF(ISBLANK('Refsz-Emissionen'!J90), "", 'Refsz-Emissionen'!J90)</f>
        <v>0</v>
      </c>
      <c r="I260" s="212">
        <f>IF(ISBLANK('Refsz-Emissionen'!K90), "", 'Refsz-Emissionen'!K90)</f>
        <v>0</v>
      </c>
      <c r="J260" s="212">
        <f>IF(ISBLANK('Refsz-Emissionen'!L90), "", 'Refsz-Emissionen'!L90)</f>
        <v>0</v>
      </c>
      <c r="K260" s="212">
        <f>IF(ISBLANK('Refsz-Emissionen'!M90), "", 'Refsz-Emissionen'!M90)</f>
        <v>0</v>
      </c>
      <c r="L260" s="212">
        <f>IF(ISBLANK('Refsz-Emissionen'!N90), "", 'Refsz-Emissionen'!N90)</f>
        <v>0</v>
      </c>
      <c r="M260" s="212">
        <f>IF(ISBLANK('Refsz-Emissionen'!O90), "", 'Refsz-Emissionen'!O90)</f>
        <v>0</v>
      </c>
      <c r="N260" s="212">
        <f>IF(ISBLANK('Refsz-Emissionen'!P90), "", 'Refsz-Emissionen'!P90)</f>
        <v>0</v>
      </c>
      <c r="O260" s="212">
        <f>IF(ISBLANK('Refsz-Emissionen'!Q90), "", 'Refsz-Emissionen'!Q90)</f>
        <v>0</v>
      </c>
      <c r="P260" s="212">
        <f>IF(ISBLANK('Refsz-Emissionen'!R90), "", 'Refsz-Emissionen'!R90)</f>
        <v>0</v>
      </c>
      <c r="Q260" s="212">
        <f>IF(ISBLANK('Refsz-Emissionen'!S90), "", 'Refsz-Emissionen'!S90)</f>
        <v>0</v>
      </c>
      <c r="R260" s="212">
        <f>IF(ISBLANK('Refsz-Emissionen'!T90), "", 'Refsz-Emissionen'!T90)</f>
        <v>0</v>
      </c>
      <c r="S260" s="212">
        <f>IF(ISBLANK('Refsz-Emissionen'!U90), "", 'Refsz-Emissionen'!U90)</f>
        <v>0</v>
      </c>
      <c r="T260" s="212">
        <f>IF(ISBLANK('Refsz-Emissionen'!V90), "", 'Refsz-Emissionen'!V90)</f>
        <v>0</v>
      </c>
      <c r="U260" s="212">
        <f>IF(ISBLANK('Refsz-Emissionen'!W90), "", 'Refsz-Emissionen'!W90)</f>
        <v>0</v>
      </c>
      <c r="V260" s="212">
        <f>IF(ISBLANK('Refsz-Emissionen'!X90), "", 'Refsz-Emissionen'!X90)</f>
        <v>0</v>
      </c>
      <c r="W260" s="212">
        <f>IF(ISBLANK('Refsz-Emissionen'!Y90), "", 'Refsz-Emissionen'!Y90)</f>
        <v>0</v>
      </c>
      <c r="X260" s="206"/>
    </row>
    <row r="261" spans="2:24" ht="16.5" hidden="1">
      <c r="B261" s="206" t="str">
        <f t="shared" si="7"/>
        <v>Pendeln - Fahrrad</v>
      </c>
      <c r="C261" s="206" t="s">
        <v>195</v>
      </c>
      <c r="D261" s="212">
        <f>IF(ISBLANK('Refsz-Emissionen'!F91), "", 'Refsz-Emissionen'!F91)</f>
        <v>0</v>
      </c>
      <c r="E261" s="212">
        <f>IF(ISBLANK('Refsz-Emissionen'!G91), "", 'Refsz-Emissionen'!G91)</f>
        <v>0</v>
      </c>
      <c r="F261" s="212">
        <f>IF(ISBLANK('Refsz-Emissionen'!H91), "", 'Refsz-Emissionen'!H91)</f>
        <v>0</v>
      </c>
      <c r="G261" s="212">
        <f>IF(ISBLANK('Refsz-Emissionen'!I91), "", 'Refsz-Emissionen'!I91)</f>
        <v>0</v>
      </c>
      <c r="H261" s="212">
        <f>IF(ISBLANK('Refsz-Emissionen'!J91), "", 'Refsz-Emissionen'!J91)</f>
        <v>0</v>
      </c>
      <c r="I261" s="212">
        <f>IF(ISBLANK('Refsz-Emissionen'!K91), "", 'Refsz-Emissionen'!K91)</f>
        <v>0</v>
      </c>
      <c r="J261" s="212">
        <f>IF(ISBLANK('Refsz-Emissionen'!L91), "", 'Refsz-Emissionen'!L91)</f>
        <v>0</v>
      </c>
      <c r="K261" s="212">
        <f>IF(ISBLANK('Refsz-Emissionen'!M91), "", 'Refsz-Emissionen'!M91)</f>
        <v>0</v>
      </c>
      <c r="L261" s="212">
        <f>IF(ISBLANK('Refsz-Emissionen'!N91), "", 'Refsz-Emissionen'!N91)</f>
        <v>0</v>
      </c>
      <c r="M261" s="212">
        <f>IF(ISBLANK('Refsz-Emissionen'!O91), "", 'Refsz-Emissionen'!O91)</f>
        <v>0</v>
      </c>
      <c r="N261" s="212">
        <f>IF(ISBLANK('Refsz-Emissionen'!P91), "", 'Refsz-Emissionen'!P91)</f>
        <v>0</v>
      </c>
      <c r="O261" s="212">
        <f>IF(ISBLANK('Refsz-Emissionen'!Q91), "", 'Refsz-Emissionen'!Q91)</f>
        <v>0</v>
      </c>
      <c r="P261" s="212">
        <f>IF(ISBLANK('Refsz-Emissionen'!R91), "", 'Refsz-Emissionen'!R91)</f>
        <v>0</v>
      </c>
      <c r="Q261" s="212">
        <f>IF(ISBLANK('Refsz-Emissionen'!S91), "", 'Refsz-Emissionen'!S91)</f>
        <v>0</v>
      </c>
      <c r="R261" s="212">
        <f>IF(ISBLANK('Refsz-Emissionen'!T91), "", 'Refsz-Emissionen'!T91)</f>
        <v>0</v>
      </c>
      <c r="S261" s="212">
        <f>IF(ISBLANK('Refsz-Emissionen'!U91), "", 'Refsz-Emissionen'!U91)</f>
        <v>0</v>
      </c>
      <c r="T261" s="212">
        <f>IF(ISBLANK('Refsz-Emissionen'!V91), "", 'Refsz-Emissionen'!V91)</f>
        <v>0</v>
      </c>
      <c r="U261" s="212">
        <f>IF(ISBLANK('Refsz-Emissionen'!W91), "", 'Refsz-Emissionen'!W91)</f>
        <v>0</v>
      </c>
      <c r="V261" s="212">
        <f>IF(ISBLANK('Refsz-Emissionen'!X91), "", 'Refsz-Emissionen'!X91)</f>
        <v>0</v>
      </c>
      <c r="W261" s="212">
        <f>IF(ISBLANK('Refsz-Emissionen'!Y91), "", 'Refsz-Emissionen'!Y91)</f>
        <v>0</v>
      </c>
      <c r="X261" s="206"/>
    </row>
    <row r="262" spans="2:24" ht="16.5" hidden="1">
      <c r="B262" s="206" t="str">
        <f t="shared" si="7"/>
        <v>Pendeln - zu Fuß</v>
      </c>
      <c r="C262" s="206" t="s">
        <v>195</v>
      </c>
      <c r="D262" s="212">
        <f>IF(ISBLANK('Refsz-Emissionen'!F93), "", 'Refsz-Emissionen'!F93)</f>
        <v>0</v>
      </c>
      <c r="E262" s="212">
        <f>IF(ISBLANK('Refsz-Emissionen'!G93), "", 'Refsz-Emissionen'!G93)</f>
        <v>0</v>
      </c>
      <c r="F262" s="212">
        <f>IF(ISBLANK('Refsz-Emissionen'!H93), "", 'Refsz-Emissionen'!H93)</f>
        <v>0</v>
      </c>
      <c r="G262" s="212">
        <f>IF(ISBLANK('Refsz-Emissionen'!I93), "", 'Refsz-Emissionen'!I93)</f>
        <v>0</v>
      </c>
      <c r="H262" s="212">
        <f>IF(ISBLANK('Refsz-Emissionen'!J93), "", 'Refsz-Emissionen'!J93)</f>
        <v>0</v>
      </c>
      <c r="I262" s="212">
        <f>IF(ISBLANK('Refsz-Emissionen'!K93), "", 'Refsz-Emissionen'!K93)</f>
        <v>0</v>
      </c>
      <c r="J262" s="212">
        <f>IF(ISBLANK('Refsz-Emissionen'!L93), "", 'Refsz-Emissionen'!L93)</f>
        <v>0</v>
      </c>
      <c r="K262" s="212">
        <f>IF(ISBLANK('Refsz-Emissionen'!M93), "", 'Refsz-Emissionen'!M93)</f>
        <v>0</v>
      </c>
      <c r="L262" s="212">
        <f>IF(ISBLANK('Refsz-Emissionen'!N93), "", 'Refsz-Emissionen'!N93)</f>
        <v>0</v>
      </c>
      <c r="M262" s="212">
        <f>IF(ISBLANK('Refsz-Emissionen'!O93), "", 'Refsz-Emissionen'!O93)</f>
        <v>0</v>
      </c>
      <c r="N262" s="212">
        <f>IF(ISBLANK('Refsz-Emissionen'!P93), "", 'Refsz-Emissionen'!P93)</f>
        <v>0</v>
      </c>
      <c r="O262" s="212">
        <f>IF(ISBLANK('Refsz-Emissionen'!Q93), "", 'Refsz-Emissionen'!Q93)</f>
        <v>0</v>
      </c>
      <c r="P262" s="212">
        <f>IF(ISBLANK('Refsz-Emissionen'!R93), "", 'Refsz-Emissionen'!R93)</f>
        <v>0</v>
      </c>
      <c r="Q262" s="212">
        <f>IF(ISBLANK('Refsz-Emissionen'!S93), "", 'Refsz-Emissionen'!S93)</f>
        <v>0</v>
      </c>
      <c r="R262" s="212">
        <f>IF(ISBLANK('Refsz-Emissionen'!T93), "", 'Refsz-Emissionen'!T93)</f>
        <v>0</v>
      </c>
      <c r="S262" s="212">
        <f>IF(ISBLANK('Refsz-Emissionen'!U93), "", 'Refsz-Emissionen'!U93)</f>
        <v>0</v>
      </c>
      <c r="T262" s="212">
        <f>IF(ISBLANK('Refsz-Emissionen'!V93), "", 'Refsz-Emissionen'!V93)</f>
        <v>0</v>
      </c>
      <c r="U262" s="212">
        <f>IF(ISBLANK('Refsz-Emissionen'!W93), "", 'Refsz-Emissionen'!W93)</f>
        <v>0</v>
      </c>
      <c r="V262" s="212">
        <f>IF(ISBLANK('Refsz-Emissionen'!X93), "", 'Refsz-Emissionen'!X93)</f>
        <v>0</v>
      </c>
      <c r="W262" s="212">
        <f>IF(ISBLANK('Refsz-Emissionen'!Y93), "", 'Refsz-Emissionen'!Y93)</f>
        <v>0</v>
      </c>
      <c r="X262" s="206"/>
    </row>
    <row r="263" spans="2:24" ht="16.5" hidden="1">
      <c r="B263" s="206" t="str">
        <f t="shared" si="7"/>
        <v>Studierendenreisen (Incoming) - Flugreisen</v>
      </c>
      <c r="C263" s="206" t="s">
        <v>195</v>
      </c>
      <c r="D263" s="212">
        <f>IF(ISBLANK('Refsz-Emissionen'!F95), "", 'Refsz-Emissionen'!F95)</f>
        <v>0</v>
      </c>
      <c r="E263" s="212">
        <f>IF(ISBLANK('Refsz-Emissionen'!G95), "", 'Refsz-Emissionen'!G95)</f>
        <v>0</v>
      </c>
      <c r="F263" s="212">
        <f>IF(ISBLANK('Refsz-Emissionen'!H95), "", 'Refsz-Emissionen'!H95)</f>
        <v>0</v>
      </c>
      <c r="G263" s="212">
        <f>IF(ISBLANK('Refsz-Emissionen'!I95), "", 'Refsz-Emissionen'!I95)</f>
        <v>0</v>
      </c>
      <c r="H263" s="212">
        <f>IF(ISBLANK('Refsz-Emissionen'!J95), "", 'Refsz-Emissionen'!J95)</f>
        <v>0</v>
      </c>
      <c r="I263" s="212">
        <f>IF(ISBLANK('Refsz-Emissionen'!K95), "", 'Refsz-Emissionen'!K95)</f>
        <v>0</v>
      </c>
      <c r="J263" s="212">
        <f>IF(ISBLANK('Refsz-Emissionen'!L95), "", 'Refsz-Emissionen'!L95)</f>
        <v>0</v>
      </c>
      <c r="K263" s="212">
        <f>IF(ISBLANK('Refsz-Emissionen'!M95), "", 'Refsz-Emissionen'!M95)</f>
        <v>0</v>
      </c>
      <c r="L263" s="212">
        <f>IF(ISBLANK('Refsz-Emissionen'!N95), "", 'Refsz-Emissionen'!N95)</f>
        <v>0</v>
      </c>
      <c r="M263" s="212">
        <f>IF(ISBLANK('Refsz-Emissionen'!O95), "", 'Refsz-Emissionen'!O95)</f>
        <v>0</v>
      </c>
      <c r="N263" s="212">
        <f>IF(ISBLANK('Refsz-Emissionen'!P95), "", 'Refsz-Emissionen'!P95)</f>
        <v>0</v>
      </c>
      <c r="O263" s="212">
        <f>IF(ISBLANK('Refsz-Emissionen'!Q95), "", 'Refsz-Emissionen'!Q95)</f>
        <v>0</v>
      </c>
      <c r="P263" s="212">
        <f>IF(ISBLANK('Refsz-Emissionen'!R95), "", 'Refsz-Emissionen'!R95)</f>
        <v>0</v>
      </c>
      <c r="Q263" s="212">
        <f>IF(ISBLANK('Refsz-Emissionen'!S95), "", 'Refsz-Emissionen'!S95)</f>
        <v>0</v>
      </c>
      <c r="R263" s="212">
        <f>IF(ISBLANK('Refsz-Emissionen'!T95), "", 'Refsz-Emissionen'!T95)</f>
        <v>0</v>
      </c>
      <c r="S263" s="212">
        <f>IF(ISBLANK('Refsz-Emissionen'!U95), "", 'Refsz-Emissionen'!U95)</f>
        <v>0</v>
      </c>
      <c r="T263" s="212">
        <f>IF(ISBLANK('Refsz-Emissionen'!V95), "", 'Refsz-Emissionen'!V95)</f>
        <v>0</v>
      </c>
      <c r="U263" s="212">
        <f>IF(ISBLANK('Refsz-Emissionen'!W95), "", 'Refsz-Emissionen'!W95)</f>
        <v>0</v>
      </c>
      <c r="V263" s="212">
        <f>IF(ISBLANK('Refsz-Emissionen'!X95), "", 'Refsz-Emissionen'!X95)</f>
        <v>0</v>
      </c>
      <c r="W263" s="212">
        <f>IF(ISBLANK('Refsz-Emissionen'!Y95), "", 'Refsz-Emissionen'!Y95)</f>
        <v>0</v>
      </c>
      <c r="X263" s="206"/>
    </row>
    <row r="264" spans="2:24" ht="16.5" hidden="1">
      <c r="B264" s="206" t="str">
        <f t="shared" si="7"/>
        <v>Studierendenreisen (Incoming) - Eisenbahn (Nahverkehr)</v>
      </c>
      <c r="C264" s="206" t="s">
        <v>195</v>
      </c>
      <c r="D264" s="212">
        <f>IF(ISBLANK('Refsz-Emissionen'!F96), "", 'Refsz-Emissionen'!F96)</f>
        <v>0</v>
      </c>
      <c r="E264" s="212">
        <f>IF(ISBLANK('Refsz-Emissionen'!G96), "", 'Refsz-Emissionen'!G96)</f>
        <v>0</v>
      </c>
      <c r="F264" s="212">
        <f>IF(ISBLANK('Refsz-Emissionen'!H96), "", 'Refsz-Emissionen'!H96)</f>
        <v>0</v>
      </c>
      <c r="G264" s="212">
        <f>IF(ISBLANK('Refsz-Emissionen'!I96), "", 'Refsz-Emissionen'!I96)</f>
        <v>0</v>
      </c>
      <c r="H264" s="212">
        <f>IF(ISBLANK('Refsz-Emissionen'!J96), "", 'Refsz-Emissionen'!J96)</f>
        <v>0</v>
      </c>
      <c r="I264" s="212">
        <f>IF(ISBLANK('Refsz-Emissionen'!K96), "", 'Refsz-Emissionen'!K96)</f>
        <v>0</v>
      </c>
      <c r="J264" s="212">
        <f>IF(ISBLANK('Refsz-Emissionen'!L96), "", 'Refsz-Emissionen'!L96)</f>
        <v>0</v>
      </c>
      <c r="K264" s="212">
        <f>IF(ISBLANK('Refsz-Emissionen'!M96), "", 'Refsz-Emissionen'!M96)</f>
        <v>0</v>
      </c>
      <c r="L264" s="212">
        <f>IF(ISBLANK('Refsz-Emissionen'!N96), "", 'Refsz-Emissionen'!N96)</f>
        <v>0</v>
      </c>
      <c r="M264" s="212">
        <f>IF(ISBLANK('Refsz-Emissionen'!O96), "", 'Refsz-Emissionen'!O96)</f>
        <v>0</v>
      </c>
      <c r="N264" s="212">
        <f>IF(ISBLANK('Refsz-Emissionen'!P96), "", 'Refsz-Emissionen'!P96)</f>
        <v>0</v>
      </c>
      <c r="O264" s="212">
        <f>IF(ISBLANK('Refsz-Emissionen'!Q96), "", 'Refsz-Emissionen'!Q96)</f>
        <v>0</v>
      </c>
      <c r="P264" s="212">
        <f>IF(ISBLANK('Refsz-Emissionen'!R96), "", 'Refsz-Emissionen'!R96)</f>
        <v>0</v>
      </c>
      <c r="Q264" s="212">
        <f>IF(ISBLANK('Refsz-Emissionen'!S96), "", 'Refsz-Emissionen'!S96)</f>
        <v>0</v>
      </c>
      <c r="R264" s="212">
        <f>IF(ISBLANK('Refsz-Emissionen'!T96), "", 'Refsz-Emissionen'!T96)</f>
        <v>0</v>
      </c>
      <c r="S264" s="212">
        <f>IF(ISBLANK('Refsz-Emissionen'!U96), "", 'Refsz-Emissionen'!U96)</f>
        <v>0</v>
      </c>
      <c r="T264" s="212">
        <f>IF(ISBLANK('Refsz-Emissionen'!V96), "", 'Refsz-Emissionen'!V96)</f>
        <v>0</v>
      </c>
      <c r="U264" s="212">
        <f>IF(ISBLANK('Refsz-Emissionen'!W96), "", 'Refsz-Emissionen'!W96)</f>
        <v>0</v>
      </c>
      <c r="V264" s="212">
        <f>IF(ISBLANK('Refsz-Emissionen'!X96), "", 'Refsz-Emissionen'!X96)</f>
        <v>0</v>
      </c>
      <c r="W264" s="212">
        <f>IF(ISBLANK('Refsz-Emissionen'!Y96), "", 'Refsz-Emissionen'!Y96)</f>
        <v>0</v>
      </c>
      <c r="X264" s="206"/>
    </row>
    <row r="265" spans="2:24" ht="16.5" hidden="1">
      <c r="B265" s="206" t="str">
        <f t="shared" si="7"/>
        <v>Studierendenreisen (Incoming) - Privater PKW (alle Antriebsarten)</v>
      </c>
      <c r="C265" s="206" t="s">
        <v>195</v>
      </c>
      <c r="D265" s="212">
        <f>IF(ISBLANK('Refsz-Emissionen'!F97), "", 'Refsz-Emissionen'!F97)</f>
        <v>0</v>
      </c>
      <c r="E265" s="212">
        <f>IF(ISBLANK('Refsz-Emissionen'!G97), "", 'Refsz-Emissionen'!G97)</f>
        <v>0</v>
      </c>
      <c r="F265" s="212">
        <f>IF(ISBLANK('Refsz-Emissionen'!H97), "", 'Refsz-Emissionen'!H97)</f>
        <v>0</v>
      </c>
      <c r="G265" s="212">
        <f>IF(ISBLANK('Refsz-Emissionen'!I97), "", 'Refsz-Emissionen'!I97)</f>
        <v>0</v>
      </c>
      <c r="H265" s="212">
        <f>IF(ISBLANK('Refsz-Emissionen'!J97), "", 'Refsz-Emissionen'!J97)</f>
        <v>0</v>
      </c>
      <c r="I265" s="212">
        <f>IF(ISBLANK('Refsz-Emissionen'!K97), "", 'Refsz-Emissionen'!K97)</f>
        <v>0</v>
      </c>
      <c r="J265" s="212">
        <f>IF(ISBLANK('Refsz-Emissionen'!L97), "", 'Refsz-Emissionen'!L97)</f>
        <v>0</v>
      </c>
      <c r="K265" s="212">
        <f>IF(ISBLANK('Refsz-Emissionen'!M97), "", 'Refsz-Emissionen'!M97)</f>
        <v>0</v>
      </c>
      <c r="L265" s="212">
        <f>IF(ISBLANK('Refsz-Emissionen'!N97), "", 'Refsz-Emissionen'!N97)</f>
        <v>0</v>
      </c>
      <c r="M265" s="212">
        <f>IF(ISBLANK('Refsz-Emissionen'!O97), "", 'Refsz-Emissionen'!O97)</f>
        <v>0</v>
      </c>
      <c r="N265" s="212">
        <f>IF(ISBLANK('Refsz-Emissionen'!P97), "", 'Refsz-Emissionen'!P97)</f>
        <v>0</v>
      </c>
      <c r="O265" s="212">
        <f>IF(ISBLANK('Refsz-Emissionen'!Q97), "", 'Refsz-Emissionen'!Q97)</f>
        <v>0</v>
      </c>
      <c r="P265" s="212">
        <f>IF(ISBLANK('Refsz-Emissionen'!R97), "", 'Refsz-Emissionen'!R97)</f>
        <v>0</v>
      </c>
      <c r="Q265" s="212">
        <f>IF(ISBLANK('Refsz-Emissionen'!S97), "", 'Refsz-Emissionen'!S97)</f>
        <v>0</v>
      </c>
      <c r="R265" s="212">
        <f>IF(ISBLANK('Refsz-Emissionen'!T97), "", 'Refsz-Emissionen'!T97)</f>
        <v>0</v>
      </c>
      <c r="S265" s="212">
        <f>IF(ISBLANK('Refsz-Emissionen'!U97), "", 'Refsz-Emissionen'!U97)</f>
        <v>0</v>
      </c>
      <c r="T265" s="212">
        <f>IF(ISBLANK('Refsz-Emissionen'!V97), "", 'Refsz-Emissionen'!V97)</f>
        <v>0</v>
      </c>
      <c r="U265" s="212">
        <f>IF(ISBLANK('Refsz-Emissionen'!W97), "", 'Refsz-Emissionen'!W97)</f>
        <v>0</v>
      </c>
      <c r="V265" s="212">
        <f>IF(ISBLANK('Refsz-Emissionen'!X97), "", 'Refsz-Emissionen'!X97)</f>
        <v>0</v>
      </c>
      <c r="W265" s="212">
        <f>IF(ISBLANK('Refsz-Emissionen'!Y97), "", 'Refsz-Emissionen'!Y97)</f>
        <v>0</v>
      </c>
      <c r="X265" s="206"/>
    </row>
    <row r="266" spans="2:24" ht="16.5" hidden="1">
      <c r="B266" s="206" t="str">
        <f t="shared" si="7"/>
        <v>An- und Abreise von Gästen - Flugreisen</v>
      </c>
      <c r="C266" s="206" t="s">
        <v>195</v>
      </c>
      <c r="D266" s="212">
        <f>IF(ISBLANK('Refsz-Emissionen'!F99), "", 'Refsz-Emissionen'!F99)</f>
        <v>0</v>
      </c>
      <c r="E266" s="212">
        <f>IF(ISBLANK('Refsz-Emissionen'!G99), "", 'Refsz-Emissionen'!G99)</f>
        <v>0</v>
      </c>
      <c r="F266" s="212">
        <f>IF(ISBLANK('Refsz-Emissionen'!H99), "", 'Refsz-Emissionen'!H99)</f>
        <v>0</v>
      </c>
      <c r="G266" s="212">
        <f>IF(ISBLANK('Refsz-Emissionen'!I99), "", 'Refsz-Emissionen'!I99)</f>
        <v>0</v>
      </c>
      <c r="H266" s="212">
        <f>IF(ISBLANK('Refsz-Emissionen'!J99), "", 'Refsz-Emissionen'!J99)</f>
        <v>0</v>
      </c>
      <c r="I266" s="212">
        <f>IF(ISBLANK('Refsz-Emissionen'!K99), "", 'Refsz-Emissionen'!K99)</f>
        <v>0</v>
      </c>
      <c r="J266" s="212">
        <f>IF(ISBLANK('Refsz-Emissionen'!L99), "", 'Refsz-Emissionen'!L99)</f>
        <v>0</v>
      </c>
      <c r="K266" s="212">
        <f>IF(ISBLANK('Refsz-Emissionen'!M99), "", 'Refsz-Emissionen'!M99)</f>
        <v>0</v>
      </c>
      <c r="L266" s="212">
        <f>IF(ISBLANK('Refsz-Emissionen'!N99), "", 'Refsz-Emissionen'!N99)</f>
        <v>0</v>
      </c>
      <c r="M266" s="212">
        <f>IF(ISBLANK('Refsz-Emissionen'!O99), "", 'Refsz-Emissionen'!O99)</f>
        <v>0</v>
      </c>
      <c r="N266" s="212">
        <f>IF(ISBLANK('Refsz-Emissionen'!P99), "", 'Refsz-Emissionen'!P99)</f>
        <v>0</v>
      </c>
      <c r="O266" s="212">
        <f>IF(ISBLANK('Refsz-Emissionen'!Q99), "", 'Refsz-Emissionen'!Q99)</f>
        <v>0</v>
      </c>
      <c r="P266" s="212">
        <f>IF(ISBLANK('Refsz-Emissionen'!R99), "", 'Refsz-Emissionen'!R99)</f>
        <v>0</v>
      </c>
      <c r="Q266" s="212">
        <f>IF(ISBLANK('Refsz-Emissionen'!S99), "", 'Refsz-Emissionen'!S99)</f>
        <v>0</v>
      </c>
      <c r="R266" s="212">
        <f>IF(ISBLANK('Refsz-Emissionen'!T99), "", 'Refsz-Emissionen'!T99)</f>
        <v>0</v>
      </c>
      <c r="S266" s="212">
        <f>IF(ISBLANK('Refsz-Emissionen'!U99), "", 'Refsz-Emissionen'!U99)</f>
        <v>0</v>
      </c>
      <c r="T266" s="212">
        <f>IF(ISBLANK('Refsz-Emissionen'!V99), "", 'Refsz-Emissionen'!V99)</f>
        <v>0</v>
      </c>
      <c r="U266" s="212">
        <f>IF(ISBLANK('Refsz-Emissionen'!W99), "", 'Refsz-Emissionen'!W99)</f>
        <v>0</v>
      </c>
      <c r="V266" s="212">
        <f>IF(ISBLANK('Refsz-Emissionen'!X99), "", 'Refsz-Emissionen'!X99)</f>
        <v>0</v>
      </c>
      <c r="W266" s="212">
        <f>IF(ISBLANK('Refsz-Emissionen'!Y99), "", 'Refsz-Emissionen'!Y99)</f>
        <v>0</v>
      </c>
      <c r="X266" s="206"/>
    </row>
    <row r="267" spans="2:24" ht="16.5" hidden="1">
      <c r="B267" s="206" t="str">
        <f t="shared" si="7"/>
        <v>An- und Abreise von Gästen - Eisenbahn (Nahverkehr)</v>
      </c>
      <c r="C267" s="206" t="s">
        <v>195</v>
      </c>
      <c r="D267" s="212">
        <f>IF(ISBLANK('Refsz-Emissionen'!F100), "", 'Refsz-Emissionen'!F100)</f>
        <v>0</v>
      </c>
      <c r="E267" s="212">
        <f>IF(ISBLANK('Refsz-Emissionen'!G100), "", 'Refsz-Emissionen'!G100)</f>
        <v>0</v>
      </c>
      <c r="F267" s="212">
        <f>IF(ISBLANK('Refsz-Emissionen'!H100), "", 'Refsz-Emissionen'!H100)</f>
        <v>0</v>
      </c>
      <c r="G267" s="212">
        <f>IF(ISBLANK('Refsz-Emissionen'!I100), "", 'Refsz-Emissionen'!I100)</f>
        <v>0</v>
      </c>
      <c r="H267" s="212">
        <f>IF(ISBLANK('Refsz-Emissionen'!J100), "", 'Refsz-Emissionen'!J100)</f>
        <v>0</v>
      </c>
      <c r="I267" s="212">
        <f>IF(ISBLANK('Refsz-Emissionen'!K100), "", 'Refsz-Emissionen'!K100)</f>
        <v>0</v>
      </c>
      <c r="J267" s="212">
        <f>IF(ISBLANK('Refsz-Emissionen'!L100), "", 'Refsz-Emissionen'!L100)</f>
        <v>0</v>
      </c>
      <c r="K267" s="212">
        <f>IF(ISBLANK('Refsz-Emissionen'!M100), "", 'Refsz-Emissionen'!M100)</f>
        <v>0</v>
      </c>
      <c r="L267" s="212">
        <f>IF(ISBLANK('Refsz-Emissionen'!N100), "", 'Refsz-Emissionen'!N100)</f>
        <v>0</v>
      </c>
      <c r="M267" s="212">
        <f>IF(ISBLANK('Refsz-Emissionen'!O100), "", 'Refsz-Emissionen'!O100)</f>
        <v>0</v>
      </c>
      <c r="N267" s="212">
        <f>IF(ISBLANK('Refsz-Emissionen'!P100), "", 'Refsz-Emissionen'!P100)</f>
        <v>0</v>
      </c>
      <c r="O267" s="212">
        <f>IF(ISBLANK('Refsz-Emissionen'!Q100), "", 'Refsz-Emissionen'!Q100)</f>
        <v>0</v>
      </c>
      <c r="P267" s="212">
        <f>IF(ISBLANK('Refsz-Emissionen'!R100), "", 'Refsz-Emissionen'!R100)</f>
        <v>0</v>
      </c>
      <c r="Q267" s="212">
        <f>IF(ISBLANK('Refsz-Emissionen'!S100), "", 'Refsz-Emissionen'!S100)</f>
        <v>0</v>
      </c>
      <c r="R267" s="212">
        <f>IF(ISBLANK('Refsz-Emissionen'!T100), "", 'Refsz-Emissionen'!T100)</f>
        <v>0</v>
      </c>
      <c r="S267" s="212">
        <f>IF(ISBLANK('Refsz-Emissionen'!U100), "", 'Refsz-Emissionen'!U100)</f>
        <v>0</v>
      </c>
      <c r="T267" s="212">
        <f>IF(ISBLANK('Refsz-Emissionen'!V100), "", 'Refsz-Emissionen'!V100)</f>
        <v>0</v>
      </c>
      <c r="U267" s="212">
        <f>IF(ISBLANK('Refsz-Emissionen'!W100), "", 'Refsz-Emissionen'!W100)</f>
        <v>0</v>
      </c>
      <c r="V267" s="212">
        <f>IF(ISBLANK('Refsz-Emissionen'!X100), "", 'Refsz-Emissionen'!X100)</f>
        <v>0</v>
      </c>
      <c r="W267" s="212">
        <f>IF(ISBLANK('Refsz-Emissionen'!Y100), "", 'Refsz-Emissionen'!Y100)</f>
        <v>0</v>
      </c>
      <c r="X267" s="206"/>
    </row>
    <row r="268" spans="2:24" ht="16.5" hidden="1">
      <c r="B268" s="206" t="str">
        <f t="shared" si="7"/>
        <v>An- und Abreise von Gästen - Privater PKW (alle Antriebsarten)</v>
      </c>
      <c r="C268" s="206" t="s">
        <v>195</v>
      </c>
      <c r="D268" s="212">
        <f>IF(ISBLANK('Refsz-Emissionen'!F101), "", 'Refsz-Emissionen'!F101)</f>
        <v>0</v>
      </c>
      <c r="E268" s="212">
        <f>IF(ISBLANK('Refsz-Emissionen'!G101), "", 'Refsz-Emissionen'!G101)</f>
        <v>0</v>
      </c>
      <c r="F268" s="212">
        <f>IF(ISBLANK('Refsz-Emissionen'!H101), "", 'Refsz-Emissionen'!H101)</f>
        <v>0</v>
      </c>
      <c r="G268" s="212">
        <f>IF(ISBLANK('Refsz-Emissionen'!I101), "", 'Refsz-Emissionen'!I101)</f>
        <v>0</v>
      </c>
      <c r="H268" s="212">
        <f>IF(ISBLANK('Refsz-Emissionen'!J101), "", 'Refsz-Emissionen'!J101)</f>
        <v>0</v>
      </c>
      <c r="I268" s="212">
        <f>IF(ISBLANK('Refsz-Emissionen'!K101), "", 'Refsz-Emissionen'!K101)</f>
        <v>0</v>
      </c>
      <c r="J268" s="212">
        <f>IF(ISBLANK('Refsz-Emissionen'!L101), "", 'Refsz-Emissionen'!L101)</f>
        <v>0</v>
      </c>
      <c r="K268" s="212">
        <f>IF(ISBLANK('Refsz-Emissionen'!M101), "", 'Refsz-Emissionen'!M101)</f>
        <v>0</v>
      </c>
      <c r="L268" s="212">
        <f>IF(ISBLANK('Refsz-Emissionen'!N101), "", 'Refsz-Emissionen'!N101)</f>
        <v>0</v>
      </c>
      <c r="M268" s="212">
        <f>IF(ISBLANK('Refsz-Emissionen'!O101), "", 'Refsz-Emissionen'!O101)</f>
        <v>0</v>
      </c>
      <c r="N268" s="212">
        <f>IF(ISBLANK('Refsz-Emissionen'!P101), "", 'Refsz-Emissionen'!P101)</f>
        <v>0</v>
      </c>
      <c r="O268" s="212">
        <f>IF(ISBLANK('Refsz-Emissionen'!Q101), "", 'Refsz-Emissionen'!Q101)</f>
        <v>0</v>
      </c>
      <c r="P268" s="212">
        <f>IF(ISBLANK('Refsz-Emissionen'!R101), "", 'Refsz-Emissionen'!R101)</f>
        <v>0</v>
      </c>
      <c r="Q268" s="212">
        <f>IF(ISBLANK('Refsz-Emissionen'!S101), "", 'Refsz-Emissionen'!S101)</f>
        <v>0</v>
      </c>
      <c r="R268" s="212">
        <f>IF(ISBLANK('Refsz-Emissionen'!T101), "", 'Refsz-Emissionen'!T101)</f>
        <v>0</v>
      </c>
      <c r="S268" s="212">
        <f>IF(ISBLANK('Refsz-Emissionen'!U101), "", 'Refsz-Emissionen'!U101)</f>
        <v>0</v>
      </c>
      <c r="T268" s="212">
        <f>IF(ISBLANK('Refsz-Emissionen'!V101), "", 'Refsz-Emissionen'!V101)</f>
        <v>0</v>
      </c>
      <c r="U268" s="212">
        <f>IF(ISBLANK('Refsz-Emissionen'!W101), "", 'Refsz-Emissionen'!W101)</f>
        <v>0</v>
      </c>
      <c r="V268" s="212">
        <f>IF(ISBLANK('Refsz-Emissionen'!X101), "", 'Refsz-Emissionen'!X101)</f>
        <v>0</v>
      </c>
      <c r="W268" s="212">
        <f>IF(ISBLANK('Refsz-Emissionen'!Y101), "", 'Refsz-Emissionen'!Y101)</f>
        <v>0</v>
      </c>
      <c r="X268" s="206"/>
    </row>
    <row r="269" spans="2:24" ht="16.5" hidden="1">
      <c r="B269" s="213" t="s">
        <v>39</v>
      </c>
      <c r="C269" s="213" t="s">
        <v>195</v>
      </c>
      <c r="D269" s="212">
        <f>SUBTOTAL(109,Modal_Split_Verkehrsmittel51[2015])</f>
        <v>0</v>
      </c>
      <c r="E269" s="212">
        <f>SUBTOTAL(109,Modal_Split_Verkehrsmittel51[2016])</f>
        <v>0</v>
      </c>
      <c r="F269" s="212">
        <f>SUBTOTAL(109,Modal_Split_Verkehrsmittel51[2017])</f>
        <v>0</v>
      </c>
      <c r="G269" s="212">
        <f>SUBTOTAL(109,Modal_Split_Verkehrsmittel51[2018])</f>
        <v>0</v>
      </c>
      <c r="H269" s="212">
        <f>SUBTOTAL(109,Modal_Split_Verkehrsmittel51[2019])</f>
        <v>0</v>
      </c>
      <c r="I269" s="212">
        <f>SUBTOTAL(109,Modal_Split_Verkehrsmittel51[2020])</f>
        <v>0</v>
      </c>
      <c r="J269" s="212">
        <f>SUBTOTAL(109,Modal_Split_Verkehrsmittel51[2021])</f>
        <v>0</v>
      </c>
      <c r="K269" s="212">
        <f>SUBTOTAL(109,Modal_Split_Verkehrsmittel51[2022])</f>
        <v>0</v>
      </c>
      <c r="L269" s="212">
        <f>SUBTOTAL(109,Modal_Split_Verkehrsmittel51[2023])</f>
        <v>0</v>
      </c>
      <c r="M269" s="212">
        <f>SUBTOTAL(109,Modal_Split_Verkehrsmittel51[2024])</f>
        <v>0</v>
      </c>
      <c r="N269" s="212">
        <f>SUBTOTAL(109,Modal_Split_Verkehrsmittel51[2025])</f>
        <v>0</v>
      </c>
      <c r="O269" s="212">
        <f>SUBTOTAL(109,Modal_Split_Verkehrsmittel51[2026])</f>
        <v>0</v>
      </c>
      <c r="P269" s="212">
        <f>SUBTOTAL(109,Modal_Split_Verkehrsmittel51[2027])</f>
        <v>0</v>
      </c>
      <c r="Q269" s="212">
        <f>SUBTOTAL(109,Modal_Split_Verkehrsmittel51[2028])</f>
        <v>0</v>
      </c>
      <c r="R269" s="212">
        <f>SUBTOTAL(109,Modal_Split_Verkehrsmittel51[2029])</f>
        <v>0</v>
      </c>
      <c r="S269" s="212">
        <f>SUBTOTAL(109,Modal_Split_Verkehrsmittel51[2030])</f>
        <v>0</v>
      </c>
      <c r="T269" s="212">
        <f>SUBTOTAL(109,Modal_Split_Verkehrsmittel51[2035])</f>
        <v>0</v>
      </c>
      <c r="U269" s="212">
        <f>SUBTOTAL(109,Modal_Split_Verkehrsmittel51[2040])</f>
        <v>0</v>
      </c>
      <c r="V269" s="212">
        <f>SUBTOTAL(109,Modal_Split_Verkehrsmittel51[2045])</f>
        <v>0</v>
      </c>
      <c r="W269" s="212">
        <f>SUBTOTAL(109,Modal_Split_Verkehrsmittel51[2050])</f>
        <v>0</v>
      </c>
      <c r="X269" s="206"/>
    </row>
    <row r="270" spans="2:24">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row>
    <row r="271" spans="2:24" ht="15.5">
      <c r="B271" s="205" t="s">
        <v>452</v>
      </c>
      <c r="C271" s="206"/>
      <c r="D271" s="206"/>
      <c r="E271" s="206"/>
      <c r="F271" s="206"/>
      <c r="G271" s="206"/>
      <c r="H271" s="206"/>
      <c r="I271" s="206"/>
      <c r="J271" s="206"/>
      <c r="K271" s="206"/>
      <c r="L271" s="206"/>
      <c r="M271" s="206"/>
      <c r="N271" s="206"/>
      <c r="O271" s="206"/>
      <c r="P271" s="206"/>
      <c r="Q271" s="206"/>
      <c r="R271" s="206"/>
      <c r="S271" s="206"/>
      <c r="T271" s="206"/>
      <c r="U271" s="206"/>
      <c r="V271" s="206"/>
      <c r="W271" s="206"/>
      <c r="X271" s="206"/>
    </row>
    <row r="272" spans="2:24">
      <c r="B272" s="214" t="s">
        <v>242</v>
      </c>
      <c r="C272" s="214" t="s">
        <v>2</v>
      </c>
      <c r="D272" s="214" t="s">
        <v>3</v>
      </c>
      <c r="E272" s="214" t="s">
        <v>4</v>
      </c>
      <c r="F272" s="214" t="s">
        <v>5</v>
      </c>
      <c r="G272" s="214" t="s">
        <v>6</v>
      </c>
      <c r="H272" s="214" t="s">
        <v>7</v>
      </c>
      <c r="I272" s="214" t="s">
        <v>8</v>
      </c>
      <c r="J272" s="214" t="s">
        <v>9</v>
      </c>
      <c r="K272" s="214" t="s">
        <v>10</v>
      </c>
      <c r="L272" s="214" t="s">
        <v>11</v>
      </c>
      <c r="M272" s="214" t="s">
        <v>12</v>
      </c>
      <c r="N272" s="214" t="s">
        <v>13</v>
      </c>
      <c r="O272" s="214" t="s">
        <v>14</v>
      </c>
      <c r="P272" s="214" t="s">
        <v>216</v>
      </c>
      <c r="Q272" s="214" t="s">
        <v>217</v>
      </c>
      <c r="R272" s="214" t="s">
        <v>218</v>
      </c>
      <c r="S272" s="214" t="s">
        <v>15</v>
      </c>
      <c r="T272" s="214" t="s">
        <v>16</v>
      </c>
      <c r="U272" s="214" t="s">
        <v>17</v>
      </c>
      <c r="V272" s="214" t="s">
        <v>18</v>
      </c>
      <c r="W272" s="214" t="s">
        <v>19</v>
      </c>
      <c r="X272" s="206"/>
    </row>
    <row r="273" spans="2:24" ht="16.5">
      <c r="B273" s="206" t="str">
        <f t="shared" ref="B273:B279" si="8">B213</f>
        <v>Fuhrpark</v>
      </c>
      <c r="C273" s="206" t="s">
        <v>195</v>
      </c>
      <c r="D273" s="212">
        <f>SUM(D227:D231)</f>
        <v>0</v>
      </c>
      <c r="E273" s="212">
        <f t="shared" ref="E273:W273" si="9">SUM(E227:E231)</f>
        <v>0</v>
      </c>
      <c r="F273" s="212">
        <f t="shared" si="9"/>
        <v>0</v>
      </c>
      <c r="G273" s="212">
        <f t="shared" si="9"/>
        <v>0</v>
      </c>
      <c r="H273" s="212">
        <f t="shared" si="9"/>
        <v>0</v>
      </c>
      <c r="I273" s="212">
        <f t="shared" si="9"/>
        <v>0</v>
      </c>
      <c r="J273" s="212">
        <f t="shared" si="9"/>
        <v>0</v>
      </c>
      <c r="K273" s="212">
        <f t="shared" si="9"/>
        <v>0</v>
      </c>
      <c r="L273" s="212">
        <f t="shared" si="9"/>
        <v>0</v>
      </c>
      <c r="M273" s="212">
        <f t="shared" si="9"/>
        <v>0</v>
      </c>
      <c r="N273" s="212">
        <f t="shared" si="9"/>
        <v>0</v>
      </c>
      <c r="O273" s="212">
        <f t="shared" si="9"/>
        <v>0</v>
      </c>
      <c r="P273" s="212">
        <f t="shared" si="9"/>
        <v>0</v>
      </c>
      <c r="Q273" s="212">
        <f t="shared" si="9"/>
        <v>0</v>
      </c>
      <c r="R273" s="212">
        <f t="shared" si="9"/>
        <v>0</v>
      </c>
      <c r="S273" s="212">
        <f t="shared" si="9"/>
        <v>0</v>
      </c>
      <c r="T273" s="212">
        <f t="shared" si="9"/>
        <v>0</v>
      </c>
      <c r="U273" s="212">
        <f t="shared" si="9"/>
        <v>0</v>
      </c>
      <c r="V273" s="212">
        <f t="shared" si="9"/>
        <v>0</v>
      </c>
      <c r="W273" s="212">
        <f t="shared" si="9"/>
        <v>0</v>
      </c>
      <c r="X273" s="206"/>
    </row>
    <row r="274" spans="2:24" ht="16.5">
      <c r="B274" s="206" t="str">
        <f t="shared" si="8"/>
        <v>DR</v>
      </c>
      <c r="C274" s="206" t="s">
        <v>195</v>
      </c>
      <c r="D274" s="212">
        <f>SUM(D232:D245)</f>
        <v>0</v>
      </c>
      <c r="E274" s="212">
        <f t="shared" ref="E274:W274" si="10">SUM(E232:E245)</f>
        <v>0</v>
      </c>
      <c r="F274" s="212">
        <f t="shared" si="10"/>
        <v>0</v>
      </c>
      <c r="G274" s="212">
        <f t="shared" si="10"/>
        <v>0</v>
      </c>
      <c r="H274" s="212">
        <f t="shared" si="10"/>
        <v>0</v>
      </c>
      <c r="I274" s="212">
        <f t="shared" si="10"/>
        <v>0</v>
      </c>
      <c r="J274" s="212">
        <f t="shared" si="10"/>
        <v>0</v>
      </c>
      <c r="K274" s="212">
        <f t="shared" si="10"/>
        <v>0</v>
      </c>
      <c r="L274" s="212">
        <f t="shared" si="10"/>
        <v>0</v>
      </c>
      <c r="M274" s="212">
        <f t="shared" si="10"/>
        <v>0</v>
      </c>
      <c r="N274" s="212">
        <f t="shared" si="10"/>
        <v>0</v>
      </c>
      <c r="O274" s="212">
        <f t="shared" si="10"/>
        <v>0</v>
      </c>
      <c r="P274" s="212">
        <f t="shared" si="10"/>
        <v>0</v>
      </c>
      <c r="Q274" s="212">
        <f t="shared" si="10"/>
        <v>0</v>
      </c>
      <c r="R274" s="212">
        <f t="shared" si="10"/>
        <v>0</v>
      </c>
      <c r="S274" s="212">
        <f t="shared" si="10"/>
        <v>0</v>
      </c>
      <c r="T274" s="212">
        <f t="shared" si="10"/>
        <v>0</v>
      </c>
      <c r="U274" s="212">
        <f t="shared" si="10"/>
        <v>0</v>
      </c>
      <c r="V274" s="212">
        <f t="shared" si="10"/>
        <v>0</v>
      </c>
      <c r="W274" s="212">
        <f t="shared" si="10"/>
        <v>0</v>
      </c>
      <c r="X274" s="206"/>
    </row>
    <row r="275" spans="2:24" ht="16.5">
      <c r="B275" s="206" t="str">
        <f t="shared" si="8"/>
        <v>Studierendenreisen (Outgoing)</v>
      </c>
      <c r="C275" s="206" t="s">
        <v>195</v>
      </c>
      <c r="D275" s="212">
        <f>SUM(D246:D248)</f>
        <v>0</v>
      </c>
      <c r="E275" s="212">
        <f t="shared" ref="E275:W275" si="11">SUM(E246:E248)</f>
        <v>0</v>
      </c>
      <c r="F275" s="212">
        <f t="shared" si="11"/>
        <v>0</v>
      </c>
      <c r="G275" s="212">
        <f t="shared" si="11"/>
        <v>0</v>
      </c>
      <c r="H275" s="212">
        <f t="shared" si="11"/>
        <v>0</v>
      </c>
      <c r="I275" s="212">
        <f t="shared" si="11"/>
        <v>0</v>
      </c>
      <c r="J275" s="212">
        <f t="shared" si="11"/>
        <v>0</v>
      </c>
      <c r="K275" s="212">
        <f t="shared" si="11"/>
        <v>0</v>
      </c>
      <c r="L275" s="212">
        <f t="shared" si="11"/>
        <v>0</v>
      </c>
      <c r="M275" s="212">
        <f t="shared" si="11"/>
        <v>0</v>
      </c>
      <c r="N275" s="212">
        <f t="shared" si="11"/>
        <v>0</v>
      </c>
      <c r="O275" s="212">
        <f t="shared" si="11"/>
        <v>0</v>
      </c>
      <c r="P275" s="212">
        <f t="shared" si="11"/>
        <v>0</v>
      </c>
      <c r="Q275" s="212">
        <f t="shared" si="11"/>
        <v>0</v>
      </c>
      <c r="R275" s="212">
        <f t="shared" si="11"/>
        <v>0</v>
      </c>
      <c r="S275" s="212">
        <f t="shared" si="11"/>
        <v>0</v>
      </c>
      <c r="T275" s="212">
        <f t="shared" si="11"/>
        <v>0</v>
      </c>
      <c r="U275" s="212">
        <f t="shared" si="11"/>
        <v>0</v>
      </c>
      <c r="V275" s="212">
        <f t="shared" si="11"/>
        <v>0</v>
      </c>
      <c r="W275" s="212">
        <f t="shared" si="11"/>
        <v>0</v>
      </c>
      <c r="X275" s="206"/>
    </row>
    <row r="276" spans="2:24" ht="16.5">
      <c r="B276" s="206" t="str">
        <f t="shared" si="8"/>
        <v>Exkursionen</v>
      </c>
      <c r="C276" s="206" t="s">
        <v>195</v>
      </c>
      <c r="D276" s="212">
        <f>SUM(D249:D251)</f>
        <v>0</v>
      </c>
      <c r="E276" s="212">
        <f t="shared" ref="E276:W276" si="12">SUM(E249:E251)</f>
        <v>0</v>
      </c>
      <c r="F276" s="212">
        <f t="shared" si="12"/>
        <v>0</v>
      </c>
      <c r="G276" s="212">
        <f t="shared" si="12"/>
        <v>0</v>
      </c>
      <c r="H276" s="212">
        <f t="shared" si="12"/>
        <v>0</v>
      </c>
      <c r="I276" s="212">
        <f t="shared" si="12"/>
        <v>0</v>
      </c>
      <c r="J276" s="212">
        <f t="shared" si="12"/>
        <v>0</v>
      </c>
      <c r="K276" s="212">
        <f t="shared" si="12"/>
        <v>0</v>
      </c>
      <c r="L276" s="212">
        <f t="shared" si="12"/>
        <v>0</v>
      </c>
      <c r="M276" s="212">
        <f t="shared" si="12"/>
        <v>0</v>
      </c>
      <c r="N276" s="212">
        <f t="shared" si="12"/>
        <v>0</v>
      </c>
      <c r="O276" s="212">
        <f t="shared" si="12"/>
        <v>0</v>
      </c>
      <c r="P276" s="212">
        <f t="shared" si="12"/>
        <v>0</v>
      </c>
      <c r="Q276" s="212">
        <f t="shared" si="12"/>
        <v>0</v>
      </c>
      <c r="R276" s="212">
        <f t="shared" si="12"/>
        <v>0</v>
      </c>
      <c r="S276" s="212">
        <f t="shared" si="12"/>
        <v>0</v>
      </c>
      <c r="T276" s="212">
        <f t="shared" si="12"/>
        <v>0</v>
      </c>
      <c r="U276" s="212">
        <f t="shared" si="12"/>
        <v>0</v>
      </c>
      <c r="V276" s="212">
        <f t="shared" si="12"/>
        <v>0</v>
      </c>
      <c r="W276" s="212">
        <f t="shared" si="12"/>
        <v>0</v>
      </c>
      <c r="X276" s="206"/>
    </row>
    <row r="277" spans="2:24" ht="16.5">
      <c r="B277" s="206" t="str">
        <f t="shared" si="8"/>
        <v>Pendeln</v>
      </c>
      <c r="C277" s="206" t="s">
        <v>195</v>
      </c>
      <c r="D277" s="212">
        <f>SUM(D252:D262)</f>
        <v>0</v>
      </c>
      <c r="E277" s="212">
        <f t="shared" ref="E277:W277" si="13">SUM(E252:E262)</f>
        <v>0</v>
      </c>
      <c r="F277" s="212">
        <f t="shared" si="13"/>
        <v>0</v>
      </c>
      <c r="G277" s="212">
        <f t="shared" si="13"/>
        <v>0</v>
      </c>
      <c r="H277" s="212">
        <f t="shared" si="13"/>
        <v>0</v>
      </c>
      <c r="I277" s="212">
        <f t="shared" si="13"/>
        <v>0</v>
      </c>
      <c r="J277" s="212">
        <f t="shared" si="13"/>
        <v>0</v>
      </c>
      <c r="K277" s="212">
        <f t="shared" si="13"/>
        <v>0</v>
      </c>
      <c r="L277" s="212">
        <f t="shared" si="13"/>
        <v>0</v>
      </c>
      <c r="M277" s="212">
        <f t="shared" si="13"/>
        <v>0</v>
      </c>
      <c r="N277" s="212">
        <f t="shared" si="13"/>
        <v>0</v>
      </c>
      <c r="O277" s="212">
        <f t="shared" si="13"/>
        <v>0</v>
      </c>
      <c r="P277" s="212">
        <f t="shared" si="13"/>
        <v>0</v>
      </c>
      <c r="Q277" s="212">
        <f t="shared" si="13"/>
        <v>0</v>
      </c>
      <c r="R277" s="212">
        <f t="shared" si="13"/>
        <v>0</v>
      </c>
      <c r="S277" s="212">
        <f t="shared" si="13"/>
        <v>0</v>
      </c>
      <c r="T277" s="212">
        <f t="shared" si="13"/>
        <v>0</v>
      </c>
      <c r="U277" s="212">
        <f t="shared" si="13"/>
        <v>0</v>
      </c>
      <c r="V277" s="212">
        <f t="shared" si="13"/>
        <v>0</v>
      </c>
      <c r="W277" s="212">
        <f t="shared" si="13"/>
        <v>0</v>
      </c>
      <c r="X277" s="206"/>
    </row>
    <row r="278" spans="2:24" ht="16.5">
      <c r="B278" s="206" t="str">
        <f t="shared" si="8"/>
        <v>Studierendenreisen (Incoming)</v>
      </c>
      <c r="C278" s="206" t="s">
        <v>195</v>
      </c>
      <c r="D278" s="212">
        <f>SUM(D263:D265)</f>
        <v>0</v>
      </c>
      <c r="E278" s="212">
        <f t="shared" ref="E278:W278" si="14">SUM(E263:E265)</f>
        <v>0</v>
      </c>
      <c r="F278" s="212">
        <f t="shared" si="14"/>
        <v>0</v>
      </c>
      <c r="G278" s="212">
        <f t="shared" si="14"/>
        <v>0</v>
      </c>
      <c r="H278" s="212">
        <f t="shared" si="14"/>
        <v>0</v>
      </c>
      <c r="I278" s="212">
        <f t="shared" si="14"/>
        <v>0</v>
      </c>
      <c r="J278" s="212">
        <f t="shared" si="14"/>
        <v>0</v>
      </c>
      <c r="K278" s="212">
        <f t="shared" si="14"/>
        <v>0</v>
      </c>
      <c r="L278" s="212">
        <f t="shared" si="14"/>
        <v>0</v>
      </c>
      <c r="M278" s="212">
        <f t="shared" si="14"/>
        <v>0</v>
      </c>
      <c r="N278" s="212">
        <f t="shared" si="14"/>
        <v>0</v>
      </c>
      <c r="O278" s="212">
        <f t="shared" si="14"/>
        <v>0</v>
      </c>
      <c r="P278" s="212">
        <f t="shared" si="14"/>
        <v>0</v>
      </c>
      <c r="Q278" s="212">
        <f t="shared" si="14"/>
        <v>0</v>
      </c>
      <c r="R278" s="212">
        <f t="shared" si="14"/>
        <v>0</v>
      </c>
      <c r="S278" s="212">
        <f t="shared" si="14"/>
        <v>0</v>
      </c>
      <c r="T278" s="212">
        <f t="shared" si="14"/>
        <v>0</v>
      </c>
      <c r="U278" s="212">
        <f t="shared" si="14"/>
        <v>0</v>
      </c>
      <c r="V278" s="212">
        <f t="shared" si="14"/>
        <v>0</v>
      </c>
      <c r="W278" s="212">
        <f t="shared" si="14"/>
        <v>0</v>
      </c>
      <c r="X278" s="206"/>
    </row>
    <row r="279" spans="2:24" ht="16.5">
      <c r="B279" s="206" t="str">
        <f t="shared" si="8"/>
        <v>An- und Abreise von Gästen</v>
      </c>
      <c r="C279" s="206" t="s">
        <v>195</v>
      </c>
      <c r="D279" s="212">
        <f>SUM(D266:D268)</f>
        <v>0</v>
      </c>
      <c r="E279" s="212">
        <f t="shared" ref="E279:W279" si="15">SUM(E266:E268)</f>
        <v>0</v>
      </c>
      <c r="F279" s="212">
        <f t="shared" si="15"/>
        <v>0</v>
      </c>
      <c r="G279" s="212">
        <f t="shared" si="15"/>
        <v>0</v>
      </c>
      <c r="H279" s="212">
        <f t="shared" si="15"/>
        <v>0</v>
      </c>
      <c r="I279" s="212">
        <f t="shared" si="15"/>
        <v>0</v>
      </c>
      <c r="J279" s="212">
        <f t="shared" si="15"/>
        <v>0</v>
      </c>
      <c r="K279" s="212">
        <f t="shared" si="15"/>
        <v>0</v>
      </c>
      <c r="L279" s="212">
        <f t="shared" si="15"/>
        <v>0</v>
      </c>
      <c r="M279" s="212">
        <f t="shared" si="15"/>
        <v>0</v>
      </c>
      <c r="N279" s="212">
        <f t="shared" si="15"/>
        <v>0</v>
      </c>
      <c r="O279" s="212">
        <f t="shared" si="15"/>
        <v>0</v>
      </c>
      <c r="P279" s="212">
        <f t="shared" si="15"/>
        <v>0</v>
      </c>
      <c r="Q279" s="212">
        <f t="shared" si="15"/>
        <v>0</v>
      </c>
      <c r="R279" s="212">
        <f t="shared" si="15"/>
        <v>0</v>
      </c>
      <c r="S279" s="212">
        <f t="shared" si="15"/>
        <v>0</v>
      </c>
      <c r="T279" s="212">
        <f t="shared" si="15"/>
        <v>0</v>
      </c>
      <c r="U279" s="212">
        <f t="shared" si="15"/>
        <v>0</v>
      </c>
      <c r="V279" s="212">
        <f t="shared" si="15"/>
        <v>0</v>
      </c>
      <c r="W279" s="212">
        <f t="shared" si="15"/>
        <v>0</v>
      </c>
      <c r="X279" s="206"/>
    </row>
    <row r="280" spans="2:24" ht="16.5">
      <c r="B280" s="213" t="s">
        <v>39</v>
      </c>
      <c r="C280" s="213" t="s">
        <v>195</v>
      </c>
      <c r="D280" s="212">
        <f>SUBTOTAL(109,Modal_Split_Gruppen52[2015])</f>
        <v>0</v>
      </c>
      <c r="E280" s="212">
        <f>SUBTOTAL(109,Modal_Split_Gruppen52[2016])</f>
        <v>0</v>
      </c>
      <c r="F280" s="212">
        <f>SUBTOTAL(109,Modal_Split_Gruppen52[2017])</f>
        <v>0</v>
      </c>
      <c r="G280" s="212">
        <f>SUBTOTAL(109,Modal_Split_Gruppen52[2018])</f>
        <v>0</v>
      </c>
      <c r="H280" s="212">
        <f>SUBTOTAL(109,Modal_Split_Gruppen52[2019])</f>
        <v>0</v>
      </c>
      <c r="I280" s="212">
        <f>SUBTOTAL(109,Modal_Split_Gruppen52[2020])</f>
        <v>0</v>
      </c>
      <c r="J280" s="212">
        <f>SUBTOTAL(109,Modal_Split_Gruppen52[2021])</f>
        <v>0</v>
      </c>
      <c r="K280" s="212">
        <f>SUBTOTAL(109,Modal_Split_Gruppen52[2022])</f>
        <v>0</v>
      </c>
      <c r="L280" s="212">
        <f>SUBTOTAL(109,Modal_Split_Gruppen52[2023])</f>
        <v>0</v>
      </c>
      <c r="M280" s="212">
        <f>SUBTOTAL(109,Modal_Split_Gruppen52[2024])</f>
        <v>0</v>
      </c>
      <c r="N280" s="212">
        <f>SUBTOTAL(109,Modal_Split_Gruppen52[2025])</f>
        <v>0</v>
      </c>
      <c r="O280" s="212">
        <f>SUBTOTAL(109,Modal_Split_Gruppen52[2026])</f>
        <v>0</v>
      </c>
      <c r="P280" s="212">
        <f>SUBTOTAL(109,Modal_Split_Gruppen52[2027])</f>
        <v>0</v>
      </c>
      <c r="Q280" s="212">
        <f>SUBTOTAL(109,Modal_Split_Gruppen52[2028])</f>
        <v>0</v>
      </c>
      <c r="R280" s="212">
        <f>SUBTOTAL(109,Modal_Split_Gruppen52[2029])</f>
        <v>0</v>
      </c>
      <c r="S280" s="212">
        <f>SUBTOTAL(109,Modal_Split_Gruppen52[2030])</f>
        <v>0</v>
      </c>
      <c r="T280" s="212">
        <f>SUBTOTAL(109,Modal_Split_Gruppen52[2035])</f>
        <v>0</v>
      </c>
      <c r="U280" s="212">
        <f>SUBTOTAL(109,Modal_Split_Gruppen52[2040])</f>
        <v>0</v>
      </c>
      <c r="V280" s="212">
        <f>SUBTOTAL(109,Modal_Split_Gruppen52[2045])</f>
        <v>0</v>
      </c>
      <c r="W280" s="212">
        <f>SUBTOTAL(109,Modal_Split_Gruppen52[2050])</f>
        <v>0</v>
      </c>
      <c r="X280" s="206"/>
    </row>
    <row r="281" spans="2:24">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row>
    <row r="282" spans="2:24">
      <c r="B282" s="206"/>
      <c r="C282" s="206"/>
      <c r="D282" s="206"/>
      <c r="E282" s="206"/>
      <c r="F282" s="206"/>
      <c r="G282" s="206"/>
      <c r="H282" s="206"/>
      <c r="I282" s="206"/>
      <c r="J282" s="206"/>
      <c r="K282" s="206"/>
      <c r="L282" s="206"/>
      <c r="M282" s="206"/>
      <c r="N282" s="206"/>
      <c r="O282" s="206"/>
      <c r="P282" s="206"/>
      <c r="Q282" s="206"/>
      <c r="R282" s="206"/>
      <c r="S282" s="206"/>
      <c r="T282" s="206"/>
      <c r="U282" s="206"/>
      <c r="V282" s="206"/>
      <c r="W282" s="206"/>
      <c r="X282" s="206"/>
    </row>
    <row r="283" spans="2:24">
      <c r="B283" s="206"/>
      <c r="C283" s="206"/>
      <c r="D283" s="206"/>
      <c r="E283" s="206"/>
      <c r="F283" s="206"/>
      <c r="G283" s="206"/>
      <c r="H283" s="206"/>
      <c r="I283" s="206"/>
      <c r="J283" s="206"/>
      <c r="K283" s="206"/>
      <c r="L283" s="206"/>
      <c r="M283" s="206"/>
      <c r="N283" s="206"/>
      <c r="O283" s="206"/>
      <c r="P283" s="206"/>
      <c r="Q283" s="206"/>
      <c r="R283" s="206"/>
      <c r="S283" s="206"/>
      <c r="T283" s="206"/>
      <c r="U283" s="206"/>
      <c r="V283" s="206"/>
      <c r="W283" s="206"/>
      <c r="X283" s="206"/>
    </row>
    <row r="284" spans="2:24">
      <c r="B284" s="206"/>
      <c r="C284" s="206"/>
      <c r="D284" s="206"/>
      <c r="E284" s="206"/>
      <c r="F284" s="206"/>
      <c r="G284" s="206"/>
      <c r="H284" s="206"/>
      <c r="I284" s="206"/>
      <c r="J284" s="206"/>
      <c r="K284" s="206"/>
      <c r="L284" s="206"/>
      <c r="M284" s="206"/>
      <c r="N284" s="206"/>
      <c r="O284" s="206"/>
      <c r="P284" s="206"/>
      <c r="Q284" s="206"/>
      <c r="R284" s="206"/>
      <c r="S284" s="206"/>
      <c r="T284" s="206"/>
      <c r="U284" s="206"/>
      <c r="V284" s="206"/>
      <c r="W284" s="206"/>
      <c r="X284" s="206"/>
    </row>
    <row r="285" spans="2:24">
      <c r="B285" s="206"/>
      <c r="C285" s="206"/>
      <c r="D285" s="206"/>
      <c r="E285" s="206"/>
      <c r="F285" s="206"/>
      <c r="G285" s="206"/>
      <c r="H285" s="206"/>
      <c r="I285" s="206"/>
      <c r="J285" s="206"/>
      <c r="K285" s="206"/>
      <c r="L285" s="206"/>
      <c r="M285" s="206"/>
      <c r="N285" s="206"/>
      <c r="O285" s="206"/>
      <c r="P285" s="206"/>
      <c r="Q285" s="206"/>
      <c r="R285" s="206"/>
      <c r="S285" s="206"/>
      <c r="T285" s="206"/>
      <c r="U285" s="206"/>
      <c r="V285" s="206"/>
      <c r="W285" s="206"/>
      <c r="X285" s="206"/>
    </row>
    <row r="286" spans="2:24">
      <c r="B286" s="206"/>
      <c r="C286" s="206"/>
      <c r="D286" s="206"/>
      <c r="E286" s="206"/>
      <c r="F286" s="206"/>
      <c r="G286" s="206"/>
      <c r="H286" s="206"/>
      <c r="I286" s="206"/>
      <c r="J286" s="206"/>
      <c r="K286" s="206"/>
      <c r="L286" s="206"/>
      <c r="M286" s="206"/>
      <c r="N286" s="206"/>
      <c r="O286" s="206"/>
      <c r="P286" s="206"/>
      <c r="Q286" s="206"/>
      <c r="R286" s="206"/>
      <c r="S286" s="206"/>
      <c r="T286" s="206"/>
      <c r="U286" s="206"/>
      <c r="V286" s="206"/>
      <c r="W286" s="206"/>
      <c r="X286" s="206"/>
    </row>
    <row r="287" spans="2:24">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c r="X287" s="206"/>
    </row>
    <row r="288" spans="2:24">
      <c r="B288" s="206"/>
      <c r="C288" s="206"/>
      <c r="D288" s="206"/>
      <c r="E288" s="206"/>
      <c r="F288" s="206"/>
      <c r="G288" s="206"/>
      <c r="H288" s="206"/>
      <c r="I288" s="206"/>
      <c r="J288" s="206"/>
      <c r="K288" s="206"/>
      <c r="L288" s="206"/>
      <c r="M288" s="206"/>
      <c r="N288" s="206"/>
      <c r="O288" s="206"/>
      <c r="P288" s="206"/>
      <c r="Q288" s="206"/>
      <c r="R288" s="206"/>
      <c r="S288" s="206"/>
      <c r="T288" s="206"/>
      <c r="U288" s="206"/>
      <c r="V288" s="206"/>
      <c r="W288" s="206"/>
      <c r="X288" s="206"/>
    </row>
    <row r="289" spans="2:24">
      <c r="B289" s="206"/>
      <c r="C289" s="206"/>
      <c r="D289" s="206"/>
      <c r="E289" s="206"/>
      <c r="F289" s="206"/>
      <c r="G289" s="206"/>
      <c r="H289" s="206"/>
      <c r="I289" s="206"/>
      <c r="J289" s="206"/>
      <c r="K289" s="206"/>
      <c r="L289" s="206"/>
      <c r="M289" s="206"/>
      <c r="N289" s="206"/>
      <c r="O289" s="206"/>
      <c r="P289" s="206"/>
      <c r="Q289" s="206"/>
      <c r="R289" s="206"/>
      <c r="S289" s="206"/>
      <c r="T289" s="206"/>
      <c r="U289" s="206"/>
      <c r="V289" s="206"/>
      <c r="W289" s="206"/>
      <c r="X289" s="206"/>
    </row>
    <row r="290" spans="2:24">
      <c r="B290" s="206"/>
      <c r="C290" s="206"/>
      <c r="D290" s="206"/>
      <c r="E290" s="206"/>
      <c r="F290" s="206"/>
      <c r="G290" s="206"/>
      <c r="H290" s="206"/>
      <c r="I290" s="206"/>
      <c r="J290" s="206"/>
      <c r="K290" s="206"/>
      <c r="L290" s="206"/>
      <c r="M290" s="206"/>
      <c r="N290" s="206"/>
      <c r="O290" s="206"/>
      <c r="P290" s="206"/>
      <c r="Q290" s="206"/>
      <c r="R290" s="206"/>
      <c r="S290" s="206"/>
      <c r="T290" s="206"/>
      <c r="U290" s="206"/>
      <c r="V290" s="206"/>
      <c r="W290" s="206"/>
      <c r="X290" s="206"/>
    </row>
    <row r="291" spans="2:24">
      <c r="B291" s="206"/>
      <c r="C291" s="206"/>
      <c r="D291" s="206"/>
      <c r="E291" s="206"/>
      <c r="F291" s="206"/>
      <c r="G291" s="206"/>
      <c r="H291" s="206"/>
      <c r="I291" s="206"/>
      <c r="J291" s="206"/>
      <c r="K291" s="206"/>
      <c r="L291" s="206"/>
      <c r="M291" s="206"/>
      <c r="N291" s="206"/>
      <c r="O291" s="206"/>
      <c r="P291" s="206"/>
      <c r="Q291" s="206"/>
      <c r="R291" s="206"/>
      <c r="S291" s="206"/>
      <c r="T291" s="206"/>
      <c r="U291" s="206"/>
      <c r="V291" s="206"/>
      <c r="W291" s="206"/>
      <c r="X291" s="206"/>
    </row>
    <row r="292" spans="2:24">
      <c r="B292" s="206"/>
      <c r="C292" s="206"/>
      <c r="D292" s="206"/>
      <c r="E292" s="206"/>
      <c r="F292" s="206"/>
      <c r="G292" s="206"/>
      <c r="H292" s="206"/>
      <c r="I292" s="206"/>
      <c r="J292" s="206"/>
      <c r="K292" s="206"/>
      <c r="L292" s="206"/>
      <c r="M292" s="206"/>
      <c r="N292" s="206"/>
      <c r="O292" s="206"/>
      <c r="P292" s="206"/>
      <c r="Q292" s="206"/>
      <c r="R292" s="206"/>
      <c r="S292" s="206"/>
      <c r="T292" s="206"/>
      <c r="U292" s="206"/>
      <c r="V292" s="206"/>
      <c r="W292" s="206"/>
      <c r="X292" s="206"/>
    </row>
    <row r="293" spans="2:24">
      <c r="B293" s="206"/>
      <c r="C293" s="206"/>
      <c r="D293" s="206"/>
      <c r="E293" s="206"/>
      <c r="F293" s="206"/>
      <c r="G293" s="206"/>
      <c r="H293" s="206"/>
      <c r="I293" s="206"/>
      <c r="J293" s="206"/>
      <c r="K293" s="206"/>
      <c r="L293" s="206"/>
      <c r="M293" s="206"/>
      <c r="N293" s="206"/>
      <c r="O293" s="206"/>
      <c r="P293" s="206"/>
      <c r="Q293" s="206"/>
      <c r="R293" s="206"/>
      <c r="S293" s="206"/>
      <c r="T293" s="206"/>
      <c r="U293" s="206"/>
      <c r="V293" s="206"/>
      <c r="W293" s="206"/>
      <c r="X293" s="206"/>
    </row>
    <row r="294" spans="2:24">
      <c r="B294" s="206"/>
      <c r="C294" s="206"/>
      <c r="D294" s="206"/>
      <c r="E294" s="206"/>
      <c r="F294" s="206"/>
      <c r="G294" s="206"/>
      <c r="H294" s="206"/>
      <c r="I294" s="206"/>
      <c r="J294" s="206"/>
      <c r="K294" s="206"/>
      <c r="L294" s="206"/>
      <c r="M294" s="206"/>
      <c r="N294" s="206"/>
      <c r="O294" s="206"/>
      <c r="P294" s="206"/>
      <c r="Q294" s="206"/>
      <c r="R294" s="206"/>
      <c r="S294" s="206"/>
      <c r="T294" s="206"/>
      <c r="U294" s="206"/>
      <c r="V294" s="206"/>
      <c r="W294" s="206"/>
      <c r="X294" s="206"/>
    </row>
    <row r="295" spans="2:24">
      <c r="B295" s="206"/>
      <c r="C295" s="206"/>
      <c r="D295" s="206"/>
      <c r="E295" s="206"/>
      <c r="F295" s="206"/>
      <c r="G295" s="206"/>
      <c r="H295" s="206"/>
      <c r="I295" s="206"/>
      <c r="J295" s="206"/>
      <c r="K295" s="206"/>
      <c r="L295" s="206"/>
      <c r="M295" s="206"/>
      <c r="N295" s="206"/>
      <c r="O295" s="206"/>
      <c r="P295" s="206"/>
      <c r="Q295" s="206"/>
      <c r="R295" s="206"/>
      <c r="S295" s="206"/>
      <c r="T295" s="206"/>
      <c r="U295" s="206"/>
      <c r="V295" s="206"/>
      <c r="W295" s="206"/>
      <c r="X295" s="206"/>
    </row>
    <row r="296" spans="2:24">
      <c r="B296" s="206"/>
      <c r="C296" s="206"/>
      <c r="D296" s="206"/>
      <c r="E296" s="206"/>
      <c r="F296" s="206"/>
      <c r="G296" s="206"/>
      <c r="H296" s="206"/>
      <c r="I296" s="206"/>
      <c r="J296" s="206"/>
      <c r="K296" s="206"/>
      <c r="L296" s="206"/>
      <c r="M296" s="206"/>
      <c r="N296" s="206"/>
      <c r="O296" s="206"/>
      <c r="P296" s="206"/>
      <c r="Q296" s="206"/>
      <c r="R296" s="206"/>
      <c r="S296" s="206"/>
      <c r="T296" s="206"/>
      <c r="U296" s="206"/>
      <c r="V296" s="206"/>
      <c r="W296" s="206"/>
      <c r="X296" s="206"/>
    </row>
    <row r="297" spans="2:24">
      <c r="B297" s="206"/>
      <c r="C297" s="206"/>
      <c r="D297" s="206"/>
      <c r="E297" s="206"/>
      <c r="F297" s="206"/>
      <c r="G297" s="206"/>
      <c r="H297" s="206"/>
      <c r="I297" s="206"/>
      <c r="J297" s="206"/>
      <c r="K297" s="206"/>
      <c r="L297" s="206"/>
      <c r="M297" s="206"/>
      <c r="N297" s="206"/>
      <c r="O297" s="206"/>
      <c r="P297" s="206"/>
      <c r="Q297" s="206"/>
      <c r="R297" s="206"/>
      <c r="S297" s="206"/>
      <c r="T297" s="206"/>
      <c r="U297" s="206"/>
      <c r="V297" s="206"/>
      <c r="W297" s="206"/>
      <c r="X297" s="206"/>
    </row>
    <row r="298" spans="2:24">
      <c r="B298" s="206"/>
      <c r="C298" s="206"/>
      <c r="D298" s="206"/>
      <c r="E298" s="206"/>
      <c r="F298" s="206"/>
      <c r="G298" s="206"/>
      <c r="H298" s="206"/>
      <c r="I298" s="206"/>
      <c r="J298" s="206"/>
      <c r="K298" s="206"/>
      <c r="L298" s="206"/>
      <c r="M298" s="206"/>
      <c r="N298" s="206"/>
      <c r="O298" s="206"/>
      <c r="P298" s="206"/>
      <c r="Q298" s="206"/>
      <c r="R298" s="206"/>
      <c r="S298" s="206"/>
      <c r="T298" s="206"/>
      <c r="U298" s="206"/>
      <c r="V298" s="206"/>
      <c r="W298" s="206"/>
      <c r="X298" s="206"/>
    </row>
    <row r="299" spans="2:24">
      <c r="B299" s="206"/>
      <c r="C299" s="206"/>
      <c r="D299" s="206"/>
      <c r="E299" s="206"/>
      <c r="F299" s="206"/>
      <c r="G299" s="206"/>
      <c r="H299" s="206"/>
      <c r="I299" s="206"/>
      <c r="J299" s="206"/>
      <c r="K299" s="206"/>
      <c r="L299" s="206"/>
      <c r="M299" s="206"/>
      <c r="N299" s="206"/>
      <c r="O299" s="206"/>
      <c r="P299" s="206"/>
      <c r="Q299" s="206"/>
      <c r="R299" s="206"/>
      <c r="S299" s="206"/>
      <c r="T299" s="206"/>
      <c r="U299" s="206"/>
      <c r="V299" s="206"/>
      <c r="W299" s="206"/>
      <c r="X299" s="206"/>
    </row>
    <row r="300" spans="2:24">
      <c r="B300" s="206"/>
      <c r="C300" s="206"/>
      <c r="D300" s="206"/>
      <c r="E300" s="206"/>
      <c r="F300" s="206"/>
      <c r="G300" s="206"/>
      <c r="H300" s="206"/>
      <c r="I300" s="206"/>
      <c r="J300" s="206"/>
      <c r="K300" s="206"/>
      <c r="L300" s="206"/>
      <c r="M300" s="206"/>
      <c r="N300" s="206"/>
      <c r="O300" s="206"/>
      <c r="P300" s="206"/>
      <c r="Q300" s="206"/>
      <c r="R300" s="206"/>
      <c r="S300" s="206"/>
      <c r="T300" s="206"/>
      <c r="U300" s="206"/>
      <c r="V300" s="206"/>
      <c r="W300" s="206"/>
      <c r="X300" s="206"/>
    </row>
    <row r="301" spans="2:24">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row>
    <row r="302" spans="2:24">
      <c r="B302" s="206"/>
      <c r="C302" s="206"/>
      <c r="D302" s="206"/>
      <c r="E302" s="206"/>
      <c r="F302" s="206"/>
      <c r="G302" s="206"/>
      <c r="H302" s="206"/>
      <c r="I302" s="206"/>
      <c r="J302" s="206"/>
      <c r="K302" s="206"/>
      <c r="L302" s="206"/>
      <c r="M302" s="206"/>
      <c r="N302" s="206"/>
      <c r="O302" s="206"/>
      <c r="P302" s="206"/>
      <c r="Q302" s="206"/>
      <c r="R302" s="206"/>
      <c r="S302" s="206"/>
      <c r="T302" s="206"/>
      <c r="U302" s="206"/>
      <c r="V302" s="206"/>
      <c r="W302" s="206"/>
      <c r="X302" s="206"/>
    </row>
    <row r="303" spans="2:24">
      <c r="B303" s="206"/>
      <c r="C303" s="206"/>
      <c r="D303" s="206"/>
      <c r="E303" s="206"/>
      <c r="F303" s="206"/>
      <c r="G303" s="206"/>
      <c r="H303" s="206"/>
      <c r="I303" s="206"/>
      <c r="J303" s="206"/>
      <c r="K303" s="206"/>
      <c r="L303" s="206"/>
      <c r="M303" s="206"/>
      <c r="N303" s="206"/>
      <c r="O303" s="206"/>
      <c r="P303" s="206"/>
      <c r="Q303" s="206"/>
      <c r="R303" s="206"/>
      <c r="S303" s="206"/>
      <c r="T303" s="206"/>
      <c r="U303" s="206"/>
      <c r="V303" s="206"/>
      <c r="W303" s="206"/>
      <c r="X303" s="206"/>
    </row>
    <row r="304" spans="2:24">
      <c r="B304" s="206"/>
      <c r="C304" s="206"/>
      <c r="D304" s="206"/>
      <c r="E304" s="206"/>
      <c r="F304" s="206"/>
      <c r="G304" s="206"/>
      <c r="H304" s="206"/>
      <c r="I304" s="206"/>
      <c r="J304" s="206"/>
      <c r="K304" s="206"/>
      <c r="L304" s="206"/>
      <c r="M304" s="206"/>
      <c r="N304" s="206"/>
      <c r="O304" s="206"/>
      <c r="P304" s="206"/>
      <c r="Q304" s="206"/>
      <c r="R304" s="206"/>
      <c r="S304" s="206"/>
      <c r="T304" s="206"/>
      <c r="U304" s="206"/>
      <c r="V304" s="206"/>
      <c r="W304" s="206"/>
      <c r="X304" s="206"/>
    </row>
    <row r="305" spans="2:24">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row>
    <row r="306" spans="2:24">
      <c r="B306" s="206"/>
      <c r="C306" s="206"/>
      <c r="D306" s="206"/>
      <c r="E306" s="206"/>
      <c r="F306" s="206"/>
      <c r="G306" s="206"/>
      <c r="H306" s="206"/>
      <c r="I306" s="206"/>
      <c r="J306" s="206"/>
      <c r="K306" s="206"/>
      <c r="L306" s="206"/>
      <c r="M306" s="206"/>
      <c r="N306" s="206"/>
      <c r="O306" s="206"/>
      <c r="P306" s="206"/>
      <c r="Q306" s="206"/>
      <c r="R306" s="206"/>
      <c r="S306" s="206"/>
      <c r="T306" s="206"/>
      <c r="U306" s="206"/>
      <c r="V306" s="206"/>
      <c r="W306" s="206"/>
      <c r="X306" s="206"/>
    </row>
    <row r="307" spans="2:24">
      <c r="B307" s="206"/>
      <c r="C307" s="206"/>
      <c r="D307" s="206"/>
      <c r="E307" s="206"/>
      <c r="F307" s="206"/>
      <c r="G307" s="206"/>
      <c r="H307" s="206"/>
      <c r="I307" s="206"/>
      <c r="J307" s="206"/>
      <c r="K307" s="206"/>
      <c r="L307" s="206"/>
      <c r="M307" s="206"/>
      <c r="N307" s="206"/>
      <c r="O307" s="206"/>
      <c r="P307" s="206"/>
      <c r="Q307" s="206"/>
      <c r="R307" s="206"/>
      <c r="S307" s="206"/>
      <c r="T307" s="206"/>
      <c r="U307" s="206"/>
      <c r="V307" s="206"/>
      <c r="W307" s="206"/>
      <c r="X307" s="206"/>
    </row>
    <row r="308" spans="2:24">
      <c r="B308" s="206"/>
      <c r="C308" s="206"/>
      <c r="D308" s="206"/>
      <c r="E308" s="206"/>
      <c r="F308" s="206"/>
      <c r="G308" s="206"/>
      <c r="H308" s="206"/>
      <c r="I308" s="206"/>
      <c r="J308" s="206"/>
      <c r="K308" s="206"/>
      <c r="L308" s="206"/>
      <c r="M308" s="206"/>
      <c r="N308" s="206"/>
      <c r="O308" s="206"/>
      <c r="P308" s="206"/>
      <c r="Q308" s="206"/>
      <c r="R308" s="206"/>
      <c r="S308" s="206"/>
      <c r="T308" s="206"/>
      <c r="U308" s="206"/>
      <c r="V308" s="206"/>
      <c r="W308" s="206"/>
      <c r="X308" s="206"/>
    </row>
    <row r="309" spans="2:24">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row>
    <row r="310" spans="2:24">
      <c r="B310" s="206"/>
      <c r="C310" s="206"/>
      <c r="D310" s="206"/>
      <c r="E310" s="206"/>
      <c r="F310" s="206"/>
      <c r="G310" s="206"/>
      <c r="H310" s="206"/>
      <c r="I310" s="206"/>
      <c r="J310" s="206"/>
      <c r="K310" s="206"/>
      <c r="L310" s="206"/>
      <c r="M310" s="206"/>
      <c r="N310" s="206"/>
      <c r="O310" s="206"/>
      <c r="P310" s="206"/>
      <c r="Q310" s="206"/>
      <c r="R310" s="206"/>
      <c r="S310" s="206"/>
      <c r="T310" s="206"/>
      <c r="U310" s="206"/>
      <c r="V310" s="206"/>
      <c r="W310" s="206"/>
      <c r="X310" s="206"/>
    </row>
    <row r="311" spans="2:24">
      <c r="B311" s="206"/>
      <c r="C311" s="206"/>
      <c r="D311" s="206"/>
      <c r="E311" s="206"/>
      <c r="F311" s="206"/>
      <c r="G311" s="206"/>
      <c r="H311" s="206"/>
      <c r="I311" s="206"/>
      <c r="J311" s="206"/>
      <c r="K311" s="206"/>
      <c r="L311" s="206"/>
      <c r="M311" s="206"/>
      <c r="N311" s="206"/>
      <c r="O311" s="206"/>
      <c r="P311" s="206"/>
      <c r="Q311" s="206"/>
      <c r="R311" s="206"/>
      <c r="S311" s="206"/>
      <c r="T311" s="206"/>
      <c r="U311" s="206"/>
      <c r="V311" s="206"/>
      <c r="W311" s="206"/>
      <c r="X311" s="206"/>
    </row>
    <row r="312" spans="2:24">
      <c r="B312" s="206"/>
      <c r="C312" s="206"/>
      <c r="D312" s="206"/>
      <c r="E312" s="206"/>
      <c r="F312" s="206"/>
      <c r="G312" s="206"/>
      <c r="H312" s="206"/>
      <c r="I312" s="206"/>
      <c r="J312" s="206"/>
      <c r="K312" s="206"/>
      <c r="L312" s="206"/>
      <c r="M312" s="206"/>
      <c r="N312" s="206"/>
      <c r="O312" s="206"/>
      <c r="P312" s="206"/>
      <c r="Q312" s="206"/>
      <c r="R312" s="206"/>
      <c r="S312" s="206"/>
      <c r="T312" s="206"/>
      <c r="U312" s="206"/>
      <c r="V312" s="206"/>
      <c r="W312" s="206"/>
      <c r="X312" s="206"/>
    </row>
    <row r="313" spans="2:24">
      <c r="B313" s="206"/>
      <c r="C313" s="206"/>
      <c r="D313" s="206"/>
      <c r="E313" s="206"/>
      <c r="F313" s="206"/>
      <c r="G313" s="206"/>
      <c r="H313" s="206"/>
      <c r="I313" s="206"/>
      <c r="J313" s="206"/>
      <c r="K313" s="206"/>
      <c r="L313" s="206"/>
      <c r="M313" s="206"/>
      <c r="N313" s="206"/>
      <c r="O313" s="206"/>
      <c r="P313" s="206"/>
      <c r="Q313" s="206"/>
      <c r="R313" s="206"/>
      <c r="S313" s="206"/>
      <c r="T313" s="206"/>
      <c r="U313" s="206"/>
      <c r="V313" s="206"/>
      <c r="W313" s="206"/>
      <c r="X313" s="206"/>
    </row>
    <row r="314" spans="2:24">
      <c r="B314" s="206"/>
      <c r="C314" s="206"/>
      <c r="D314" s="206"/>
      <c r="E314" s="206"/>
      <c r="F314" s="206"/>
      <c r="G314" s="206"/>
      <c r="H314" s="206"/>
      <c r="I314" s="206"/>
      <c r="J314" s="206"/>
      <c r="K314" s="206"/>
      <c r="L314" s="206"/>
      <c r="M314" s="206"/>
      <c r="N314" s="206"/>
      <c r="O314" s="206"/>
      <c r="P314" s="206"/>
      <c r="Q314" s="206"/>
      <c r="R314" s="206"/>
      <c r="S314" s="206"/>
      <c r="T314" s="206"/>
      <c r="U314" s="206"/>
      <c r="V314" s="206"/>
      <c r="W314" s="206"/>
      <c r="X314" s="206"/>
    </row>
    <row r="315" spans="2:24">
      <c r="B315" s="206"/>
      <c r="C315" s="206"/>
      <c r="D315" s="206"/>
      <c r="E315" s="206"/>
      <c r="F315" s="206"/>
      <c r="G315" s="206"/>
      <c r="H315" s="206"/>
      <c r="I315" s="206"/>
      <c r="J315" s="206"/>
      <c r="K315" s="206"/>
      <c r="L315" s="206"/>
      <c r="M315" s="206"/>
      <c r="N315" s="206"/>
      <c r="O315" s="206"/>
      <c r="P315" s="206"/>
      <c r="Q315" s="206"/>
      <c r="R315" s="206"/>
      <c r="S315" s="206"/>
      <c r="T315" s="206"/>
      <c r="U315" s="206"/>
      <c r="V315" s="206"/>
      <c r="W315" s="206"/>
      <c r="X315" s="206"/>
    </row>
    <row r="316" spans="2:24">
      <c r="B316" s="206"/>
      <c r="C316" s="206"/>
      <c r="D316" s="206"/>
      <c r="E316" s="206"/>
      <c r="F316" s="206"/>
      <c r="G316" s="206"/>
      <c r="H316" s="206"/>
      <c r="I316" s="206"/>
      <c r="J316" s="206"/>
      <c r="K316" s="206"/>
      <c r="L316" s="206"/>
      <c r="M316" s="206"/>
      <c r="N316" s="206"/>
      <c r="O316" s="206"/>
      <c r="P316" s="206"/>
      <c r="Q316" s="206"/>
      <c r="R316" s="206"/>
      <c r="S316" s="206"/>
      <c r="T316" s="206"/>
      <c r="U316" s="206"/>
      <c r="V316" s="206"/>
      <c r="W316" s="206"/>
      <c r="X316" s="206"/>
    </row>
  </sheetData>
  <mergeCells count="2">
    <mergeCell ref="C15:E15"/>
    <mergeCell ref="C16:E16"/>
  </mergeCells>
  <conditionalFormatting sqref="F74:F84">
    <cfRule type="colorScale" priority="1">
      <colorScale>
        <cfvo type="min"/>
        <cfvo type="percentile" val="50"/>
        <cfvo type="max"/>
        <color rgb="FF63BE7B"/>
        <color rgb="FFFFEB84"/>
        <color rgb="FFF8696B"/>
      </colorScale>
    </cfRule>
  </conditionalFormatting>
  <dataValidations count="1">
    <dataValidation type="list" allowBlank="1" showInputMessage="1" showErrorMessage="1" sqref="D149:E149 D156:E156" xr:uid="{963E5B01-0320-41F3-811B-3910406B8349}">
      <formula1>$F$99:$Y$99</formula1>
    </dataValidation>
  </dataValidations>
  <hyperlinks>
    <hyperlink ref="B4" location="'KliMax-Auswertung'!B12" display="   1. Teilergebnisse" xr:uid="{506731D7-71EE-4A73-9DBC-7659701E4BE4}"/>
    <hyperlink ref="B5" location="'KliMax-Auswertung'!B19" display="   2. Ist-Bilanz" xr:uid="{47F1774B-56D5-4A52-8BDF-DBC177FFDED6}"/>
    <hyperlink ref="B8" location="'KliMax-Auswertung'!B146" display="      4.1 Mobilitätsemissionen im Vergleich" xr:uid="{F2E18787-01DB-45CF-9AE2-D42C98516733}"/>
    <hyperlink ref="B9" location="'KliMax-Auswertung'!B162" display="      4.2 Zurückgelegte Kilometer" xr:uid="{697AB1F4-11B7-4011-9E95-54E2C268AB6A}"/>
    <hyperlink ref="J1" r:id="rId1" tooltip="Kontakt zur Autorin" display="Kontakt zur Autorin" xr:uid="{048C3986-6A21-4C26-A47B-A9A768287740}"/>
    <hyperlink ref="C16" location="'Klisz-Emissionen'!B1" tooltip="Ergebnisse Klimaschutzszenario" display="Klimaschutzszenarien - Emissionen" xr:uid="{67D6AC7A-08A3-40A1-98DE-14183ADF5DC8}"/>
    <hyperlink ref="C15" location="'Refsz-Emissionen'!B1" tooltip="Ergebnisse Referenzszenario" display="Referenzszenarien - Emissionen" xr:uid="{ACFB82AB-C0E8-4B9D-8C0A-552883333279}"/>
    <hyperlink ref="B6" location="'KliMax-Auswertung'!B88" display="   3. Zukunftsszenarien" xr:uid="{8F0B162C-C730-4EC6-BD55-45E1660574CC}"/>
    <hyperlink ref="B7" location="'KliMax-Auswertung'!B145" display="   4. Mobilitätsdaten" xr:uid="{E700CFAD-4B01-4C9A-9E58-030EAFE7FBDE}"/>
    <hyperlink ref="B10" location="'KliMax-Auswertung'!B222" display="      4.3 Mobilitätsemissionen" xr:uid="{D05DE932-B6D7-455F-A523-FF2600C48C90}"/>
    <hyperlink ref="B1" location="Startseite!B44" tooltip="Zurück zur Einleitung" display="      Zur Navigation" xr:uid="{ACFC4D24-0C3A-44DC-95DF-C1F3BEEE3A91}"/>
    <hyperlink ref="F24" location="Startseite!H51" display="      Zum Handbuch" xr:uid="{0D3FECE4-4F14-492A-868A-C0E6A31A433D}"/>
  </hyperlinks>
  <pageMargins left="0.7" right="0.7" top="0.78740157499999996" bottom="0.78740157499999996" header="0.3" footer="0.3"/>
  <pageSetup paperSize="9" orientation="portrait" r:id="rId2"/>
  <drawing r:id="rId3"/>
  <legacyDrawing r:id="rId4"/>
  <tableParts count="5">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2">
        <x14:dataValidation type="list" allowBlank="1" showInputMessage="1" showErrorMessage="1" xr:uid="{C98AF543-4FC8-4849-A337-9C97302E1BE7}">
          <x14:formula1>
            <xm:f>'Refsz-Verbräuche'!$F$17:$Y$17</xm:f>
          </x14:formula1>
          <xm:sqref>C156 C149 E92:F92 E106:F106</xm:sqref>
        </x14:dataValidation>
        <x14:dataValidation type="list" allowBlank="1" showInputMessage="1" showErrorMessage="1" xr:uid="{D44A7C39-32C4-4A86-9528-9779AC5AB3C0}">
          <x14:formula1>
            <xm:f>Startseite!$G$71:$Z$71</xm:f>
          </x14:formula1>
          <xm:sqref>D92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01323-7FD7-41F1-B2B4-C38A9905FDEF}">
  <sheetPr>
    <tabColor rgb="FF7030A0"/>
  </sheetPr>
  <dimension ref="B1:X55"/>
  <sheetViews>
    <sheetView showGridLines="0" zoomScaleNormal="100" workbookViewId="0">
      <pane xSplit="2" ySplit="1" topLeftCell="C2" activePane="bottomRight" state="frozen"/>
      <selection pane="topRight" activeCell="C1" sqref="C1"/>
      <selection pane="bottomLeft" activeCell="A2" sqref="A2"/>
      <selection pane="bottomRight"/>
    </sheetView>
  </sheetViews>
  <sheetFormatPr baseColWidth="10" defaultRowHeight="14.5"/>
  <cols>
    <col min="1" max="1" width="2.54296875" customWidth="1"/>
    <col min="2" max="2" width="21" customWidth="1"/>
    <col min="3" max="3" width="14.26953125" customWidth="1"/>
    <col min="4" max="23" width="9.54296875" customWidth="1"/>
    <col min="24" max="24" width="25.26953125" customWidth="1"/>
  </cols>
  <sheetData>
    <row r="1" spans="2:24">
      <c r="B1" s="4" t="s">
        <v>556</v>
      </c>
      <c r="F1" s="5"/>
      <c r="G1" s="5"/>
      <c r="H1" s="5"/>
      <c r="K1" s="5"/>
      <c r="L1" s="3" t="s">
        <v>489</v>
      </c>
    </row>
    <row r="3" spans="2:24" ht="18.5">
      <c r="B3" s="24" t="s">
        <v>215</v>
      </c>
    </row>
    <row r="4" spans="2:24" ht="15.5">
      <c r="B4" s="6"/>
    </row>
    <row r="5" spans="2:24" ht="15.5">
      <c r="B5" s="6" t="s">
        <v>0</v>
      </c>
    </row>
    <row r="6" spans="2:24">
      <c r="B6" s="25" t="s">
        <v>458</v>
      </c>
    </row>
    <row r="7" spans="2:24">
      <c r="B7" s="25" t="s">
        <v>607</v>
      </c>
    </row>
    <row r="9" spans="2:24" ht="15.5">
      <c r="B9" s="6" t="s">
        <v>459</v>
      </c>
    </row>
    <row r="10" spans="2:24">
      <c r="B10" t="s">
        <v>567</v>
      </c>
      <c r="L10" s="25" t="s">
        <v>631</v>
      </c>
    </row>
    <row r="11" spans="2:24">
      <c r="B11" s="2"/>
    </row>
    <row r="12" spans="2:24">
      <c r="B12" s="2" t="s">
        <v>212</v>
      </c>
      <c r="C12" s="104">
        <v>6.7</v>
      </c>
      <c r="D12" t="s">
        <v>211</v>
      </c>
      <c r="E12" t="s">
        <v>214</v>
      </c>
    </row>
    <row r="13" spans="2:24">
      <c r="B13" t="s">
        <v>235</v>
      </c>
      <c r="C13" t="s">
        <v>2</v>
      </c>
      <c r="D13" t="s">
        <v>3</v>
      </c>
      <c r="E13" t="s">
        <v>4</v>
      </c>
      <c r="F13" t="s">
        <v>5</v>
      </c>
      <c r="G13" t="s">
        <v>6</v>
      </c>
      <c r="H13" t="s">
        <v>7</v>
      </c>
      <c r="I13" t="s">
        <v>8</v>
      </c>
      <c r="J13" t="s">
        <v>9</v>
      </c>
      <c r="K13" t="s">
        <v>10</v>
      </c>
      <c r="L13" t="s">
        <v>11</v>
      </c>
      <c r="M13" t="s">
        <v>12</v>
      </c>
      <c r="N13" t="s">
        <v>13</v>
      </c>
      <c r="O13" t="s">
        <v>14</v>
      </c>
      <c r="P13" t="s">
        <v>216</v>
      </c>
      <c r="Q13" t="s">
        <v>217</v>
      </c>
      <c r="R13" t="s">
        <v>218</v>
      </c>
      <c r="S13" t="s">
        <v>15</v>
      </c>
      <c r="T13" t="s">
        <v>16</v>
      </c>
      <c r="U13" t="s">
        <v>17</v>
      </c>
      <c r="V13" t="s">
        <v>18</v>
      </c>
      <c r="W13" t="s">
        <v>19</v>
      </c>
      <c r="X13" t="s">
        <v>37</v>
      </c>
    </row>
    <row r="14" spans="2:24">
      <c r="B14" t="str">
        <f>'Refsz-Verbräuche'!D48</f>
        <v>Fuhrpark (Diesel)</v>
      </c>
      <c r="C14" t="s">
        <v>20</v>
      </c>
      <c r="D14" s="104"/>
      <c r="E14" s="104"/>
      <c r="F14" s="104"/>
      <c r="G14" s="104"/>
      <c r="H14" s="104"/>
      <c r="I14" s="104"/>
      <c r="J14" s="104"/>
      <c r="K14" s="104"/>
      <c r="L14" s="104"/>
      <c r="M14" s="104"/>
      <c r="N14" s="104"/>
      <c r="O14" s="104"/>
      <c r="P14" s="104"/>
      <c r="Q14" s="104"/>
      <c r="R14" s="104"/>
      <c r="S14" s="104"/>
      <c r="T14" s="104"/>
      <c r="U14" s="104"/>
      <c r="V14" s="104"/>
      <c r="W14" s="104"/>
    </row>
    <row r="15" spans="2:24">
      <c r="B15" t="str">
        <f>'Refsz-Verbräuche'!D61</f>
        <v>DR - Privater PKW (Diesel)</v>
      </c>
      <c r="C15" t="s">
        <v>20</v>
      </c>
      <c r="D15" s="112"/>
      <c r="E15" s="112"/>
      <c r="F15" s="112"/>
      <c r="G15" s="112"/>
      <c r="H15" s="112"/>
      <c r="I15" s="112"/>
      <c r="J15" s="112"/>
      <c r="K15" s="104"/>
      <c r="L15" s="104"/>
      <c r="M15" s="104"/>
      <c r="N15" s="104"/>
      <c r="O15" s="104"/>
      <c r="P15" s="104"/>
      <c r="Q15" s="104"/>
      <c r="R15" s="104"/>
      <c r="S15" s="104"/>
      <c r="T15" s="104"/>
      <c r="U15" s="104"/>
      <c r="V15" s="104"/>
      <c r="W15" s="104"/>
    </row>
    <row r="16" spans="2:24">
      <c r="B16" t="str">
        <f>'Refsz-Verbräuche'!D63</f>
        <v>DR - Mietwägen (Diesel)</v>
      </c>
      <c r="C16" t="s">
        <v>20</v>
      </c>
      <c r="D16" s="112"/>
      <c r="E16" s="112"/>
      <c r="F16" s="112"/>
      <c r="G16" s="112"/>
      <c r="H16" s="112"/>
      <c r="I16" s="112"/>
      <c r="J16" s="112"/>
      <c r="K16" s="104"/>
      <c r="L16" s="104"/>
      <c r="M16" s="104"/>
      <c r="N16" s="104"/>
      <c r="O16" s="104"/>
      <c r="P16" s="104"/>
      <c r="Q16" s="104"/>
      <c r="R16" s="104"/>
      <c r="S16" s="104"/>
      <c r="T16" s="104"/>
      <c r="U16" s="104"/>
      <c r="V16" s="104"/>
      <c r="W16" s="104"/>
    </row>
    <row r="17" spans="2:24">
      <c r="B17" t="str">
        <f>'Refsz-Verbräuche'!D84</f>
        <v>Pendeln - PKW (Diesel)</v>
      </c>
      <c r="C17" t="s">
        <v>20</v>
      </c>
      <c r="D17" s="104"/>
      <c r="E17" s="104"/>
      <c r="F17" s="104"/>
      <c r="G17" s="104"/>
      <c r="H17" s="104"/>
      <c r="I17" s="104"/>
      <c r="J17" s="104"/>
      <c r="K17" s="104"/>
      <c r="L17" s="104"/>
      <c r="M17" s="104"/>
      <c r="N17" s="104"/>
      <c r="O17" s="104"/>
      <c r="P17" s="104"/>
      <c r="Q17" s="104"/>
      <c r="R17" s="104"/>
      <c r="S17" s="104"/>
      <c r="T17" s="104"/>
      <c r="U17" s="104"/>
      <c r="V17" s="104"/>
      <c r="W17" s="104"/>
    </row>
    <row r="19" spans="2:24">
      <c r="B19" s="2" t="s">
        <v>213</v>
      </c>
      <c r="C19" s="104">
        <v>8.6</v>
      </c>
      <c r="D19" t="s">
        <v>211</v>
      </c>
      <c r="E19" t="s">
        <v>214</v>
      </c>
    </row>
    <row r="20" spans="2:24">
      <c r="B20" t="s">
        <v>236</v>
      </c>
      <c r="C20" t="s">
        <v>2</v>
      </c>
      <c r="D20" t="s">
        <v>3</v>
      </c>
      <c r="E20" t="s">
        <v>4</v>
      </c>
      <c r="F20" t="s">
        <v>5</v>
      </c>
      <c r="G20" t="s">
        <v>6</v>
      </c>
      <c r="H20" t="s">
        <v>7</v>
      </c>
      <c r="I20" t="s">
        <v>8</v>
      </c>
      <c r="J20" t="s">
        <v>9</v>
      </c>
      <c r="K20" t="s">
        <v>10</v>
      </c>
      <c r="L20" t="s">
        <v>11</v>
      </c>
      <c r="M20" t="s">
        <v>12</v>
      </c>
      <c r="N20" t="s">
        <v>13</v>
      </c>
      <c r="O20" t="s">
        <v>14</v>
      </c>
      <c r="P20" t="s">
        <v>216</v>
      </c>
      <c r="Q20" t="s">
        <v>217</v>
      </c>
      <c r="R20" t="s">
        <v>218</v>
      </c>
      <c r="S20" t="s">
        <v>15</v>
      </c>
      <c r="T20" t="s">
        <v>16</v>
      </c>
      <c r="U20" t="s">
        <v>17</v>
      </c>
      <c r="V20" t="s">
        <v>18</v>
      </c>
      <c r="W20" t="s">
        <v>19</v>
      </c>
      <c r="X20" t="s">
        <v>37</v>
      </c>
    </row>
    <row r="21" spans="2:24">
      <c r="B21" t="str">
        <f>'Refsz-Verbräuche'!D49</f>
        <v>Fuhrpark (Benzin)</v>
      </c>
      <c r="C21" t="s">
        <v>20</v>
      </c>
      <c r="D21" s="104"/>
      <c r="E21" s="104"/>
      <c r="F21" s="104"/>
      <c r="G21" s="104"/>
      <c r="H21" s="104"/>
      <c r="I21" s="104"/>
      <c r="J21" s="104"/>
      <c r="K21" s="104"/>
      <c r="L21" s="104"/>
      <c r="M21" s="104"/>
      <c r="N21" s="104"/>
      <c r="O21" s="104"/>
      <c r="P21" s="104"/>
      <c r="Q21" s="104"/>
      <c r="R21" s="104"/>
      <c r="S21" s="104"/>
      <c r="T21" s="104"/>
      <c r="U21" s="104"/>
      <c r="V21" s="104"/>
      <c r="W21" s="104"/>
    </row>
    <row r="22" spans="2:24">
      <c r="B22" t="str">
        <f>'Refsz-Verbräuche'!D62</f>
        <v>DR - Privater PKW (Benzin)</v>
      </c>
      <c r="C22" t="s">
        <v>20</v>
      </c>
      <c r="D22" s="112"/>
      <c r="E22" s="112"/>
      <c r="F22" s="112"/>
      <c r="G22" s="112"/>
      <c r="H22" s="112"/>
      <c r="I22" s="112"/>
      <c r="J22" s="112"/>
      <c r="K22" s="104"/>
      <c r="L22" s="104"/>
      <c r="M22" s="104"/>
      <c r="N22" s="104"/>
      <c r="O22" s="104"/>
      <c r="P22" s="104"/>
      <c r="Q22" s="104"/>
      <c r="R22" s="104"/>
      <c r="S22" s="104"/>
      <c r="T22" s="104"/>
      <c r="U22" s="104"/>
      <c r="V22" s="104"/>
      <c r="W22" s="104"/>
    </row>
    <row r="23" spans="2:24">
      <c r="B23" t="str">
        <f>'Refsz-Verbräuche'!D64</f>
        <v>DR - Mietwägen (Benzin)</v>
      </c>
      <c r="C23" t="s">
        <v>20</v>
      </c>
      <c r="D23" s="104"/>
      <c r="E23" s="104"/>
      <c r="F23" s="104"/>
      <c r="G23" s="104"/>
      <c r="H23" s="104"/>
      <c r="I23" s="104"/>
      <c r="J23" s="104"/>
      <c r="K23" s="104"/>
      <c r="L23" s="104"/>
      <c r="M23" s="104"/>
      <c r="N23" s="104"/>
      <c r="O23" s="104"/>
      <c r="P23" s="104"/>
      <c r="Q23" s="104"/>
      <c r="R23" s="104"/>
      <c r="S23" s="104"/>
      <c r="T23" s="104"/>
      <c r="U23" s="104"/>
      <c r="V23" s="104"/>
      <c r="W23" s="104"/>
    </row>
    <row r="24" spans="2:24">
      <c r="B24" t="str">
        <f>'Refsz-Verbräuche'!D85</f>
        <v>Pendeln - PKW (Benzin)</v>
      </c>
      <c r="C24" t="s">
        <v>20</v>
      </c>
      <c r="D24" s="112"/>
      <c r="E24" s="112"/>
      <c r="F24" s="112"/>
      <c r="G24" s="112"/>
      <c r="H24" s="112"/>
      <c r="I24" s="112"/>
      <c r="J24" s="112"/>
      <c r="K24" s="104"/>
      <c r="L24" s="104"/>
      <c r="M24" s="104"/>
      <c r="N24" s="104"/>
      <c r="O24" s="104"/>
      <c r="P24" s="104"/>
      <c r="Q24" s="104"/>
      <c r="R24" s="104"/>
      <c r="S24" s="104"/>
      <c r="T24" s="104"/>
      <c r="U24" s="104"/>
      <c r="V24" s="104"/>
      <c r="W24" s="104"/>
    </row>
    <row r="26" spans="2:24">
      <c r="B26" t="s">
        <v>237</v>
      </c>
      <c r="C26" t="s">
        <v>2</v>
      </c>
      <c r="D26" t="s">
        <v>3</v>
      </c>
      <c r="E26" t="s">
        <v>4</v>
      </c>
      <c r="F26" t="s">
        <v>5</v>
      </c>
      <c r="G26" t="s">
        <v>6</v>
      </c>
      <c r="H26" t="s">
        <v>7</v>
      </c>
      <c r="I26" t="s">
        <v>8</v>
      </c>
      <c r="J26" t="s">
        <v>9</v>
      </c>
      <c r="K26" t="s">
        <v>10</v>
      </c>
      <c r="L26" t="s">
        <v>11</v>
      </c>
      <c r="M26" t="s">
        <v>12</v>
      </c>
      <c r="N26" t="s">
        <v>13</v>
      </c>
      <c r="O26" t="s">
        <v>14</v>
      </c>
      <c r="P26" t="s">
        <v>216</v>
      </c>
      <c r="Q26" t="s">
        <v>217</v>
      </c>
      <c r="R26" t="s">
        <v>218</v>
      </c>
      <c r="S26" t="s">
        <v>15</v>
      </c>
      <c r="T26" t="s">
        <v>16</v>
      </c>
      <c r="U26" t="s">
        <v>17</v>
      </c>
      <c r="V26" t="s">
        <v>18</v>
      </c>
      <c r="W26" t="s">
        <v>19</v>
      </c>
      <c r="X26" t="s">
        <v>37</v>
      </c>
    </row>
    <row r="27" spans="2:24">
      <c r="B27" t="str">
        <f>B14</f>
        <v>Fuhrpark (Diesel)</v>
      </c>
      <c r="C27" t="s">
        <v>41</v>
      </c>
      <c r="D27" t="str">
        <f t="shared" ref="D27:S30" si="0">IF(ISBLANK(D14),"",D14*(100/$C$12))</f>
        <v/>
      </c>
      <c r="E27" t="str">
        <f t="shared" si="0"/>
        <v/>
      </c>
      <c r="F27" t="str">
        <f t="shared" si="0"/>
        <v/>
      </c>
      <c r="G27" t="str">
        <f t="shared" si="0"/>
        <v/>
      </c>
      <c r="H27" t="str">
        <f t="shared" si="0"/>
        <v/>
      </c>
      <c r="I27" t="str">
        <f t="shared" si="0"/>
        <v/>
      </c>
      <c r="J27" t="str">
        <f t="shared" si="0"/>
        <v/>
      </c>
      <c r="K27" t="str">
        <f t="shared" si="0"/>
        <v/>
      </c>
      <c r="L27" t="str">
        <f t="shared" si="0"/>
        <v/>
      </c>
      <c r="M27" t="str">
        <f t="shared" si="0"/>
        <v/>
      </c>
      <c r="N27" t="str">
        <f t="shared" si="0"/>
        <v/>
      </c>
      <c r="O27" t="str">
        <f t="shared" si="0"/>
        <v/>
      </c>
      <c r="P27" t="str">
        <f t="shared" si="0"/>
        <v/>
      </c>
      <c r="Q27" t="str">
        <f t="shared" si="0"/>
        <v/>
      </c>
      <c r="R27" t="str">
        <f t="shared" si="0"/>
        <v/>
      </c>
      <c r="S27" t="str">
        <f t="shared" si="0"/>
        <v/>
      </c>
      <c r="T27" t="str">
        <f t="shared" ref="T27:W27" si="1">IF(ISBLANK(T14),"",T14*(100/$C$12))</f>
        <v/>
      </c>
      <c r="U27" t="str">
        <f t="shared" si="1"/>
        <v/>
      </c>
      <c r="V27" t="str">
        <f t="shared" si="1"/>
        <v/>
      </c>
      <c r="W27" t="str">
        <f t="shared" si="1"/>
        <v/>
      </c>
    </row>
    <row r="28" spans="2:24">
      <c r="B28" t="str">
        <f>B15</f>
        <v>DR - Privater PKW (Diesel)</v>
      </c>
      <c r="C28" t="s">
        <v>41</v>
      </c>
      <c r="D28" t="str">
        <f t="shared" si="0"/>
        <v/>
      </c>
      <c r="E28" t="str">
        <f t="shared" si="0"/>
        <v/>
      </c>
      <c r="F28" t="str">
        <f t="shared" si="0"/>
        <v/>
      </c>
      <c r="G28" t="str">
        <f t="shared" si="0"/>
        <v/>
      </c>
      <c r="H28" t="str">
        <f t="shared" si="0"/>
        <v/>
      </c>
      <c r="I28" t="str">
        <f t="shared" si="0"/>
        <v/>
      </c>
      <c r="J28" t="str">
        <f t="shared" si="0"/>
        <v/>
      </c>
      <c r="K28" t="str">
        <f t="shared" si="0"/>
        <v/>
      </c>
      <c r="L28" t="str">
        <f t="shared" ref="L28:W28" si="2">IF(ISBLANK(L15),"",L15*(100/$C$12))</f>
        <v/>
      </c>
      <c r="M28" t="str">
        <f t="shared" si="2"/>
        <v/>
      </c>
      <c r="N28" t="str">
        <f t="shared" si="2"/>
        <v/>
      </c>
      <c r="O28" t="str">
        <f t="shared" si="2"/>
        <v/>
      </c>
      <c r="P28" t="str">
        <f t="shared" si="2"/>
        <v/>
      </c>
      <c r="Q28" t="str">
        <f t="shared" si="2"/>
        <v/>
      </c>
      <c r="R28" t="str">
        <f t="shared" si="2"/>
        <v/>
      </c>
      <c r="S28" t="str">
        <f t="shared" si="2"/>
        <v/>
      </c>
      <c r="T28" t="str">
        <f t="shared" si="2"/>
        <v/>
      </c>
      <c r="U28" t="str">
        <f t="shared" si="2"/>
        <v/>
      </c>
      <c r="V28" t="str">
        <f t="shared" si="2"/>
        <v/>
      </c>
      <c r="W28" t="str">
        <f t="shared" si="2"/>
        <v/>
      </c>
    </row>
    <row r="29" spans="2:24">
      <c r="B29" t="str">
        <f>B16</f>
        <v>DR - Mietwägen (Diesel)</v>
      </c>
      <c r="C29" t="s">
        <v>41</v>
      </c>
      <c r="D29" t="str">
        <f t="shared" si="0"/>
        <v/>
      </c>
      <c r="E29" t="str">
        <f t="shared" si="0"/>
        <v/>
      </c>
      <c r="F29" t="str">
        <f t="shared" si="0"/>
        <v/>
      </c>
      <c r="G29" t="str">
        <f t="shared" si="0"/>
        <v/>
      </c>
      <c r="H29" t="str">
        <f t="shared" si="0"/>
        <v/>
      </c>
      <c r="I29" t="str">
        <f t="shared" si="0"/>
        <v/>
      </c>
      <c r="J29" t="str">
        <f t="shared" si="0"/>
        <v/>
      </c>
      <c r="K29" t="str">
        <f t="shared" si="0"/>
        <v/>
      </c>
      <c r="L29" t="str">
        <f t="shared" ref="L29:W29" si="3">IF(ISBLANK(L16),"",L16*(100/$C$12))</f>
        <v/>
      </c>
      <c r="M29" t="str">
        <f t="shared" si="3"/>
        <v/>
      </c>
      <c r="N29" t="str">
        <f t="shared" si="3"/>
        <v/>
      </c>
      <c r="O29" t="str">
        <f t="shared" si="3"/>
        <v/>
      </c>
      <c r="P29" t="str">
        <f t="shared" si="3"/>
        <v/>
      </c>
      <c r="Q29" t="str">
        <f t="shared" si="3"/>
        <v/>
      </c>
      <c r="R29" t="str">
        <f t="shared" si="3"/>
        <v/>
      </c>
      <c r="S29" t="str">
        <f t="shared" si="3"/>
        <v/>
      </c>
      <c r="T29" t="str">
        <f t="shared" si="3"/>
        <v/>
      </c>
      <c r="U29" t="str">
        <f t="shared" si="3"/>
        <v/>
      </c>
      <c r="V29" t="str">
        <f t="shared" si="3"/>
        <v/>
      </c>
      <c r="W29" t="str">
        <f t="shared" si="3"/>
        <v/>
      </c>
    </row>
    <row r="30" spans="2:24">
      <c r="B30" t="str">
        <f>B17</f>
        <v>Pendeln - PKW (Diesel)</v>
      </c>
      <c r="C30" t="s">
        <v>41</v>
      </c>
      <c r="D30" t="str">
        <f t="shared" si="0"/>
        <v/>
      </c>
      <c r="E30" t="str">
        <f t="shared" si="0"/>
        <v/>
      </c>
      <c r="F30" t="str">
        <f t="shared" si="0"/>
        <v/>
      </c>
      <c r="G30" t="str">
        <f t="shared" si="0"/>
        <v/>
      </c>
      <c r="H30" t="str">
        <f t="shared" si="0"/>
        <v/>
      </c>
      <c r="I30" t="str">
        <f t="shared" si="0"/>
        <v/>
      </c>
      <c r="J30" t="str">
        <f t="shared" si="0"/>
        <v/>
      </c>
      <c r="K30" t="str">
        <f t="shared" si="0"/>
        <v/>
      </c>
      <c r="L30" t="str">
        <f t="shared" ref="L30:W30" si="4">IF(ISBLANK(L17),"",L17*(100/$C$12))</f>
        <v/>
      </c>
      <c r="M30" t="str">
        <f t="shared" si="4"/>
        <v/>
      </c>
      <c r="N30" t="str">
        <f t="shared" si="4"/>
        <v/>
      </c>
      <c r="O30" t="str">
        <f t="shared" si="4"/>
        <v/>
      </c>
      <c r="P30" t="str">
        <f t="shared" si="4"/>
        <v/>
      </c>
      <c r="Q30" t="str">
        <f t="shared" si="4"/>
        <v/>
      </c>
      <c r="R30" t="str">
        <f t="shared" si="4"/>
        <v/>
      </c>
      <c r="S30" t="str">
        <f t="shared" si="4"/>
        <v/>
      </c>
      <c r="T30" t="str">
        <f t="shared" si="4"/>
        <v/>
      </c>
      <c r="U30" t="str">
        <f t="shared" si="4"/>
        <v/>
      </c>
      <c r="V30" t="str">
        <f t="shared" si="4"/>
        <v/>
      </c>
      <c r="W30" t="str">
        <f t="shared" si="4"/>
        <v/>
      </c>
    </row>
    <row r="31" spans="2:24">
      <c r="B31" s="1"/>
    </row>
    <row r="32" spans="2:24">
      <c r="B32" t="s">
        <v>238</v>
      </c>
      <c r="C32" t="s">
        <v>2</v>
      </c>
      <c r="D32" t="s">
        <v>3</v>
      </c>
      <c r="E32" t="s">
        <v>4</v>
      </c>
      <c r="F32" t="s">
        <v>5</v>
      </c>
      <c r="G32" t="s">
        <v>6</v>
      </c>
      <c r="H32" t="s">
        <v>7</v>
      </c>
      <c r="I32" t="s">
        <v>8</v>
      </c>
      <c r="J32" t="s">
        <v>9</v>
      </c>
      <c r="K32" t="s">
        <v>10</v>
      </c>
      <c r="L32" t="s">
        <v>11</v>
      </c>
      <c r="M32" t="s">
        <v>12</v>
      </c>
      <c r="N32" t="s">
        <v>13</v>
      </c>
      <c r="O32" t="s">
        <v>14</v>
      </c>
      <c r="P32" t="s">
        <v>216</v>
      </c>
      <c r="Q32" t="s">
        <v>217</v>
      </c>
      <c r="R32" t="s">
        <v>218</v>
      </c>
      <c r="S32" t="s">
        <v>15</v>
      </c>
      <c r="T32" t="s">
        <v>16</v>
      </c>
      <c r="U32" t="s">
        <v>17</v>
      </c>
      <c r="V32" t="s">
        <v>18</v>
      </c>
      <c r="W32" t="s">
        <v>19</v>
      </c>
      <c r="X32" t="s">
        <v>37</v>
      </c>
    </row>
    <row r="33" spans="2:24">
      <c r="B33" t="str">
        <f>B21</f>
        <v>Fuhrpark (Benzin)</v>
      </c>
      <c r="C33" t="s">
        <v>41</v>
      </c>
      <c r="D33" t="str">
        <f t="shared" ref="D33:K36" si="5">IF(ISBLANK(D21),"",D21*(100/$C$19))</f>
        <v/>
      </c>
      <c r="E33" t="str">
        <f t="shared" si="5"/>
        <v/>
      </c>
      <c r="F33" t="str">
        <f t="shared" si="5"/>
        <v/>
      </c>
      <c r="G33" t="str">
        <f t="shared" si="5"/>
        <v/>
      </c>
      <c r="H33" t="str">
        <f t="shared" si="5"/>
        <v/>
      </c>
      <c r="I33" t="str">
        <f t="shared" si="5"/>
        <v/>
      </c>
      <c r="J33" t="str">
        <f t="shared" si="5"/>
        <v/>
      </c>
      <c r="K33" t="str">
        <f t="shared" si="5"/>
        <v/>
      </c>
      <c r="L33" t="str">
        <f t="shared" ref="L33:W33" si="6">IF(ISBLANK(L21),"",L21*(100/$C$19))</f>
        <v/>
      </c>
      <c r="M33" t="str">
        <f t="shared" si="6"/>
        <v/>
      </c>
      <c r="N33" t="str">
        <f t="shared" si="6"/>
        <v/>
      </c>
      <c r="O33" t="str">
        <f t="shared" si="6"/>
        <v/>
      </c>
      <c r="P33" t="str">
        <f t="shared" si="6"/>
        <v/>
      </c>
      <c r="Q33" t="str">
        <f t="shared" si="6"/>
        <v/>
      </c>
      <c r="R33" t="str">
        <f t="shared" si="6"/>
        <v/>
      </c>
      <c r="S33" t="str">
        <f t="shared" si="6"/>
        <v/>
      </c>
      <c r="T33" t="str">
        <f t="shared" si="6"/>
        <v/>
      </c>
      <c r="U33" t="str">
        <f t="shared" si="6"/>
        <v/>
      </c>
      <c r="V33" t="str">
        <f t="shared" si="6"/>
        <v/>
      </c>
      <c r="W33" t="str">
        <f t="shared" si="6"/>
        <v/>
      </c>
    </row>
    <row r="34" spans="2:24">
      <c r="B34" t="str">
        <f>B22</f>
        <v>DR - Privater PKW (Benzin)</v>
      </c>
      <c r="C34" t="s">
        <v>41</v>
      </c>
      <c r="D34" t="str">
        <f t="shared" si="5"/>
        <v/>
      </c>
      <c r="E34" t="str">
        <f t="shared" si="5"/>
        <v/>
      </c>
      <c r="F34" t="str">
        <f t="shared" si="5"/>
        <v/>
      </c>
      <c r="G34" t="str">
        <f t="shared" si="5"/>
        <v/>
      </c>
      <c r="H34" t="str">
        <f t="shared" si="5"/>
        <v/>
      </c>
      <c r="I34" t="str">
        <f t="shared" si="5"/>
        <v/>
      </c>
      <c r="J34" t="str">
        <f t="shared" si="5"/>
        <v/>
      </c>
      <c r="K34" t="str">
        <f t="shared" si="5"/>
        <v/>
      </c>
      <c r="L34" t="str">
        <f t="shared" ref="L34:W34" si="7">IF(ISBLANK(L22),"",L22*(100/$C$19))</f>
        <v/>
      </c>
      <c r="M34" t="str">
        <f t="shared" si="7"/>
        <v/>
      </c>
      <c r="N34" t="str">
        <f t="shared" si="7"/>
        <v/>
      </c>
      <c r="O34" t="str">
        <f t="shared" si="7"/>
        <v/>
      </c>
      <c r="P34" t="str">
        <f t="shared" si="7"/>
        <v/>
      </c>
      <c r="Q34" t="str">
        <f t="shared" si="7"/>
        <v/>
      </c>
      <c r="R34" t="str">
        <f t="shared" si="7"/>
        <v/>
      </c>
      <c r="S34" t="str">
        <f t="shared" si="7"/>
        <v/>
      </c>
      <c r="T34" t="str">
        <f t="shared" si="7"/>
        <v/>
      </c>
      <c r="U34" t="str">
        <f t="shared" si="7"/>
        <v/>
      </c>
      <c r="V34" t="str">
        <f t="shared" si="7"/>
        <v/>
      </c>
      <c r="W34" t="str">
        <f t="shared" si="7"/>
        <v/>
      </c>
    </row>
    <row r="35" spans="2:24">
      <c r="B35" t="str">
        <f>B23</f>
        <v>DR - Mietwägen (Benzin)</v>
      </c>
      <c r="C35" t="s">
        <v>41</v>
      </c>
      <c r="D35" t="str">
        <f t="shared" si="5"/>
        <v/>
      </c>
      <c r="E35" t="str">
        <f t="shared" si="5"/>
        <v/>
      </c>
      <c r="F35" t="str">
        <f t="shared" si="5"/>
        <v/>
      </c>
      <c r="G35" t="str">
        <f t="shared" si="5"/>
        <v/>
      </c>
      <c r="H35" t="str">
        <f t="shared" si="5"/>
        <v/>
      </c>
      <c r="I35" t="str">
        <f t="shared" si="5"/>
        <v/>
      </c>
      <c r="J35" t="str">
        <f t="shared" si="5"/>
        <v/>
      </c>
      <c r="K35" t="str">
        <f t="shared" si="5"/>
        <v/>
      </c>
      <c r="L35" t="str">
        <f t="shared" ref="L35:W35" si="8">IF(ISBLANK(L23),"",L23*(100/$C$19))</f>
        <v/>
      </c>
      <c r="M35" t="str">
        <f t="shared" si="8"/>
        <v/>
      </c>
      <c r="N35" t="str">
        <f t="shared" si="8"/>
        <v/>
      </c>
      <c r="O35" t="str">
        <f t="shared" si="8"/>
        <v/>
      </c>
      <c r="P35" t="str">
        <f t="shared" si="8"/>
        <v/>
      </c>
      <c r="Q35" t="str">
        <f t="shared" si="8"/>
        <v/>
      </c>
      <c r="R35" t="str">
        <f t="shared" si="8"/>
        <v/>
      </c>
      <c r="S35" t="str">
        <f t="shared" si="8"/>
        <v/>
      </c>
      <c r="T35" t="str">
        <f t="shared" si="8"/>
        <v/>
      </c>
      <c r="U35" t="str">
        <f t="shared" si="8"/>
        <v/>
      </c>
      <c r="V35" t="str">
        <f t="shared" si="8"/>
        <v/>
      </c>
      <c r="W35" t="str">
        <f t="shared" si="8"/>
        <v/>
      </c>
    </row>
    <row r="36" spans="2:24">
      <c r="B36" t="str">
        <f>B24</f>
        <v>Pendeln - PKW (Benzin)</v>
      </c>
      <c r="C36" t="s">
        <v>41</v>
      </c>
      <c r="D36" t="str">
        <f t="shared" si="5"/>
        <v/>
      </c>
      <c r="E36" t="str">
        <f t="shared" si="5"/>
        <v/>
      </c>
      <c r="F36" t="str">
        <f t="shared" si="5"/>
        <v/>
      </c>
      <c r="G36" t="str">
        <f t="shared" si="5"/>
        <v/>
      </c>
      <c r="H36" t="str">
        <f t="shared" si="5"/>
        <v/>
      </c>
      <c r="I36" t="str">
        <f t="shared" si="5"/>
        <v/>
      </c>
      <c r="J36" t="str">
        <f t="shared" si="5"/>
        <v/>
      </c>
      <c r="K36" t="str">
        <f t="shared" si="5"/>
        <v/>
      </c>
      <c r="L36" t="str">
        <f t="shared" ref="L36:W36" si="9">IF(ISBLANK(L24),"",L24*(100/$C$19))</f>
        <v/>
      </c>
      <c r="M36" t="str">
        <f t="shared" si="9"/>
        <v/>
      </c>
      <c r="N36" t="str">
        <f t="shared" si="9"/>
        <v/>
      </c>
      <c r="O36" t="str">
        <f t="shared" si="9"/>
        <v/>
      </c>
      <c r="P36" t="str">
        <f t="shared" si="9"/>
        <v/>
      </c>
      <c r="Q36" t="str">
        <f t="shared" si="9"/>
        <v/>
      </c>
      <c r="R36" t="str">
        <f t="shared" si="9"/>
        <v/>
      </c>
      <c r="S36" t="str">
        <f t="shared" si="9"/>
        <v/>
      </c>
      <c r="T36" t="str">
        <f t="shared" si="9"/>
        <v/>
      </c>
      <c r="U36" t="str">
        <f t="shared" si="9"/>
        <v/>
      </c>
      <c r="V36" t="str">
        <f t="shared" si="9"/>
        <v/>
      </c>
      <c r="W36" t="str">
        <f t="shared" si="9"/>
        <v/>
      </c>
    </row>
    <row r="37" spans="2:24">
      <c r="B37" s="26"/>
    </row>
    <row r="38" spans="2:24">
      <c r="B38" s="1"/>
    </row>
    <row r="39" spans="2:24" ht="15.5">
      <c r="B39" s="6" t="s">
        <v>460</v>
      </c>
      <c r="L39" s="25" t="s">
        <v>631</v>
      </c>
    </row>
    <row r="41" spans="2:24">
      <c r="B41" t="s">
        <v>23</v>
      </c>
      <c r="C41" t="s">
        <v>2</v>
      </c>
      <c r="D41" t="s">
        <v>3</v>
      </c>
      <c r="E41" t="s">
        <v>4</v>
      </c>
      <c r="F41" t="s">
        <v>5</v>
      </c>
      <c r="G41" t="s">
        <v>6</v>
      </c>
      <c r="H41" t="s">
        <v>7</v>
      </c>
      <c r="I41" t="s">
        <v>8</v>
      </c>
      <c r="J41" t="s">
        <v>9</v>
      </c>
      <c r="K41" t="s">
        <v>10</v>
      </c>
      <c r="L41" t="s">
        <v>11</v>
      </c>
      <c r="M41" t="s">
        <v>12</v>
      </c>
      <c r="N41" t="s">
        <v>13</v>
      </c>
      <c r="O41" t="s">
        <v>14</v>
      </c>
      <c r="P41" t="s">
        <v>216</v>
      </c>
      <c r="Q41" t="s">
        <v>217</v>
      </c>
      <c r="R41" t="s">
        <v>218</v>
      </c>
      <c r="S41" t="s">
        <v>15</v>
      </c>
      <c r="T41" t="s">
        <v>16</v>
      </c>
      <c r="U41" t="s">
        <v>17</v>
      </c>
      <c r="V41" t="s">
        <v>18</v>
      </c>
      <c r="W41" t="s">
        <v>19</v>
      </c>
      <c r="X41" t="s">
        <v>37</v>
      </c>
    </row>
    <row r="42" spans="2:24">
      <c r="B42" t="s">
        <v>23</v>
      </c>
      <c r="C42" t="s">
        <v>22</v>
      </c>
      <c r="D42" s="110"/>
      <c r="E42" s="110"/>
      <c r="F42" s="110"/>
      <c r="G42" s="110"/>
      <c r="H42" s="110"/>
      <c r="I42" s="110"/>
      <c r="J42" s="110"/>
      <c r="K42" s="110"/>
      <c r="L42" s="104"/>
      <c r="M42" s="104"/>
      <c r="N42" s="104"/>
      <c r="O42" s="104"/>
      <c r="P42" s="104"/>
      <c r="Q42" s="104"/>
      <c r="R42" s="104"/>
      <c r="S42" s="104"/>
      <c r="T42" s="104"/>
      <c r="U42" s="104"/>
      <c r="V42" s="104"/>
      <c r="W42" s="104"/>
    </row>
    <row r="43" spans="2:24">
      <c r="B43" t="s">
        <v>23</v>
      </c>
      <c r="C43" t="s">
        <v>24</v>
      </c>
      <c r="D43" s="110"/>
      <c r="E43" s="110"/>
      <c r="F43" s="110"/>
      <c r="G43" s="110"/>
      <c r="H43" s="110"/>
      <c r="I43" s="110"/>
      <c r="J43" s="110"/>
      <c r="K43" s="110"/>
      <c r="L43" s="104"/>
      <c r="M43" s="104"/>
      <c r="N43" s="104"/>
      <c r="O43" s="104"/>
      <c r="P43" s="104"/>
      <c r="Q43" s="104"/>
      <c r="R43" s="104"/>
      <c r="S43" s="104"/>
      <c r="T43" s="104"/>
      <c r="U43" s="104"/>
      <c r="V43" s="104"/>
      <c r="W43" s="104"/>
    </row>
    <row r="44" spans="2:24">
      <c r="B44" t="s">
        <v>23</v>
      </c>
      <c r="C44" t="s">
        <v>26</v>
      </c>
      <c r="D44" s="110"/>
      <c r="E44" s="110"/>
      <c r="F44" s="110"/>
      <c r="G44" s="110"/>
      <c r="H44" s="110"/>
      <c r="I44" s="110"/>
      <c r="J44" s="110"/>
      <c r="K44" s="110"/>
      <c r="L44" s="104"/>
      <c r="M44" s="104"/>
      <c r="N44" s="104"/>
      <c r="O44" s="104"/>
      <c r="P44" s="104"/>
      <c r="Q44" s="104"/>
      <c r="R44" s="104"/>
      <c r="S44" s="104"/>
      <c r="T44" s="104"/>
      <c r="U44" s="104"/>
      <c r="V44" s="104"/>
      <c r="W44" s="104"/>
    </row>
    <row r="45" spans="2:24">
      <c r="B45" s="23" t="s">
        <v>240</v>
      </c>
      <c r="C45" s="23" t="s">
        <v>24</v>
      </c>
      <c r="D45" s="14" t="str">
        <f t="shared" ref="D45:J45" si="10">IF(AND(ISBLANK(D42),ISBLANK(D43),ISBLANK(D44)),"",D43+(D42*2)+(D44/2))</f>
        <v/>
      </c>
      <c r="E45" s="14" t="str">
        <f t="shared" si="10"/>
        <v/>
      </c>
      <c r="F45" s="14" t="str">
        <f t="shared" si="10"/>
        <v/>
      </c>
      <c r="G45" s="14" t="str">
        <f t="shared" si="10"/>
        <v/>
      </c>
      <c r="H45" s="14" t="str">
        <f t="shared" si="10"/>
        <v/>
      </c>
      <c r="I45" s="14" t="str">
        <f t="shared" si="10"/>
        <v/>
      </c>
      <c r="J45" s="14" t="str">
        <f t="shared" si="10"/>
        <v/>
      </c>
      <c r="K45" s="14" t="str">
        <f>IF(AND(ISBLANK(K42),ISBLANK(K43),ISBLANK(K44)),"",K43+(K42*2)+(K44/2))</f>
        <v/>
      </c>
      <c r="L45" s="14" t="str">
        <f t="shared" ref="L45:W45" si="11">IF(AND(ISBLANK(L42),ISBLANK(L43),ISBLANK(L44)),"",L43+(L42*2)+(L44/2))</f>
        <v/>
      </c>
      <c r="M45" s="14" t="str">
        <f t="shared" si="11"/>
        <v/>
      </c>
      <c r="N45" s="14" t="str">
        <f t="shared" si="11"/>
        <v/>
      </c>
      <c r="O45" s="14" t="str">
        <f t="shared" si="11"/>
        <v/>
      </c>
      <c r="P45" s="14" t="str">
        <f t="shared" si="11"/>
        <v/>
      </c>
      <c r="Q45" s="14" t="str">
        <f t="shared" si="11"/>
        <v/>
      </c>
      <c r="R45" s="14" t="str">
        <f t="shared" si="11"/>
        <v/>
      </c>
      <c r="S45" s="14" t="str">
        <f t="shared" si="11"/>
        <v/>
      </c>
      <c r="T45" s="14" t="str">
        <f t="shared" si="11"/>
        <v/>
      </c>
      <c r="U45" s="14" t="str">
        <f t="shared" si="11"/>
        <v/>
      </c>
      <c r="V45" s="14" t="str">
        <f t="shared" si="11"/>
        <v/>
      </c>
      <c r="W45" s="14" t="str">
        <f t="shared" si="11"/>
        <v/>
      </c>
      <c r="X45" s="23"/>
    </row>
    <row r="47" spans="2:24">
      <c r="B47" t="s">
        <v>21</v>
      </c>
      <c r="C47" t="s">
        <v>2</v>
      </c>
      <c r="D47" t="s">
        <v>3</v>
      </c>
      <c r="E47" t="s">
        <v>4</v>
      </c>
      <c r="F47" t="s">
        <v>5</v>
      </c>
      <c r="G47" t="s">
        <v>6</v>
      </c>
      <c r="H47" t="s">
        <v>7</v>
      </c>
      <c r="I47" t="s">
        <v>8</v>
      </c>
      <c r="J47" t="s">
        <v>9</v>
      </c>
      <c r="K47" t="s">
        <v>10</v>
      </c>
      <c r="L47" t="s">
        <v>11</v>
      </c>
      <c r="M47" t="s">
        <v>12</v>
      </c>
      <c r="N47" t="s">
        <v>13</v>
      </c>
      <c r="O47" t="s">
        <v>14</v>
      </c>
      <c r="P47" t="s">
        <v>216</v>
      </c>
      <c r="Q47" t="s">
        <v>217</v>
      </c>
      <c r="R47" t="s">
        <v>218</v>
      </c>
      <c r="S47" t="s">
        <v>15</v>
      </c>
      <c r="T47" t="s">
        <v>16</v>
      </c>
      <c r="U47" t="s">
        <v>17</v>
      </c>
      <c r="V47" t="s">
        <v>18</v>
      </c>
      <c r="W47" t="s">
        <v>19</v>
      </c>
      <c r="X47" t="s">
        <v>37</v>
      </c>
    </row>
    <row r="48" spans="2:24">
      <c r="B48" t="s">
        <v>21</v>
      </c>
      <c r="C48" t="s">
        <v>22</v>
      </c>
      <c r="D48" s="110"/>
      <c r="E48" s="110"/>
      <c r="F48" s="110"/>
      <c r="G48" s="110"/>
      <c r="H48" s="110"/>
      <c r="I48" s="110"/>
      <c r="J48" s="110"/>
      <c r="K48" s="110"/>
      <c r="L48" s="104"/>
      <c r="M48" s="104"/>
      <c r="N48" s="104"/>
      <c r="O48" s="104"/>
      <c r="P48" s="104"/>
      <c r="Q48" s="104"/>
      <c r="R48" s="104"/>
      <c r="S48" s="104"/>
      <c r="T48" s="104"/>
      <c r="U48" s="104"/>
      <c r="V48" s="104"/>
      <c r="W48" s="104"/>
    </row>
    <row r="49" spans="2:24">
      <c r="B49" t="s">
        <v>21</v>
      </c>
      <c r="C49" t="s">
        <v>24</v>
      </c>
      <c r="D49" s="110"/>
      <c r="E49" s="110"/>
      <c r="F49" s="110"/>
      <c r="G49" s="110"/>
      <c r="H49" s="110"/>
      <c r="I49" s="110"/>
      <c r="J49" s="110"/>
      <c r="K49" s="110"/>
      <c r="L49" s="104"/>
      <c r="M49" s="104"/>
      <c r="N49" s="104"/>
      <c r="O49" s="104"/>
      <c r="P49" s="104"/>
      <c r="Q49" s="104"/>
      <c r="R49" s="104"/>
      <c r="S49" s="104"/>
      <c r="T49" s="104"/>
      <c r="U49" s="104"/>
      <c r="V49" s="104"/>
      <c r="W49" s="104"/>
      <c r="X49" t="s">
        <v>25</v>
      </c>
    </row>
    <row r="50" spans="2:24">
      <c r="B50" t="s">
        <v>21</v>
      </c>
      <c r="C50" t="s">
        <v>26</v>
      </c>
      <c r="D50" s="110"/>
      <c r="E50" s="110"/>
      <c r="F50" s="110"/>
      <c r="G50" s="110"/>
      <c r="H50" s="110"/>
      <c r="I50" s="110"/>
      <c r="J50" s="110"/>
      <c r="K50" s="110"/>
      <c r="L50" s="104"/>
      <c r="M50" s="104"/>
      <c r="N50" s="104"/>
      <c r="O50" s="104"/>
      <c r="P50" s="104"/>
      <c r="Q50" s="104"/>
      <c r="R50" s="104"/>
      <c r="S50" s="104"/>
      <c r="T50" s="104"/>
      <c r="U50" s="104"/>
      <c r="V50" s="104"/>
      <c r="W50" s="104"/>
    </row>
    <row r="51" spans="2:24">
      <c r="B51" s="23" t="s">
        <v>240</v>
      </c>
      <c r="C51" s="23" t="s">
        <v>24</v>
      </c>
      <c r="D51" s="14" t="str">
        <f t="shared" ref="D51:J51" si="12">IF(AND(ISBLANK(D48),ISBLANK(D49),ISBLANK(D50)),"",D49+(D48*2)+(D50/2))</f>
        <v/>
      </c>
      <c r="E51" s="14" t="str">
        <f t="shared" si="12"/>
        <v/>
      </c>
      <c r="F51" s="14" t="str">
        <f t="shared" si="12"/>
        <v/>
      </c>
      <c r="G51" s="14" t="str">
        <f t="shared" si="12"/>
        <v/>
      </c>
      <c r="H51" s="14" t="str">
        <f t="shared" si="12"/>
        <v/>
      </c>
      <c r="I51" s="14" t="str">
        <f t="shared" si="12"/>
        <v/>
      </c>
      <c r="J51" s="14" t="str">
        <f t="shared" si="12"/>
        <v/>
      </c>
      <c r="K51" s="14" t="str">
        <f>IF(AND(ISBLANK(K48),ISBLANK(K49),ISBLANK(K50)),"",K49+(K48*2)+(K50/2))</f>
        <v/>
      </c>
      <c r="L51" s="14" t="str">
        <f t="shared" ref="L51:W51" si="13">IF(AND(ISBLANK(L48),ISBLANK(L49),ISBLANK(L50)),"",L49+(L48*2)+(L50/2))</f>
        <v/>
      </c>
      <c r="M51" s="14" t="str">
        <f t="shared" si="13"/>
        <v/>
      </c>
      <c r="N51" s="14" t="str">
        <f t="shared" si="13"/>
        <v/>
      </c>
      <c r="O51" s="14" t="str">
        <f t="shared" si="13"/>
        <v/>
      </c>
      <c r="P51" s="14" t="str">
        <f t="shared" si="13"/>
        <v/>
      </c>
      <c r="Q51" s="14" t="str">
        <f t="shared" si="13"/>
        <v/>
      </c>
      <c r="R51" s="14" t="str">
        <f t="shared" si="13"/>
        <v/>
      </c>
      <c r="S51" s="14" t="str">
        <f t="shared" si="13"/>
        <v/>
      </c>
      <c r="T51" s="14" t="str">
        <f t="shared" si="13"/>
        <v/>
      </c>
      <c r="U51" s="14" t="str">
        <f t="shared" si="13"/>
        <v/>
      </c>
      <c r="V51" s="14" t="str">
        <f t="shared" si="13"/>
        <v/>
      </c>
      <c r="W51" s="14" t="str">
        <f t="shared" si="13"/>
        <v/>
      </c>
      <c r="X51" s="23"/>
    </row>
    <row r="53" spans="2:24">
      <c r="B53" t="s">
        <v>413</v>
      </c>
      <c r="C53" t="s">
        <v>2</v>
      </c>
      <c r="D53" t="s">
        <v>3</v>
      </c>
      <c r="E53" t="s">
        <v>4</v>
      </c>
      <c r="F53" t="s">
        <v>5</v>
      </c>
      <c r="G53" t="s">
        <v>6</v>
      </c>
      <c r="H53" t="s">
        <v>7</v>
      </c>
      <c r="I53" t="s">
        <v>8</v>
      </c>
      <c r="J53" t="s">
        <v>9</v>
      </c>
      <c r="K53" t="s">
        <v>10</v>
      </c>
      <c r="L53" t="s">
        <v>11</v>
      </c>
      <c r="M53" t="s">
        <v>12</v>
      </c>
      <c r="N53" t="s">
        <v>13</v>
      </c>
      <c r="O53" t="s">
        <v>14</v>
      </c>
      <c r="P53" t="s">
        <v>216</v>
      </c>
      <c r="Q53" t="s">
        <v>217</v>
      </c>
      <c r="R53" t="s">
        <v>218</v>
      </c>
      <c r="S53" t="s">
        <v>15</v>
      </c>
      <c r="T53" t="s">
        <v>16</v>
      </c>
      <c r="U53" t="s">
        <v>17</v>
      </c>
      <c r="V53" t="s">
        <v>18</v>
      </c>
      <c r="W53" t="s">
        <v>19</v>
      </c>
      <c r="X53" t="s">
        <v>37</v>
      </c>
    </row>
    <row r="54" spans="2:24">
      <c r="B54" t="s">
        <v>23</v>
      </c>
      <c r="C54" t="s">
        <v>44</v>
      </c>
      <c r="D54" t="str">
        <f>IF(AND(ISBLANK(D42),ISBLANK(D43),ISBLANK(D44)),"",Frischfaserpapier_Anzahl_Blatt[[#Totals],[2015]]*5/1000 )</f>
        <v/>
      </c>
      <c r="E54" t="str">
        <f>IF(AND(ISBLANK(E42),ISBLANK(E43),ISBLANK(E44)),"",Frischfaserpapier_Anzahl_Blatt[[#Totals],[2016]]*5/1000 )</f>
        <v/>
      </c>
      <c r="F54" t="str">
        <f>IF(AND(ISBLANK(F42),ISBLANK(F43),ISBLANK(F44)),"",Frischfaserpapier_Anzahl_Blatt[[#Totals],[2017]]*5/1000 )</f>
        <v/>
      </c>
      <c r="G54" t="str">
        <f>IF(AND(ISBLANK(G42),ISBLANK(G43),ISBLANK(G44)),"",Frischfaserpapier_Anzahl_Blatt[[#Totals],[2018]]*5/1000 )</f>
        <v/>
      </c>
      <c r="H54" t="str">
        <f>IF(AND(ISBLANK(H42),ISBLANK(H43),ISBLANK(H44)),"",Frischfaserpapier_Anzahl_Blatt[[#Totals],[2019]]*5/1000 )</f>
        <v/>
      </c>
      <c r="I54" t="str">
        <f>IF(AND(ISBLANK(I42),ISBLANK(I43),ISBLANK(I44)),"",Frischfaserpapier_Anzahl_Blatt[[#Totals],[2020]]*5/1000 )</f>
        <v/>
      </c>
      <c r="J54" t="str">
        <f>IF(AND(ISBLANK(J42),ISBLANK(J43),ISBLANK(J44)),"",Frischfaserpapier_Anzahl_Blatt[[#Totals],[2021]]*5/1000 )</f>
        <v/>
      </c>
      <c r="K54" t="str">
        <f>IF(AND(ISBLANK(K42),ISBLANK(K43),ISBLANK(K44)),"",Frischfaserpapier_Anzahl_Blatt[[#Totals],[2022]]*5/1000 )</f>
        <v/>
      </c>
      <c r="L54" t="str">
        <f>IF(AND(ISBLANK(L42),ISBLANK(L43),ISBLANK(L44)),"",Frischfaserpapier_Anzahl_Blatt[[#Totals],[2023]]*5/1000 )</f>
        <v/>
      </c>
      <c r="M54" t="str">
        <f>IF(AND(ISBLANK(M42),ISBLANK(M43),ISBLANK(M44)),"",Frischfaserpapier_Anzahl_Blatt[[#Totals],[2024]]*5/1000 )</f>
        <v/>
      </c>
      <c r="N54" t="str">
        <f>IF(AND(ISBLANK(N42),ISBLANK(N43),ISBLANK(N44)),"",Frischfaserpapier_Anzahl_Blatt[[#Totals],[2025]]*5/1000 )</f>
        <v/>
      </c>
      <c r="O54" t="str">
        <f>IF(AND(ISBLANK(O42),ISBLANK(O43),ISBLANK(O44)),"",Frischfaserpapier_Anzahl_Blatt[[#Totals],[2026]]*5/1000 )</f>
        <v/>
      </c>
      <c r="P54" t="str">
        <f>IF(AND(ISBLANK(P42),ISBLANK(P43),ISBLANK(P44)),"",Frischfaserpapier_Anzahl_Blatt[[#Totals],[2027]]*5/1000 )</f>
        <v/>
      </c>
      <c r="Q54" t="str">
        <f>IF(AND(ISBLANK(Q42),ISBLANK(Q43),ISBLANK(Q44)),"",Frischfaserpapier_Anzahl_Blatt[[#Totals],[2028]]*5/1000 )</f>
        <v/>
      </c>
      <c r="R54" t="str">
        <f>IF(AND(ISBLANK(R42),ISBLANK(R43),ISBLANK(R44)),"",Frischfaserpapier_Anzahl_Blatt[[#Totals],[2029]]*5/1000 )</f>
        <v/>
      </c>
      <c r="S54" t="str">
        <f>IF(AND(ISBLANK(S42),ISBLANK(S43),ISBLANK(S44)),"",Frischfaserpapier_Anzahl_Blatt[[#Totals],[2030]]*5/1000 )</f>
        <v/>
      </c>
      <c r="T54" t="str">
        <f>IF(AND(ISBLANK(T42),ISBLANK(T43),ISBLANK(T44)),"",Frischfaserpapier_Anzahl_Blatt[[#Totals],[2035]]*5/1000 )</f>
        <v/>
      </c>
      <c r="U54" t="str">
        <f>IF(AND(ISBLANK(U42),ISBLANK(U43),ISBLANK(U44)),"",Frischfaserpapier_Anzahl_Blatt[[#Totals],[2040]]*5/1000 )</f>
        <v/>
      </c>
      <c r="V54" t="str">
        <f>IF(AND(ISBLANK(V42),ISBLANK(V43),ISBLANK(V44)),"",Frischfaserpapier_Anzahl_Blatt[[#Totals],[2045]]*5/1000 )</f>
        <v/>
      </c>
      <c r="W54" t="str">
        <f>IF(AND(ISBLANK(W42),ISBLANK(W43),ISBLANK(W44)),"",Frischfaserpapier_Anzahl_Blatt[[#Totals],[2050]]*5/1000 )</f>
        <v/>
      </c>
    </row>
    <row r="55" spans="2:24">
      <c r="B55" t="s">
        <v>21</v>
      </c>
      <c r="C55" t="s">
        <v>44</v>
      </c>
      <c r="D55" t="str">
        <f>IF(AND(ISBLANK(D48),ISBLANK(D49),ISBLANK(D50)),"",Recyclingpapier_Anzahl_Blatt[[#Totals],[2015]]*5/1000 )</f>
        <v/>
      </c>
      <c r="E55" t="str">
        <f>IF(AND(ISBLANK(E48),ISBLANK(E49),ISBLANK(E50)),"",Recyclingpapier_Anzahl_Blatt[[#Totals],[2016]]*5/1000 )</f>
        <v/>
      </c>
      <c r="F55" t="str">
        <f>IF(AND(ISBLANK(F48),ISBLANK(F49),ISBLANK(F50)),"",Recyclingpapier_Anzahl_Blatt[[#Totals],[2017]]*5/1000 )</f>
        <v/>
      </c>
      <c r="G55" t="str">
        <f>IF(AND(ISBLANK(G48),ISBLANK(G49),ISBLANK(G50)),"",Recyclingpapier_Anzahl_Blatt[[#Totals],[2018]]*5/1000 )</f>
        <v/>
      </c>
      <c r="H55" t="str">
        <f>IF(AND(ISBLANK(H48),ISBLANK(H49),ISBLANK(H50)),"",Recyclingpapier_Anzahl_Blatt[[#Totals],[2019]]*5/1000 )</f>
        <v/>
      </c>
      <c r="I55" t="str">
        <f>IF(AND(ISBLANK(I48),ISBLANK(I49),ISBLANK(I50)),"",Recyclingpapier_Anzahl_Blatt[[#Totals],[2020]]*5/1000 )</f>
        <v/>
      </c>
      <c r="J55" t="str">
        <f>IF(AND(ISBLANK(J48),ISBLANK(J49),ISBLANK(J50)),"",Recyclingpapier_Anzahl_Blatt[[#Totals],[2021]]*5/1000 )</f>
        <v/>
      </c>
      <c r="K55" t="str">
        <f>IF(AND(ISBLANK(K48),ISBLANK(K49),ISBLANK(K50)),"",Recyclingpapier_Anzahl_Blatt[[#Totals],[2022]]*5/1000 )</f>
        <v/>
      </c>
      <c r="L55" t="str">
        <f>IF(AND(ISBLANK(L48),ISBLANK(L49),ISBLANK(L50)),"",Recyclingpapier_Anzahl_Blatt[[#Totals],[2023]]*5/1000 )</f>
        <v/>
      </c>
      <c r="M55" t="str">
        <f>IF(AND(ISBLANK(M48),ISBLANK(M49),ISBLANK(M50)),"",Recyclingpapier_Anzahl_Blatt[[#Totals],[2024]]*5/1000 )</f>
        <v/>
      </c>
      <c r="N55" t="str">
        <f>IF(AND(ISBLANK(N48),ISBLANK(N49),ISBLANK(N50)),"",Recyclingpapier_Anzahl_Blatt[[#Totals],[2025]]*5/1000 )</f>
        <v/>
      </c>
      <c r="O55" t="str">
        <f>IF(AND(ISBLANK(O48),ISBLANK(O49),ISBLANK(O50)),"",Recyclingpapier_Anzahl_Blatt[[#Totals],[2026]]*5/1000 )</f>
        <v/>
      </c>
      <c r="P55" t="str">
        <f>IF(AND(ISBLANK(P48),ISBLANK(P49),ISBLANK(P50)),"",Recyclingpapier_Anzahl_Blatt[[#Totals],[2027]]*5/1000 )</f>
        <v/>
      </c>
      <c r="Q55" t="str">
        <f>IF(AND(ISBLANK(Q48),ISBLANK(Q49),ISBLANK(Q50)),"",Recyclingpapier_Anzahl_Blatt[[#Totals],[2028]]*5/1000 )</f>
        <v/>
      </c>
      <c r="R55" t="str">
        <f>IF(AND(ISBLANK(R48),ISBLANK(R49),ISBLANK(R50)),"",Recyclingpapier_Anzahl_Blatt[[#Totals],[2029]]*5/1000 )</f>
        <v/>
      </c>
      <c r="S55" t="str">
        <f>IF(AND(ISBLANK(S48),ISBLANK(S49),ISBLANK(S50)),"",Recyclingpapier_Anzahl_Blatt[[#Totals],[2030]]*5/1000 )</f>
        <v/>
      </c>
      <c r="T55" t="str">
        <f>IF(AND(ISBLANK(T48),ISBLANK(T49),ISBLANK(T50)),"",Recyclingpapier_Anzahl_Blatt[[#Totals],[2035]]*5/1000 )</f>
        <v/>
      </c>
      <c r="U55" t="str">
        <f>IF(AND(ISBLANK(U48),ISBLANK(U49),ISBLANK(U50)),"",Recyclingpapier_Anzahl_Blatt[[#Totals],[2040]]*5/1000 )</f>
        <v/>
      </c>
      <c r="V55" t="str">
        <f>IF(AND(ISBLANK(V48),ISBLANK(V49),ISBLANK(V50)),"",Recyclingpapier_Anzahl_Blatt[[#Totals],[2045]]*5/1000 )</f>
        <v/>
      </c>
      <c r="W55" t="str">
        <f>IF(AND(ISBLANK(W48),ISBLANK(W49),ISBLANK(W50)),"",Recyclingpapier_Anzahl_Blatt[[#Totals],[2050]]*5/1000 )</f>
        <v/>
      </c>
      <c r="X55" t="s">
        <v>25</v>
      </c>
    </row>
  </sheetData>
  <hyperlinks>
    <hyperlink ref="B6" location="Umrechnen!B9" display="   1. Mobilität (Liter in Kilometer)" xr:uid="{D2E0494B-BE83-4A08-82BC-FC84EBDC65BA}"/>
    <hyperlink ref="B7" location="Umrechnen!B39" display="   2. Papier (Blatt in Kilogramm)" xr:uid="{C23F8C85-8D98-492D-B60E-D8736CFF3DEC}"/>
    <hyperlink ref="L1" r:id="rId1" tooltip="Kontakt zur Autorin" display="Kontakt zur Autorin" xr:uid="{CCB53265-F5EE-41D1-A8C1-8BE727A95005}"/>
    <hyperlink ref="B1" location="Startseite!B44" tooltip="Zurück zur Einleitung" display="      Zur Navigation" xr:uid="{857759A2-472B-40C7-8523-391F8341D60B}"/>
    <hyperlink ref="L10" location="Startseite!H51" display="      Zum Handbuch" xr:uid="{0E93B6FC-1990-4DA4-A398-79C1FF897F14}"/>
    <hyperlink ref="L39" location="Startseite!H51" display="      Zum Handbuch" xr:uid="{32A55D40-BFF2-48FB-985E-6F331E94D474}"/>
  </hyperlinks>
  <pageMargins left="0.7" right="0.7" top="0.78740157499999996" bottom="0.78740157499999996" header="0.3" footer="0.3"/>
  <pageSetup paperSize="9" orientation="portrait" r:id="rId2"/>
  <drawing r:id="rId3"/>
  <tableParts count="7">
    <tablePart r:id="rId4"/>
    <tablePart r:id="rId5"/>
    <tablePart r:id="rId6"/>
    <tablePart r:id="rId7"/>
    <tablePart r:id="rId8"/>
    <tablePart r:id="rId9"/>
    <tablePart r:id="rId10"/>
  </tableParts>
  <extLst>
    <ext xmlns:x14="http://schemas.microsoft.com/office/spreadsheetml/2009/9/main" uri="{78C0D931-6437-407d-A8EE-F0AAD7539E65}">
      <x14:conditionalFormattings>
        <x14:conditionalFormatting xmlns:xm="http://schemas.microsoft.com/office/excel/2006/main">
          <x14:cfRule type="expression" priority="110" id="{3D8E0A3E-AFAE-4C92-BD74-A7688C97659C}">
            <xm:f>K$13&gt;=Startseite!$D$68</xm:f>
            <x14:dxf>
              <fill>
                <patternFill>
                  <bgColor rgb="FFFFC000"/>
                </patternFill>
              </fill>
            </x14:dxf>
          </x14:cfRule>
          <xm:sqref>K14:W17 K21:W24 K27:W30 K33:W36 K42:W44 K48:W50 K54:W55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31459-F279-4A01-8707-3F6E020ECB4C}">
  <sheetPr>
    <tabColor rgb="FF7030A0"/>
  </sheetPr>
  <dimension ref="B1:X216"/>
  <sheetViews>
    <sheetView showGridLines="0" zoomScaleNormal="100" workbookViewId="0">
      <pane xSplit="2" ySplit="1" topLeftCell="C2" activePane="bottomRight" state="frozen"/>
      <selection pane="topRight" activeCell="C1" sqref="C1"/>
      <selection pane="bottomLeft" activeCell="A2" sqref="A2"/>
      <selection pane="bottomRight"/>
    </sheetView>
  </sheetViews>
  <sheetFormatPr baseColWidth="10" defaultRowHeight="14.5"/>
  <cols>
    <col min="1" max="1" width="2.54296875" customWidth="1"/>
    <col min="2" max="2" width="37.453125" customWidth="1"/>
    <col min="3" max="22" width="11" customWidth="1"/>
    <col min="23" max="23" width="10.81640625" customWidth="1"/>
    <col min="24" max="24" width="12.54296875" customWidth="1"/>
  </cols>
  <sheetData>
    <row r="1" spans="2:10">
      <c r="B1" s="4" t="s">
        <v>556</v>
      </c>
      <c r="F1" s="5"/>
      <c r="G1" s="5"/>
      <c r="H1" s="5"/>
      <c r="I1" s="5"/>
      <c r="J1" s="3" t="s">
        <v>489</v>
      </c>
    </row>
    <row r="3" spans="2:10" ht="18.5">
      <c r="B3" s="24" t="s">
        <v>429</v>
      </c>
    </row>
    <row r="5" spans="2:10" ht="15.5">
      <c r="B5" s="6" t="s">
        <v>0</v>
      </c>
    </row>
    <row r="6" spans="2:10" ht="19" customHeight="1">
      <c r="B6" s="25" t="s">
        <v>268</v>
      </c>
    </row>
    <row r="7" spans="2:10" ht="4.5" customHeight="1"/>
    <row r="8" spans="2:10">
      <c r="B8" t="s">
        <v>311</v>
      </c>
    </row>
    <row r="9" spans="2:10">
      <c r="B9" s="25" t="s">
        <v>492</v>
      </c>
    </row>
    <row r="10" spans="2:10">
      <c r="B10" s="25" t="s">
        <v>493</v>
      </c>
    </row>
    <row r="12" spans="2:10" ht="15.5">
      <c r="B12" s="6" t="s">
        <v>268</v>
      </c>
    </row>
    <row r="19" spans="2:22">
      <c r="H19" s="25"/>
    </row>
    <row r="20" spans="2:22">
      <c r="B20" s="1" t="s">
        <v>271</v>
      </c>
      <c r="D20" s="26"/>
      <c r="G20" s="25" t="s">
        <v>631</v>
      </c>
    </row>
    <row r="21" spans="2:22">
      <c r="B21" t="s">
        <v>272</v>
      </c>
      <c r="C21" t="s">
        <v>273</v>
      </c>
      <c r="D21" s="26"/>
    </row>
    <row r="22" spans="2:22">
      <c r="B22" s="104" t="s">
        <v>274</v>
      </c>
      <c r="C22" s="14">
        <v>1</v>
      </c>
      <c r="D22" s="26"/>
    </row>
    <row r="23" spans="2:22">
      <c r="B23" s="104" t="s">
        <v>275</v>
      </c>
      <c r="C23" s="14">
        <v>2</v>
      </c>
      <c r="D23" s="26"/>
    </row>
    <row r="24" spans="2:22">
      <c r="B24" s="109" t="s">
        <v>276</v>
      </c>
      <c r="C24" s="14">
        <v>3</v>
      </c>
      <c r="D24" s="26"/>
    </row>
    <row r="25" spans="2:22">
      <c r="B25" s="109" t="s">
        <v>277</v>
      </c>
      <c r="C25" s="14">
        <v>4</v>
      </c>
      <c r="D25" s="26"/>
    </row>
    <row r="26" spans="2:22">
      <c r="B26" s="109" t="s">
        <v>278</v>
      </c>
      <c r="C26" s="14">
        <v>5</v>
      </c>
      <c r="D26" s="26"/>
    </row>
    <row r="27" spans="2:22">
      <c r="B27" s="109" t="s">
        <v>279</v>
      </c>
      <c r="C27" s="14">
        <v>6</v>
      </c>
      <c r="D27" s="26"/>
    </row>
    <row r="28" spans="2:22">
      <c r="B28" s="1"/>
    </row>
    <row r="29" spans="2:22">
      <c r="B29" s="1"/>
    </row>
    <row r="30" spans="2:22">
      <c r="B30" s="1" t="str">
        <f>_xlfn.CONCAT("Tarif ",B22)</f>
        <v>Tarif Einrichtung 1</v>
      </c>
    </row>
    <row r="31" spans="2:22">
      <c r="B31" t="s">
        <v>280</v>
      </c>
      <c r="C31" s="9" t="s">
        <v>3</v>
      </c>
      <c r="D31" s="9" t="s">
        <v>4</v>
      </c>
      <c r="E31" s="9" t="s">
        <v>5</v>
      </c>
      <c r="F31" s="9" t="s">
        <v>6</v>
      </c>
      <c r="G31" s="9" t="s">
        <v>7</v>
      </c>
      <c r="H31" s="9" t="s">
        <v>8</v>
      </c>
      <c r="I31" s="9" t="s">
        <v>9</v>
      </c>
      <c r="J31" s="10" t="s">
        <v>10</v>
      </c>
      <c r="K31" s="10" t="s">
        <v>11</v>
      </c>
      <c r="L31" s="10" t="s">
        <v>12</v>
      </c>
      <c r="M31" s="10" t="s">
        <v>13</v>
      </c>
      <c r="N31" s="10" t="s">
        <v>14</v>
      </c>
      <c r="O31" s="10" t="s">
        <v>216</v>
      </c>
      <c r="P31" s="10" t="s">
        <v>217</v>
      </c>
      <c r="Q31" s="10" t="s">
        <v>218</v>
      </c>
      <c r="R31" s="10" t="s">
        <v>15</v>
      </c>
      <c r="S31" s="10" t="s">
        <v>16</v>
      </c>
      <c r="T31" s="10" t="s">
        <v>17</v>
      </c>
      <c r="U31" s="10" t="s">
        <v>18</v>
      </c>
      <c r="V31" s="10" t="s">
        <v>19</v>
      </c>
    </row>
    <row r="32" spans="2:22">
      <c r="B32" t="s">
        <v>281</v>
      </c>
      <c r="C32" s="108">
        <v>0</v>
      </c>
      <c r="D32" s="108">
        <v>0</v>
      </c>
      <c r="E32" s="108">
        <v>0</v>
      </c>
      <c r="F32" s="108">
        <v>0</v>
      </c>
      <c r="G32" s="108">
        <v>0</v>
      </c>
      <c r="H32" s="108">
        <v>0</v>
      </c>
      <c r="I32" s="108">
        <v>0</v>
      </c>
      <c r="J32" s="108">
        <v>0</v>
      </c>
      <c r="K32" s="108">
        <v>0</v>
      </c>
      <c r="L32" s="108">
        <v>0</v>
      </c>
      <c r="M32" s="108">
        <v>0</v>
      </c>
      <c r="N32" s="108">
        <v>0</v>
      </c>
      <c r="O32" s="108">
        <v>0</v>
      </c>
      <c r="P32" s="108">
        <v>0</v>
      </c>
      <c r="Q32" s="108">
        <v>0</v>
      </c>
      <c r="R32" s="108">
        <v>0</v>
      </c>
      <c r="S32" s="108">
        <v>0</v>
      </c>
      <c r="T32" s="108">
        <v>0</v>
      </c>
      <c r="U32" s="108">
        <v>0</v>
      </c>
      <c r="V32" s="108">
        <v>0</v>
      </c>
    </row>
    <row r="33" spans="2:22">
      <c r="B33" t="s">
        <v>282</v>
      </c>
      <c r="C33" s="108">
        <v>0</v>
      </c>
      <c r="D33" s="108">
        <v>0</v>
      </c>
      <c r="E33" s="108">
        <v>0</v>
      </c>
      <c r="F33" s="108">
        <v>0</v>
      </c>
      <c r="G33" s="108">
        <v>0</v>
      </c>
      <c r="H33" s="108">
        <v>0</v>
      </c>
      <c r="I33" s="108">
        <v>0</v>
      </c>
      <c r="J33" s="108">
        <v>0</v>
      </c>
      <c r="K33" s="108">
        <v>0</v>
      </c>
      <c r="L33" s="108">
        <v>0</v>
      </c>
      <c r="M33" s="108">
        <v>0</v>
      </c>
      <c r="N33" s="108">
        <v>0</v>
      </c>
      <c r="O33" s="108">
        <v>0</v>
      </c>
      <c r="P33" s="108">
        <v>0</v>
      </c>
      <c r="Q33" s="108">
        <v>0</v>
      </c>
      <c r="R33" s="108">
        <v>0</v>
      </c>
      <c r="S33" s="108">
        <v>0</v>
      </c>
      <c r="T33" s="108">
        <v>0</v>
      </c>
      <c r="U33" s="108">
        <v>0</v>
      </c>
      <c r="V33" s="108">
        <v>0</v>
      </c>
    </row>
    <row r="34" spans="2:22">
      <c r="B34" t="s">
        <v>130</v>
      </c>
      <c r="C34" s="108">
        <v>0</v>
      </c>
      <c r="D34" s="108">
        <v>0</v>
      </c>
      <c r="E34" s="108">
        <v>0</v>
      </c>
      <c r="F34" s="108">
        <v>0</v>
      </c>
      <c r="G34" s="108">
        <v>0</v>
      </c>
      <c r="H34" s="108">
        <v>0</v>
      </c>
      <c r="I34" s="108">
        <v>0</v>
      </c>
      <c r="J34" s="108">
        <v>0</v>
      </c>
      <c r="K34" s="108">
        <v>0</v>
      </c>
      <c r="L34" s="108">
        <v>0</v>
      </c>
      <c r="M34" s="108">
        <v>0</v>
      </c>
      <c r="N34" s="108">
        <v>0</v>
      </c>
      <c r="O34" s="108">
        <v>0</v>
      </c>
      <c r="P34" s="108">
        <v>0</v>
      </c>
      <c r="Q34" s="108">
        <v>0</v>
      </c>
      <c r="R34" s="108">
        <v>0</v>
      </c>
      <c r="S34" s="108">
        <v>0</v>
      </c>
      <c r="T34" s="108">
        <v>0</v>
      </c>
      <c r="U34" s="108">
        <v>0</v>
      </c>
      <c r="V34" s="108">
        <v>0</v>
      </c>
    </row>
    <row r="35" spans="2:22">
      <c r="B35" t="s">
        <v>283</v>
      </c>
      <c r="C35" s="108">
        <v>0</v>
      </c>
      <c r="D35" s="108">
        <v>0</v>
      </c>
      <c r="E35" s="108">
        <v>0</v>
      </c>
      <c r="F35" s="108">
        <v>0</v>
      </c>
      <c r="G35" s="108">
        <v>0</v>
      </c>
      <c r="H35" s="108">
        <v>0</v>
      </c>
      <c r="I35" s="108">
        <v>0</v>
      </c>
      <c r="J35" s="108">
        <v>0</v>
      </c>
      <c r="K35" s="108">
        <v>0</v>
      </c>
      <c r="L35" s="108">
        <v>0</v>
      </c>
      <c r="M35" s="108">
        <v>0</v>
      </c>
      <c r="N35" s="108">
        <v>0</v>
      </c>
      <c r="O35" s="108">
        <v>0</v>
      </c>
      <c r="P35" s="108">
        <v>0</v>
      </c>
      <c r="Q35" s="108">
        <v>0</v>
      </c>
      <c r="R35" s="108">
        <v>0</v>
      </c>
      <c r="S35" s="108">
        <v>0</v>
      </c>
      <c r="T35" s="108">
        <v>0</v>
      </c>
      <c r="U35" s="108">
        <v>0</v>
      </c>
      <c r="V35" s="108">
        <v>0</v>
      </c>
    </row>
    <row r="36" spans="2:22">
      <c r="B36" t="s">
        <v>284</v>
      </c>
      <c r="C36" s="108">
        <v>0</v>
      </c>
      <c r="D36" s="108">
        <v>0</v>
      </c>
      <c r="E36" s="108">
        <v>0</v>
      </c>
      <c r="F36" s="108">
        <v>0</v>
      </c>
      <c r="G36" s="108">
        <v>0</v>
      </c>
      <c r="H36" s="108">
        <v>0</v>
      </c>
      <c r="I36" s="108">
        <v>0</v>
      </c>
      <c r="J36" s="108">
        <v>0</v>
      </c>
      <c r="K36" s="108">
        <v>0</v>
      </c>
      <c r="L36" s="108">
        <v>0</v>
      </c>
      <c r="M36" s="108">
        <v>0</v>
      </c>
      <c r="N36" s="108">
        <v>0</v>
      </c>
      <c r="O36" s="108">
        <v>0</v>
      </c>
      <c r="P36" s="108">
        <v>0</v>
      </c>
      <c r="Q36" s="108">
        <v>0</v>
      </c>
      <c r="R36" s="108">
        <v>0</v>
      </c>
      <c r="S36" s="108">
        <v>0</v>
      </c>
      <c r="T36" s="108">
        <v>0</v>
      </c>
      <c r="U36" s="108">
        <v>0</v>
      </c>
      <c r="V36" s="108">
        <v>0</v>
      </c>
    </row>
    <row r="37" spans="2:22">
      <c r="B37" s="23" t="s">
        <v>285</v>
      </c>
      <c r="C37" s="136">
        <f t="shared" ref="C37:I37" si="0">(C32*C93)+(C33*C94)+(C34*C95)+(C35*C96)+(C36*C97)</f>
        <v>0</v>
      </c>
      <c r="D37" s="136">
        <f t="shared" si="0"/>
        <v>0</v>
      </c>
      <c r="E37" s="136">
        <f t="shared" si="0"/>
        <v>0</v>
      </c>
      <c r="F37" s="136">
        <f t="shared" si="0"/>
        <v>0</v>
      </c>
      <c r="G37" s="136">
        <f t="shared" si="0"/>
        <v>0</v>
      </c>
      <c r="H37" s="136">
        <f t="shared" si="0"/>
        <v>0</v>
      </c>
      <c r="I37" s="136">
        <f t="shared" si="0"/>
        <v>0</v>
      </c>
      <c r="J37" s="136">
        <f>IF(Refsz_Verbräuche[[#Headers],[2022]]=Startseite!$D$68,
    IF(AND(COUNT($C37:EF_Tarif1[[#Totals],[2021]])&gt;0,
             SUM($C37:EF_Tarif1[[#Totals],[2021]])&gt;0),
        AVERAGEIF($C37:EF_Tarif1[[#Totals],[2021]],"&gt;0"),
        0),
    IF(Startseite!$D$68=(Refsz_Verbräuche[[#Headers],[2022]]-1),
        EF_Tarif1[[#Totals],[2021]],
        IF(Startseite!$D$68&lt;Refsz_Verbräuche[[#Headers],[2022]],
            EF_Tarif1[[#Totals],[2021]],
           (J32*J93)+(J33*J94)+(J34*J95)+(J35*J96)+(J36*J97)
        )
    )
)</f>
        <v>0</v>
      </c>
      <c r="K37" s="136">
        <f>IF(Refsz_Verbräuche[[#Headers],[2023]]=Startseite!$D$68,
    IF(AND(COUNT($C37:EF_Tarif1[[#Totals],[2022]])&gt;0,
             SUM($C37:EF_Tarif1[[#Totals],[2022]])&gt;0),
        AVERAGEIF($C37:EF_Tarif1[[#Totals],[2022]],"&gt;0"),
        0),
    IF(Startseite!$D$68=(Refsz_Verbräuche[[#Headers],[2023]]-1),
        EF_Tarif1[[#Totals],[2022]],
        IF(Startseite!$D$68&lt;Refsz_Verbräuche[[#Headers],[2023]],
            EF_Tarif1[[#Totals],[2022]],
           (K32*K93)+(K33*K94)+(K34*K95)+(K35*K96)+(K36*K97)
        )
    )
)</f>
        <v>0</v>
      </c>
      <c r="L37" s="136">
        <f>IF(Refsz_Verbräuche[[#Headers],[2024]]=Startseite!$D$68,
    IF(AND(COUNT($C37:EF_Tarif1[[#Totals],[2023]])&gt;0,
             SUM($C37:EF_Tarif1[[#Totals],[2023]])&gt;0),
        AVERAGEIF($C37:EF_Tarif1[[#Totals],[2023]],"&gt;0"),
        0),
    IF(Startseite!$D$68=(Refsz_Verbräuche[[#Headers],[2024]]-1),
        EF_Tarif1[[#Totals],[2023]],
        IF(Startseite!$D$68&lt;Refsz_Verbräuche[[#Headers],[2024]],
            EF_Tarif1[[#Totals],[2023]],
           (L32*L93)+(L33*L94)+(L34*L95)+(L35*L96)+(L36*L97)
        )
    )
)</f>
        <v>0</v>
      </c>
      <c r="M37" s="136">
        <f>IF(Refsz_Verbräuche[[#Headers],[2025]]=Startseite!$D$68,
    IF(AND(COUNT($C37:EF_Tarif1[[#Totals],[2024]])&gt;0,
             SUM($C37:EF_Tarif1[[#Totals],[2024]])&gt;0),
        AVERAGEIF($C37:EF_Tarif1[[#Totals],[2024]],"&gt;0"),
        0),
    IF(Startseite!$D$68=(Refsz_Verbräuche[[#Headers],[2025]]-1),
        EF_Tarif1[[#Totals],[2024]],
        IF(Startseite!$D$68&lt;Refsz_Verbräuche[[#Headers],[2025]],
            EF_Tarif1[[#Totals],[2024]],
           (M32*M93)+(M33*M94)+(M34*M95)+(M35*M96)+(M36*M97)
        )
    )
)</f>
        <v>0</v>
      </c>
      <c r="N37" s="136">
        <f>IF(Refsz_Verbräuche[[#Headers],[2026]]=Startseite!$D$68,
    IF(AND(COUNT($C37:EF_Tarif1[[#Totals],[2025]])&gt;0,
             SUM($C37:EF_Tarif1[[#Totals],[2025]])&gt;0),
        AVERAGEIF($C37:EF_Tarif1[[#Totals],[2025]],"&gt;0"),
        0),
    IF(Startseite!$D$68=(Refsz_Verbräuche[[#Headers],[2026]]-1),
        EF_Tarif1[[#Totals],[2025]],
        IF(Startseite!$D$68&lt;Refsz_Verbräuche[[#Headers],[2026]],
            EF_Tarif1[[#Totals],[2025]],
           (N32*N93)+(N33*N94)+(N34*N95)+(N35*N96)+(N36*N97)
        )
    )
)</f>
        <v>0</v>
      </c>
      <c r="O37" s="136">
        <f>IF(Refsz_Verbräuche[[#Headers],[2027]]=Startseite!$D$68,
    IF(AND(COUNT($C37:EF_Tarif1[[#Totals],[2026]])&gt;0,
             SUM($C37:EF_Tarif1[[#Totals],[2026]])&gt;0),
        AVERAGEIF($C37:EF_Tarif1[[#Totals],[2026]],"&gt;0"),
        0),
    IF(Startseite!$D$68=(Refsz_Verbräuche[[#Headers],[2027]]-1),
        EF_Tarif1[[#Totals],[2026]],
        IF(Startseite!$D$68&lt;Refsz_Verbräuche[[#Headers],[2027]],
            EF_Tarif1[[#Totals],[2026]],
           (O32*O93)+(O33*O94)+(O34*O95)+(O35*O96)+(O36*O97)
        )
    )
)</f>
        <v>0</v>
      </c>
      <c r="P37" s="136">
        <f>IF(Refsz_Verbräuche[[#Headers],[2028]]=Startseite!$D$68,
    IF(AND(COUNT($C37:EF_Tarif1[[#Totals],[2027]])&gt;0,
             SUM($C37:EF_Tarif1[[#Totals],[2027]])&gt;0),
        AVERAGEIF($C37:EF_Tarif1[[#Totals],[2027]],"&gt;0"),
        0),
    IF(Startseite!$D$68=(Refsz_Verbräuche[[#Headers],[2028]]-1),
        EF_Tarif1[[#Totals],[2027]],
        IF(Startseite!$D$68&lt;Refsz_Verbräuche[[#Headers],[2028]],
            EF_Tarif1[[#Totals],[2027]],
           (P32*P93)+(P33*P94)+(P34*P95)+(P35*P96)+(P36*P97)
        )
    )
)</f>
        <v>0</v>
      </c>
      <c r="Q37" s="136">
        <f>IF(Refsz_Verbräuche[[#Headers],[2029]]=Startseite!$D$68,
    IF(AND(COUNT($C37:EF_Tarif1[[#Totals],[2028]])&gt;0,
             SUM($C37:EF_Tarif1[[#Totals],[2028]])&gt;0),
        AVERAGEIF($C37:EF_Tarif1[[#Totals],[2028]],"&gt;0"),
        0),
    IF(Startseite!$D$68=(Refsz_Verbräuche[[#Headers],[2029]]-1),
        EF_Tarif1[[#Totals],[2028]],
        IF(Startseite!$D$68&lt;Refsz_Verbräuche[[#Headers],[2029]],
            EF_Tarif1[[#Totals],[2028]],
           (Q32*Q93)+(Q33*Q94)+(Q34*Q95)+(Q35*Q96)+(Q36*Q97)
        )
    )
)</f>
        <v>0</v>
      </c>
      <c r="R37" s="136">
        <f>IF(Refsz_Verbräuche[[#Headers],[2030]]=Startseite!$D$68,
    IF(AND(COUNT($C37:EF_Tarif1[[#Totals],[2029]])&gt;0,
             SUM($C37:EF_Tarif1[[#Totals],[2029]])&gt;0),
        AVERAGEIF($C37:EF_Tarif1[[#Totals],[2029]],"&gt;0"),
        0),
    IF(Startseite!$D$68=(Refsz_Verbräuche[[#Headers],[2030]]-1),
        EF_Tarif1[[#Totals],[2029]],
        IF(Startseite!$D$68&lt;Refsz_Verbräuche[[#Headers],[2030]],
            EF_Tarif1[[#Totals],[2029]],
           (R32*R93)+(R33*R94)+(R34*R95)+(R35*R96)+(R36*R97)
        )
    )
)</f>
        <v>0</v>
      </c>
      <c r="S37" s="136">
        <f>IF(Refsz_Verbräuche[[#Headers],[2035]]=Startseite!$D$68,
    IF(AND(COUNT($C37:EF_Tarif1[[#Totals],[2030]])&gt;0,
             SUM($C37:EF_Tarif1[[#Totals],[2030]])&gt;0),
        AVERAGEIF($C37:EF_Tarif1[[#Totals],[2030]],"&gt;0"),
        0),
    IF(Startseite!$D$68=(Refsz_Verbräuche[[#Headers],[2035]]-1),
        EF_Tarif1[[#Totals],[2030]],
        IF(Startseite!$D$68&lt;Refsz_Verbräuche[[#Headers],[2035]],
            EF_Tarif1[[#Totals],[2030]],
           (S32*S93)+(S33*S94)+(S34*S95)+(S35*S96)+(S36*S97)
        )
    )
)</f>
        <v>0</v>
      </c>
      <c r="T37" s="136">
        <f>IF(Refsz_Verbräuche[[#Headers],[2040]]=Startseite!$D$68,
    IF(AND(COUNT($C37:EF_Tarif1[[#Totals],[2035]])&gt;0,
             SUM($C37:EF_Tarif1[[#Totals],[2035]])&gt;0),
        AVERAGEIF($C37:EF_Tarif1[[#Totals],[2035]],"&gt;0"),
        0),
    IF(Startseite!$D$68=(Refsz_Verbräuche[[#Headers],[2040]]-1),
        EF_Tarif1[[#Totals],[2035]],
        IF(Startseite!$D$68&lt;Refsz_Verbräuche[[#Headers],[2040]],
            EF_Tarif1[[#Totals],[2035]],
           (T32*T93)+(T33*T94)+(T34*T95)+(T35*T96)+(T36*T97)
        )
    )
)</f>
        <v>0</v>
      </c>
      <c r="U37" s="136">
        <f>IF(Refsz_Verbräuche[[#Headers],[2045]]=Startseite!$D$68,
    IF(AND(COUNT($C37:EF_Tarif1[[#Totals],[2040]])&gt;0,
             SUM($C37:EF_Tarif1[[#Totals],[2040]])&gt;0),
        AVERAGEIF($C37:EF_Tarif1[[#Totals],[2040]],"&gt;0"),
        0),
    IF(Startseite!$D$68=(Refsz_Verbräuche[[#Headers],[2045]]-1),
        EF_Tarif1[[#Totals],[2040]],
        IF(Startseite!$D$68&lt;Refsz_Verbräuche[[#Headers],[2045]],
            EF_Tarif1[[#Totals],[2040]],
           (U32*U93)+(U33*U94)+(U34*U95)+(U35*U96)+(U36*U97)
        )
    )
)</f>
        <v>0</v>
      </c>
      <c r="V37" s="136">
        <f>IF(Refsz_Verbräuche[[#Headers],[2050]]=Startseite!$D$68,
    IF(AND(COUNT($C37:EF_Tarif1[[#Totals],[2045]])&gt;0,
             SUM($C37:EF_Tarif1[[#Totals],[2045]])&gt;0),
        AVERAGEIF($C37:EF_Tarif1[[#Totals],[2045]],"&gt;0"),
        0),
    IF(Startseite!$D$68=(Refsz_Verbräuche[[#Headers],[2050]]-1),
        EF_Tarif1[[#Totals],[2045]],
        IF(Startseite!$D$68&lt;Refsz_Verbräuche[[#Headers],[2050]],
            EF_Tarif1[[#Totals],[2045]],
           (V32*V93)+(V33*V94)+(V34*V95)+(V35*V96)+(V36*V97)
        )
    )
)</f>
        <v>0</v>
      </c>
    </row>
    <row r="38" spans="2:22">
      <c r="B38" s="23" t="s">
        <v>286</v>
      </c>
      <c r="C38" s="51">
        <f>C32+C33+C34+C35+C36</f>
        <v>0</v>
      </c>
      <c r="D38" s="51">
        <f t="shared" ref="D38:V38" si="1">D32+D33+D34+D35+D36</f>
        <v>0</v>
      </c>
      <c r="E38" s="51">
        <f t="shared" si="1"/>
        <v>0</v>
      </c>
      <c r="F38" s="51">
        <f t="shared" si="1"/>
        <v>0</v>
      </c>
      <c r="G38" s="51">
        <f t="shared" si="1"/>
        <v>0</v>
      </c>
      <c r="H38" s="51">
        <f t="shared" si="1"/>
        <v>0</v>
      </c>
      <c r="I38" s="51">
        <f t="shared" si="1"/>
        <v>0</v>
      </c>
      <c r="J38" s="51">
        <f t="shared" si="1"/>
        <v>0</v>
      </c>
      <c r="K38" s="51">
        <f t="shared" si="1"/>
        <v>0</v>
      </c>
      <c r="L38" s="51">
        <f t="shared" si="1"/>
        <v>0</v>
      </c>
      <c r="M38" s="51">
        <f t="shared" si="1"/>
        <v>0</v>
      </c>
      <c r="N38" s="51">
        <f t="shared" si="1"/>
        <v>0</v>
      </c>
      <c r="O38" s="51">
        <f t="shared" si="1"/>
        <v>0</v>
      </c>
      <c r="P38" s="51">
        <f t="shared" si="1"/>
        <v>0</v>
      </c>
      <c r="Q38" s="51">
        <f t="shared" si="1"/>
        <v>0</v>
      </c>
      <c r="R38" s="51">
        <f t="shared" si="1"/>
        <v>0</v>
      </c>
      <c r="S38" s="51">
        <f t="shared" si="1"/>
        <v>0</v>
      </c>
      <c r="T38" s="51">
        <f t="shared" si="1"/>
        <v>0</v>
      </c>
      <c r="U38" s="51">
        <f t="shared" si="1"/>
        <v>0</v>
      </c>
      <c r="V38" s="51">
        <f t="shared" si="1"/>
        <v>0</v>
      </c>
    </row>
    <row r="39" spans="2:22">
      <c r="D39" s="26"/>
    </row>
    <row r="40" spans="2:22">
      <c r="B40" s="1" t="str">
        <f>_xlfn.CONCAT("Tarif ",B23)</f>
        <v>Tarif Einrichtung 2</v>
      </c>
      <c r="D40" s="26"/>
    </row>
    <row r="41" spans="2:22">
      <c r="B41" t="s">
        <v>280</v>
      </c>
      <c r="C41" s="9" t="s">
        <v>3</v>
      </c>
      <c r="D41" s="9" t="s">
        <v>4</v>
      </c>
      <c r="E41" s="9" t="s">
        <v>5</v>
      </c>
      <c r="F41" s="9" t="s">
        <v>6</v>
      </c>
      <c r="G41" s="9" t="s">
        <v>7</v>
      </c>
      <c r="H41" s="9" t="s">
        <v>8</v>
      </c>
      <c r="I41" s="9" t="s">
        <v>9</v>
      </c>
      <c r="J41" s="10" t="s">
        <v>10</v>
      </c>
      <c r="K41" s="10" t="s">
        <v>11</v>
      </c>
      <c r="L41" s="10" t="s">
        <v>12</v>
      </c>
      <c r="M41" s="10" t="s">
        <v>13</v>
      </c>
      <c r="N41" s="10" t="s">
        <v>14</v>
      </c>
      <c r="O41" s="10" t="s">
        <v>216</v>
      </c>
      <c r="P41" s="10" t="s">
        <v>217</v>
      </c>
      <c r="Q41" s="10" t="s">
        <v>218</v>
      </c>
      <c r="R41" s="10" t="s">
        <v>15</v>
      </c>
      <c r="S41" s="10" t="s">
        <v>16</v>
      </c>
      <c r="T41" s="10" t="s">
        <v>17</v>
      </c>
      <c r="U41" s="10" t="s">
        <v>18</v>
      </c>
      <c r="V41" s="10" t="s">
        <v>19</v>
      </c>
    </row>
    <row r="42" spans="2:22">
      <c r="B42" t="s">
        <v>281</v>
      </c>
      <c r="C42" s="108">
        <v>0</v>
      </c>
      <c r="D42" s="108">
        <v>0</v>
      </c>
      <c r="E42" s="108">
        <v>0</v>
      </c>
      <c r="F42" s="108">
        <v>0</v>
      </c>
      <c r="G42" s="108">
        <v>0</v>
      </c>
      <c r="H42" s="108">
        <v>0</v>
      </c>
      <c r="I42" s="108">
        <v>0</v>
      </c>
      <c r="J42" s="108">
        <v>0</v>
      </c>
      <c r="K42" s="108">
        <v>0</v>
      </c>
      <c r="L42" s="108">
        <v>0</v>
      </c>
      <c r="M42" s="108">
        <v>0</v>
      </c>
      <c r="N42" s="108">
        <v>0</v>
      </c>
      <c r="O42" s="108">
        <v>0</v>
      </c>
      <c r="P42" s="108">
        <v>0</v>
      </c>
      <c r="Q42" s="108">
        <v>0</v>
      </c>
      <c r="R42" s="108">
        <v>0</v>
      </c>
      <c r="S42" s="108">
        <v>0</v>
      </c>
      <c r="T42" s="108">
        <v>0</v>
      </c>
      <c r="U42" s="108">
        <v>0</v>
      </c>
      <c r="V42" s="108">
        <v>0</v>
      </c>
    </row>
    <row r="43" spans="2:22">
      <c r="B43" t="s">
        <v>282</v>
      </c>
      <c r="C43" s="108">
        <v>0</v>
      </c>
      <c r="D43" s="108">
        <v>0</v>
      </c>
      <c r="E43" s="108">
        <v>0</v>
      </c>
      <c r="F43" s="108">
        <v>0</v>
      </c>
      <c r="G43" s="108">
        <v>0</v>
      </c>
      <c r="H43" s="108">
        <v>0</v>
      </c>
      <c r="I43" s="108">
        <v>0</v>
      </c>
      <c r="J43" s="108">
        <v>0</v>
      </c>
      <c r="K43" s="108">
        <v>0</v>
      </c>
      <c r="L43" s="108">
        <v>0</v>
      </c>
      <c r="M43" s="108">
        <v>0</v>
      </c>
      <c r="N43" s="108">
        <v>0</v>
      </c>
      <c r="O43" s="108">
        <v>0</v>
      </c>
      <c r="P43" s="108">
        <v>0</v>
      </c>
      <c r="Q43" s="108">
        <v>0</v>
      </c>
      <c r="R43" s="108">
        <v>0</v>
      </c>
      <c r="S43" s="108">
        <v>0</v>
      </c>
      <c r="T43" s="108">
        <v>0</v>
      </c>
      <c r="U43" s="108">
        <v>0</v>
      </c>
      <c r="V43" s="108">
        <v>0</v>
      </c>
    </row>
    <row r="44" spans="2:22">
      <c r="B44" t="s">
        <v>130</v>
      </c>
      <c r="C44" s="108">
        <v>0</v>
      </c>
      <c r="D44" s="108">
        <v>0</v>
      </c>
      <c r="E44" s="108">
        <v>0</v>
      </c>
      <c r="F44" s="108">
        <v>0</v>
      </c>
      <c r="G44" s="108">
        <v>0</v>
      </c>
      <c r="H44" s="108">
        <v>0</v>
      </c>
      <c r="I44" s="108">
        <v>0</v>
      </c>
      <c r="J44" s="108">
        <v>0</v>
      </c>
      <c r="K44" s="108">
        <v>0</v>
      </c>
      <c r="L44" s="108">
        <v>0</v>
      </c>
      <c r="M44" s="108">
        <v>0</v>
      </c>
      <c r="N44" s="108">
        <v>0</v>
      </c>
      <c r="O44" s="108">
        <v>0</v>
      </c>
      <c r="P44" s="108">
        <v>0</v>
      </c>
      <c r="Q44" s="108">
        <v>0</v>
      </c>
      <c r="R44" s="108">
        <v>0</v>
      </c>
      <c r="S44" s="108">
        <v>0</v>
      </c>
      <c r="T44" s="108">
        <v>0</v>
      </c>
      <c r="U44" s="108">
        <v>0</v>
      </c>
      <c r="V44" s="108">
        <v>0</v>
      </c>
    </row>
    <row r="45" spans="2:22">
      <c r="B45" t="s">
        <v>283</v>
      </c>
      <c r="C45" s="108">
        <v>0</v>
      </c>
      <c r="D45" s="108">
        <v>0</v>
      </c>
      <c r="E45" s="108">
        <v>0</v>
      </c>
      <c r="F45" s="108">
        <v>0</v>
      </c>
      <c r="G45" s="108">
        <v>0</v>
      </c>
      <c r="H45" s="108">
        <v>0</v>
      </c>
      <c r="I45" s="108">
        <v>0</v>
      </c>
      <c r="J45" s="108">
        <v>0</v>
      </c>
      <c r="K45" s="108">
        <v>0</v>
      </c>
      <c r="L45" s="108">
        <v>0</v>
      </c>
      <c r="M45" s="108">
        <v>0</v>
      </c>
      <c r="N45" s="108">
        <v>0</v>
      </c>
      <c r="O45" s="108">
        <v>0</v>
      </c>
      <c r="P45" s="108">
        <v>0</v>
      </c>
      <c r="Q45" s="108">
        <v>0</v>
      </c>
      <c r="R45" s="108">
        <v>0</v>
      </c>
      <c r="S45" s="108">
        <v>0</v>
      </c>
      <c r="T45" s="108">
        <v>0</v>
      </c>
      <c r="U45" s="108">
        <v>0</v>
      </c>
      <c r="V45" s="108">
        <v>0</v>
      </c>
    </row>
    <row r="46" spans="2:22">
      <c r="B46" t="s">
        <v>284</v>
      </c>
      <c r="C46" s="108">
        <v>0</v>
      </c>
      <c r="D46" s="108">
        <v>0</v>
      </c>
      <c r="E46" s="108">
        <v>0</v>
      </c>
      <c r="F46" s="108">
        <v>0</v>
      </c>
      <c r="G46" s="108">
        <v>0</v>
      </c>
      <c r="H46" s="108">
        <v>0</v>
      </c>
      <c r="I46" s="108">
        <v>0</v>
      </c>
      <c r="J46" s="108">
        <v>0</v>
      </c>
      <c r="K46" s="108">
        <v>0</v>
      </c>
      <c r="L46" s="108">
        <v>0</v>
      </c>
      <c r="M46" s="108">
        <v>0</v>
      </c>
      <c r="N46" s="108">
        <v>0</v>
      </c>
      <c r="O46" s="108">
        <v>0</v>
      </c>
      <c r="P46" s="108">
        <v>0</v>
      </c>
      <c r="Q46" s="108">
        <v>0</v>
      </c>
      <c r="R46" s="108">
        <v>0</v>
      </c>
      <c r="S46" s="108">
        <v>0</v>
      </c>
      <c r="T46" s="108">
        <v>0</v>
      </c>
      <c r="U46" s="108">
        <v>0</v>
      </c>
      <c r="V46" s="108">
        <v>0</v>
      </c>
    </row>
    <row r="47" spans="2:22">
      <c r="B47" s="23" t="s">
        <v>285</v>
      </c>
      <c r="C47" s="136">
        <f>(C42*C93)+(C43*C94)+(C44*C95)+(C45*C96)+(C46*C97)</f>
        <v>0</v>
      </c>
      <c r="D47" s="136">
        <f t="shared" ref="D47:I47" si="2">(D42*D93)+(D43*D94)+(D44*D95)+(D45*D96)+(D46*D97)</f>
        <v>0</v>
      </c>
      <c r="E47" s="136">
        <f t="shared" si="2"/>
        <v>0</v>
      </c>
      <c r="F47" s="136">
        <f t="shared" si="2"/>
        <v>0</v>
      </c>
      <c r="G47" s="136">
        <f t="shared" si="2"/>
        <v>0</v>
      </c>
      <c r="H47" s="136">
        <f t="shared" si="2"/>
        <v>0</v>
      </c>
      <c r="I47" s="136">
        <f t="shared" si="2"/>
        <v>0</v>
      </c>
      <c r="J47" s="136">
        <f>IF(Refsz_Verbräuche[[#Headers],[2022]]=Startseite!$D$68,
    IF(AND(COUNT($C47:EF_Tarif2[[#Totals],[2021]])&gt;0,
             SUM($C47:EF_Tarif2[[#Totals],[2021]])&gt;0),
        AVERAGEIF($C47:EF_Tarif2[[#Totals],[2021]],"&gt;0"),
        0),
    IF(Startseite!$D$68=(Refsz_Verbräuche[[#Headers],[2022]]-1),
        EF_Tarif2[[#Totals],[2021]],
        IF(Startseite!$D$68&lt;Refsz_Verbräuche[[#Headers],[2022]],
            EF_Tarif2[[#Totals],[2021]],
           (I42*I93)+(I43*I94)+(I44*I95)+(I45*I96)+(I46*I97)
        )
    )
)</f>
        <v>0</v>
      </c>
      <c r="K47" s="136">
        <f>IF(Refsz_Verbräuche[[#Headers],[2023]]=Startseite!$D$68,
    IF(AND(COUNT($C47:EF_Tarif2[[#Totals],[2022]])&gt;0,
             SUM($C47:EF_Tarif2[[#Totals],[2022]])&gt;0),
        AVERAGEIF($C47:EF_Tarif2[[#Totals],[2022]],"&gt;0"),
        0),
    IF(Startseite!$D$68=(Refsz_Verbräuche[[#Headers],[2023]]-1),
        EF_Tarif2[[#Totals],[2022]],
        IF(Startseite!$D$68&lt;Refsz_Verbräuche[[#Headers],[2023]],
            EF_Tarif2[[#Totals],[2022]],
           (J42*J93)+(J43*J94)+(J44*J95)+(J45*J96)+(J46*J97)
        )
    )
)</f>
        <v>0</v>
      </c>
      <c r="L47" s="136">
        <f>IF(Refsz_Verbräuche[[#Headers],[2024]]=Startseite!$D$68,
    IF(AND(COUNT($C47:EF_Tarif2[[#Totals],[2023]])&gt;0,
             SUM($C47:EF_Tarif2[[#Totals],[2023]])&gt;0),
        AVERAGEIF($C47:EF_Tarif2[[#Totals],[2023]],"&gt;0"),
        0),
    IF(Startseite!$D$68=(Refsz_Verbräuche[[#Headers],[2024]]-1),
        EF_Tarif2[[#Totals],[2023]],
        IF(Startseite!$D$68&lt;Refsz_Verbräuche[[#Headers],[2024]],
            EF_Tarif2[[#Totals],[2023]],
           (K42*K93)+(K43*K94)+(K44*K95)+(K45*K96)+(K46*K97)
        )
    )
)</f>
        <v>0</v>
      </c>
      <c r="M47" s="136">
        <f>IF(Refsz_Verbräuche[[#Headers],[2025]]=Startseite!$D$68,
    IF(AND(COUNT($C47:EF_Tarif2[[#Totals],[2024]])&gt;0,
             SUM($C47:EF_Tarif2[[#Totals],[2024]])&gt;0),
        AVERAGEIF($C47:EF_Tarif2[[#Totals],[2024]],"&gt;0"),
        0),
    IF(Startseite!$D$68=(Refsz_Verbräuche[[#Headers],[2025]]-1),
        EF_Tarif2[[#Totals],[2024]],
        IF(Startseite!$D$68&lt;Refsz_Verbräuche[[#Headers],[2025]],
            EF_Tarif2[[#Totals],[2024]],
           (L42*L93)+(L43*L94)+(L44*L95)+(L45*L96)+(L46*L97)
        )
    )
)</f>
        <v>0</v>
      </c>
      <c r="N47" s="136">
        <f>IF(Refsz_Verbräuche[[#Headers],[2026]]=Startseite!$D$68,
    IF(AND(COUNT($C47:EF_Tarif2[[#Totals],[2025]])&gt;0,
             SUM($C47:EF_Tarif2[[#Totals],[2025]])&gt;0),
        AVERAGEIF($C47:EF_Tarif2[[#Totals],[2025]],"&gt;0"),
        0),
    IF(Startseite!$D$68=(Refsz_Verbräuche[[#Headers],[2026]]-1),
        EF_Tarif2[[#Totals],[2025]],
        IF(Startseite!$D$68&lt;Refsz_Verbräuche[[#Headers],[2026]],
            EF_Tarif2[[#Totals],[2025]],
           (M42*M93)+(M43*M94)+(M44*M95)+(M45*M96)+(M46*M97)
        )
    )
)</f>
        <v>0</v>
      </c>
      <c r="O47" s="136">
        <f>IF(Refsz_Verbräuche[[#Headers],[2027]]=Startseite!$D$68,
    IF(AND(COUNT($C47:EF_Tarif2[[#Totals],[2026]])&gt;0,
             SUM($C47:EF_Tarif2[[#Totals],[2026]])&gt;0),
        AVERAGEIF($C47:EF_Tarif2[[#Totals],[2026]],"&gt;0"),
        0),
    IF(Startseite!$D$68=(Refsz_Verbräuche[[#Headers],[2027]]-1),
        EF_Tarif2[[#Totals],[2026]],
        IF(Startseite!$D$68&lt;Refsz_Verbräuche[[#Headers],[2027]],
            EF_Tarif2[[#Totals],[2026]],
           (N42*N93)+(N43*N94)+(N44*N95)+(N45*N96)+(N46*N97)
        )
    )
)</f>
        <v>0</v>
      </c>
      <c r="P47" s="136">
        <f>IF(Refsz_Verbräuche[[#Headers],[2028]]=Startseite!$D$68,
    IF(AND(COUNT($C47:EF_Tarif2[[#Totals],[2027]])&gt;0,
             SUM($C47:EF_Tarif2[[#Totals],[2027]])&gt;0),
        AVERAGEIF($C47:EF_Tarif2[[#Totals],[2027]],"&gt;0"),
        0),
    IF(Startseite!$D$68=(Refsz_Verbräuche[[#Headers],[2028]]-1),
        EF_Tarif2[[#Totals],[2027]],
        IF(Startseite!$D$68&lt;Refsz_Verbräuche[[#Headers],[2028]],
            EF_Tarif2[[#Totals],[2027]],
           (O42*O93)+(O43*O94)+(O44*O95)+(O45*O96)+(O46*O97)
        )
    )
)</f>
        <v>0</v>
      </c>
      <c r="Q47" s="136">
        <f>IF(Refsz_Verbräuche[[#Headers],[2029]]=Startseite!$D$68,
    IF(AND(COUNT($C47:EF_Tarif2[[#Totals],[2028]])&gt;0,
             SUM($C47:EF_Tarif2[[#Totals],[2028]])&gt;0),
        AVERAGEIF($C47:EF_Tarif2[[#Totals],[2028]],"&gt;0"),
        0),
    IF(Startseite!$D$68=(Refsz_Verbräuche[[#Headers],[2029]]-1),
        EF_Tarif2[[#Totals],[2028]],
        IF(Startseite!$D$68&lt;Refsz_Verbräuche[[#Headers],[2029]],
            EF_Tarif2[[#Totals],[2028]],
           (P42*P93)+(P43*P94)+(P44*P95)+(P45*P96)+(P46*P97)
        )
    )
)</f>
        <v>0</v>
      </c>
      <c r="R47" s="136">
        <f>IF(Refsz_Verbräuche[[#Headers],[2030]]=Startseite!$D$68,
    IF(AND(COUNT($C47:EF_Tarif2[[#Totals],[2029]])&gt;0,
             SUM($C47:EF_Tarif2[[#Totals],[2029]])&gt;0),
        AVERAGEIF($C47:EF_Tarif2[[#Totals],[2029]],"&gt;0"),
        0),
    IF(Startseite!$D$68=(Refsz_Verbräuche[[#Headers],[2030]]-1),
        EF_Tarif2[[#Totals],[2029]],
        IF(Startseite!$D$68&lt;Refsz_Verbräuche[[#Headers],[2030]],
            EF_Tarif2[[#Totals],[2029]],
           (Q42*Q93)+(Q43*Q94)+(Q44*Q95)+(Q45*Q96)+(Q46*Q97)
        )
    )
)</f>
        <v>0</v>
      </c>
      <c r="S47" s="136">
        <f>IF(Refsz_Verbräuche[[#Headers],[2035]]=Startseite!$D$68,
    IF(AND(COUNT($C47:EF_Tarif2[[#Totals],[2030]])&gt;0,
             SUM($C47:EF_Tarif2[[#Totals],[2030]])&gt;0),
        AVERAGEIF($C47:EF_Tarif2[[#Totals],[2030]],"&gt;0"),
        0),
    IF(Startseite!$D$68=(Refsz_Verbräuche[[#Headers],[2035]]-1),
        EF_Tarif2[[#Totals],[2030]],
        IF(Startseite!$D$68&lt;Refsz_Verbräuche[[#Headers],[2035]],
            EF_Tarif2[[#Totals],[2030]],
           (R42*R93)+(R43*R94)+(R44*R95)+(R45*R96)+(R46*R97)
        )
    )
)</f>
        <v>0</v>
      </c>
      <c r="T47" s="136">
        <f>IF(Refsz_Verbräuche[[#Headers],[2040]]=Startseite!$D$68,
    IF(AND(COUNT($C47:EF_Tarif2[[#Totals],[2035]])&gt;0,
             SUM($C47:EF_Tarif2[[#Totals],[2035]])&gt;0),
        AVERAGEIF($C47:EF_Tarif2[[#Totals],[2035]],"&gt;0"),
        0),
    IF(Startseite!$D$68=(Refsz_Verbräuche[[#Headers],[2040]]-1),
        EF_Tarif2[[#Totals],[2035]],
        IF(Startseite!$D$68&lt;Refsz_Verbräuche[[#Headers],[2040]],
            EF_Tarif2[[#Totals],[2035]],
           (S42*S93)+(S43*S94)+(S44*S95)+(S45*S96)+(S46*S97)
        )
    )
)</f>
        <v>0</v>
      </c>
      <c r="U47" s="136">
        <f>IF(Refsz_Verbräuche[[#Headers],[2045]]=Startseite!$D$68,
    IF(AND(COUNT($C47:EF_Tarif2[[#Totals],[2040]])&gt;0,
             SUM($C47:EF_Tarif2[[#Totals],[2040]])&gt;0),
        AVERAGEIF($C47:EF_Tarif2[[#Totals],[2040]],"&gt;0"),
        0),
    IF(Startseite!$D$68=(Refsz_Verbräuche[[#Headers],[2045]]-1),
        EF_Tarif2[[#Totals],[2040]],
        IF(Startseite!$D$68&lt;Refsz_Verbräuche[[#Headers],[2045]],
            EF_Tarif2[[#Totals],[2040]],
           (T42*T93)+(T43*T94)+(T44*T95)+(T45*T96)+(T46*T97)
        )
    )
)</f>
        <v>0</v>
      </c>
      <c r="V47" s="136">
        <f>IF(Refsz_Verbräuche[[#Headers],[2050]]=Startseite!$D$68,
    IF(AND(COUNT($C47:EF_Tarif2[[#Totals],[2045]])&gt;0,
             SUM($C47:EF_Tarif2[[#Totals],[2045]])&gt;0),
        AVERAGEIF($C47:EF_Tarif2[[#Totals],[2045]],"&gt;0"),
        0),
    IF(Startseite!$D$68=(Refsz_Verbräuche[[#Headers],[2050]]-1),
        EF_Tarif2[[#Totals],[2045]],
        IF(Startseite!$D$68&lt;Refsz_Verbräuche[[#Headers],[2050]],
            EF_Tarif2[[#Totals],[2045]],
           (U42*U93)+(U43*U94)+(U44*U95)+(U45*U96)+(U46*U97)
        )
    )
)</f>
        <v>0</v>
      </c>
    </row>
    <row r="48" spans="2:22">
      <c r="B48" s="23" t="s">
        <v>286</v>
      </c>
      <c r="C48" s="51">
        <f>C42+C43+C44+C45+C46</f>
        <v>0</v>
      </c>
      <c r="D48" s="51">
        <f t="shared" ref="D48:V48" si="3">D42+D43+D44+D45+D46</f>
        <v>0</v>
      </c>
      <c r="E48" s="51">
        <f t="shared" si="3"/>
        <v>0</v>
      </c>
      <c r="F48" s="51">
        <f t="shared" si="3"/>
        <v>0</v>
      </c>
      <c r="G48" s="51">
        <f t="shared" si="3"/>
        <v>0</v>
      </c>
      <c r="H48" s="51">
        <f t="shared" si="3"/>
        <v>0</v>
      </c>
      <c r="I48" s="51">
        <f t="shared" si="3"/>
        <v>0</v>
      </c>
      <c r="J48" s="51">
        <f t="shared" si="3"/>
        <v>0</v>
      </c>
      <c r="K48" s="51">
        <f t="shared" si="3"/>
        <v>0</v>
      </c>
      <c r="L48" s="51">
        <f t="shared" si="3"/>
        <v>0</v>
      </c>
      <c r="M48" s="51">
        <f t="shared" si="3"/>
        <v>0</v>
      </c>
      <c r="N48" s="51">
        <f t="shared" si="3"/>
        <v>0</v>
      </c>
      <c r="O48" s="51">
        <f t="shared" si="3"/>
        <v>0</v>
      </c>
      <c r="P48" s="51">
        <f t="shared" si="3"/>
        <v>0</v>
      </c>
      <c r="Q48" s="51">
        <f t="shared" si="3"/>
        <v>0</v>
      </c>
      <c r="R48" s="51">
        <f t="shared" si="3"/>
        <v>0</v>
      </c>
      <c r="S48" s="51">
        <f t="shared" si="3"/>
        <v>0</v>
      </c>
      <c r="T48" s="51">
        <f t="shared" si="3"/>
        <v>0</v>
      </c>
      <c r="U48" s="51">
        <f t="shared" si="3"/>
        <v>0</v>
      </c>
      <c r="V48" s="51">
        <f t="shared" si="3"/>
        <v>0</v>
      </c>
    </row>
    <row r="49" spans="2:22">
      <c r="D49" s="26"/>
    </row>
    <row r="50" spans="2:22">
      <c r="B50" s="1" t="str">
        <f>_xlfn.CONCAT("Tarif ",B24)</f>
        <v>Tarif Einrichtung 3</v>
      </c>
      <c r="D50" s="26"/>
    </row>
    <row r="51" spans="2:22">
      <c r="B51" t="s">
        <v>280</v>
      </c>
      <c r="C51" s="9" t="s">
        <v>3</v>
      </c>
      <c r="D51" s="9" t="s">
        <v>4</v>
      </c>
      <c r="E51" s="9" t="s">
        <v>5</v>
      </c>
      <c r="F51" s="9" t="s">
        <v>6</v>
      </c>
      <c r="G51" s="9" t="s">
        <v>7</v>
      </c>
      <c r="H51" s="9" t="s">
        <v>8</v>
      </c>
      <c r="I51" s="9" t="s">
        <v>9</v>
      </c>
      <c r="J51" s="10" t="s">
        <v>10</v>
      </c>
      <c r="K51" s="10" t="s">
        <v>11</v>
      </c>
      <c r="L51" s="10" t="s">
        <v>12</v>
      </c>
      <c r="M51" s="10" t="s">
        <v>13</v>
      </c>
      <c r="N51" s="10" t="s">
        <v>14</v>
      </c>
      <c r="O51" s="10" t="s">
        <v>216</v>
      </c>
      <c r="P51" s="10" t="s">
        <v>217</v>
      </c>
      <c r="Q51" s="10" t="s">
        <v>218</v>
      </c>
      <c r="R51" s="10" t="s">
        <v>15</v>
      </c>
      <c r="S51" s="10" t="s">
        <v>16</v>
      </c>
      <c r="T51" s="10" t="s">
        <v>17</v>
      </c>
      <c r="U51" s="10" t="s">
        <v>18</v>
      </c>
      <c r="V51" s="10" t="s">
        <v>19</v>
      </c>
    </row>
    <row r="52" spans="2:22">
      <c r="B52" t="s">
        <v>281</v>
      </c>
      <c r="C52" s="108">
        <v>0</v>
      </c>
      <c r="D52" s="108">
        <v>0</v>
      </c>
      <c r="E52" s="108">
        <v>0</v>
      </c>
      <c r="F52" s="108">
        <v>0</v>
      </c>
      <c r="G52" s="108">
        <v>0</v>
      </c>
      <c r="H52" s="108">
        <v>0</v>
      </c>
      <c r="I52" s="108">
        <v>0</v>
      </c>
      <c r="J52" s="108">
        <v>0</v>
      </c>
      <c r="K52" s="108">
        <v>0</v>
      </c>
      <c r="L52" s="108">
        <v>0</v>
      </c>
      <c r="M52" s="108">
        <v>0</v>
      </c>
      <c r="N52" s="108">
        <v>0</v>
      </c>
      <c r="O52" s="108">
        <v>0</v>
      </c>
      <c r="P52" s="108">
        <v>0</v>
      </c>
      <c r="Q52" s="108">
        <v>0</v>
      </c>
      <c r="R52" s="108">
        <v>0</v>
      </c>
      <c r="S52" s="108">
        <v>0</v>
      </c>
      <c r="T52" s="108">
        <v>0</v>
      </c>
      <c r="U52" s="108">
        <v>0</v>
      </c>
      <c r="V52" s="108">
        <v>0</v>
      </c>
    </row>
    <row r="53" spans="2:22">
      <c r="B53" t="s">
        <v>282</v>
      </c>
      <c r="C53" s="108">
        <v>0</v>
      </c>
      <c r="D53" s="108">
        <v>0</v>
      </c>
      <c r="E53" s="108">
        <v>0</v>
      </c>
      <c r="F53" s="108">
        <v>0</v>
      </c>
      <c r="G53" s="108">
        <v>0</v>
      </c>
      <c r="H53" s="108">
        <v>0</v>
      </c>
      <c r="I53" s="108">
        <v>0</v>
      </c>
      <c r="J53" s="108">
        <v>0</v>
      </c>
      <c r="K53" s="108">
        <v>0</v>
      </c>
      <c r="L53" s="108">
        <v>0</v>
      </c>
      <c r="M53" s="108">
        <v>0</v>
      </c>
      <c r="N53" s="108">
        <v>0</v>
      </c>
      <c r="O53" s="108">
        <v>0</v>
      </c>
      <c r="P53" s="108">
        <v>0</v>
      </c>
      <c r="Q53" s="108">
        <v>0</v>
      </c>
      <c r="R53" s="108">
        <v>0</v>
      </c>
      <c r="S53" s="108">
        <v>0</v>
      </c>
      <c r="T53" s="108">
        <v>0</v>
      </c>
      <c r="U53" s="108">
        <v>0</v>
      </c>
      <c r="V53" s="108">
        <v>0</v>
      </c>
    </row>
    <row r="54" spans="2:22">
      <c r="B54" t="s">
        <v>130</v>
      </c>
      <c r="C54" s="108">
        <v>0</v>
      </c>
      <c r="D54" s="108">
        <v>0</v>
      </c>
      <c r="E54" s="108">
        <v>0</v>
      </c>
      <c r="F54" s="108">
        <v>0</v>
      </c>
      <c r="G54" s="108">
        <v>0</v>
      </c>
      <c r="H54" s="108">
        <v>0</v>
      </c>
      <c r="I54" s="108">
        <v>0</v>
      </c>
      <c r="J54" s="108">
        <v>0</v>
      </c>
      <c r="K54" s="108">
        <v>0</v>
      </c>
      <c r="L54" s="108">
        <v>0</v>
      </c>
      <c r="M54" s="108">
        <v>0</v>
      </c>
      <c r="N54" s="108">
        <v>0</v>
      </c>
      <c r="O54" s="108">
        <v>0</v>
      </c>
      <c r="P54" s="108">
        <v>0</v>
      </c>
      <c r="Q54" s="108">
        <v>0</v>
      </c>
      <c r="R54" s="108">
        <v>0</v>
      </c>
      <c r="S54" s="108">
        <v>0</v>
      </c>
      <c r="T54" s="108">
        <v>0</v>
      </c>
      <c r="U54" s="108">
        <v>0</v>
      </c>
      <c r="V54" s="108">
        <v>0</v>
      </c>
    </row>
    <row r="55" spans="2:22">
      <c r="B55" t="s">
        <v>283</v>
      </c>
      <c r="C55" s="108">
        <v>0</v>
      </c>
      <c r="D55" s="108">
        <v>0</v>
      </c>
      <c r="E55" s="108">
        <v>0</v>
      </c>
      <c r="F55" s="108">
        <v>0</v>
      </c>
      <c r="G55" s="108">
        <v>0</v>
      </c>
      <c r="H55" s="108">
        <v>0</v>
      </c>
      <c r="I55" s="108">
        <v>0</v>
      </c>
      <c r="J55" s="108">
        <v>0</v>
      </c>
      <c r="K55" s="108">
        <v>0</v>
      </c>
      <c r="L55" s="108">
        <v>0</v>
      </c>
      <c r="M55" s="108">
        <v>0</v>
      </c>
      <c r="N55" s="108">
        <v>0</v>
      </c>
      <c r="O55" s="108">
        <v>0</v>
      </c>
      <c r="P55" s="108">
        <v>0</v>
      </c>
      <c r="Q55" s="108">
        <v>0</v>
      </c>
      <c r="R55" s="108">
        <v>0</v>
      </c>
      <c r="S55" s="108">
        <v>0</v>
      </c>
      <c r="T55" s="108">
        <v>0</v>
      </c>
      <c r="U55" s="108">
        <v>0</v>
      </c>
      <c r="V55" s="108">
        <v>0</v>
      </c>
    </row>
    <row r="56" spans="2:22">
      <c r="B56" t="s">
        <v>284</v>
      </c>
      <c r="C56" s="108">
        <v>0</v>
      </c>
      <c r="D56" s="108">
        <v>0</v>
      </c>
      <c r="E56" s="108">
        <v>0</v>
      </c>
      <c r="F56" s="108">
        <v>0</v>
      </c>
      <c r="G56" s="108">
        <v>0</v>
      </c>
      <c r="H56" s="108">
        <v>0</v>
      </c>
      <c r="I56" s="108">
        <v>0</v>
      </c>
      <c r="J56" s="108">
        <v>0</v>
      </c>
      <c r="K56" s="108">
        <v>0</v>
      </c>
      <c r="L56" s="108">
        <v>0</v>
      </c>
      <c r="M56" s="108">
        <v>0</v>
      </c>
      <c r="N56" s="108">
        <v>0</v>
      </c>
      <c r="O56" s="108">
        <v>0</v>
      </c>
      <c r="P56" s="108">
        <v>0</v>
      </c>
      <c r="Q56" s="108">
        <v>0</v>
      </c>
      <c r="R56" s="108">
        <v>0</v>
      </c>
      <c r="S56" s="108">
        <v>0</v>
      </c>
      <c r="T56" s="108">
        <v>0</v>
      </c>
      <c r="U56" s="108">
        <v>0</v>
      </c>
      <c r="V56" s="108">
        <v>0</v>
      </c>
    </row>
    <row r="57" spans="2:22">
      <c r="B57" s="23" t="s">
        <v>285</v>
      </c>
      <c r="C57" s="136">
        <f>(C52*C93)+(C53*C94)+(C54*C95)+(C55*C96)+(C56*C97)</f>
        <v>0</v>
      </c>
      <c r="D57" s="136">
        <f t="shared" ref="D57:I57" si="4">(D52*D93)+(D53*D94)+(D54*D95)+(D55*D96)+(D56*D97)</f>
        <v>0</v>
      </c>
      <c r="E57" s="136">
        <f t="shared" si="4"/>
        <v>0</v>
      </c>
      <c r="F57" s="136">
        <f t="shared" si="4"/>
        <v>0</v>
      </c>
      <c r="G57" s="136">
        <f t="shared" si="4"/>
        <v>0</v>
      </c>
      <c r="H57" s="136">
        <f t="shared" si="4"/>
        <v>0</v>
      </c>
      <c r="I57" s="136">
        <f t="shared" si="4"/>
        <v>0</v>
      </c>
      <c r="J57" s="136">
        <f>IF(Refsz_Verbräuche[[#Headers],[2022]]=Startseite!$D$68,
    IF(AND(COUNT($C57:EF_Tarif3[[#Totals],[2021]])&gt;0,
             SUM($C57:EF_Tarif3[[#Totals],[2021]])&gt;0),
        AVERAGEIF($C57:EF_Tarif3[[#Totals],[2021]],"&gt;0"),
        0),
    IF(Startseite!$D$68=(Refsz_Verbräuche[[#Headers],[2022]]-1),
        EF_Tarif3[[#Totals],[2021]],
        IF(Startseite!$D$68&lt;Refsz_Verbräuche[[#Headers],[2022]],
            EF_Tarif3[[#Totals],[2021]],
         (J52*J93)+(J53*J94)+(J54*J95)+(J55*J96)+(J56*J97)
        )
    )
)</f>
        <v>0</v>
      </c>
      <c r="K57" s="136">
        <f>IF(Refsz_Verbräuche[[#Headers],[2023]]=Startseite!$D$68,
    IF(AND(COUNT($C57:EF_Tarif3[[#Totals],[2022]])&gt;0,
             SUM($C57:EF_Tarif3[[#Totals],[2022]])&gt;0),
        AVERAGEIF($C57:EF_Tarif3[[#Totals],[2022]],"&gt;0"),
        0),
    IF(Startseite!$D$68=(Refsz_Verbräuche[[#Headers],[2023]]-1),
        EF_Tarif3[[#Totals],[2022]],
        IF(Startseite!$D$68&lt;Refsz_Verbräuche[[#Headers],[2023]],
            EF_Tarif3[[#Totals],[2022]],
         (K52*K93)+(K53*K94)+(K54*K95)+(K55*K96)+(K56*K97)
        )
    )
)</f>
        <v>0</v>
      </c>
      <c r="L57" s="136">
        <f>IF(Refsz_Verbräuche[[#Headers],[2024]]=Startseite!$D$68,
    IF(AND(COUNT($C57:EF_Tarif3[[#Totals],[2023]])&gt;0,
             SUM($C57:EF_Tarif3[[#Totals],[2023]])&gt;0),
        AVERAGEIF($C57:EF_Tarif3[[#Totals],[2023]],"&gt;0"),
        0),
    IF(Startseite!$D$68=(Refsz_Verbräuche[[#Headers],[2024]]-1),
        EF_Tarif3[[#Totals],[2023]],
        IF(Startseite!$D$68&lt;Refsz_Verbräuche[[#Headers],[2024]],
            EF_Tarif3[[#Totals],[2023]],
         (L52*L93)+(L53*L94)+(L54*L95)+(L55*L96)+(L56*L97)
        )
    )
)</f>
        <v>0</v>
      </c>
      <c r="M57" s="136">
        <f>IF(Refsz_Verbräuche[[#Headers],[2025]]=Startseite!$D$68,
    IF(AND(COUNT($C57:EF_Tarif3[[#Totals],[2024]])&gt;0,
             SUM($C57:EF_Tarif3[[#Totals],[2024]])&gt;0),
        AVERAGEIF($C57:EF_Tarif3[[#Totals],[2024]],"&gt;0"),
        0),
    IF(Startseite!$D$68=(Refsz_Verbräuche[[#Headers],[2025]]-1),
        EF_Tarif3[[#Totals],[2024]],
        IF(Startseite!$D$68&lt;Refsz_Verbräuche[[#Headers],[2025]],
            EF_Tarif3[[#Totals],[2024]],
         (M52*M93)+(M53*M94)+(M54*M95)+(M55*M96)+(M56*M97)
        )
    )
)</f>
        <v>0</v>
      </c>
      <c r="N57" s="136">
        <f>IF(Refsz_Verbräuche[[#Headers],[2026]]=Startseite!$D$68,
    IF(AND(COUNT($C57:EF_Tarif3[[#Totals],[2025]])&gt;0,
             SUM($C57:EF_Tarif3[[#Totals],[2025]])&gt;0),
        AVERAGEIF($C57:EF_Tarif3[[#Totals],[2025]],"&gt;0"),
        0),
    IF(Startseite!$D$68=(Refsz_Verbräuche[[#Headers],[2026]]-1),
        EF_Tarif3[[#Totals],[2025]],
        IF(Startseite!$D$68&lt;Refsz_Verbräuche[[#Headers],[2026]],
            EF_Tarif3[[#Totals],[2025]],
         (N52*N93)+(N53*N94)+(N54*N95)+(N55*N96)+(N56*N97)
        )
    )
)</f>
        <v>0</v>
      </c>
      <c r="O57" s="136">
        <f>IF(Refsz_Verbräuche[[#Headers],[2027]]=Startseite!$D$68,
    IF(AND(COUNT($C57:EF_Tarif3[[#Totals],[2026]])&gt;0,
             SUM($C57:EF_Tarif3[[#Totals],[2026]])&gt;0),
        AVERAGEIF($C57:EF_Tarif3[[#Totals],[2026]],"&gt;0"),
        0),
    IF(Startseite!$D$68=(Refsz_Verbräuche[[#Headers],[2027]]-1),
        EF_Tarif3[[#Totals],[2026]],
        IF(Startseite!$D$68&lt;Refsz_Verbräuche[[#Headers],[2027]],
            EF_Tarif3[[#Totals],[2026]],
         (O52*O93)+(O53*O94)+(O54*O95)+(O55*O96)+(O56*O97)
        )
    )
)</f>
        <v>0</v>
      </c>
      <c r="P57" s="136">
        <f>IF(Refsz_Verbräuche[[#Headers],[2028]]=Startseite!$D$68,
    IF(AND(COUNT($C57:EF_Tarif3[[#Totals],[2027]])&gt;0,
             SUM($C57:EF_Tarif3[[#Totals],[2027]])&gt;0),
        AVERAGEIF($C57:EF_Tarif3[[#Totals],[2027]],"&gt;0"),
        0),
    IF(Startseite!$D$68=(Refsz_Verbräuche[[#Headers],[2028]]-1),
        EF_Tarif3[[#Totals],[2027]],
        IF(Startseite!$D$68&lt;Refsz_Verbräuche[[#Headers],[2028]],
            EF_Tarif3[[#Totals],[2027]],
         (P52*P93)+(P53*P94)+(P54*P95)+(P55*P96)+(P56*P97)
        )
    )
)</f>
        <v>0</v>
      </c>
      <c r="Q57" s="136">
        <f>IF(Refsz_Verbräuche[[#Headers],[2029]]=Startseite!$D$68,
    IF(AND(COUNT($C57:EF_Tarif3[[#Totals],[2028]])&gt;0,
             SUM($C57:EF_Tarif3[[#Totals],[2028]])&gt;0),
        AVERAGEIF($C57:EF_Tarif3[[#Totals],[2028]],"&gt;0"),
        0),
    IF(Startseite!$D$68=(Refsz_Verbräuche[[#Headers],[2029]]-1),
        EF_Tarif3[[#Totals],[2028]],
        IF(Startseite!$D$68&lt;Refsz_Verbräuche[[#Headers],[2029]],
            EF_Tarif3[[#Totals],[2028]],
         (Q52*Q93)+(Q53*Q94)+(Q54*Q95)+(Q55*Q96)+(Q56*Q97)
        )
    )
)</f>
        <v>0</v>
      </c>
      <c r="R57" s="136">
        <f>IF(Refsz_Verbräuche[[#Headers],[2030]]=Startseite!$D$68,
    IF(AND(COUNT($C57:EF_Tarif3[[#Totals],[2029]])&gt;0,
             SUM($C57:EF_Tarif3[[#Totals],[2029]])&gt;0),
        AVERAGEIF($C57:EF_Tarif3[[#Totals],[2029]],"&gt;0"),
        0),
    IF(Startseite!$D$68=(Refsz_Verbräuche[[#Headers],[2030]]-1),
        EF_Tarif3[[#Totals],[2029]],
        IF(Startseite!$D$68&lt;Refsz_Verbräuche[[#Headers],[2030]],
            EF_Tarif3[[#Totals],[2029]],
         (R52*R93)+(R53*R94)+(R54*R95)+(R55*R96)+(R56*R97)
        )
    )
)</f>
        <v>0</v>
      </c>
      <c r="S57" s="136">
        <f>IF(Refsz_Verbräuche[[#Headers],[2035]]=Startseite!$D$68,
    IF(AND(COUNT($C57:EF_Tarif3[[#Totals],[2030]])&gt;0,
             SUM($C57:EF_Tarif3[[#Totals],[2030]])&gt;0),
        AVERAGEIF($C57:EF_Tarif3[[#Totals],[2030]],"&gt;0"),
        0),
    IF(Startseite!$D$68=(Refsz_Verbräuche[[#Headers],[2035]]-1),
        EF_Tarif3[[#Totals],[2030]],
        IF(Startseite!$D$68&lt;Refsz_Verbräuche[[#Headers],[2035]],
            EF_Tarif3[[#Totals],[2030]],
         (S52*S93)+(S53*S94)+(S54*S95)+(S55*S96)+(S56*S97)
        )
    )
)</f>
        <v>0</v>
      </c>
      <c r="T57" s="136">
        <f>IF(Refsz_Verbräuche[[#Headers],[2040]]=Startseite!$D$68,
    IF(AND(COUNT($C57:EF_Tarif3[[#Totals],[2035]])&gt;0,
             SUM($C57:EF_Tarif3[[#Totals],[2035]])&gt;0),
        AVERAGEIF($C57:EF_Tarif3[[#Totals],[2035]],"&gt;0"),
        0),
    IF(Startseite!$D$68=(Refsz_Verbräuche[[#Headers],[2040]]-1),
        EF_Tarif3[[#Totals],[2035]],
        IF(Startseite!$D$68&lt;Refsz_Verbräuche[[#Headers],[2040]],
            EF_Tarif3[[#Totals],[2035]],
         (T52*T93)+(T53*T94)+(T54*T95)+(T55*T96)+(T56*T97)
        )
    )
)</f>
        <v>0</v>
      </c>
      <c r="U57" s="136">
        <f>IF(Refsz_Verbräuche[[#Headers],[2045]]=Startseite!$D$68,
    IF(AND(COUNT($C57:EF_Tarif3[[#Totals],[2040]])&gt;0,
             SUM($C57:EF_Tarif3[[#Totals],[2040]])&gt;0),
        AVERAGEIF($C57:EF_Tarif3[[#Totals],[2040]],"&gt;0"),
        0),
    IF(Startseite!$D$68=(Refsz_Verbräuche[[#Headers],[2045]]-1),
        EF_Tarif3[[#Totals],[2040]],
        IF(Startseite!$D$68&lt;Refsz_Verbräuche[[#Headers],[2045]],
            EF_Tarif3[[#Totals],[2040]],
         (U52*U93)+(U53*U94)+(U54*U95)+(U55*U96)+(U56*U97)
        )
    )
)</f>
        <v>0</v>
      </c>
      <c r="V57" s="136">
        <f>IF(Refsz_Verbräuche[[#Headers],[2050]]=Startseite!$D$68,
    IF(AND(COUNT($C57:EF_Tarif3[[#Totals],[2045]])&gt;0,
             SUM($C57:EF_Tarif3[[#Totals],[2045]])&gt;0),
        AVERAGEIF($C57:EF_Tarif3[[#Totals],[2045]],"&gt;0"),
        0),
    IF(Startseite!$D$68=(Refsz_Verbräuche[[#Headers],[2050]]-1),
        EF_Tarif3[[#Totals],[2045]],
        IF(Startseite!$D$68&lt;Refsz_Verbräuche[[#Headers],[2050]],
            EF_Tarif3[[#Totals],[2045]],
         (V52*V93)+(V53*V94)+(V54*V95)+(V55*V96)+(V56*V97)
        )
    )
)</f>
        <v>0</v>
      </c>
    </row>
    <row r="58" spans="2:22">
      <c r="B58" s="23" t="s">
        <v>286</v>
      </c>
      <c r="C58" s="51">
        <f>C52+C53+C54+C55+C56</f>
        <v>0</v>
      </c>
      <c r="D58" s="51">
        <f t="shared" ref="D58:V58" si="5">D52+D53+D54+D55+D56</f>
        <v>0</v>
      </c>
      <c r="E58" s="51">
        <f t="shared" si="5"/>
        <v>0</v>
      </c>
      <c r="F58" s="51">
        <f t="shared" si="5"/>
        <v>0</v>
      </c>
      <c r="G58" s="51">
        <f t="shared" si="5"/>
        <v>0</v>
      </c>
      <c r="H58" s="51">
        <f t="shared" si="5"/>
        <v>0</v>
      </c>
      <c r="I58" s="51">
        <f t="shared" si="5"/>
        <v>0</v>
      </c>
      <c r="J58" s="51">
        <f t="shared" si="5"/>
        <v>0</v>
      </c>
      <c r="K58" s="51">
        <f t="shared" si="5"/>
        <v>0</v>
      </c>
      <c r="L58" s="51">
        <f t="shared" si="5"/>
        <v>0</v>
      </c>
      <c r="M58" s="51">
        <f t="shared" si="5"/>
        <v>0</v>
      </c>
      <c r="N58" s="51">
        <f t="shared" si="5"/>
        <v>0</v>
      </c>
      <c r="O58" s="51">
        <f t="shared" si="5"/>
        <v>0</v>
      </c>
      <c r="P58" s="51">
        <f t="shared" si="5"/>
        <v>0</v>
      </c>
      <c r="Q58" s="51">
        <f t="shared" si="5"/>
        <v>0</v>
      </c>
      <c r="R58" s="51">
        <f t="shared" si="5"/>
        <v>0</v>
      </c>
      <c r="S58" s="51">
        <f t="shared" si="5"/>
        <v>0</v>
      </c>
      <c r="T58" s="51">
        <f t="shared" si="5"/>
        <v>0</v>
      </c>
      <c r="U58" s="51">
        <f t="shared" si="5"/>
        <v>0</v>
      </c>
      <c r="V58" s="51">
        <f t="shared" si="5"/>
        <v>0</v>
      </c>
    </row>
    <row r="59" spans="2:22">
      <c r="D59" s="26"/>
    </row>
    <row r="60" spans="2:22">
      <c r="B60" s="1" t="str">
        <f>_xlfn.CONCAT("Tarif ",B25)</f>
        <v>Tarif Einrichtung 4</v>
      </c>
      <c r="D60" s="26"/>
    </row>
    <row r="61" spans="2:22">
      <c r="B61" t="s">
        <v>280</v>
      </c>
      <c r="C61" s="9" t="s">
        <v>3</v>
      </c>
      <c r="D61" s="9" t="s">
        <v>4</v>
      </c>
      <c r="E61" s="9" t="s">
        <v>5</v>
      </c>
      <c r="F61" s="9" t="s">
        <v>6</v>
      </c>
      <c r="G61" s="9" t="s">
        <v>7</v>
      </c>
      <c r="H61" s="9" t="s">
        <v>8</v>
      </c>
      <c r="I61" s="9" t="s">
        <v>9</v>
      </c>
      <c r="J61" s="10" t="s">
        <v>10</v>
      </c>
      <c r="K61" s="10" t="s">
        <v>11</v>
      </c>
      <c r="L61" s="10" t="s">
        <v>12</v>
      </c>
      <c r="M61" s="10" t="s">
        <v>13</v>
      </c>
      <c r="N61" s="10" t="s">
        <v>14</v>
      </c>
      <c r="O61" s="10" t="s">
        <v>216</v>
      </c>
      <c r="P61" s="10" t="s">
        <v>217</v>
      </c>
      <c r="Q61" s="10" t="s">
        <v>218</v>
      </c>
      <c r="R61" s="10" t="s">
        <v>15</v>
      </c>
      <c r="S61" s="10" t="s">
        <v>16</v>
      </c>
      <c r="T61" s="10" t="s">
        <v>17</v>
      </c>
      <c r="U61" s="10" t="s">
        <v>18</v>
      </c>
      <c r="V61" s="10" t="s">
        <v>19</v>
      </c>
    </row>
    <row r="62" spans="2:22">
      <c r="B62" t="s">
        <v>281</v>
      </c>
      <c r="C62" s="108">
        <v>0</v>
      </c>
      <c r="D62" s="108">
        <v>0</v>
      </c>
      <c r="E62" s="108">
        <v>0</v>
      </c>
      <c r="F62" s="108">
        <v>0</v>
      </c>
      <c r="G62" s="108">
        <v>0</v>
      </c>
      <c r="H62" s="108">
        <v>0</v>
      </c>
      <c r="I62" s="108">
        <v>0</v>
      </c>
      <c r="J62" s="108">
        <v>0</v>
      </c>
      <c r="K62" s="108">
        <v>0</v>
      </c>
      <c r="L62" s="108">
        <v>0</v>
      </c>
      <c r="M62" s="108">
        <v>0</v>
      </c>
      <c r="N62" s="108">
        <v>0</v>
      </c>
      <c r="O62" s="108">
        <v>0</v>
      </c>
      <c r="P62" s="108">
        <v>0</v>
      </c>
      <c r="Q62" s="108">
        <v>0</v>
      </c>
      <c r="R62" s="108">
        <v>0</v>
      </c>
      <c r="S62" s="108">
        <v>0</v>
      </c>
      <c r="T62" s="108">
        <v>0</v>
      </c>
      <c r="U62" s="108">
        <v>0</v>
      </c>
      <c r="V62" s="108">
        <v>0</v>
      </c>
    </row>
    <row r="63" spans="2:22">
      <c r="B63" t="s">
        <v>282</v>
      </c>
      <c r="C63" s="108">
        <v>0</v>
      </c>
      <c r="D63" s="108">
        <v>0</v>
      </c>
      <c r="E63" s="108">
        <v>0</v>
      </c>
      <c r="F63" s="108">
        <v>0</v>
      </c>
      <c r="G63" s="108">
        <v>0</v>
      </c>
      <c r="H63" s="108">
        <v>0</v>
      </c>
      <c r="I63" s="108">
        <v>0</v>
      </c>
      <c r="J63" s="108">
        <v>0</v>
      </c>
      <c r="K63" s="108">
        <v>0</v>
      </c>
      <c r="L63" s="108">
        <v>0</v>
      </c>
      <c r="M63" s="108">
        <v>0</v>
      </c>
      <c r="N63" s="108">
        <v>0</v>
      </c>
      <c r="O63" s="108">
        <v>0</v>
      </c>
      <c r="P63" s="108">
        <v>0</v>
      </c>
      <c r="Q63" s="108">
        <v>0</v>
      </c>
      <c r="R63" s="108">
        <v>0</v>
      </c>
      <c r="S63" s="108">
        <v>0</v>
      </c>
      <c r="T63" s="108">
        <v>0</v>
      </c>
      <c r="U63" s="108">
        <v>0</v>
      </c>
      <c r="V63" s="108">
        <v>0</v>
      </c>
    </row>
    <row r="64" spans="2:22">
      <c r="B64" t="s">
        <v>130</v>
      </c>
      <c r="C64" s="108">
        <v>0</v>
      </c>
      <c r="D64" s="108">
        <v>0</v>
      </c>
      <c r="E64" s="108">
        <v>0</v>
      </c>
      <c r="F64" s="108">
        <v>0</v>
      </c>
      <c r="G64" s="108">
        <v>0</v>
      </c>
      <c r="H64" s="108">
        <v>0</v>
      </c>
      <c r="I64" s="108">
        <v>0</v>
      </c>
      <c r="J64" s="108">
        <v>0</v>
      </c>
      <c r="K64" s="108">
        <v>0</v>
      </c>
      <c r="L64" s="108">
        <v>0</v>
      </c>
      <c r="M64" s="108">
        <v>0</v>
      </c>
      <c r="N64" s="108">
        <v>0</v>
      </c>
      <c r="O64" s="108">
        <v>0</v>
      </c>
      <c r="P64" s="108">
        <v>0</v>
      </c>
      <c r="Q64" s="108">
        <v>0</v>
      </c>
      <c r="R64" s="108">
        <v>0</v>
      </c>
      <c r="S64" s="108">
        <v>0</v>
      </c>
      <c r="T64" s="108">
        <v>0</v>
      </c>
      <c r="U64" s="108">
        <v>0</v>
      </c>
      <c r="V64" s="108">
        <v>0</v>
      </c>
    </row>
    <row r="65" spans="2:22">
      <c r="B65" t="s">
        <v>283</v>
      </c>
      <c r="C65" s="108">
        <v>0</v>
      </c>
      <c r="D65" s="108">
        <v>0</v>
      </c>
      <c r="E65" s="108">
        <v>0</v>
      </c>
      <c r="F65" s="108">
        <v>0</v>
      </c>
      <c r="G65" s="108">
        <v>0</v>
      </c>
      <c r="H65" s="108">
        <v>0</v>
      </c>
      <c r="I65" s="108">
        <v>0</v>
      </c>
      <c r="J65" s="108">
        <v>0</v>
      </c>
      <c r="K65" s="108">
        <v>0</v>
      </c>
      <c r="L65" s="108">
        <v>0</v>
      </c>
      <c r="M65" s="108">
        <v>0</v>
      </c>
      <c r="N65" s="108">
        <v>0</v>
      </c>
      <c r="O65" s="108">
        <v>0</v>
      </c>
      <c r="P65" s="108">
        <v>0</v>
      </c>
      <c r="Q65" s="108">
        <v>0</v>
      </c>
      <c r="R65" s="108">
        <v>0</v>
      </c>
      <c r="S65" s="108">
        <v>0</v>
      </c>
      <c r="T65" s="108">
        <v>0</v>
      </c>
      <c r="U65" s="108">
        <v>0</v>
      </c>
      <c r="V65" s="108">
        <v>0</v>
      </c>
    </row>
    <row r="66" spans="2:22">
      <c r="B66" t="s">
        <v>284</v>
      </c>
      <c r="C66" s="108">
        <v>0</v>
      </c>
      <c r="D66" s="108">
        <v>0</v>
      </c>
      <c r="E66" s="108">
        <v>0</v>
      </c>
      <c r="F66" s="108">
        <v>0</v>
      </c>
      <c r="G66" s="108">
        <v>0</v>
      </c>
      <c r="H66" s="108">
        <v>0</v>
      </c>
      <c r="I66" s="108">
        <v>0</v>
      </c>
      <c r="J66" s="108">
        <v>0</v>
      </c>
      <c r="K66" s="108">
        <v>0</v>
      </c>
      <c r="L66" s="108">
        <v>0</v>
      </c>
      <c r="M66" s="108">
        <v>0</v>
      </c>
      <c r="N66" s="108">
        <v>0</v>
      </c>
      <c r="O66" s="108">
        <v>0</v>
      </c>
      <c r="P66" s="108">
        <v>0</v>
      </c>
      <c r="Q66" s="108">
        <v>0</v>
      </c>
      <c r="R66" s="108">
        <v>0</v>
      </c>
      <c r="S66" s="108">
        <v>0</v>
      </c>
      <c r="T66" s="108">
        <v>0</v>
      </c>
      <c r="U66" s="108">
        <v>0</v>
      </c>
      <c r="V66" s="108">
        <v>0</v>
      </c>
    </row>
    <row r="67" spans="2:22">
      <c r="B67" s="23" t="s">
        <v>285</v>
      </c>
      <c r="C67" s="136">
        <f>(C62*C93)+(C63*C94)+(C64*C95)+(C65*C96)+(C66*C97)</f>
        <v>0</v>
      </c>
      <c r="D67" s="136">
        <f t="shared" ref="D67:I67" si="6">(D62*D93)+(D63*D94)+(D64*D95)+(D65*D96)+(D66*D97)</f>
        <v>0</v>
      </c>
      <c r="E67" s="136">
        <f t="shared" si="6"/>
        <v>0</v>
      </c>
      <c r="F67" s="136">
        <f t="shared" si="6"/>
        <v>0</v>
      </c>
      <c r="G67" s="136">
        <f t="shared" si="6"/>
        <v>0</v>
      </c>
      <c r="H67" s="136">
        <f t="shared" si="6"/>
        <v>0</v>
      </c>
      <c r="I67" s="136">
        <f t="shared" si="6"/>
        <v>0</v>
      </c>
      <c r="J67" s="136">
        <f>IF(Refsz_Verbräuche[[#Headers],[2022]]=Startseite!$D$68,
    IF(AND(COUNT($C67:EF_Tarif4[[#Totals],[2021]])&gt;0,
             SUM($C67:EF_Tarif4[[#Totals],[2021]])&gt;0),
        AVERAGEIF($C67:EF_Tarif4[[#Totals],[2021]],"&gt;0"),
        0),
    IF(Startseite!$D$68=(Refsz_Verbräuche[[#Headers],[2022]]-1),
        EF_Tarif4[[#Totals],[2021]],
        IF(Startseite!$D$68&lt;Refsz_Verbräuche[[#Headers],[2022]],
            EF_Tarif4[[#Totals],[2021]],
        (J62*J93)+(J63*J94)+(J64*J95)+(J65*J96)+(J66*J97)
        )
    )
)</f>
        <v>0</v>
      </c>
      <c r="K67" s="136">
        <f>IF(Refsz_Verbräuche[[#Headers],[2023]]=Startseite!$D$68,
    IF(AND(COUNT($C67:EF_Tarif4[[#Totals],[2022]])&gt;0,
             SUM($C67:EF_Tarif4[[#Totals],[2022]])&gt;0),
        AVERAGEIF($C67:EF_Tarif4[[#Totals],[2022]],"&gt;0"),
        0),
    IF(Startseite!$D$68=(Refsz_Verbräuche[[#Headers],[2023]]-1),
        EF_Tarif4[[#Totals],[2022]],
        IF(Startseite!$D$68&lt;Refsz_Verbräuche[[#Headers],[2023]],
            EF_Tarif4[[#Totals],[2022]],
        (K62*K93)+(K63*K94)+(K64*K95)+(K65*K96)+(K66*K97)
        )
    )
)</f>
        <v>0</v>
      </c>
      <c r="L67" s="136">
        <f>IF(Refsz_Verbräuche[[#Headers],[2024]]=Startseite!$D$68,
    IF(AND(COUNT($C67:EF_Tarif4[[#Totals],[2023]])&gt;0,
             SUM($C67:EF_Tarif4[[#Totals],[2023]])&gt;0),
        AVERAGEIF($C67:EF_Tarif4[[#Totals],[2023]],"&gt;0"),
        0),
    IF(Startseite!$D$68=(Refsz_Verbräuche[[#Headers],[2024]]-1),
        EF_Tarif4[[#Totals],[2023]],
        IF(Startseite!$D$68&lt;Refsz_Verbräuche[[#Headers],[2024]],
            EF_Tarif4[[#Totals],[2023]],
        (L62*L93)+(L63*L94)+(L64*L95)+(L65*L96)+(L66*L97)
        )
    )
)</f>
        <v>0</v>
      </c>
      <c r="M67" s="136">
        <f>IF(Refsz_Verbräuche[[#Headers],[2025]]=Startseite!$D$68,
    IF(AND(COUNT($C67:EF_Tarif4[[#Totals],[2024]])&gt;0,
             SUM($C67:EF_Tarif4[[#Totals],[2024]])&gt;0),
        AVERAGEIF($C67:EF_Tarif4[[#Totals],[2024]],"&gt;0"),
        0),
    IF(Startseite!$D$68=(Refsz_Verbräuche[[#Headers],[2025]]-1),
        EF_Tarif4[[#Totals],[2024]],
        IF(Startseite!$D$68&lt;Refsz_Verbräuche[[#Headers],[2025]],
            EF_Tarif4[[#Totals],[2024]],
        (M62*M93)+(M63*M94)+(M64*M95)+(M65*M96)+(M66*M97)
        )
    )
)</f>
        <v>0</v>
      </c>
      <c r="N67" s="136">
        <f>IF(Refsz_Verbräuche[[#Headers],[2026]]=Startseite!$D$68,
    IF(AND(COUNT($C67:EF_Tarif4[[#Totals],[2025]])&gt;0,
             SUM($C67:EF_Tarif4[[#Totals],[2025]])&gt;0),
        AVERAGEIF($C67:EF_Tarif4[[#Totals],[2025]],"&gt;0"),
        0),
    IF(Startseite!$D$68=(Refsz_Verbräuche[[#Headers],[2026]]-1),
        EF_Tarif4[[#Totals],[2025]],
        IF(Startseite!$D$68&lt;Refsz_Verbräuche[[#Headers],[2026]],
            EF_Tarif4[[#Totals],[2025]],
        (N62*N93)+(N63*N94)+(N64*N95)+(N65*N96)+(N66*N97)
        )
    )
)</f>
        <v>0</v>
      </c>
      <c r="O67" s="136">
        <f>IF(Refsz_Verbräuche[[#Headers],[2027]]=Startseite!$D$68,
    IF(AND(COUNT($C67:EF_Tarif4[[#Totals],[2026]])&gt;0,
             SUM($C67:EF_Tarif4[[#Totals],[2026]])&gt;0),
        AVERAGEIF($C67:EF_Tarif4[[#Totals],[2026]],"&gt;0"),
        0),
    IF(Startseite!$D$68=(Refsz_Verbräuche[[#Headers],[2027]]-1),
        EF_Tarif4[[#Totals],[2026]],
        IF(Startseite!$D$68&lt;Refsz_Verbräuche[[#Headers],[2027]],
            EF_Tarif4[[#Totals],[2026]],
        (O62*O93)+(O63*O94)+(O64*O95)+(O65*O96)+(O66*O97)
        )
    )
)</f>
        <v>0</v>
      </c>
      <c r="P67" s="136">
        <f>IF(Refsz_Verbräuche[[#Headers],[2028]]=Startseite!$D$68,
    IF(AND(COUNT($C67:EF_Tarif4[[#Totals],[2027]])&gt;0,
             SUM($C67:EF_Tarif4[[#Totals],[2027]])&gt;0),
        AVERAGEIF($C67:EF_Tarif4[[#Totals],[2027]],"&gt;0"),
        0),
    IF(Startseite!$D$68=(Refsz_Verbräuche[[#Headers],[2028]]-1),
        EF_Tarif4[[#Totals],[2027]],
        IF(Startseite!$D$68&lt;Refsz_Verbräuche[[#Headers],[2028]],
            EF_Tarif4[[#Totals],[2027]],
        (P62*P93)+(P63*P94)+(P64*P95)+(P65*P96)+(P66*P97)
        )
    )
)</f>
        <v>0</v>
      </c>
      <c r="Q67" s="136">
        <f>IF(Refsz_Verbräuche[[#Headers],[2029]]=Startseite!$D$68,
    IF(AND(COUNT($C67:EF_Tarif4[[#Totals],[2028]])&gt;0,
             SUM($C67:EF_Tarif4[[#Totals],[2028]])&gt;0),
        AVERAGEIF($C67:EF_Tarif4[[#Totals],[2028]],"&gt;0"),
        0),
    IF(Startseite!$D$68=(Refsz_Verbräuche[[#Headers],[2029]]-1),
        EF_Tarif4[[#Totals],[2028]],
        IF(Startseite!$D$68&lt;Refsz_Verbräuche[[#Headers],[2029]],
            EF_Tarif4[[#Totals],[2028]],
        (Q62*Q93)+(Q63*Q94)+(Q64*Q95)+(Q65*Q96)+(Q66*Q97)
        )
    )
)</f>
        <v>0</v>
      </c>
      <c r="R67" s="136">
        <f>IF(Refsz_Verbräuche[[#Headers],[2030]]=Startseite!$D$68,
    IF(AND(COUNT($C67:EF_Tarif4[[#Totals],[2029]])&gt;0,
             SUM($C67:EF_Tarif4[[#Totals],[2029]])&gt;0),
        AVERAGEIF($C67:EF_Tarif4[[#Totals],[2029]],"&gt;0"),
        0),
    IF(Startseite!$D$68=(Refsz_Verbräuche[[#Headers],[2030]]-1),
        EF_Tarif4[[#Totals],[2029]],
        IF(Startseite!$D$68&lt;Refsz_Verbräuche[[#Headers],[2030]],
            EF_Tarif4[[#Totals],[2029]],
        (R62*R93)+(R63*R94)+(R64*R95)+(R65*R96)+(R66*R97)
        )
    )
)</f>
        <v>0</v>
      </c>
      <c r="S67" s="136">
        <f>IF(Refsz_Verbräuche[[#Headers],[2035]]=Startseite!$D$68,
    IF(AND(COUNT($C67:EF_Tarif4[[#Totals],[2030]])&gt;0,
             SUM($C67:EF_Tarif4[[#Totals],[2030]])&gt;0),
        AVERAGEIF($C67:EF_Tarif4[[#Totals],[2030]],"&gt;0"),
        0),
    IF(Startseite!$D$68=(Refsz_Verbräuche[[#Headers],[2035]]-1),
        EF_Tarif4[[#Totals],[2030]],
        IF(Startseite!$D$68&lt;Refsz_Verbräuche[[#Headers],[2035]],
            EF_Tarif4[[#Totals],[2030]],
        (S62*S93)+(S63*S94)+(S64*S95)+(S65*S96)+(S66*S97)
        )
    )
)</f>
        <v>0</v>
      </c>
      <c r="T67" s="136">
        <f>IF(Refsz_Verbräuche[[#Headers],[2040]]=Startseite!$D$68,
    IF(AND(COUNT($C67:EF_Tarif4[[#Totals],[2035]])&gt;0,
             SUM($C67:EF_Tarif4[[#Totals],[2035]])&gt;0),
        AVERAGEIF($C67:EF_Tarif4[[#Totals],[2035]],"&gt;0"),
        0),
    IF(Startseite!$D$68=(Refsz_Verbräuche[[#Headers],[2040]]-1),
        EF_Tarif4[[#Totals],[2035]],
        IF(Startseite!$D$68&lt;Refsz_Verbräuche[[#Headers],[2040]],
            EF_Tarif4[[#Totals],[2035]],
        (T62*T93)+(T63*T94)+(T64*T95)+(T65*T96)+(T66*T97)
        )
    )
)</f>
        <v>0</v>
      </c>
      <c r="U67" s="136">
        <f>IF(Refsz_Verbräuche[[#Headers],[2045]]=Startseite!$D$68,
    IF(AND(COUNT($C67:EF_Tarif4[[#Totals],[2040]])&gt;0,
             SUM($C67:EF_Tarif4[[#Totals],[2040]])&gt;0),
        AVERAGEIF($C67:EF_Tarif4[[#Totals],[2040]],"&gt;0"),
        0),
    IF(Startseite!$D$68=(Refsz_Verbräuche[[#Headers],[2045]]-1),
        EF_Tarif4[[#Totals],[2040]],
        IF(Startseite!$D$68&lt;Refsz_Verbräuche[[#Headers],[2045]],
            EF_Tarif4[[#Totals],[2040]],
        (U62*U93)+(U63*U94)+(U64*U95)+(U65*U96)+(U66*U97)
        )
    )
)</f>
        <v>0</v>
      </c>
      <c r="V67" s="136">
        <f>IF(Refsz_Verbräuche[[#Headers],[2050]]=Startseite!$D$68,
    IF(AND(COUNT($C67:EF_Tarif4[[#Totals],[2045]])&gt;0,
             SUM($C67:EF_Tarif4[[#Totals],[2045]])&gt;0),
        AVERAGEIF($C67:EF_Tarif4[[#Totals],[2045]],"&gt;0"),
        0),
    IF(Startseite!$D$68=(Refsz_Verbräuche[[#Headers],[2050]]-1),
        EF_Tarif4[[#Totals],[2045]],
        IF(Startseite!$D$68&lt;Refsz_Verbräuche[[#Headers],[2050]],
            EF_Tarif4[[#Totals],[2045]],
        (V62*V93)+(V63*V94)+(V64*V95)+(V65*V96)+(V66*V97)
        )
    )
)</f>
        <v>0</v>
      </c>
    </row>
    <row r="68" spans="2:22">
      <c r="B68" s="23" t="s">
        <v>286</v>
      </c>
      <c r="C68" s="51">
        <f>C62+C63+C64+C65+C66</f>
        <v>0</v>
      </c>
      <c r="D68" s="51">
        <f t="shared" ref="D68:V68" si="7">D62+D63+D64+D65+D66</f>
        <v>0</v>
      </c>
      <c r="E68" s="51">
        <f t="shared" si="7"/>
        <v>0</v>
      </c>
      <c r="F68" s="51">
        <f t="shared" si="7"/>
        <v>0</v>
      </c>
      <c r="G68" s="51">
        <f t="shared" si="7"/>
        <v>0</v>
      </c>
      <c r="H68" s="51">
        <f t="shared" si="7"/>
        <v>0</v>
      </c>
      <c r="I68" s="51">
        <f t="shared" si="7"/>
        <v>0</v>
      </c>
      <c r="J68" s="51">
        <f t="shared" si="7"/>
        <v>0</v>
      </c>
      <c r="K68" s="51">
        <f t="shared" si="7"/>
        <v>0</v>
      </c>
      <c r="L68" s="51">
        <f t="shared" si="7"/>
        <v>0</v>
      </c>
      <c r="M68" s="51">
        <f t="shared" si="7"/>
        <v>0</v>
      </c>
      <c r="N68" s="51">
        <f t="shared" si="7"/>
        <v>0</v>
      </c>
      <c r="O68" s="51">
        <f t="shared" si="7"/>
        <v>0</v>
      </c>
      <c r="P68" s="51">
        <f t="shared" si="7"/>
        <v>0</v>
      </c>
      <c r="Q68" s="51">
        <f t="shared" si="7"/>
        <v>0</v>
      </c>
      <c r="R68" s="51">
        <f t="shared" si="7"/>
        <v>0</v>
      </c>
      <c r="S68" s="51">
        <f t="shared" si="7"/>
        <v>0</v>
      </c>
      <c r="T68" s="51">
        <f t="shared" si="7"/>
        <v>0</v>
      </c>
      <c r="U68" s="51">
        <f t="shared" si="7"/>
        <v>0</v>
      </c>
      <c r="V68" s="51">
        <f t="shared" si="7"/>
        <v>0</v>
      </c>
    </row>
    <row r="69" spans="2:22">
      <c r="D69" s="26"/>
    </row>
    <row r="70" spans="2:22">
      <c r="B70" s="1" t="str">
        <f>_xlfn.CONCAT("Tarif ",B26)</f>
        <v>Tarif Einrichtung 5</v>
      </c>
      <c r="D70" s="26"/>
    </row>
    <row r="71" spans="2:22">
      <c r="B71" t="s">
        <v>280</v>
      </c>
      <c r="C71" s="9" t="s">
        <v>3</v>
      </c>
      <c r="D71" s="9" t="s">
        <v>4</v>
      </c>
      <c r="E71" s="9" t="s">
        <v>5</v>
      </c>
      <c r="F71" s="9" t="s">
        <v>6</v>
      </c>
      <c r="G71" s="9" t="s">
        <v>7</v>
      </c>
      <c r="H71" s="9" t="s">
        <v>8</v>
      </c>
      <c r="I71" s="9" t="s">
        <v>9</v>
      </c>
      <c r="J71" s="10" t="s">
        <v>10</v>
      </c>
      <c r="K71" s="10" t="s">
        <v>11</v>
      </c>
      <c r="L71" s="10" t="s">
        <v>12</v>
      </c>
      <c r="M71" s="10" t="s">
        <v>13</v>
      </c>
      <c r="N71" s="10" t="s">
        <v>14</v>
      </c>
      <c r="O71" s="10" t="s">
        <v>216</v>
      </c>
      <c r="P71" s="10" t="s">
        <v>217</v>
      </c>
      <c r="Q71" s="10" t="s">
        <v>218</v>
      </c>
      <c r="R71" s="10" t="s">
        <v>15</v>
      </c>
      <c r="S71" s="10" t="s">
        <v>16</v>
      </c>
      <c r="T71" s="10" t="s">
        <v>17</v>
      </c>
      <c r="U71" s="10" t="s">
        <v>18</v>
      </c>
      <c r="V71" s="10" t="s">
        <v>19</v>
      </c>
    </row>
    <row r="72" spans="2:22">
      <c r="B72" t="s">
        <v>281</v>
      </c>
      <c r="C72" s="108">
        <v>0</v>
      </c>
      <c r="D72" s="108">
        <v>0</v>
      </c>
      <c r="E72" s="108">
        <v>0</v>
      </c>
      <c r="F72" s="108">
        <v>0</v>
      </c>
      <c r="G72" s="108">
        <v>0</v>
      </c>
      <c r="H72" s="108">
        <v>0</v>
      </c>
      <c r="I72" s="108">
        <v>0</v>
      </c>
      <c r="J72" s="108">
        <v>0</v>
      </c>
      <c r="K72" s="108">
        <v>0</v>
      </c>
      <c r="L72" s="108">
        <v>0</v>
      </c>
      <c r="M72" s="108">
        <v>0</v>
      </c>
      <c r="N72" s="108">
        <v>0</v>
      </c>
      <c r="O72" s="108">
        <v>0</v>
      </c>
      <c r="P72" s="108">
        <v>0</v>
      </c>
      <c r="Q72" s="108">
        <v>0</v>
      </c>
      <c r="R72" s="108">
        <v>0</v>
      </c>
      <c r="S72" s="108">
        <v>0</v>
      </c>
      <c r="T72" s="108">
        <v>0</v>
      </c>
      <c r="U72" s="108">
        <v>0</v>
      </c>
      <c r="V72" s="108">
        <v>0</v>
      </c>
    </row>
    <row r="73" spans="2:22">
      <c r="B73" t="s">
        <v>282</v>
      </c>
      <c r="C73" s="108">
        <v>0</v>
      </c>
      <c r="D73" s="108">
        <v>0</v>
      </c>
      <c r="E73" s="108">
        <v>0</v>
      </c>
      <c r="F73" s="108">
        <v>0</v>
      </c>
      <c r="G73" s="108">
        <v>0</v>
      </c>
      <c r="H73" s="108">
        <v>0</v>
      </c>
      <c r="I73" s="108">
        <v>0</v>
      </c>
      <c r="J73" s="108">
        <v>0</v>
      </c>
      <c r="K73" s="108">
        <v>0</v>
      </c>
      <c r="L73" s="108">
        <v>0</v>
      </c>
      <c r="M73" s="108">
        <v>0</v>
      </c>
      <c r="N73" s="108">
        <v>0</v>
      </c>
      <c r="O73" s="108">
        <v>0</v>
      </c>
      <c r="P73" s="108">
        <v>0</v>
      </c>
      <c r="Q73" s="108">
        <v>0</v>
      </c>
      <c r="R73" s="108">
        <v>0</v>
      </c>
      <c r="S73" s="108">
        <v>0</v>
      </c>
      <c r="T73" s="108">
        <v>0</v>
      </c>
      <c r="U73" s="108">
        <v>0</v>
      </c>
      <c r="V73" s="108">
        <v>0</v>
      </c>
    </row>
    <row r="74" spans="2:22">
      <c r="B74" t="s">
        <v>130</v>
      </c>
      <c r="C74" s="108">
        <v>0</v>
      </c>
      <c r="D74" s="108">
        <v>0</v>
      </c>
      <c r="E74" s="108">
        <v>0</v>
      </c>
      <c r="F74" s="108">
        <v>0</v>
      </c>
      <c r="G74" s="108">
        <v>0</v>
      </c>
      <c r="H74" s="108">
        <v>0</v>
      </c>
      <c r="I74" s="108">
        <v>0</v>
      </c>
      <c r="J74" s="108">
        <v>0</v>
      </c>
      <c r="K74" s="108">
        <v>0</v>
      </c>
      <c r="L74" s="108">
        <v>0</v>
      </c>
      <c r="M74" s="108">
        <v>0</v>
      </c>
      <c r="N74" s="108">
        <v>0</v>
      </c>
      <c r="O74" s="108">
        <v>0</v>
      </c>
      <c r="P74" s="108">
        <v>0</v>
      </c>
      <c r="Q74" s="108">
        <v>0</v>
      </c>
      <c r="R74" s="108">
        <v>0</v>
      </c>
      <c r="S74" s="108">
        <v>0</v>
      </c>
      <c r="T74" s="108">
        <v>0</v>
      </c>
      <c r="U74" s="108">
        <v>0</v>
      </c>
      <c r="V74" s="108">
        <v>0</v>
      </c>
    </row>
    <row r="75" spans="2:22">
      <c r="B75" t="s">
        <v>283</v>
      </c>
      <c r="C75" s="108">
        <v>0</v>
      </c>
      <c r="D75" s="108">
        <v>0</v>
      </c>
      <c r="E75" s="108">
        <v>0</v>
      </c>
      <c r="F75" s="108">
        <v>0</v>
      </c>
      <c r="G75" s="108">
        <v>0</v>
      </c>
      <c r="H75" s="108">
        <v>0</v>
      </c>
      <c r="I75" s="108">
        <v>0</v>
      </c>
      <c r="J75" s="108">
        <v>0</v>
      </c>
      <c r="K75" s="108">
        <v>0</v>
      </c>
      <c r="L75" s="108">
        <v>0</v>
      </c>
      <c r="M75" s="108">
        <v>0</v>
      </c>
      <c r="N75" s="108">
        <v>0</v>
      </c>
      <c r="O75" s="108">
        <v>0</v>
      </c>
      <c r="P75" s="108">
        <v>0</v>
      </c>
      <c r="Q75" s="108">
        <v>0</v>
      </c>
      <c r="R75" s="108">
        <v>0</v>
      </c>
      <c r="S75" s="108">
        <v>0</v>
      </c>
      <c r="T75" s="108">
        <v>0</v>
      </c>
      <c r="U75" s="108">
        <v>0</v>
      </c>
      <c r="V75" s="108">
        <v>0</v>
      </c>
    </row>
    <row r="76" spans="2:22">
      <c r="B76" t="s">
        <v>284</v>
      </c>
      <c r="C76" s="108">
        <v>0</v>
      </c>
      <c r="D76" s="108">
        <v>0</v>
      </c>
      <c r="E76" s="108">
        <v>0</v>
      </c>
      <c r="F76" s="108">
        <v>0</v>
      </c>
      <c r="G76" s="108">
        <v>0</v>
      </c>
      <c r="H76" s="108">
        <v>0</v>
      </c>
      <c r="I76" s="108">
        <v>0</v>
      </c>
      <c r="J76" s="108">
        <v>0</v>
      </c>
      <c r="K76" s="108">
        <v>0</v>
      </c>
      <c r="L76" s="108">
        <v>0</v>
      </c>
      <c r="M76" s="108">
        <v>0</v>
      </c>
      <c r="N76" s="108">
        <v>0</v>
      </c>
      <c r="O76" s="108">
        <v>0</v>
      </c>
      <c r="P76" s="108">
        <v>0</v>
      </c>
      <c r="Q76" s="108">
        <v>0</v>
      </c>
      <c r="R76" s="108">
        <v>0</v>
      </c>
      <c r="S76" s="108">
        <v>0</v>
      </c>
      <c r="T76" s="108">
        <v>0</v>
      </c>
      <c r="U76" s="108">
        <v>0</v>
      </c>
      <c r="V76" s="108">
        <v>0</v>
      </c>
    </row>
    <row r="77" spans="2:22">
      <c r="B77" s="23" t="s">
        <v>285</v>
      </c>
      <c r="C77" s="136">
        <f>(C72*C93)+(C73*C94)+(C74*C95)+(C75*C96)+(C76*C97)</f>
        <v>0</v>
      </c>
      <c r="D77" s="136">
        <f t="shared" ref="D77:I77" si="8">(D72*D93)+(D73*D94)+(D74*D95)+(D75*D96)+(D76*D97)</f>
        <v>0</v>
      </c>
      <c r="E77" s="136">
        <f t="shared" si="8"/>
        <v>0</v>
      </c>
      <c r="F77" s="136">
        <f t="shared" si="8"/>
        <v>0</v>
      </c>
      <c r="G77" s="136">
        <f t="shared" si="8"/>
        <v>0</v>
      </c>
      <c r="H77" s="136">
        <f t="shared" si="8"/>
        <v>0</v>
      </c>
      <c r="I77" s="136">
        <f t="shared" si="8"/>
        <v>0</v>
      </c>
      <c r="J77" s="136">
        <f>IF(Refsz_Verbräuche[[#Headers],[2022]]=Startseite!$D$68,
    IF(AND(COUNT($C77:EF_Tarif5[[#Totals],[2021]])&gt;0,
             SUM($C77:EF_Tarif5[[#Totals],[2021]])&gt;0),
        AVERAGEIF($C77:EF_Tarif5[[#Totals],[2021]],"&gt;0"),
        0),
    IF(Startseite!$D$68=(Refsz_Verbräuche[[#Headers],[2022]]-1),
        EF_Tarif5[[#Totals],[2021]],
        IF(Startseite!$D$68&lt;Refsz_Verbräuche[[#Headers],[2022]],
            EF_Tarif5[[#Totals],[2021]],
    (I72*I93)+(I73*I94)+(I74*I95)+(I75*I96)+(I76*I97)
        )
    )
)</f>
        <v>0</v>
      </c>
      <c r="K77" s="136">
        <f>IF(Refsz_Verbräuche[[#Headers],[2023]]=Startseite!$D$68,
    IF(AND(COUNT($C77:EF_Tarif5[[#Totals],[2022]])&gt;0,
             SUM($C77:EF_Tarif5[[#Totals],[2022]])&gt;0),
        AVERAGEIF($C77:EF_Tarif5[[#Totals],[2022]],"&gt;0"),
        0),
    IF(Startseite!$D$68=(Refsz_Verbräuche[[#Headers],[2023]]-1),
        EF_Tarif5[[#Totals],[2022]],
        IF(Startseite!$D$68&lt;Refsz_Verbräuche[[#Headers],[2023]],
            EF_Tarif5[[#Totals],[2022]],
    (J72*J93)+(J73*J94)+(J74*J95)+(J75*J96)+(J76*J97)
        )
    )
)</f>
        <v>0</v>
      </c>
      <c r="L77" s="136">
        <f>IF(Refsz_Verbräuche[[#Headers],[2024]]=Startseite!$D$68,
    IF(AND(COUNT($C77:EF_Tarif5[[#Totals],[2023]])&gt;0,
             SUM($C77:EF_Tarif5[[#Totals],[2023]])&gt;0),
        AVERAGEIF($C77:EF_Tarif5[[#Totals],[2023]],"&gt;0"),
        0),
    IF(Startseite!$D$68=(Refsz_Verbräuche[[#Headers],[2024]]-1),
        EF_Tarif5[[#Totals],[2023]],
        IF(Startseite!$D$68&lt;Refsz_Verbräuche[[#Headers],[2024]],
            EF_Tarif5[[#Totals],[2023]],
    (K72*K93)+(K73*K94)+(K74*K95)+(K75*K96)+(K76*K97)
        )
    )
)</f>
        <v>0</v>
      </c>
      <c r="M77" s="136">
        <f>IF(Refsz_Verbräuche[[#Headers],[2025]]=Startseite!$D$68,
    IF(AND(COUNT($C77:EF_Tarif5[[#Totals],[2024]])&gt;0,
             SUM($C77:EF_Tarif5[[#Totals],[2024]])&gt;0),
        AVERAGEIF($C77:EF_Tarif5[[#Totals],[2024]],"&gt;0"),
        0),
    IF(Startseite!$D$68=(Refsz_Verbräuche[[#Headers],[2025]]-1),
        EF_Tarif5[[#Totals],[2024]],
        IF(Startseite!$D$68&lt;Refsz_Verbräuche[[#Headers],[2025]],
            EF_Tarif5[[#Totals],[2024]],
    (L72*L93)+(L73*L94)+(L74*L95)+(L75*L96)+(L76*L97)
        )
    )
)</f>
        <v>0</v>
      </c>
      <c r="N77" s="136">
        <f>IF(Refsz_Verbräuche[[#Headers],[2026]]=Startseite!$D$68,
    IF(AND(COUNT($C77:EF_Tarif5[[#Totals],[2025]])&gt;0,
             SUM($C77:EF_Tarif5[[#Totals],[2025]])&gt;0),
        AVERAGEIF($C77:EF_Tarif5[[#Totals],[2025]],"&gt;0"),
        0),
    IF(Startseite!$D$68=(Refsz_Verbräuche[[#Headers],[2026]]-1),
        EF_Tarif5[[#Totals],[2025]],
        IF(Startseite!$D$68&lt;Refsz_Verbräuche[[#Headers],[2026]],
            EF_Tarif5[[#Totals],[2025]],
    (M72*M93)+(M73*M94)+(M74*M95)+(M75*M96)+(M76*M97)
        )
    )
)</f>
        <v>0</v>
      </c>
      <c r="O77" s="136">
        <f>IF(Refsz_Verbräuche[[#Headers],[2027]]=Startseite!$D$68,
    IF(AND(COUNT($C77:EF_Tarif5[[#Totals],[2026]])&gt;0,
             SUM($C77:EF_Tarif5[[#Totals],[2026]])&gt;0),
        AVERAGEIF($C77:EF_Tarif5[[#Totals],[2026]],"&gt;0"),
        0),
    IF(Startseite!$D$68=(Refsz_Verbräuche[[#Headers],[2027]]-1),
        EF_Tarif5[[#Totals],[2026]],
        IF(Startseite!$D$68&lt;Refsz_Verbräuche[[#Headers],[2027]],
            EF_Tarif5[[#Totals],[2026]],
    (N72*N93)+(N73*N94)+(N74*N95)+(N75*N96)+(N76*N97)
        )
    )
)</f>
        <v>0</v>
      </c>
      <c r="P77" s="136">
        <f>IF(Refsz_Verbräuche[[#Headers],[2028]]=Startseite!$D$68,
    IF(AND(COUNT($C77:EF_Tarif5[[#Totals],[2027]])&gt;0,
             SUM($C77:EF_Tarif5[[#Totals],[2027]])&gt;0),
        AVERAGEIF($C77:EF_Tarif5[[#Totals],[2027]],"&gt;0"),
        0),
    IF(Startseite!$D$68=(Refsz_Verbräuche[[#Headers],[2028]]-1),
        EF_Tarif5[[#Totals],[2027]],
        IF(Startseite!$D$68&lt;Refsz_Verbräuche[[#Headers],[2028]],
            EF_Tarif5[[#Totals],[2027]],
    (O72*O93)+(O73*O94)+(O74*O95)+(O75*O96)+(O76*O97)
        )
    )
)</f>
        <v>0</v>
      </c>
      <c r="Q77" s="136">
        <f>IF(Refsz_Verbräuche[[#Headers],[2029]]=Startseite!$D$68,
    IF(AND(COUNT($C77:EF_Tarif5[[#Totals],[2028]])&gt;0,
             SUM($C77:EF_Tarif5[[#Totals],[2028]])&gt;0),
        AVERAGEIF($C77:EF_Tarif5[[#Totals],[2028]],"&gt;0"),
        0),
    IF(Startseite!$D$68=(Refsz_Verbräuche[[#Headers],[2029]]-1),
        EF_Tarif5[[#Totals],[2028]],
        IF(Startseite!$D$68&lt;Refsz_Verbräuche[[#Headers],[2029]],
            EF_Tarif5[[#Totals],[2028]],
    (P72*P93)+(P73*P94)+(P74*P95)+(P75*P96)+(P76*P97)
        )
    )
)</f>
        <v>0</v>
      </c>
      <c r="R77" s="136">
        <f>IF(Refsz_Verbräuche[[#Headers],[2030]]=Startseite!$D$68,
    IF(AND(COUNT($C77:EF_Tarif5[[#Totals],[2029]])&gt;0,
             SUM($C77:EF_Tarif5[[#Totals],[2029]])&gt;0),
        AVERAGEIF($C77:EF_Tarif5[[#Totals],[2029]],"&gt;0"),
        0),
    IF(Startseite!$D$68=(Refsz_Verbräuche[[#Headers],[2030]]-1),
        EF_Tarif5[[#Totals],[2029]],
        IF(Startseite!$D$68&lt;Refsz_Verbräuche[[#Headers],[2030]],
            EF_Tarif5[[#Totals],[2029]],
    (Q72*Q93)+(Q73*Q94)+(Q74*Q95)+(Q75*Q96)+(Q76*Q97)
        )
    )
)</f>
        <v>0</v>
      </c>
      <c r="S77" s="136">
        <f>IF(Refsz_Verbräuche[[#Headers],[2035]]=Startseite!$D$68,
    IF(AND(COUNT($C77:EF_Tarif5[[#Totals],[2030]])&gt;0,
             SUM($C77:EF_Tarif5[[#Totals],[2030]])&gt;0),
        AVERAGEIF($C77:EF_Tarif5[[#Totals],[2030]],"&gt;0"),
        0),
    IF(Startseite!$D$68=(Refsz_Verbräuche[[#Headers],[2035]]-1),
        EF_Tarif5[[#Totals],[2030]],
        IF(Startseite!$D$68&lt;Refsz_Verbräuche[[#Headers],[2035]],
            EF_Tarif5[[#Totals],[2030]],
    (R72*R93)+(R73*R94)+(R74*R95)+(R75*R96)+(R76*R97)
        )
    )
)</f>
        <v>0</v>
      </c>
      <c r="T77" s="136">
        <f>IF(Refsz_Verbräuche[[#Headers],[2040]]=Startseite!$D$68,
    IF(AND(COUNT($C77:EF_Tarif5[[#Totals],[2035]])&gt;0,
             SUM($C77:EF_Tarif5[[#Totals],[2035]])&gt;0),
        AVERAGEIF($C77:EF_Tarif5[[#Totals],[2035]],"&gt;0"),
        0),
    IF(Startseite!$D$68=(Refsz_Verbräuche[[#Headers],[2040]]-1),
        EF_Tarif5[[#Totals],[2035]],
        IF(Startseite!$D$68&lt;Refsz_Verbräuche[[#Headers],[2040]],
            EF_Tarif5[[#Totals],[2035]],
    (S72*S93)+(S73*S94)+(S74*S95)+(S75*S96)+(S76*S97)
        )
    )
)</f>
        <v>0</v>
      </c>
      <c r="U77" s="136">
        <f>IF(Refsz_Verbräuche[[#Headers],[2045]]=Startseite!$D$68,
    IF(AND(COUNT($C77:EF_Tarif5[[#Totals],[2040]])&gt;0,
             SUM($C77:EF_Tarif5[[#Totals],[2040]])&gt;0),
        AVERAGEIF($C77:EF_Tarif5[[#Totals],[2040]],"&gt;0"),
        0),
    IF(Startseite!$D$68=(Refsz_Verbräuche[[#Headers],[2045]]-1),
        EF_Tarif5[[#Totals],[2040]],
        IF(Startseite!$D$68&lt;Refsz_Verbräuche[[#Headers],[2045]],
            EF_Tarif5[[#Totals],[2040]],
    (T72*T93)+(T73*T94)+(T74*T95)+(T75*T96)+(T76*T97)
        )
    )
)</f>
        <v>0</v>
      </c>
      <c r="V77" s="136">
        <f>IF(Refsz_Verbräuche[[#Headers],[2050]]=Startseite!$D$68,
    IF(AND(COUNT($C77:EF_Tarif5[[#Totals],[2045]])&gt;0,
             SUM($C77:EF_Tarif5[[#Totals],[2045]])&gt;0),
        AVERAGEIF($C77:EF_Tarif5[[#Totals],[2045]],"&gt;0"),
        0),
    IF(Startseite!$D$68=(Refsz_Verbräuche[[#Headers],[2050]]-1),
        EF_Tarif5[[#Totals],[2045]],
        IF(Startseite!$D$68&lt;Refsz_Verbräuche[[#Headers],[2050]],
            EF_Tarif5[[#Totals],[2045]],
    (U72*U93)+(U73*U94)+(U74*U95)+(U75*U96)+(U76*U97)
        )
    )
)</f>
        <v>0</v>
      </c>
    </row>
    <row r="78" spans="2:22">
      <c r="B78" s="23" t="s">
        <v>286</v>
      </c>
      <c r="C78" s="51">
        <f>C72+C73+C74+C75+C76</f>
        <v>0</v>
      </c>
      <c r="D78" s="51">
        <f t="shared" ref="D78:V78" si="9">D72+D73+D74+D75+D76</f>
        <v>0</v>
      </c>
      <c r="E78" s="51">
        <f t="shared" si="9"/>
        <v>0</v>
      </c>
      <c r="F78" s="51">
        <f t="shared" si="9"/>
        <v>0</v>
      </c>
      <c r="G78" s="51">
        <f t="shared" si="9"/>
        <v>0</v>
      </c>
      <c r="H78" s="51">
        <f t="shared" si="9"/>
        <v>0</v>
      </c>
      <c r="I78" s="51">
        <f t="shared" si="9"/>
        <v>0</v>
      </c>
      <c r="J78" s="51">
        <f t="shared" si="9"/>
        <v>0</v>
      </c>
      <c r="K78" s="51">
        <f t="shared" si="9"/>
        <v>0</v>
      </c>
      <c r="L78" s="51">
        <f t="shared" si="9"/>
        <v>0</v>
      </c>
      <c r="M78" s="51">
        <f t="shared" si="9"/>
        <v>0</v>
      </c>
      <c r="N78" s="51">
        <f t="shared" si="9"/>
        <v>0</v>
      </c>
      <c r="O78" s="51">
        <f t="shared" si="9"/>
        <v>0</v>
      </c>
      <c r="P78" s="51">
        <f t="shared" si="9"/>
        <v>0</v>
      </c>
      <c r="Q78" s="51">
        <f t="shared" si="9"/>
        <v>0</v>
      </c>
      <c r="R78" s="51">
        <f t="shared" si="9"/>
        <v>0</v>
      </c>
      <c r="S78" s="51">
        <f t="shared" si="9"/>
        <v>0</v>
      </c>
      <c r="T78" s="51">
        <f t="shared" si="9"/>
        <v>0</v>
      </c>
      <c r="U78" s="51">
        <f t="shared" si="9"/>
        <v>0</v>
      </c>
      <c r="V78" s="51">
        <f t="shared" si="9"/>
        <v>0</v>
      </c>
    </row>
    <row r="79" spans="2:22">
      <c r="D79" s="26"/>
    </row>
    <row r="80" spans="2:22">
      <c r="B80" s="1" t="str">
        <f>_xlfn.CONCAT("Tarif ",B27)</f>
        <v>Tarif Einrichtung 6</v>
      </c>
      <c r="D80" s="26"/>
    </row>
    <row r="81" spans="2:23">
      <c r="B81" t="s">
        <v>280</v>
      </c>
      <c r="C81" s="9" t="s">
        <v>3</v>
      </c>
      <c r="D81" s="9" t="s">
        <v>4</v>
      </c>
      <c r="E81" s="9" t="s">
        <v>5</v>
      </c>
      <c r="F81" s="9" t="s">
        <v>6</v>
      </c>
      <c r="G81" s="9" t="s">
        <v>7</v>
      </c>
      <c r="H81" s="9" t="s">
        <v>8</v>
      </c>
      <c r="I81" s="9" t="s">
        <v>9</v>
      </c>
      <c r="J81" s="10" t="s">
        <v>10</v>
      </c>
      <c r="K81" s="10" t="s">
        <v>11</v>
      </c>
      <c r="L81" s="10" t="s">
        <v>12</v>
      </c>
      <c r="M81" s="10" t="s">
        <v>13</v>
      </c>
      <c r="N81" s="10" t="s">
        <v>14</v>
      </c>
      <c r="O81" s="10" t="s">
        <v>216</v>
      </c>
      <c r="P81" s="10" t="s">
        <v>217</v>
      </c>
      <c r="Q81" s="10" t="s">
        <v>218</v>
      </c>
      <c r="R81" s="10" t="s">
        <v>15</v>
      </c>
      <c r="S81" s="10" t="s">
        <v>16</v>
      </c>
      <c r="T81" s="10" t="s">
        <v>17</v>
      </c>
      <c r="U81" s="10" t="s">
        <v>18</v>
      </c>
      <c r="V81" s="10" t="s">
        <v>19</v>
      </c>
    </row>
    <row r="82" spans="2:23">
      <c r="B82" t="s">
        <v>281</v>
      </c>
      <c r="C82" s="108">
        <v>0</v>
      </c>
      <c r="D82" s="108">
        <v>0</v>
      </c>
      <c r="E82" s="108">
        <v>0</v>
      </c>
      <c r="F82" s="108">
        <v>0</v>
      </c>
      <c r="G82" s="108">
        <v>0</v>
      </c>
      <c r="H82" s="108">
        <v>0</v>
      </c>
      <c r="I82" s="108">
        <v>0</v>
      </c>
      <c r="J82" s="108">
        <v>0</v>
      </c>
      <c r="K82" s="108">
        <v>0</v>
      </c>
      <c r="L82" s="108">
        <v>0</v>
      </c>
      <c r="M82" s="108">
        <v>0</v>
      </c>
      <c r="N82" s="108">
        <v>0</v>
      </c>
      <c r="O82" s="108">
        <v>0</v>
      </c>
      <c r="P82" s="108">
        <v>0</v>
      </c>
      <c r="Q82" s="108">
        <v>0</v>
      </c>
      <c r="R82" s="108">
        <v>0</v>
      </c>
      <c r="S82" s="108">
        <v>0</v>
      </c>
      <c r="T82" s="108">
        <v>0</v>
      </c>
      <c r="U82" s="108">
        <v>0</v>
      </c>
      <c r="V82" s="108">
        <v>0</v>
      </c>
    </row>
    <row r="83" spans="2:23">
      <c r="B83" t="s">
        <v>282</v>
      </c>
      <c r="C83" s="108">
        <v>0</v>
      </c>
      <c r="D83" s="108">
        <v>0</v>
      </c>
      <c r="E83" s="108">
        <v>0</v>
      </c>
      <c r="F83" s="108">
        <v>0</v>
      </c>
      <c r="G83" s="108">
        <v>0</v>
      </c>
      <c r="H83" s="108">
        <v>0</v>
      </c>
      <c r="I83" s="108">
        <v>0</v>
      </c>
      <c r="J83" s="108">
        <v>0</v>
      </c>
      <c r="K83" s="108">
        <v>0</v>
      </c>
      <c r="L83" s="108">
        <v>0</v>
      </c>
      <c r="M83" s="108">
        <v>0</v>
      </c>
      <c r="N83" s="108">
        <v>0</v>
      </c>
      <c r="O83" s="108">
        <v>0</v>
      </c>
      <c r="P83" s="108">
        <v>0</v>
      </c>
      <c r="Q83" s="108">
        <v>0</v>
      </c>
      <c r="R83" s="108">
        <v>0</v>
      </c>
      <c r="S83" s="108">
        <v>0</v>
      </c>
      <c r="T83" s="108">
        <v>0</v>
      </c>
      <c r="U83" s="108">
        <v>0</v>
      </c>
      <c r="V83" s="108">
        <v>0</v>
      </c>
    </row>
    <row r="84" spans="2:23">
      <c r="B84" t="s">
        <v>130</v>
      </c>
      <c r="C84" s="108">
        <v>0</v>
      </c>
      <c r="D84" s="108">
        <v>0</v>
      </c>
      <c r="E84" s="108">
        <v>0</v>
      </c>
      <c r="F84" s="108">
        <v>0</v>
      </c>
      <c r="G84" s="108">
        <v>0</v>
      </c>
      <c r="H84" s="108">
        <v>0</v>
      </c>
      <c r="I84" s="108">
        <v>0</v>
      </c>
      <c r="J84" s="108">
        <v>0</v>
      </c>
      <c r="K84" s="108">
        <v>0</v>
      </c>
      <c r="L84" s="108">
        <v>0</v>
      </c>
      <c r="M84" s="108">
        <v>0</v>
      </c>
      <c r="N84" s="108">
        <v>0</v>
      </c>
      <c r="O84" s="108">
        <v>0</v>
      </c>
      <c r="P84" s="108">
        <v>0</v>
      </c>
      <c r="Q84" s="108">
        <v>0</v>
      </c>
      <c r="R84" s="108">
        <v>0</v>
      </c>
      <c r="S84" s="108">
        <v>0</v>
      </c>
      <c r="T84" s="108">
        <v>0</v>
      </c>
      <c r="U84" s="108">
        <v>0</v>
      </c>
      <c r="V84" s="108">
        <v>0</v>
      </c>
    </row>
    <row r="85" spans="2:23">
      <c r="B85" t="s">
        <v>283</v>
      </c>
      <c r="C85" s="108">
        <v>0</v>
      </c>
      <c r="D85" s="108">
        <v>0</v>
      </c>
      <c r="E85" s="108">
        <v>0</v>
      </c>
      <c r="F85" s="108">
        <v>0</v>
      </c>
      <c r="G85" s="108">
        <v>0</v>
      </c>
      <c r="H85" s="108">
        <v>0</v>
      </c>
      <c r="I85" s="108">
        <v>0</v>
      </c>
      <c r="J85" s="108">
        <v>0</v>
      </c>
      <c r="K85" s="108">
        <v>0</v>
      </c>
      <c r="L85" s="108">
        <v>0</v>
      </c>
      <c r="M85" s="108">
        <v>0</v>
      </c>
      <c r="N85" s="108">
        <v>0</v>
      </c>
      <c r="O85" s="108">
        <v>0</v>
      </c>
      <c r="P85" s="108">
        <v>0</v>
      </c>
      <c r="Q85" s="108">
        <v>0</v>
      </c>
      <c r="R85" s="108">
        <v>0</v>
      </c>
      <c r="S85" s="108">
        <v>0</v>
      </c>
      <c r="T85" s="108">
        <v>0</v>
      </c>
      <c r="U85" s="108">
        <v>0</v>
      </c>
      <c r="V85" s="108">
        <v>0</v>
      </c>
    </row>
    <row r="86" spans="2:23">
      <c r="B86" t="s">
        <v>284</v>
      </c>
      <c r="C86" s="108">
        <v>0</v>
      </c>
      <c r="D86" s="108">
        <v>0</v>
      </c>
      <c r="E86" s="108">
        <v>0</v>
      </c>
      <c r="F86" s="108">
        <v>0</v>
      </c>
      <c r="G86" s="108">
        <v>0</v>
      </c>
      <c r="H86" s="108">
        <v>0</v>
      </c>
      <c r="I86" s="108">
        <v>0</v>
      </c>
      <c r="J86" s="108">
        <v>0</v>
      </c>
      <c r="K86" s="108">
        <v>0</v>
      </c>
      <c r="L86" s="108">
        <v>0</v>
      </c>
      <c r="M86" s="108">
        <v>0</v>
      </c>
      <c r="N86" s="108">
        <v>0</v>
      </c>
      <c r="O86" s="108">
        <v>0</v>
      </c>
      <c r="P86" s="108">
        <v>0</v>
      </c>
      <c r="Q86" s="108">
        <v>0</v>
      </c>
      <c r="R86" s="108">
        <v>0</v>
      </c>
      <c r="S86" s="108">
        <v>0</v>
      </c>
      <c r="T86" s="108">
        <v>0</v>
      </c>
      <c r="U86" s="108">
        <v>0</v>
      </c>
      <c r="V86" s="108">
        <v>0</v>
      </c>
    </row>
    <row r="87" spans="2:23">
      <c r="B87" s="23" t="s">
        <v>285</v>
      </c>
      <c r="C87" s="136">
        <f t="shared" ref="C87:I87" si="10">(C82*C93)+(C83*C94)+(C84*C95)+(C85*C96)+(C86*C97)</f>
        <v>0</v>
      </c>
      <c r="D87" s="136">
        <f t="shared" si="10"/>
        <v>0</v>
      </c>
      <c r="E87" s="136">
        <f t="shared" si="10"/>
        <v>0</v>
      </c>
      <c r="F87" s="136">
        <f t="shared" si="10"/>
        <v>0</v>
      </c>
      <c r="G87" s="136">
        <f t="shared" si="10"/>
        <v>0</v>
      </c>
      <c r="H87" s="136">
        <f t="shared" si="10"/>
        <v>0</v>
      </c>
      <c r="I87" s="136">
        <f t="shared" si="10"/>
        <v>0</v>
      </c>
      <c r="J87" s="136">
        <f>IF(Refsz_Verbräuche[[#Headers],[2022]]=Startseite!$D$68,
    IF(AND(COUNT($C87:EF_Tarif6[[#Totals],[2021]])&gt;0,
             SUM($C87:EF_Tarif6[[#Totals],[2021]])&gt;0),
        AVERAGEIF($C87:EF_Tarif6[[#Totals],[2021]],"&gt;0"),
        0),
    IF(Startseite!$D$68=(Refsz_Verbräuche[[#Headers],[2022]]-1),
        EF_Tarif6[[#Totals],[2021]],
        IF(Startseite!$D$68&lt;Refsz_Verbräuche[[#Headers],[2022]],
            EF_Tarif6[[#Totals],[2021]],
    (J82*J93)+(J83*J94)+(J84*J95)+(J85*J96)+(J86*J97)
        )
    )
)</f>
        <v>0</v>
      </c>
      <c r="K87" s="136">
        <f>IF(Refsz_Verbräuche[[#Headers],[2023]]=Startseite!$D$68,
    IF(AND(COUNT($C87:EF_Tarif6[[#Totals],[2022]])&gt;0,
             SUM($C87:EF_Tarif6[[#Totals],[2022]])&gt;0),
        AVERAGEIF($C87:EF_Tarif6[[#Totals],[2022]],"&gt;0"),
        0),
    IF(Startseite!$D$68=(Refsz_Verbräuche[[#Headers],[2023]]-1),
        EF_Tarif6[[#Totals],[2022]],
        IF(Startseite!$D$68&lt;Refsz_Verbräuche[[#Headers],[2023]],
            EF_Tarif6[[#Totals],[2022]],
    (K82*K93)+(K83*K94)+(K84*K95)+(K85*K96)+(K86*K97)
        )
    )
)</f>
        <v>0</v>
      </c>
      <c r="L87" s="136">
        <f>IF(Refsz_Verbräuche[[#Headers],[2024]]=Startseite!$D$68,
    IF(AND(COUNT($C87:EF_Tarif6[[#Totals],[2023]])&gt;0,
             SUM($C87:EF_Tarif6[[#Totals],[2023]])&gt;0),
        AVERAGEIF($C87:EF_Tarif6[[#Totals],[2023]],"&gt;0"),
        0),
    IF(Startseite!$D$68=(Refsz_Verbräuche[[#Headers],[2024]]-1),
        EF_Tarif6[[#Totals],[2023]],
        IF(Startseite!$D$68&lt;Refsz_Verbräuche[[#Headers],[2024]],
            EF_Tarif6[[#Totals],[2023]],
    (L82*L93)+(L83*L94)+(L84*L95)+(L85*L96)+(L86*L97)
        )
    )
)</f>
        <v>0</v>
      </c>
      <c r="M87" s="136">
        <f>IF(Refsz_Verbräuche[[#Headers],[2025]]=Startseite!$D$68,
    IF(AND(COUNT($C87:EF_Tarif6[[#Totals],[2024]])&gt;0,
             SUM($C87:EF_Tarif6[[#Totals],[2024]])&gt;0),
        AVERAGEIF($C87:EF_Tarif6[[#Totals],[2024]],"&gt;0"),
        0),
    IF(Startseite!$D$68=(Refsz_Verbräuche[[#Headers],[2025]]-1),
        EF_Tarif6[[#Totals],[2024]],
        IF(Startseite!$D$68&lt;Refsz_Verbräuche[[#Headers],[2025]],
            EF_Tarif6[[#Totals],[2024]],
    (M82*M93)+(M83*M94)+(M84*M95)+(M85*M96)+(M86*M97)
        )
    )
)</f>
        <v>0</v>
      </c>
      <c r="N87" s="136">
        <f>IF(Refsz_Verbräuche[[#Headers],[2026]]=Startseite!$D$68,
    IF(AND(COUNT($C87:EF_Tarif6[[#Totals],[2025]])&gt;0,
             SUM($C87:EF_Tarif6[[#Totals],[2025]])&gt;0),
        AVERAGEIF($C87:EF_Tarif6[[#Totals],[2025]],"&gt;0"),
        0),
    IF(Startseite!$D$68=(Refsz_Verbräuche[[#Headers],[2026]]-1),
        EF_Tarif6[[#Totals],[2025]],
        IF(Startseite!$D$68&lt;Refsz_Verbräuche[[#Headers],[2026]],
            EF_Tarif6[[#Totals],[2025]],
    (N82*N93)+(N83*N94)+(N84*N95)+(N85*N96)+(N86*N97)
        )
    )
)</f>
        <v>0</v>
      </c>
      <c r="O87" s="136">
        <f>IF(Refsz_Verbräuche[[#Headers],[2027]]=Startseite!$D$68,
    IF(AND(COUNT($C87:EF_Tarif6[[#Totals],[2026]])&gt;0,
             SUM($C87:EF_Tarif6[[#Totals],[2026]])&gt;0),
        AVERAGEIF($C87:EF_Tarif6[[#Totals],[2026]],"&gt;0"),
        0),
    IF(Startseite!$D$68=(Refsz_Verbräuche[[#Headers],[2027]]-1),
        EF_Tarif6[[#Totals],[2026]],
        IF(Startseite!$D$68&lt;Refsz_Verbräuche[[#Headers],[2027]],
            EF_Tarif6[[#Totals],[2026]],
    (O82*O93)+(O83*O94)+(O84*O95)+(O85*O96)+(O86*O97)
        )
    )
)</f>
        <v>0</v>
      </c>
      <c r="P87" s="136">
        <f>IF(Refsz_Verbräuche[[#Headers],[2028]]=Startseite!$D$68,
    IF(AND(COUNT($C87:EF_Tarif6[[#Totals],[2027]])&gt;0,
             SUM($C87:EF_Tarif6[[#Totals],[2027]])&gt;0),
        AVERAGEIF($C87:EF_Tarif6[[#Totals],[2027]],"&gt;0"),
        0),
    IF(Startseite!$D$68=(Refsz_Verbräuche[[#Headers],[2028]]-1),
        EF_Tarif6[[#Totals],[2027]],
        IF(Startseite!$D$68&lt;Refsz_Verbräuche[[#Headers],[2028]],
            EF_Tarif6[[#Totals],[2027]],
    (P82*P93)+(P83*P94)+(P84*P95)+(P85*P96)+(P86*P97)
        )
    )
)</f>
        <v>0</v>
      </c>
      <c r="Q87" s="136">
        <f>IF(Refsz_Verbräuche[[#Headers],[2029]]=Startseite!$D$68,
    IF(AND(COUNT($C87:EF_Tarif6[[#Totals],[2028]])&gt;0,
             SUM($C87:EF_Tarif6[[#Totals],[2028]])&gt;0),
        AVERAGEIF($C87:EF_Tarif6[[#Totals],[2028]],"&gt;0"),
        0),
    IF(Startseite!$D$68=(Refsz_Verbräuche[[#Headers],[2029]]-1),
        EF_Tarif6[[#Totals],[2028]],
        IF(Startseite!$D$68&lt;Refsz_Verbräuche[[#Headers],[2029]],
            EF_Tarif6[[#Totals],[2028]],
    (Q82*Q93)+(Q83*Q94)+(Q84*Q95)+(Q85*Q96)+(Q86*Q97)
        )
    )
)</f>
        <v>0</v>
      </c>
      <c r="R87" s="136">
        <f>IF(Refsz_Verbräuche[[#Headers],[2030]]=Startseite!$D$68,
    IF(AND(COUNT($C87:EF_Tarif6[[#Totals],[2029]])&gt;0,
             SUM($C87:EF_Tarif6[[#Totals],[2029]])&gt;0),
        AVERAGEIF($C87:EF_Tarif6[[#Totals],[2029]],"&gt;0"),
        0),
    IF(Startseite!$D$68=(Refsz_Verbräuche[[#Headers],[2030]]-1),
        EF_Tarif6[[#Totals],[2029]],
        IF(Startseite!$D$68&lt;Refsz_Verbräuche[[#Headers],[2030]],
            EF_Tarif6[[#Totals],[2029]],
    (R82*R93)+(R83*R94)+(R84*R95)+(R85*R96)+(R86*R97)
        )
    )
)</f>
        <v>0</v>
      </c>
      <c r="S87" s="136">
        <f>IF(Refsz_Verbräuche[[#Headers],[2035]]=Startseite!$D$68,
    IF(AND(COUNT($C87:EF_Tarif6[[#Totals],[2030]])&gt;0,
             SUM($C87:EF_Tarif6[[#Totals],[2030]])&gt;0),
        AVERAGEIF($C87:EF_Tarif6[[#Totals],[2030]],"&gt;0"),
        0),
    IF(Startseite!$D$68=(Refsz_Verbräuche[[#Headers],[2035]]-1),
        EF_Tarif6[[#Totals],[2030]],
        IF(Startseite!$D$68&lt;Refsz_Verbräuche[[#Headers],[2035]],
            EF_Tarif6[[#Totals],[2030]],
    (S82*S93)+(S83*S94)+(S84*S95)+(S85*S96)+(S86*S97)
        )
    )
)</f>
        <v>0</v>
      </c>
      <c r="T87" s="136">
        <f>IF(Refsz_Verbräuche[[#Headers],[2040]]=Startseite!$D$68,
    IF(AND(COUNT($C87:EF_Tarif6[[#Totals],[2035]])&gt;0,
             SUM($C87:EF_Tarif6[[#Totals],[2035]])&gt;0),
        AVERAGEIF($C87:EF_Tarif6[[#Totals],[2035]],"&gt;0"),
        0),
    IF(Startseite!$D$68=(Refsz_Verbräuche[[#Headers],[2040]]-1),
        EF_Tarif6[[#Totals],[2035]],
        IF(Startseite!$D$68&lt;Refsz_Verbräuche[[#Headers],[2040]],
            EF_Tarif6[[#Totals],[2035]],
    (T82*T93)+(T83*T94)+(T84*T95)+(T85*T96)+(T86*T97)
        )
    )
)</f>
        <v>0</v>
      </c>
      <c r="U87" s="136">
        <f>IF(Refsz_Verbräuche[[#Headers],[2045]]=Startseite!$D$68,
    IF(AND(COUNT($C87:EF_Tarif6[[#Totals],[2040]])&gt;0,
             SUM($C87:EF_Tarif6[[#Totals],[2040]])&gt;0),
        AVERAGEIF($C87:EF_Tarif6[[#Totals],[2040]],"&gt;0"),
        0),
    IF(Startseite!$D$68=(Refsz_Verbräuche[[#Headers],[2045]]-1),
        EF_Tarif6[[#Totals],[2040]],
        IF(Startseite!$D$68&lt;Refsz_Verbräuche[[#Headers],[2045]],
            EF_Tarif6[[#Totals],[2040]],
    (U82*U93)+(U83*U94)+(U84*U95)+(U85*U96)+(U86*U97)
        )
    )
)</f>
        <v>0</v>
      </c>
      <c r="V87" s="136">
        <f>IF(Refsz_Verbräuche[[#Headers],[2050]]=Startseite!$D$68,
    IF(AND(COUNT($C87:EF_Tarif6[[#Totals],[2045]])&gt;0,
             SUM($C87:EF_Tarif6[[#Totals],[2045]])&gt;0),
        AVERAGEIF($C87:EF_Tarif6[[#Totals],[2045]],"&gt;0"),
        0),
    IF(Startseite!$D$68=(Refsz_Verbräuche[[#Headers],[2050]]-1),
        EF_Tarif6[[#Totals],[2045]],
        IF(Startseite!$D$68&lt;Refsz_Verbräuche[[#Headers],[2050]],
            EF_Tarif6[[#Totals],[2045]],
    (V82*V93)+(V83*V94)+(V84*V95)+(V85*V96)+(V86*V97)
        )
    )
)</f>
        <v>0</v>
      </c>
    </row>
    <row r="88" spans="2:23">
      <c r="B88" s="23" t="s">
        <v>286</v>
      </c>
      <c r="C88" s="51">
        <f>C82+C83+C84+C85+C86</f>
        <v>0</v>
      </c>
      <c r="D88" s="51">
        <f t="shared" ref="D88:V88" si="11">D82+D83+D84+D85+D86</f>
        <v>0</v>
      </c>
      <c r="E88" s="51">
        <f t="shared" si="11"/>
        <v>0</v>
      </c>
      <c r="F88" s="51">
        <f t="shared" si="11"/>
        <v>0</v>
      </c>
      <c r="G88" s="51">
        <f t="shared" si="11"/>
        <v>0</v>
      </c>
      <c r="H88" s="51">
        <f t="shared" si="11"/>
        <v>0</v>
      </c>
      <c r="I88" s="51">
        <f t="shared" si="11"/>
        <v>0</v>
      </c>
      <c r="J88" s="51">
        <f t="shared" si="11"/>
        <v>0</v>
      </c>
      <c r="K88" s="51">
        <f t="shared" si="11"/>
        <v>0</v>
      </c>
      <c r="L88" s="51">
        <f t="shared" si="11"/>
        <v>0</v>
      </c>
      <c r="M88" s="51">
        <f t="shared" si="11"/>
        <v>0</v>
      </c>
      <c r="N88" s="51">
        <f t="shared" si="11"/>
        <v>0</v>
      </c>
      <c r="O88" s="51">
        <f t="shared" si="11"/>
        <v>0</v>
      </c>
      <c r="P88" s="51">
        <f t="shared" si="11"/>
        <v>0</v>
      </c>
      <c r="Q88" s="51">
        <f t="shared" si="11"/>
        <v>0</v>
      </c>
      <c r="R88" s="51">
        <f t="shared" si="11"/>
        <v>0</v>
      </c>
      <c r="S88" s="51">
        <f t="shared" si="11"/>
        <v>0</v>
      </c>
      <c r="T88" s="51">
        <f t="shared" si="11"/>
        <v>0</v>
      </c>
      <c r="U88" s="51">
        <f t="shared" si="11"/>
        <v>0</v>
      </c>
      <c r="V88" s="51">
        <f t="shared" si="11"/>
        <v>0</v>
      </c>
    </row>
    <row r="89" spans="2:23" hidden="1">
      <c r="B89" s="23"/>
      <c r="C89" s="51"/>
      <c r="D89" s="51"/>
      <c r="E89" s="51"/>
      <c r="F89" s="51"/>
      <c r="G89" s="51"/>
      <c r="H89" s="51"/>
      <c r="I89" s="51"/>
      <c r="J89" s="51"/>
      <c r="K89" s="51"/>
      <c r="L89" s="51"/>
      <c r="M89" s="51"/>
      <c r="N89" s="51"/>
      <c r="O89" s="51"/>
      <c r="P89" s="51"/>
      <c r="Q89" s="51"/>
      <c r="R89" s="51"/>
      <c r="S89" s="51"/>
    </row>
    <row r="90" spans="2:23" hidden="1">
      <c r="B90" s="1" t="s">
        <v>287</v>
      </c>
    </row>
    <row r="91" spans="2:23" hidden="1">
      <c r="B91" s="1" t="s">
        <v>288</v>
      </c>
    </row>
    <row r="92" spans="2:23" hidden="1">
      <c r="B92" s="52" t="s">
        <v>280</v>
      </c>
      <c r="C92" s="9" t="s">
        <v>3</v>
      </c>
      <c r="D92" s="9" t="s">
        <v>4</v>
      </c>
      <c r="E92" s="9" t="s">
        <v>5</v>
      </c>
      <c r="F92" s="9" t="s">
        <v>6</v>
      </c>
      <c r="G92" s="9" t="s">
        <v>7</v>
      </c>
      <c r="H92" s="9" t="s">
        <v>8</v>
      </c>
      <c r="I92" s="9" t="s">
        <v>9</v>
      </c>
      <c r="J92" s="10" t="s">
        <v>10</v>
      </c>
      <c r="K92" s="10" t="s">
        <v>11</v>
      </c>
      <c r="L92" s="10" t="s">
        <v>12</v>
      </c>
      <c r="M92" s="10" t="s">
        <v>13</v>
      </c>
      <c r="N92" s="10" t="s">
        <v>14</v>
      </c>
      <c r="O92" s="10" t="s">
        <v>216</v>
      </c>
      <c r="P92" s="10" t="s">
        <v>217</v>
      </c>
      <c r="Q92" s="10" t="s">
        <v>218</v>
      </c>
      <c r="R92" s="10" t="s">
        <v>15</v>
      </c>
      <c r="S92" s="10" t="s">
        <v>16</v>
      </c>
      <c r="T92" s="10" t="s">
        <v>17</v>
      </c>
      <c r="U92" s="10" t="s">
        <v>18</v>
      </c>
      <c r="V92" s="10" t="s">
        <v>19</v>
      </c>
      <c r="W92" s="53" t="s">
        <v>36</v>
      </c>
    </row>
    <row r="93" spans="2:23" hidden="1">
      <c r="B93" s="54" t="s">
        <v>281</v>
      </c>
      <c r="C93" s="54">
        <v>12</v>
      </c>
      <c r="D93" s="54">
        <v>12</v>
      </c>
      <c r="E93" s="54">
        <v>12</v>
      </c>
      <c r="F93" s="54">
        <v>12</v>
      </c>
      <c r="G93" s="54">
        <v>12</v>
      </c>
      <c r="H93" s="54">
        <v>12</v>
      </c>
      <c r="I93" s="54">
        <v>12</v>
      </c>
      <c r="J93" s="54">
        <v>12</v>
      </c>
      <c r="K93" s="54">
        <v>12</v>
      </c>
      <c r="L93" s="54">
        <v>12</v>
      </c>
      <c r="M93" s="54">
        <v>12</v>
      </c>
      <c r="N93" s="54">
        <v>12</v>
      </c>
      <c r="O93" s="54">
        <v>12</v>
      </c>
      <c r="P93" s="54">
        <v>12</v>
      </c>
      <c r="Q93" s="54">
        <v>12</v>
      </c>
      <c r="R93" s="54">
        <v>12</v>
      </c>
      <c r="S93" s="54">
        <v>12</v>
      </c>
      <c r="T93" s="54">
        <v>12</v>
      </c>
      <c r="U93" s="54">
        <v>12</v>
      </c>
      <c r="V93" s="54">
        <v>12</v>
      </c>
      <c r="W93" s="55" t="s">
        <v>376</v>
      </c>
    </row>
    <row r="94" spans="2:23" hidden="1">
      <c r="B94" s="56" t="s">
        <v>282</v>
      </c>
      <c r="C94" s="56">
        <f t="shared" ref="C94:H94" si="12">((C101*C121)+(C102*C122)+(C103*C123)+(C104*C124)+(C105*C125)+(C106*C126)+(C107*C127)+(C108*C128))/(C101+C102+C103+C104+C105+C106+C107+C108)/277.77777</f>
        <v>949.40415267540607</v>
      </c>
      <c r="D94" s="56">
        <f t="shared" si="12"/>
        <v>951.10533916166207</v>
      </c>
      <c r="E94" s="56">
        <f t="shared" si="12"/>
        <v>984.33581302309221</v>
      </c>
      <c r="F94" s="56">
        <f t="shared" si="12"/>
        <v>957.62742255824855</v>
      </c>
      <c r="G94" s="56">
        <f t="shared" si="12"/>
        <v>927.84492977263938</v>
      </c>
      <c r="H94" s="56">
        <f t="shared" si="12"/>
        <v>908.44487532819937</v>
      </c>
      <c r="I94" s="56">
        <f t="shared" ref="I94:V94" si="13">((I101*I121)+(I102*I122)+(I103*I123)+(I104*I124)+(I105*I125)+(I106*I126)+(I107*I127)+(I108*I128))/(I101+I102+I103+I104+I105+I106+I107+I108)/277.77777</f>
        <v>867.57113524501108</v>
      </c>
      <c r="J94" s="56">
        <f t="shared" si="13"/>
        <v>867.57113524501108</v>
      </c>
      <c r="K94" s="56">
        <f t="shared" si="13"/>
        <v>867.57113524501108</v>
      </c>
      <c r="L94" s="56">
        <f t="shared" si="13"/>
        <v>867.57113524501108</v>
      </c>
      <c r="M94" s="56">
        <f t="shared" si="13"/>
        <v>867.57113524501108</v>
      </c>
      <c r="N94" s="56">
        <f t="shared" si="13"/>
        <v>867.57113524501108</v>
      </c>
      <c r="O94" s="56">
        <f t="shared" si="13"/>
        <v>867.57113524501108</v>
      </c>
      <c r="P94" s="56">
        <f t="shared" si="13"/>
        <v>867.57113524501108</v>
      </c>
      <c r="Q94" s="56">
        <f t="shared" si="13"/>
        <v>867.57113524501108</v>
      </c>
      <c r="R94" s="56">
        <f t="shared" si="13"/>
        <v>862.48747965537268</v>
      </c>
      <c r="S94" s="56">
        <f t="shared" si="13"/>
        <v>874.45256102840335</v>
      </c>
      <c r="T94" s="56">
        <f t="shared" si="13"/>
        <v>875.2841753498235</v>
      </c>
      <c r="U94" s="56">
        <f t="shared" si="13"/>
        <v>875.58767830909426</v>
      </c>
      <c r="V94" s="56">
        <f t="shared" si="13"/>
        <v>875.7448932793975</v>
      </c>
      <c r="W94" s="57"/>
    </row>
    <row r="95" spans="2:23" hidden="1">
      <c r="B95" s="54" t="s">
        <v>130</v>
      </c>
      <c r="C95" s="54">
        <f t="shared" ref="C95:H95" si="14">((C109*C129)+(C110*C130)+(C111*C131))/(C109+C110+C111)/277.77777</f>
        <v>358.55433427876591</v>
      </c>
      <c r="D95" s="54">
        <f t="shared" si="14"/>
        <v>356.01689232141422</v>
      </c>
      <c r="E95" s="54">
        <f t="shared" si="14"/>
        <v>353.97849562568359</v>
      </c>
      <c r="F95" s="54">
        <f t="shared" si="14"/>
        <v>352.92628680501298</v>
      </c>
      <c r="G95" s="54">
        <f t="shared" si="14"/>
        <v>359.77183360302308</v>
      </c>
      <c r="H95" s="54">
        <f t="shared" si="14"/>
        <v>344.64518727933535</v>
      </c>
      <c r="I95" s="54">
        <f t="shared" ref="I95:V95" si="15">((I109*I129)+(I110*I130)+(I111*I131))/(I109+I110+I111)/277.77777</f>
        <v>344.99821024316282</v>
      </c>
      <c r="J95" s="54">
        <f t="shared" si="15"/>
        <v>344.99821024316282</v>
      </c>
      <c r="K95" s="54">
        <f t="shared" si="15"/>
        <v>344.99821024316282</v>
      </c>
      <c r="L95" s="54">
        <f t="shared" si="15"/>
        <v>344.99821024316282</v>
      </c>
      <c r="M95" s="54">
        <f t="shared" si="15"/>
        <v>344.99821024316282</v>
      </c>
      <c r="N95" s="54">
        <f t="shared" si="15"/>
        <v>344.99821024316282</v>
      </c>
      <c r="O95" s="54">
        <f t="shared" si="15"/>
        <v>344.99821024316282</v>
      </c>
      <c r="P95" s="54">
        <f t="shared" si="15"/>
        <v>344.99821024316282</v>
      </c>
      <c r="Q95" s="54">
        <f t="shared" si="15"/>
        <v>344.99821024316282</v>
      </c>
      <c r="R95" s="54">
        <f t="shared" si="15"/>
        <v>343.90767038341227</v>
      </c>
      <c r="S95" s="54">
        <f t="shared" si="15"/>
        <v>343.90767038341227</v>
      </c>
      <c r="T95" s="54">
        <f t="shared" si="15"/>
        <v>343.90767038341227</v>
      </c>
      <c r="U95" s="54">
        <f t="shared" si="15"/>
        <v>343.90767038341227</v>
      </c>
      <c r="V95" s="54">
        <f t="shared" si="15"/>
        <v>343.90767038341227</v>
      </c>
      <c r="W95" s="55"/>
    </row>
    <row r="96" spans="2:23" hidden="1">
      <c r="B96" s="56" t="s">
        <v>283</v>
      </c>
      <c r="C96" s="56">
        <f t="shared" ref="C96:H96" si="16">((C112*C132)+(C113*C133)+(C114*C134)+(C115*C135)+(C116*C136))/(C112+C113+C114+C115+C116)/277.77777</f>
        <v>1056.0339764883827</v>
      </c>
      <c r="D96" s="56">
        <f t="shared" si="16"/>
        <v>1074.2013586628163</v>
      </c>
      <c r="E96" s="56">
        <f t="shared" si="16"/>
        <v>995.48162185467663</v>
      </c>
      <c r="F96" s="56">
        <f t="shared" si="16"/>
        <v>1001.5498868669263</v>
      </c>
      <c r="G96" s="56">
        <f t="shared" si="16"/>
        <v>994.28330203348082</v>
      </c>
      <c r="H96" s="56">
        <f t="shared" si="16"/>
        <v>996.27481407611708</v>
      </c>
      <c r="I96" s="56">
        <f t="shared" ref="I96:V96" si="17">((I112*I132)+(I113*I133)+(I114*I134)+(I115*I135)+(I116*I136))/(I112+I113+I114+I115+I116)/277.77777</f>
        <v>992.90948731736501</v>
      </c>
      <c r="J96" s="56">
        <f t="shared" si="17"/>
        <v>992.90948731736501</v>
      </c>
      <c r="K96" s="56">
        <f t="shared" si="17"/>
        <v>992.90948731736501</v>
      </c>
      <c r="L96" s="56">
        <f t="shared" si="17"/>
        <v>992.90948731736501</v>
      </c>
      <c r="M96" s="56">
        <f t="shared" si="17"/>
        <v>992.90948731736501</v>
      </c>
      <c r="N96" s="56">
        <f t="shared" si="17"/>
        <v>992.90948731736501</v>
      </c>
      <c r="O96" s="56">
        <f t="shared" si="17"/>
        <v>992.90948731736501</v>
      </c>
      <c r="P96" s="56">
        <f t="shared" si="17"/>
        <v>992.90948731736501</v>
      </c>
      <c r="Q96" s="56">
        <f t="shared" si="17"/>
        <v>992.90948731736501</v>
      </c>
      <c r="R96" s="56">
        <f t="shared" si="17"/>
        <v>941.89906532571069</v>
      </c>
      <c r="S96" s="56">
        <f t="shared" si="17"/>
        <v>941.89906532571069</v>
      </c>
      <c r="T96" s="56">
        <f>((T112*T132)+(T113*T133)+(T114*T134)+(T115*T135)+(T116*T136))/(T112+T113+T114+T115+T116)/277.77777</f>
        <v>941.89906532571069</v>
      </c>
      <c r="U96" s="56">
        <f t="shared" si="17"/>
        <v>941.89906532571069</v>
      </c>
      <c r="V96" s="56">
        <f t="shared" si="17"/>
        <v>941.89906532571069</v>
      </c>
      <c r="W96" s="57"/>
    </row>
    <row r="97" spans="2:24" hidden="1">
      <c r="B97" s="58" t="s">
        <v>284</v>
      </c>
      <c r="C97">
        <f>Emissionsfaktoren!E27</f>
        <v>50</v>
      </c>
      <c r="D97">
        <f>Emissionsfaktoren!F27</f>
        <v>50</v>
      </c>
      <c r="E97">
        <f>Emissionsfaktoren!G27</f>
        <v>50</v>
      </c>
      <c r="F97">
        <f>Emissionsfaktoren!H27</f>
        <v>50</v>
      </c>
      <c r="G97">
        <f>Emissionsfaktoren!I27</f>
        <v>50</v>
      </c>
      <c r="H97">
        <f>Emissionsfaktoren!J27</f>
        <v>50</v>
      </c>
      <c r="I97">
        <f>Emissionsfaktoren!K27</f>
        <v>50</v>
      </c>
      <c r="J97">
        <f>Emissionsfaktoren!L27</f>
        <v>50</v>
      </c>
      <c r="K97">
        <f>Emissionsfaktoren!M27</f>
        <v>50</v>
      </c>
      <c r="L97">
        <f>Emissionsfaktoren!N27</f>
        <v>50</v>
      </c>
      <c r="M97">
        <f>Emissionsfaktoren!O27</f>
        <v>50</v>
      </c>
      <c r="N97">
        <f>Emissionsfaktoren!P27</f>
        <v>50</v>
      </c>
      <c r="O97">
        <f>Emissionsfaktoren!Q27</f>
        <v>50</v>
      </c>
      <c r="P97">
        <f>Emissionsfaktoren!R27</f>
        <v>50</v>
      </c>
      <c r="Q97">
        <f>Emissionsfaktoren!S27</f>
        <v>50</v>
      </c>
      <c r="R97">
        <f>Emissionsfaktoren!T27</f>
        <v>50</v>
      </c>
      <c r="S97">
        <f>Emissionsfaktoren!U27</f>
        <v>50</v>
      </c>
      <c r="T97">
        <f>Emissionsfaktoren!V27</f>
        <v>50</v>
      </c>
      <c r="U97">
        <f>Emissionsfaktoren!W27</f>
        <v>50</v>
      </c>
      <c r="V97">
        <f>Emissionsfaktoren!X27</f>
        <v>50</v>
      </c>
      <c r="W97" t="str">
        <f>Emissionsfaktoren!Y27</f>
        <v>ifeu 2024: Kommunale Energie- und THG-Bilanzen, Tabellen zu den THG-Emissionsfaktoren</v>
      </c>
      <c r="X97">
        <f>Emissionsfaktoren!Z27</f>
        <v>0</v>
      </c>
    </row>
    <row r="98" spans="2:24" hidden="1"/>
    <row r="99" spans="2:24" hidden="1">
      <c r="B99" t="s">
        <v>289</v>
      </c>
    </row>
    <row r="100" spans="2:24" hidden="1">
      <c r="B100" t="s">
        <v>290</v>
      </c>
      <c r="C100" s="9" t="s">
        <v>3</v>
      </c>
      <c r="D100" s="9" t="s">
        <v>4</v>
      </c>
      <c r="E100" s="9" t="s">
        <v>5</v>
      </c>
      <c r="F100" s="9" t="s">
        <v>6</v>
      </c>
      <c r="G100" s="9" t="s">
        <v>7</v>
      </c>
      <c r="H100" s="9" t="s">
        <v>8</v>
      </c>
      <c r="I100" s="9" t="s">
        <v>9</v>
      </c>
      <c r="J100" s="10" t="s">
        <v>10</v>
      </c>
      <c r="K100" s="10" t="s">
        <v>11</v>
      </c>
      <c r="L100" s="10" t="s">
        <v>12</v>
      </c>
      <c r="M100" s="10" t="s">
        <v>13</v>
      </c>
      <c r="N100" s="10" t="s">
        <v>14</v>
      </c>
      <c r="O100" s="10" t="s">
        <v>216</v>
      </c>
      <c r="P100" s="10" t="s">
        <v>217</v>
      </c>
      <c r="Q100" s="10" t="s">
        <v>218</v>
      </c>
      <c r="R100" s="10" t="s">
        <v>15</v>
      </c>
      <c r="S100" s="10" t="s">
        <v>16</v>
      </c>
      <c r="T100" s="10" t="s">
        <v>17</v>
      </c>
      <c r="U100" s="10" t="s">
        <v>18</v>
      </c>
      <c r="V100" s="10" t="s">
        <v>19</v>
      </c>
    </row>
    <row r="101" spans="2:24" hidden="1">
      <c r="B101" t="s">
        <v>291</v>
      </c>
      <c r="C101" s="59">
        <v>0.01</v>
      </c>
      <c r="D101" s="60">
        <v>0.01</v>
      </c>
      <c r="E101" s="59">
        <v>5.0000000000000001E-3</v>
      </c>
      <c r="F101" s="59">
        <v>0</v>
      </c>
      <c r="G101" s="59">
        <v>0</v>
      </c>
      <c r="H101" s="59">
        <v>0</v>
      </c>
      <c r="I101" s="59">
        <v>0</v>
      </c>
      <c r="J101" s="59">
        <v>0</v>
      </c>
      <c r="K101" s="59">
        <v>0</v>
      </c>
      <c r="L101" s="59">
        <v>0</v>
      </c>
      <c r="M101" s="59">
        <v>0</v>
      </c>
      <c r="N101" s="59">
        <v>0</v>
      </c>
      <c r="O101" s="59">
        <v>0</v>
      </c>
      <c r="P101" s="59">
        <v>0</v>
      </c>
      <c r="Q101" s="59">
        <v>0</v>
      </c>
      <c r="R101" s="59">
        <v>0</v>
      </c>
      <c r="S101" s="59">
        <v>0</v>
      </c>
      <c r="T101" s="59">
        <v>0</v>
      </c>
      <c r="U101" s="59">
        <v>0</v>
      </c>
      <c r="V101" s="59">
        <v>0</v>
      </c>
    </row>
    <row r="102" spans="2:24" hidden="1">
      <c r="B102" t="s">
        <v>292</v>
      </c>
      <c r="C102" s="61">
        <v>1.7500000000000002E-2</v>
      </c>
      <c r="D102" s="60">
        <v>5.4999999999999997E-3</v>
      </c>
      <c r="E102" s="61">
        <v>0.01</v>
      </c>
      <c r="F102" s="61">
        <v>1.2500000000000001E-2</v>
      </c>
      <c r="G102" s="61">
        <v>0</v>
      </c>
      <c r="H102" s="59">
        <v>0</v>
      </c>
      <c r="I102" s="59">
        <v>0</v>
      </c>
      <c r="J102" s="61">
        <f>Prozentuale_Aufteilung_Bundesstrommix[[#This Row],[2021]]</f>
        <v>0</v>
      </c>
      <c r="K102" s="61">
        <f>Prozentuale_Aufteilung_Bundesstrommix[[#This Row],[2022]]</f>
        <v>0</v>
      </c>
      <c r="L102" s="61">
        <f>Prozentuale_Aufteilung_Bundesstrommix[[#This Row],[2023]]</f>
        <v>0</v>
      </c>
      <c r="M102" s="61">
        <f>Prozentuale_Aufteilung_Bundesstrommix[[#This Row],[2024]]</f>
        <v>0</v>
      </c>
      <c r="N102" s="61">
        <f>Prozentuale_Aufteilung_Bundesstrommix[[#This Row],[2025]]</f>
        <v>0</v>
      </c>
      <c r="O102" s="61">
        <f>Prozentuale_Aufteilung_Bundesstrommix[[#This Row],[2025]]</f>
        <v>0</v>
      </c>
      <c r="P102" s="61">
        <f>Prozentuale_Aufteilung_Bundesstrommix[[#This Row],[2025]]</f>
        <v>0</v>
      </c>
      <c r="Q102" s="61">
        <f>Prozentuale_Aufteilung_Bundesstrommix[[#This Row],[2025]]</f>
        <v>0</v>
      </c>
      <c r="R102" s="61">
        <f>Prozentuale_Aufteilung_Bundesstrommix[[#This Row],[2026]]</f>
        <v>0</v>
      </c>
      <c r="S102" s="61">
        <f>Prozentuale_Aufteilung_Bundesstrommix[[#This Row],[2030]]</f>
        <v>0</v>
      </c>
      <c r="T102" s="61">
        <f>Prozentuale_Aufteilung_Bundesstrommix[[#This Row],[2035]]</f>
        <v>0</v>
      </c>
      <c r="U102" s="61">
        <f>Prozentuale_Aufteilung_Bundesstrommix[[#This Row],[2040]]</f>
        <v>0</v>
      </c>
      <c r="V102" s="61">
        <f>Prozentuale_Aufteilung_Bundesstrommix[[#This Row],[2045]]</f>
        <v>0</v>
      </c>
    </row>
    <row r="103" spans="2:24" hidden="1">
      <c r="B103" t="s">
        <v>293</v>
      </c>
      <c r="C103" s="50">
        <v>7.4999999999999997E-2</v>
      </c>
      <c r="D103" s="60">
        <v>7.0000000000000007E-2</v>
      </c>
      <c r="E103" s="50">
        <v>0.05</v>
      </c>
      <c r="F103" s="50">
        <v>0.05</v>
      </c>
      <c r="G103" s="50">
        <v>0.01</v>
      </c>
      <c r="H103" s="50">
        <v>0</v>
      </c>
      <c r="I103" s="50">
        <v>0</v>
      </c>
      <c r="J103" s="50">
        <f>Prozentuale_Aufteilung_Bundesstrommix[[#This Row],[2021]]</f>
        <v>0</v>
      </c>
      <c r="K103" s="50">
        <f>Prozentuale_Aufteilung_Bundesstrommix[[#This Row],[2022]]</f>
        <v>0</v>
      </c>
      <c r="L103" s="50">
        <f>Prozentuale_Aufteilung_Bundesstrommix[[#This Row],[2023]]</f>
        <v>0</v>
      </c>
      <c r="M103" s="50">
        <f>Prozentuale_Aufteilung_Bundesstrommix[[#This Row],[2024]]</f>
        <v>0</v>
      </c>
      <c r="N103" s="50">
        <f>Prozentuale_Aufteilung_Bundesstrommix[[#This Row],[2025]]</f>
        <v>0</v>
      </c>
      <c r="O103" s="50">
        <f>Prozentuale_Aufteilung_Bundesstrommix[[#This Row],[2025]]</f>
        <v>0</v>
      </c>
      <c r="P103" s="50">
        <f>Prozentuale_Aufteilung_Bundesstrommix[[#This Row],[2025]]</f>
        <v>0</v>
      </c>
      <c r="Q103" s="50">
        <f>Prozentuale_Aufteilung_Bundesstrommix[[#This Row],[2025]]</f>
        <v>0</v>
      </c>
      <c r="R103" s="50">
        <f>Prozentuale_Aufteilung_Bundesstrommix[[#This Row],[2026]]</f>
        <v>0</v>
      </c>
      <c r="S103" s="50">
        <f>Prozentuale_Aufteilung_Bundesstrommix[[#This Row],[2030]]</f>
        <v>0</v>
      </c>
      <c r="T103" s="50">
        <f>Prozentuale_Aufteilung_Bundesstrommix[[#This Row],[2035]]</f>
        <v>0</v>
      </c>
      <c r="U103" s="50">
        <f>Prozentuale_Aufteilung_Bundesstrommix[[#This Row],[2040]]</f>
        <v>0</v>
      </c>
      <c r="V103" s="50">
        <f>Prozentuale_Aufteilung_Bundesstrommix[[#This Row],[2045]]</f>
        <v>0</v>
      </c>
    </row>
    <row r="104" spans="2:24" hidden="1">
      <c r="B104" t="s">
        <v>294</v>
      </c>
      <c r="C104" s="50">
        <v>0.08</v>
      </c>
      <c r="D104" s="60">
        <v>8.8499999999999995E-2</v>
      </c>
      <c r="E104" s="50">
        <v>0.08</v>
      </c>
      <c r="F104" s="50">
        <v>6.5000000000000002E-2</v>
      </c>
      <c r="G104" s="50">
        <v>8.4500000000000006E-2</v>
      </c>
      <c r="H104" s="50">
        <v>7.5369999999999993E-2</v>
      </c>
      <c r="I104" s="50">
        <v>0.19283</v>
      </c>
      <c r="J104" s="50">
        <f>Prozentuale_Aufteilung_Bundesstrommix[[#This Row],[2021]]</f>
        <v>0.19283</v>
      </c>
      <c r="K104" s="50">
        <f>Prozentuale_Aufteilung_Bundesstrommix[[#This Row],[2022]]</f>
        <v>0.19283</v>
      </c>
      <c r="L104" s="50">
        <f>Prozentuale_Aufteilung_Bundesstrommix[[#This Row],[2023]]</f>
        <v>0.19283</v>
      </c>
      <c r="M104" s="50">
        <f>Prozentuale_Aufteilung_Bundesstrommix[[#This Row],[2024]]</f>
        <v>0.19283</v>
      </c>
      <c r="N104" s="50">
        <f>Prozentuale_Aufteilung_Bundesstrommix[[#This Row],[2025]]</f>
        <v>0.19283</v>
      </c>
      <c r="O104" s="50">
        <f>Prozentuale_Aufteilung_Bundesstrommix[[#This Row],[2025]]</f>
        <v>0.19283</v>
      </c>
      <c r="P104" s="50">
        <f>Prozentuale_Aufteilung_Bundesstrommix[[#This Row],[2025]]</f>
        <v>0.19283</v>
      </c>
      <c r="Q104" s="50">
        <f>Prozentuale_Aufteilung_Bundesstrommix[[#This Row],[2025]]</f>
        <v>0.19283</v>
      </c>
      <c r="R104" s="50">
        <v>0.16572000000000001</v>
      </c>
      <c r="S104" s="50">
        <v>1.1657200000000001</v>
      </c>
      <c r="T104" s="50">
        <v>2.1657199999999999</v>
      </c>
      <c r="U104" s="50">
        <v>3.1657199999999999</v>
      </c>
      <c r="V104" s="50">
        <v>4.1657200000000003</v>
      </c>
    </row>
    <row r="105" spans="2:24" hidden="1">
      <c r="B105" t="s">
        <v>295</v>
      </c>
      <c r="C105" s="50">
        <v>0.1</v>
      </c>
      <c r="D105" s="60">
        <v>0.1</v>
      </c>
      <c r="E105" s="50">
        <v>0.09</v>
      </c>
      <c r="F105" s="50">
        <v>0.09</v>
      </c>
      <c r="G105" s="50">
        <v>0.04</v>
      </c>
      <c r="H105" s="50">
        <v>0</v>
      </c>
      <c r="I105" s="50">
        <v>0</v>
      </c>
      <c r="J105" s="50">
        <f>Prozentuale_Aufteilung_Bundesstrommix[[#This Row],[2021]]</f>
        <v>0</v>
      </c>
      <c r="K105" s="50">
        <f>Prozentuale_Aufteilung_Bundesstrommix[[#This Row],[2022]]</f>
        <v>0</v>
      </c>
      <c r="L105" s="50">
        <f>Prozentuale_Aufteilung_Bundesstrommix[[#This Row],[2023]]</f>
        <v>0</v>
      </c>
      <c r="M105" s="50">
        <f>Prozentuale_Aufteilung_Bundesstrommix[[#This Row],[2024]]</f>
        <v>0</v>
      </c>
      <c r="N105" s="50">
        <f>Prozentuale_Aufteilung_Bundesstrommix[[#This Row],[2025]]</f>
        <v>0</v>
      </c>
      <c r="O105" s="50">
        <f>Prozentuale_Aufteilung_Bundesstrommix[[#This Row],[2025]]</f>
        <v>0</v>
      </c>
      <c r="P105" s="50">
        <f>Prozentuale_Aufteilung_Bundesstrommix[[#This Row],[2025]]</f>
        <v>0</v>
      </c>
      <c r="Q105" s="50">
        <f>Prozentuale_Aufteilung_Bundesstrommix[[#This Row],[2025]]</f>
        <v>0</v>
      </c>
      <c r="R105" s="50">
        <f>Prozentuale_Aufteilung_Bundesstrommix[[#This Row],[2026]]</f>
        <v>0</v>
      </c>
      <c r="S105" s="50">
        <f>Prozentuale_Aufteilung_Bundesstrommix[[#This Row],[2030]]</f>
        <v>0</v>
      </c>
      <c r="T105" s="50">
        <f>Prozentuale_Aufteilung_Bundesstrommix[[#This Row],[2035]]</f>
        <v>0</v>
      </c>
      <c r="U105" s="50">
        <f>Prozentuale_Aufteilung_Bundesstrommix[[#This Row],[2040]]</f>
        <v>0</v>
      </c>
      <c r="V105" s="50">
        <f>Prozentuale_Aufteilung_Bundesstrommix[[#This Row],[2045]]</f>
        <v>0</v>
      </c>
    </row>
    <row r="106" spans="2:24" hidden="1">
      <c r="B106" t="s">
        <v>296</v>
      </c>
      <c r="C106" s="50">
        <v>2.9000000000000001E-2</v>
      </c>
      <c r="D106" s="60">
        <v>2.3E-2</v>
      </c>
      <c r="E106" s="50">
        <v>3.2000000000000001E-2</v>
      </c>
      <c r="F106" s="50">
        <v>0.03</v>
      </c>
      <c r="G106" s="50">
        <v>0.06</v>
      </c>
      <c r="H106" s="50">
        <v>0.08</v>
      </c>
      <c r="I106" s="50">
        <v>0.08</v>
      </c>
      <c r="J106" s="50">
        <f>Prozentuale_Aufteilung_Bundesstrommix[[#This Row],[2021]]</f>
        <v>0.08</v>
      </c>
      <c r="K106" s="50">
        <f>Prozentuale_Aufteilung_Bundesstrommix[[#This Row],[2022]]</f>
        <v>0.08</v>
      </c>
      <c r="L106" s="50">
        <f>Prozentuale_Aufteilung_Bundesstrommix[[#This Row],[2023]]</f>
        <v>0.08</v>
      </c>
      <c r="M106" s="50">
        <f>Prozentuale_Aufteilung_Bundesstrommix[[#This Row],[2024]]</f>
        <v>0.08</v>
      </c>
      <c r="N106" s="50">
        <f>Prozentuale_Aufteilung_Bundesstrommix[[#This Row],[2025]]</f>
        <v>0.08</v>
      </c>
      <c r="O106" s="50">
        <f>Prozentuale_Aufteilung_Bundesstrommix[[#This Row],[2025]]</f>
        <v>0.08</v>
      </c>
      <c r="P106" s="50">
        <f>Prozentuale_Aufteilung_Bundesstrommix[[#This Row],[2025]]</f>
        <v>0.08</v>
      </c>
      <c r="Q106" s="50">
        <f>Prozentuale_Aufteilung_Bundesstrommix[[#This Row],[2025]]</f>
        <v>0.08</v>
      </c>
      <c r="R106" s="50">
        <v>6.6530000000000006E-2</v>
      </c>
      <c r="S106" s="50">
        <v>1.06653</v>
      </c>
      <c r="T106" s="50">
        <v>2.0665300000000002</v>
      </c>
      <c r="U106" s="50">
        <v>3.0665300000000002</v>
      </c>
      <c r="V106" s="50">
        <v>4.0665300000000002</v>
      </c>
    </row>
    <row r="107" spans="2:24" hidden="1">
      <c r="B107" t="s">
        <v>297</v>
      </c>
      <c r="C107" s="50">
        <v>0.02</v>
      </c>
      <c r="D107" s="60">
        <v>0.02</v>
      </c>
      <c r="E107" s="50">
        <v>0.15</v>
      </c>
      <c r="F107" s="50">
        <v>1.4999999999999999E-2</v>
      </c>
      <c r="G107" s="50">
        <v>0</v>
      </c>
      <c r="H107" s="50">
        <v>0</v>
      </c>
      <c r="I107" s="50">
        <v>0</v>
      </c>
      <c r="J107" s="50">
        <f>Prozentuale_Aufteilung_Bundesstrommix[[#This Row],[2021]]</f>
        <v>0</v>
      </c>
      <c r="K107" s="50">
        <f>Prozentuale_Aufteilung_Bundesstrommix[[#This Row],[2022]]</f>
        <v>0</v>
      </c>
      <c r="L107" s="50">
        <f>Prozentuale_Aufteilung_Bundesstrommix[[#This Row],[2023]]</f>
        <v>0</v>
      </c>
      <c r="M107" s="50">
        <f>Prozentuale_Aufteilung_Bundesstrommix[[#This Row],[2024]]</f>
        <v>0</v>
      </c>
      <c r="N107" s="50">
        <f>Prozentuale_Aufteilung_Bundesstrommix[[#This Row],[2025]]</f>
        <v>0</v>
      </c>
      <c r="O107" s="50">
        <f>Prozentuale_Aufteilung_Bundesstrommix[[#This Row],[2025]]</f>
        <v>0</v>
      </c>
      <c r="P107" s="50">
        <f>Prozentuale_Aufteilung_Bundesstrommix[[#This Row],[2025]]</f>
        <v>0</v>
      </c>
      <c r="Q107" s="50">
        <f>Prozentuale_Aufteilung_Bundesstrommix[[#This Row],[2025]]</f>
        <v>0</v>
      </c>
      <c r="R107" s="50">
        <f>Prozentuale_Aufteilung_Bundesstrommix[[#This Row],[2026]]</f>
        <v>0</v>
      </c>
      <c r="S107" s="50">
        <f>Prozentuale_Aufteilung_Bundesstrommix[[#This Row],[2030]]</f>
        <v>0</v>
      </c>
      <c r="T107" s="50">
        <f>Prozentuale_Aufteilung_Bundesstrommix[[#This Row],[2035]]</f>
        <v>0</v>
      </c>
      <c r="U107" s="50">
        <f>Prozentuale_Aufteilung_Bundesstrommix[[#This Row],[2040]]</f>
        <v>0</v>
      </c>
      <c r="V107" s="50">
        <f>Prozentuale_Aufteilung_Bundesstrommix[[#This Row],[2045]]</f>
        <v>0</v>
      </c>
    </row>
    <row r="108" spans="2:24" hidden="1">
      <c r="B108" t="s">
        <v>298</v>
      </c>
      <c r="C108" s="50">
        <v>9.1999999999999998E-2</v>
      </c>
      <c r="D108" s="60">
        <v>0.09</v>
      </c>
      <c r="E108" s="50">
        <v>9.1999999999999998E-2</v>
      </c>
      <c r="F108" s="50">
        <v>0.09</v>
      </c>
      <c r="G108" s="50">
        <v>8.7599999999999997E-2</v>
      </c>
      <c r="H108" s="50">
        <v>8.0180000000000001E-2</v>
      </c>
      <c r="I108" s="50">
        <v>9.264E-2</v>
      </c>
      <c r="J108" s="50">
        <f>Prozentuale_Aufteilung_Bundesstrommix[[#This Row],[2021]]</f>
        <v>9.264E-2</v>
      </c>
      <c r="K108" s="50">
        <f>Prozentuale_Aufteilung_Bundesstrommix[[#This Row],[2022]]</f>
        <v>9.264E-2</v>
      </c>
      <c r="L108" s="50">
        <f>Prozentuale_Aufteilung_Bundesstrommix[[#This Row],[2023]]</f>
        <v>9.264E-2</v>
      </c>
      <c r="M108" s="50">
        <f>Prozentuale_Aufteilung_Bundesstrommix[[#This Row],[2024]]</f>
        <v>9.264E-2</v>
      </c>
      <c r="N108" s="50">
        <f>Prozentuale_Aufteilung_Bundesstrommix[[#This Row],[2025]]</f>
        <v>9.264E-2</v>
      </c>
      <c r="O108" s="50">
        <f>Prozentuale_Aufteilung_Bundesstrommix[[#This Row],[2025]]</f>
        <v>9.264E-2</v>
      </c>
      <c r="P108" s="50">
        <f>Prozentuale_Aufteilung_Bundesstrommix[[#This Row],[2025]]</f>
        <v>9.264E-2</v>
      </c>
      <c r="Q108" s="50">
        <f>Prozentuale_Aufteilung_Bundesstrommix[[#This Row],[2025]]</f>
        <v>9.264E-2</v>
      </c>
      <c r="R108" s="50">
        <v>6.6530000000000006E-2</v>
      </c>
      <c r="S108" s="50">
        <f>Prozentuale_Aufteilung_Bundesstrommix[[#This Row],[2030]]</f>
        <v>6.6530000000000006E-2</v>
      </c>
      <c r="T108" s="50">
        <f>Prozentuale_Aufteilung_Bundesstrommix[[#This Row],[2035]]</f>
        <v>6.6530000000000006E-2</v>
      </c>
      <c r="U108" s="50">
        <f>Prozentuale_Aufteilung_Bundesstrommix[[#This Row],[2040]]</f>
        <v>6.6530000000000006E-2</v>
      </c>
      <c r="V108" s="50">
        <f>Prozentuale_Aufteilung_Bundesstrommix[[#This Row],[2045]]</f>
        <v>6.6530000000000006E-2</v>
      </c>
    </row>
    <row r="109" spans="2:24" hidden="1">
      <c r="B109" t="s">
        <v>299</v>
      </c>
      <c r="C109" s="50">
        <v>0.05</v>
      </c>
      <c r="D109" s="60">
        <v>0.05</v>
      </c>
      <c r="E109" s="50">
        <v>0.04</v>
      </c>
      <c r="F109" s="50">
        <v>0.03</v>
      </c>
      <c r="G109" s="50">
        <v>0.03</v>
      </c>
      <c r="H109" s="50">
        <v>0</v>
      </c>
      <c r="I109" s="50">
        <v>0</v>
      </c>
      <c r="J109" s="50">
        <f>Prozentuale_Aufteilung_Bundesstrommix[[#This Row],[2021]]</f>
        <v>0</v>
      </c>
      <c r="K109" s="50">
        <f>Prozentuale_Aufteilung_Bundesstrommix[[#This Row],[2022]]</f>
        <v>0</v>
      </c>
      <c r="L109" s="50">
        <f>Prozentuale_Aufteilung_Bundesstrommix[[#This Row],[2023]]</f>
        <v>0</v>
      </c>
      <c r="M109" s="50">
        <f>Prozentuale_Aufteilung_Bundesstrommix[[#This Row],[2024]]</f>
        <v>0</v>
      </c>
      <c r="N109" s="50">
        <f>Prozentuale_Aufteilung_Bundesstrommix[[#This Row],[2025]]</f>
        <v>0</v>
      </c>
      <c r="O109" s="50">
        <f>Prozentuale_Aufteilung_Bundesstrommix[[#This Row],[2025]]</f>
        <v>0</v>
      </c>
      <c r="P109" s="50">
        <f>Prozentuale_Aufteilung_Bundesstrommix[[#This Row],[2025]]</f>
        <v>0</v>
      </c>
      <c r="Q109" s="50">
        <f>Prozentuale_Aufteilung_Bundesstrommix[[#This Row],[2025]]</f>
        <v>0</v>
      </c>
      <c r="R109" s="50">
        <f>Prozentuale_Aufteilung_Bundesstrommix[[#This Row],[2026]]</f>
        <v>0</v>
      </c>
      <c r="S109" s="50">
        <f>Prozentuale_Aufteilung_Bundesstrommix[[#This Row],[2030]]</f>
        <v>0</v>
      </c>
      <c r="T109" s="50">
        <f>Prozentuale_Aufteilung_Bundesstrommix[[#This Row],[2035]]</f>
        <v>0</v>
      </c>
      <c r="U109" s="50">
        <f>Prozentuale_Aufteilung_Bundesstrommix[[#This Row],[2040]]</f>
        <v>0</v>
      </c>
      <c r="V109" s="50">
        <f>Prozentuale_Aufteilung_Bundesstrommix[[#This Row],[2045]]</f>
        <v>0</v>
      </c>
    </row>
    <row r="110" spans="2:24" hidden="1">
      <c r="B110" t="s">
        <v>300</v>
      </c>
      <c r="C110" s="50">
        <v>4.53E-2</v>
      </c>
      <c r="D110" s="60">
        <v>7.7499999999999999E-2</v>
      </c>
      <c r="E110" s="50">
        <v>0.1</v>
      </c>
      <c r="F110" s="50">
        <v>0.1</v>
      </c>
      <c r="G110" s="50">
        <v>2.1000000000000001E-2</v>
      </c>
      <c r="H110" s="50">
        <v>0.1</v>
      </c>
      <c r="I110" s="50">
        <v>0.1</v>
      </c>
      <c r="J110" s="50">
        <f>Prozentuale_Aufteilung_Bundesstrommix[[#This Row],[2021]]</f>
        <v>0.1</v>
      </c>
      <c r="K110" s="50">
        <f>Prozentuale_Aufteilung_Bundesstrommix[[#This Row],[2022]]</f>
        <v>0.1</v>
      </c>
      <c r="L110" s="50">
        <f>Prozentuale_Aufteilung_Bundesstrommix[[#This Row],[2023]]</f>
        <v>0.1</v>
      </c>
      <c r="M110" s="50">
        <f>Prozentuale_Aufteilung_Bundesstrommix[[#This Row],[2024]]</f>
        <v>0.1</v>
      </c>
      <c r="N110" s="50">
        <f>Prozentuale_Aufteilung_Bundesstrommix[[#This Row],[2025]]</f>
        <v>0.1</v>
      </c>
      <c r="O110" s="50">
        <f>Prozentuale_Aufteilung_Bundesstrommix[[#This Row],[2025]]</f>
        <v>0.1</v>
      </c>
      <c r="P110" s="50">
        <f>Prozentuale_Aufteilung_Bundesstrommix[[#This Row],[2025]]</f>
        <v>0.1</v>
      </c>
      <c r="Q110" s="50">
        <f>Prozentuale_Aufteilung_Bundesstrommix[[#This Row],[2025]]</f>
        <v>0.1</v>
      </c>
      <c r="R110" s="50">
        <v>7.4999999999999997E-2</v>
      </c>
      <c r="S110" s="50">
        <f>Prozentuale_Aufteilung_Bundesstrommix[[#This Row],[2030]]</f>
        <v>7.4999999999999997E-2</v>
      </c>
      <c r="T110" s="50">
        <f>Prozentuale_Aufteilung_Bundesstrommix[[#This Row],[2035]]</f>
        <v>7.4999999999999997E-2</v>
      </c>
      <c r="U110" s="50">
        <f>Prozentuale_Aufteilung_Bundesstrommix[[#This Row],[2040]]</f>
        <v>7.4999999999999997E-2</v>
      </c>
      <c r="V110" s="50">
        <f>Prozentuale_Aufteilung_Bundesstrommix[[#This Row],[2045]]</f>
        <v>7.4999999999999997E-2</v>
      </c>
    </row>
    <row r="111" spans="2:24" hidden="1">
      <c r="B111" t="s">
        <v>301</v>
      </c>
      <c r="C111" s="50">
        <v>0</v>
      </c>
      <c r="D111" s="50">
        <v>0</v>
      </c>
      <c r="E111" s="50">
        <v>0</v>
      </c>
      <c r="F111" s="50">
        <v>0</v>
      </c>
      <c r="G111" s="50">
        <v>0</v>
      </c>
      <c r="H111" s="50">
        <v>6.071E-2</v>
      </c>
      <c r="I111" s="50">
        <v>5.2260000000000001E-2</v>
      </c>
      <c r="J111" s="50">
        <f>Prozentuale_Aufteilung_Bundesstrommix[[#This Row],[2021]]</f>
        <v>5.2260000000000001E-2</v>
      </c>
      <c r="K111" s="50">
        <f>Prozentuale_Aufteilung_Bundesstrommix[[#This Row],[2022]]</f>
        <v>5.2260000000000001E-2</v>
      </c>
      <c r="L111" s="50">
        <f>Prozentuale_Aufteilung_Bundesstrommix[[#This Row],[2023]]</f>
        <v>5.2260000000000001E-2</v>
      </c>
      <c r="M111" s="50">
        <f>Prozentuale_Aufteilung_Bundesstrommix[[#This Row],[2024]]</f>
        <v>5.2260000000000001E-2</v>
      </c>
      <c r="N111" s="50">
        <f>Prozentuale_Aufteilung_Bundesstrommix[[#This Row],[2025]]</f>
        <v>5.2260000000000001E-2</v>
      </c>
      <c r="O111" s="50">
        <f>Prozentuale_Aufteilung_Bundesstrommix[[#This Row],[2025]]</f>
        <v>5.2260000000000001E-2</v>
      </c>
      <c r="P111" s="50">
        <f>Prozentuale_Aufteilung_Bundesstrommix[[#This Row],[2025]]</f>
        <v>5.2260000000000001E-2</v>
      </c>
      <c r="Q111" s="50">
        <f>Prozentuale_Aufteilung_Bundesstrommix[[#This Row],[2025]]</f>
        <v>5.2260000000000001E-2</v>
      </c>
      <c r="R111" s="50">
        <v>6.1339999999999999E-2</v>
      </c>
      <c r="S111" s="50">
        <f>Prozentuale_Aufteilung_Bundesstrommix[[#This Row],[2030]]</f>
        <v>6.1339999999999999E-2</v>
      </c>
      <c r="T111" s="50">
        <f>Prozentuale_Aufteilung_Bundesstrommix[[#This Row],[2035]]</f>
        <v>6.1339999999999999E-2</v>
      </c>
      <c r="U111" s="50">
        <f>Prozentuale_Aufteilung_Bundesstrommix[[#This Row],[2040]]</f>
        <v>6.1339999999999999E-2</v>
      </c>
      <c r="V111" s="50">
        <f>Prozentuale_Aufteilung_Bundesstrommix[[#This Row],[2045]]</f>
        <v>6.1339999999999999E-2</v>
      </c>
    </row>
    <row r="112" spans="2:24" hidden="1">
      <c r="B112" t="s">
        <v>302</v>
      </c>
      <c r="C112" s="50">
        <v>1.4999999999999999E-2</v>
      </c>
      <c r="D112" s="60">
        <v>2.5499999999999998E-2</v>
      </c>
      <c r="E112" s="50">
        <v>1.38E-2</v>
      </c>
      <c r="F112" s="50">
        <v>2.3E-2</v>
      </c>
      <c r="G112" s="50">
        <v>2.1000000000000001E-2</v>
      </c>
      <c r="H112" s="50">
        <v>0.02</v>
      </c>
      <c r="I112" s="50">
        <v>0.02</v>
      </c>
      <c r="J112" s="50">
        <f>Prozentuale_Aufteilung_Bundesstrommix[[#This Row],[2021]]</f>
        <v>0.02</v>
      </c>
      <c r="K112" s="50">
        <f>Prozentuale_Aufteilung_Bundesstrommix[[#This Row],[2022]]</f>
        <v>0.02</v>
      </c>
      <c r="L112" s="50">
        <f>Prozentuale_Aufteilung_Bundesstrommix[[#This Row],[2023]]</f>
        <v>0.02</v>
      </c>
      <c r="M112" s="50">
        <f>Prozentuale_Aufteilung_Bundesstrommix[[#This Row],[2024]]</f>
        <v>0.02</v>
      </c>
      <c r="N112" s="50">
        <f>Prozentuale_Aufteilung_Bundesstrommix[[#This Row],[2025]]</f>
        <v>0.02</v>
      </c>
      <c r="O112" s="50">
        <f>Prozentuale_Aufteilung_Bundesstrommix[[#This Row],[2025]]</f>
        <v>0.02</v>
      </c>
      <c r="P112" s="50">
        <f>Prozentuale_Aufteilung_Bundesstrommix[[#This Row],[2025]]</f>
        <v>0.02</v>
      </c>
      <c r="Q112" s="50">
        <f>Prozentuale_Aufteilung_Bundesstrommix[[#This Row],[2025]]</f>
        <v>0.02</v>
      </c>
      <c r="R112" s="50">
        <v>8.6700000000000006E-3</v>
      </c>
      <c r="S112" s="50">
        <f>Prozentuale_Aufteilung_Bundesstrommix[[#This Row],[2030]]</f>
        <v>8.6700000000000006E-3</v>
      </c>
      <c r="T112" s="50">
        <f>Prozentuale_Aufteilung_Bundesstrommix[[#This Row],[2035]]</f>
        <v>8.6700000000000006E-3</v>
      </c>
      <c r="U112" s="50">
        <f>Prozentuale_Aufteilung_Bundesstrommix[[#This Row],[2040]]</f>
        <v>8.6700000000000006E-3</v>
      </c>
      <c r="V112" s="50">
        <f>Prozentuale_Aufteilung_Bundesstrommix[[#This Row],[2045]]</f>
        <v>8.6700000000000006E-3</v>
      </c>
    </row>
    <row r="113" spans="2:23" hidden="1">
      <c r="B113" t="s">
        <v>303</v>
      </c>
      <c r="C113" s="50">
        <v>0.01</v>
      </c>
      <c r="D113" s="60">
        <v>9.1999999999999998E-3</v>
      </c>
      <c r="E113" s="50">
        <v>8.9999999999999993E-3</v>
      </c>
      <c r="F113" s="50">
        <v>8.0000000000000002E-3</v>
      </c>
      <c r="G113" s="50">
        <v>8.3999999999999995E-3</v>
      </c>
      <c r="H113" s="50">
        <v>7.5199999999999998E-3</v>
      </c>
      <c r="I113" s="50">
        <v>8.2100000000000003E-3</v>
      </c>
      <c r="J113" s="50">
        <f>Prozentuale_Aufteilung_Bundesstrommix[[#This Row],[2021]]</f>
        <v>8.2100000000000003E-3</v>
      </c>
      <c r="K113" s="50">
        <f>Prozentuale_Aufteilung_Bundesstrommix[[#This Row],[2022]]</f>
        <v>8.2100000000000003E-3</v>
      </c>
      <c r="L113" s="50">
        <f>Prozentuale_Aufteilung_Bundesstrommix[[#This Row],[2023]]</f>
        <v>8.2100000000000003E-3</v>
      </c>
      <c r="M113" s="50">
        <f>Prozentuale_Aufteilung_Bundesstrommix[[#This Row],[2024]]</f>
        <v>8.2100000000000003E-3</v>
      </c>
      <c r="N113" s="50">
        <f>Prozentuale_Aufteilung_Bundesstrommix[[#This Row],[2025]]</f>
        <v>8.2100000000000003E-3</v>
      </c>
      <c r="O113" s="50">
        <f>Prozentuale_Aufteilung_Bundesstrommix[[#This Row],[2025]]</f>
        <v>8.2100000000000003E-3</v>
      </c>
      <c r="P113" s="50">
        <f>Prozentuale_Aufteilung_Bundesstrommix[[#This Row],[2025]]</f>
        <v>8.2100000000000003E-3</v>
      </c>
      <c r="Q113" s="50">
        <f>Prozentuale_Aufteilung_Bundesstrommix[[#This Row],[2025]]</f>
        <v>8.2100000000000003E-3</v>
      </c>
      <c r="R113" s="50">
        <v>8.6700000000000006E-3</v>
      </c>
      <c r="S113" s="50">
        <f>Prozentuale_Aufteilung_Bundesstrommix[[#This Row],[2030]]</f>
        <v>8.6700000000000006E-3</v>
      </c>
      <c r="T113" s="50">
        <f>Prozentuale_Aufteilung_Bundesstrommix[[#This Row],[2035]]</f>
        <v>8.6700000000000006E-3</v>
      </c>
      <c r="U113" s="50">
        <f>Prozentuale_Aufteilung_Bundesstrommix[[#This Row],[2040]]</f>
        <v>8.6700000000000006E-3</v>
      </c>
      <c r="V113" s="50">
        <f>Prozentuale_Aufteilung_Bundesstrommix[[#This Row],[2045]]</f>
        <v>8.6700000000000006E-3</v>
      </c>
    </row>
    <row r="114" spans="2:23" hidden="1">
      <c r="B114" t="s">
        <v>304</v>
      </c>
      <c r="C114" s="50">
        <v>0.01</v>
      </c>
      <c r="D114" s="60">
        <v>0.01</v>
      </c>
      <c r="E114" s="50">
        <v>9.1999999999999998E-3</v>
      </c>
      <c r="F114" s="50">
        <v>0</v>
      </c>
      <c r="G114" s="50">
        <v>0</v>
      </c>
      <c r="H114" s="50">
        <v>0</v>
      </c>
      <c r="I114" s="50">
        <v>0</v>
      </c>
      <c r="J114" s="50">
        <v>0</v>
      </c>
      <c r="K114" s="50">
        <v>0</v>
      </c>
      <c r="L114" s="50">
        <v>0</v>
      </c>
      <c r="M114" s="50">
        <v>0</v>
      </c>
      <c r="N114" s="50">
        <v>0</v>
      </c>
      <c r="O114" s="50">
        <v>0</v>
      </c>
      <c r="P114" s="50">
        <v>0</v>
      </c>
      <c r="Q114" s="50">
        <v>0</v>
      </c>
      <c r="R114" s="50">
        <v>0</v>
      </c>
      <c r="S114" s="50">
        <v>0</v>
      </c>
      <c r="T114" s="50">
        <v>0</v>
      </c>
      <c r="U114" s="50">
        <v>0</v>
      </c>
      <c r="V114" s="50">
        <v>0</v>
      </c>
    </row>
    <row r="115" spans="2:23" hidden="1">
      <c r="B115" t="s">
        <v>305</v>
      </c>
      <c r="C115" s="50">
        <v>7.1999999999999998E-3</v>
      </c>
      <c r="D115" s="60">
        <v>7.2500000000000004E-3</v>
      </c>
      <c r="E115" s="50">
        <v>0.92500000000000004</v>
      </c>
      <c r="F115" s="50">
        <v>0.02</v>
      </c>
      <c r="G115" s="50">
        <v>2.0199999999999999E-2</v>
      </c>
      <c r="H115" s="50">
        <v>0.02</v>
      </c>
      <c r="I115" s="50">
        <v>0.02</v>
      </c>
      <c r="J115" s="50">
        <f>Prozentuale_Aufteilung_Bundesstrommix[[#This Row],[2021]]</f>
        <v>0.02</v>
      </c>
      <c r="K115" s="50">
        <f>Prozentuale_Aufteilung_Bundesstrommix[[#This Row],[2022]]</f>
        <v>0.02</v>
      </c>
      <c r="L115" s="50">
        <f>Prozentuale_Aufteilung_Bundesstrommix[[#This Row],[2023]]</f>
        <v>0.02</v>
      </c>
      <c r="M115" s="50">
        <f>Prozentuale_Aufteilung_Bundesstrommix[[#This Row],[2024]]</f>
        <v>0.02</v>
      </c>
      <c r="N115" s="50">
        <f>Prozentuale_Aufteilung_Bundesstrommix[[#This Row],[2025]]</f>
        <v>0.02</v>
      </c>
      <c r="O115" s="50">
        <f>Prozentuale_Aufteilung_Bundesstrommix[[#This Row],[2025]]</f>
        <v>0.02</v>
      </c>
      <c r="P115" s="50">
        <f>Prozentuale_Aufteilung_Bundesstrommix[[#This Row],[2025]]</f>
        <v>0.02</v>
      </c>
      <c r="Q115" s="50">
        <f>Prozentuale_Aufteilung_Bundesstrommix[[#This Row],[2025]]</f>
        <v>0.02</v>
      </c>
      <c r="R115" s="50">
        <v>5.0000000000000001E-3</v>
      </c>
      <c r="S115" s="50">
        <f>Prozentuale_Aufteilung_Bundesstrommix[[#This Row],[2030]]</f>
        <v>5.0000000000000001E-3</v>
      </c>
      <c r="T115" s="50">
        <f>Prozentuale_Aufteilung_Bundesstrommix[[#This Row],[2035]]</f>
        <v>5.0000000000000001E-3</v>
      </c>
      <c r="U115" s="50">
        <f>Prozentuale_Aufteilung_Bundesstrommix[[#This Row],[2040]]</f>
        <v>5.0000000000000001E-3</v>
      </c>
      <c r="V115" s="50">
        <f>Prozentuale_Aufteilung_Bundesstrommix[[#This Row],[2045]]</f>
        <v>5.0000000000000001E-3</v>
      </c>
    </row>
    <row r="116" spans="2:23" hidden="1">
      <c r="B116" t="s">
        <v>306</v>
      </c>
      <c r="C116" s="50">
        <v>0</v>
      </c>
      <c r="D116" s="50">
        <v>0</v>
      </c>
      <c r="E116" s="50">
        <v>0</v>
      </c>
      <c r="F116" s="50">
        <v>0</v>
      </c>
      <c r="G116" s="50">
        <v>0</v>
      </c>
      <c r="H116" s="50">
        <v>1.4999999999999999E-2</v>
      </c>
      <c r="I116" s="50">
        <v>1.4999999999999999E-2</v>
      </c>
      <c r="J116" s="50">
        <f>Prozentuale_Aufteilung_Bundesstrommix[[#This Row],[2021]]</f>
        <v>1.4999999999999999E-2</v>
      </c>
      <c r="K116" s="50">
        <f>Prozentuale_Aufteilung_Bundesstrommix[[#This Row],[2022]]</f>
        <v>1.4999999999999999E-2</v>
      </c>
      <c r="L116" s="50">
        <f>Prozentuale_Aufteilung_Bundesstrommix[[#This Row],[2023]]</f>
        <v>1.4999999999999999E-2</v>
      </c>
      <c r="M116" s="50">
        <f>Prozentuale_Aufteilung_Bundesstrommix[[#This Row],[2024]]</f>
        <v>1.4999999999999999E-2</v>
      </c>
      <c r="N116" s="50">
        <f>Prozentuale_Aufteilung_Bundesstrommix[[#This Row],[2025]]</f>
        <v>1.4999999999999999E-2</v>
      </c>
      <c r="O116" s="50">
        <f>Prozentuale_Aufteilung_Bundesstrommix[[#This Row],[2025]]</f>
        <v>1.4999999999999999E-2</v>
      </c>
      <c r="P116" s="50">
        <f>Prozentuale_Aufteilung_Bundesstrommix[[#This Row],[2025]]</f>
        <v>1.4999999999999999E-2</v>
      </c>
      <c r="Q116" s="50">
        <f>Prozentuale_Aufteilung_Bundesstrommix[[#This Row],[2025]]</f>
        <v>1.4999999999999999E-2</v>
      </c>
      <c r="R116" s="50">
        <v>8.2100000000000003E-3</v>
      </c>
      <c r="S116" s="50">
        <f>Prozentuale_Aufteilung_Bundesstrommix[[#This Row],[2030]]</f>
        <v>8.2100000000000003E-3</v>
      </c>
      <c r="T116" s="50">
        <f>Prozentuale_Aufteilung_Bundesstrommix[[#This Row],[2035]]</f>
        <v>8.2100000000000003E-3</v>
      </c>
      <c r="U116" s="50">
        <f>Prozentuale_Aufteilung_Bundesstrommix[[#This Row],[2040]]</f>
        <v>8.2100000000000003E-3</v>
      </c>
      <c r="V116" s="50">
        <f>Prozentuale_Aufteilung_Bundesstrommix[[#This Row],[2045]]</f>
        <v>8.2100000000000003E-3</v>
      </c>
    </row>
    <row r="117" spans="2:23" hidden="1"/>
    <row r="118" spans="2:23" hidden="1">
      <c r="B118" s="1" t="s">
        <v>307</v>
      </c>
    </row>
    <row r="119" spans="2:23" hidden="1">
      <c r="B119" t="s">
        <v>308</v>
      </c>
    </row>
    <row r="120" spans="2:23" hidden="1">
      <c r="B120" t="s">
        <v>309</v>
      </c>
      <c r="C120" s="9" t="s">
        <v>3</v>
      </c>
      <c r="D120" s="9" t="s">
        <v>4</v>
      </c>
      <c r="E120" s="9" t="s">
        <v>5</v>
      </c>
      <c r="F120" s="9" t="s">
        <v>6</v>
      </c>
      <c r="G120" s="9" t="s">
        <v>7</v>
      </c>
      <c r="H120" s="9" t="s">
        <v>8</v>
      </c>
      <c r="I120" s="9" t="s">
        <v>9</v>
      </c>
      <c r="J120" s="10" t="s">
        <v>10</v>
      </c>
      <c r="K120" s="10" t="s">
        <v>11</v>
      </c>
      <c r="L120" s="10" t="s">
        <v>12</v>
      </c>
      <c r="M120" s="10" t="s">
        <v>13</v>
      </c>
      <c r="N120" s="10" t="s">
        <v>14</v>
      </c>
      <c r="O120" s="10" t="s">
        <v>216</v>
      </c>
      <c r="P120" s="10" t="s">
        <v>217</v>
      </c>
      <c r="Q120" s="10" t="s">
        <v>218</v>
      </c>
      <c r="R120" s="10" t="s">
        <v>15</v>
      </c>
      <c r="S120" s="10" t="s">
        <v>16</v>
      </c>
      <c r="T120" s="10" t="s">
        <v>17</v>
      </c>
      <c r="U120" s="10" t="s">
        <v>18</v>
      </c>
      <c r="V120" s="10" t="s">
        <v>19</v>
      </c>
      <c r="W120" s="53" t="s">
        <v>310</v>
      </c>
    </row>
    <row r="121" spans="2:23" hidden="1">
      <c r="B121" t="s">
        <v>291</v>
      </c>
      <c r="C121" s="9">
        <v>228583</v>
      </c>
      <c r="D121" s="9">
        <f>EF_Bundesstrommix_Gemis[[#This Row],[2015]]</f>
        <v>228583</v>
      </c>
      <c r="E121" s="9">
        <f>EF_Bundesstrommix_Gemis[[#This Row],[2016]]</f>
        <v>228583</v>
      </c>
      <c r="F121" s="9">
        <f>EF_Bundesstrommix_Gemis[[#This Row],[2017]]</f>
        <v>228583</v>
      </c>
      <c r="G121" s="9">
        <f>EF_Bundesstrommix_Gemis[[#This Row],[2018]]</f>
        <v>228583</v>
      </c>
      <c r="H121" s="9">
        <f>EF_Bundesstrommix_Gemis[[#This Row],[2019]]</f>
        <v>228583</v>
      </c>
      <c r="I121" s="9">
        <f>EF_Bundesstrommix_Gemis[[#This Row],[2020]]</f>
        <v>228583</v>
      </c>
      <c r="J121" s="9">
        <f>EF_Bundesstrommix_Gemis[[#This Row],[2021]]</f>
        <v>228583</v>
      </c>
      <c r="K121" s="9">
        <f>EF_Bundesstrommix_Gemis[[#This Row],[2022]]</f>
        <v>228583</v>
      </c>
      <c r="L121" s="9">
        <f>EF_Bundesstrommix_Gemis[[#This Row],[2023]]</f>
        <v>228583</v>
      </c>
      <c r="M121" s="9">
        <f>EF_Bundesstrommix_Gemis[[#This Row],[2024]]</f>
        <v>228583</v>
      </c>
      <c r="N121" s="9">
        <f>EF_Bundesstrommix_Gemis[[#This Row],[2025]]</f>
        <v>228583</v>
      </c>
      <c r="O121" s="9">
        <f>EF_Bundesstrommix_Gemis[[#This Row],[2025]]</f>
        <v>228583</v>
      </c>
      <c r="P121" s="9">
        <f>EF_Bundesstrommix_Gemis[[#This Row],[2025]]</f>
        <v>228583</v>
      </c>
      <c r="Q121" s="9">
        <f>EF_Bundesstrommix_Gemis[[#This Row],[2025]]</f>
        <v>228583</v>
      </c>
      <c r="R121" s="9">
        <f>EF_Bundesstrommix_Gemis[[#This Row],[2026]]</f>
        <v>228583</v>
      </c>
      <c r="S121" s="9">
        <f>EF_Bundesstrommix_Gemis[[#This Row],[2030]]</f>
        <v>228583</v>
      </c>
      <c r="T121" s="9">
        <f>EF_Bundesstrommix_Gemis[[#This Row],[2035]]</f>
        <v>228583</v>
      </c>
      <c r="U121" s="9">
        <f>EF_Bundesstrommix_Gemis[[#This Row],[2040]]</f>
        <v>228583</v>
      </c>
      <c r="V121" s="9">
        <f>EF_Bundesstrommix_Gemis[[#This Row],[2045]]</f>
        <v>228583</v>
      </c>
      <c r="W121" s="55"/>
    </row>
    <row r="122" spans="2:23" hidden="1">
      <c r="B122" t="s">
        <v>292</v>
      </c>
      <c r="C122" s="9">
        <v>209337</v>
      </c>
      <c r="D122" s="9">
        <f>EF_Bundesstrommix_Gemis[[#This Row],[2015]]</f>
        <v>209337</v>
      </c>
      <c r="E122" s="9">
        <f>EF_Bundesstrommix_Gemis[[#This Row],[2016]]</f>
        <v>209337</v>
      </c>
      <c r="F122" s="9">
        <f>EF_Bundesstrommix_Gemis[[#This Row],[2017]]</f>
        <v>209337</v>
      </c>
      <c r="G122" s="9">
        <f>EF_Bundesstrommix_Gemis[[#This Row],[2018]]</f>
        <v>209337</v>
      </c>
      <c r="H122" s="9">
        <f>EF_Bundesstrommix_Gemis[[#This Row],[2019]]</f>
        <v>209337</v>
      </c>
      <c r="I122" s="9">
        <f>EF_Bundesstrommix_Gemis[[#This Row],[2020]]</f>
        <v>209337</v>
      </c>
      <c r="J122" s="9">
        <f>EF_Bundesstrommix_Gemis[[#This Row],[2021]]</f>
        <v>209337</v>
      </c>
      <c r="K122" s="9">
        <f>EF_Bundesstrommix_Gemis[[#This Row],[2022]]</f>
        <v>209337</v>
      </c>
      <c r="L122" s="9">
        <f>EF_Bundesstrommix_Gemis[[#This Row],[2023]]</f>
        <v>209337</v>
      </c>
      <c r="M122" s="9">
        <f>EF_Bundesstrommix_Gemis[[#This Row],[2024]]</f>
        <v>209337</v>
      </c>
      <c r="N122" s="9">
        <f>EF_Bundesstrommix_Gemis[[#This Row],[2025]]</f>
        <v>209337</v>
      </c>
      <c r="O122" s="9">
        <f>EF_Bundesstrommix_Gemis[[#This Row],[2025]]</f>
        <v>209337</v>
      </c>
      <c r="P122" s="9">
        <f>EF_Bundesstrommix_Gemis[[#This Row],[2025]]</f>
        <v>209337</v>
      </c>
      <c r="Q122" s="9">
        <f>EF_Bundesstrommix_Gemis[[#This Row],[2025]]</f>
        <v>209337</v>
      </c>
      <c r="R122" s="9">
        <f>EF_Bundesstrommix_Gemis[[#This Row],[2026]]</f>
        <v>209337</v>
      </c>
      <c r="S122" s="9">
        <f>EF_Bundesstrommix_Gemis[[#This Row],[2030]]</f>
        <v>209337</v>
      </c>
      <c r="T122" s="9">
        <f>EF_Bundesstrommix_Gemis[[#This Row],[2035]]</f>
        <v>209337</v>
      </c>
      <c r="U122" s="9">
        <f>EF_Bundesstrommix_Gemis[[#This Row],[2040]]</f>
        <v>209337</v>
      </c>
      <c r="V122" s="9">
        <f>EF_Bundesstrommix_Gemis[[#This Row],[2045]]</f>
        <v>209337</v>
      </c>
      <c r="W122" s="55"/>
    </row>
    <row r="123" spans="2:23" hidden="1">
      <c r="B123" t="s">
        <v>293</v>
      </c>
      <c r="C123" s="9">
        <v>262549</v>
      </c>
      <c r="D123" s="9">
        <f>EF_Bundesstrommix_Gemis[[#This Row],[2015]]</f>
        <v>262549</v>
      </c>
      <c r="E123" s="9">
        <f>EF_Bundesstrommix_Gemis[[#This Row],[2016]]</f>
        <v>262549</v>
      </c>
      <c r="F123" s="9">
        <f>EF_Bundesstrommix_Gemis[[#This Row],[2017]]</f>
        <v>262549</v>
      </c>
      <c r="G123" s="9">
        <f>EF_Bundesstrommix_Gemis[[#This Row],[2018]]</f>
        <v>262549</v>
      </c>
      <c r="H123" s="9">
        <f>EF_Bundesstrommix_Gemis[[#This Row],[2019]]</f>
        <v>262549</v>
      </c>
      <c r="I123" s="9">
        <f>EF_Bundesstrommix_Gemis[[#This Row],[2020]]</f>
        <v>262549</v>
      </c>
      <c r="J123" s="9">
        <f>EF_Bundesstrommix_Gemis[[#This Row],[2021]]</f>
        <v>262549</v>
      </c>
      <c r="K123" s="9">
        <f>EF_Bundesstrommix_Gemis[[#This Row],[2022]]</f>
        <v>262549</v>
      </c>
      <c r="L123" s="9">
        <f>EF_Bundesstrommix_Gemis[[#This Row],[2023]]</f>
        <v>262549</v>
      </c>
      <c r="M123" s="9">
        <f>EF_Bundesstrommix_Gemis[[#This Row],[2024]]</f>
        <v>262549</v>
      </c>
      <c r="N123" s="9">
        <f>EF_Bundesstrommix_Gemis[[#This Row],[2025]]</f>
        <v>262549</v>
      </c>
      <c r="O123" s="9">
        <f>EF_Bundesstrommix_Gemis[[#This Row],[2025]]</f>
        <v>262549</v>
      </c>
      <c r="P123" s="9">
        <f>EF_Bundesstrommix_Gemis[[#This Row],[2025]]</f>
        <v>262549</v>
      </c>
      <c r="Q123" s="9">
        <f>EF_Bundesstrommix_Gemis[[#This Row],[2025]]</f>
        <v>262549</v>
      </c>
      <c r="R123" s="9">
        <f>EF_Bundesstrommix_Gemis[[#This Row],[2026]]</f>
        <v>262549</v>
      </c>
      <c r="S123" s="9">
        <f>EF_Bundesstrommix_Gemis[[#This Row],[2030]]</f>
        <v>262549</v>
      </c>
      <c r="T123" s="9">
        <f>EF_Bundesstrommix_Gemis[[#This Row],[2035]]</f>
        <v>262549</v>
      </c>
      <c r="U123" s="9">
        <f>EF_Bundesstrommix_Gemis[[#This Row],[2040]]</f>
        <v>262549</v>
      </c>
      <c r="V123" s="9">
        <f>EF_Bundesstrommix_Gemis[[#This Row],[2045]]</f>
        <v>262549</v>
      </c>
      <c r="W123" s="55"/>
    </row>
    <row r="124" spans="2:23" hidden="1">
      <c r="B124" t="s">
        <v>294</v>
      </c>
      <c r="C124">
        <v>215352</v>
      </c>
      <c r="D124" s="9">
        <f>EF_Bundesstrommix_Gemis[[#This Row],[2015]]</f>
        <v>215352</v>
      </c>
      <c r="E124" s="9">
        <f>EF_Bundesstrommix_Gemis[[#This Row],[2016]]</f>
        <v>215352</v>
      </c>
      <c r="F124" s="9">
        <f>EF_Bundesstrommix_Gemis[[#This Row],[2017]]</f>
        <v>215352</v>
      </c>
      <c r="G124" s="9">
        <f>EF_Bundesstrommix_Gemis[[#This Row],[2018]]</f>
        <v>215352</v>
      </c>
      <c r="H124" s="9">
        <f>EF_Bundesstrommix_Gemis[[#This Row],[2019]]</f>
        <v>215352</v>
      </c>
      <c r="I124" s="9">
        <f>EF_Bundesstrommix_Gemis[[#This Row],[2020]]</f>
        <v>215352</v>
      </c>
      <c r="J124" s="9">
        <f>EF_Bundesstrommix_Gemis[[#This Row],[2021]]</f>
        <v>215352</v>
      </c>
      <c r="K124" s="9">
        <f>EF_Bundesstrommix_Gemis[[#This Row],[2022]]</f>
        <v>215352</v>
      </c>
      <c r="L124" s="9">
        <f>EF_Bundesstrommix_Gemis[[#This Row],[2023]]</f>
        <v>215352</v>
      </c>
      <c r="M124" s="9">
        <f>EF_Bundesstrommix_Gemis[[#This Row],[2024]]</f>
        <v>215352</v>
      </c>
      <c r="N124" s="9">
        <f>EF_Bundesstrommix_Gemis[[#This Row],[2025]]</f>
        <v>215352</v>
      </c>
      <c r="O124" s="9">
        <f>EF_Bundesstrommix_Gemis[[#This Row],[2025]]</f>
        <v>215352</v>
      </c>
      <c r="P124" s="9">
        <f>EF_Bundesstrommix_Gemis[[#This Row],[2025]]</f>
        <v>215352</v>
      </c>
      <c r="Q124" s="9">
        <f>EF_Bundesstrommix_Gemis[[#This Row],[2025]]</f>
        <v>215352</v>
      </c>
      <c r="R124" s="9">
        <f>EF_Bundesstrommix_Gemis[[#This Row],[2026]]</f>
        <v>215352</v>
      </c>
      <c r="S124" s="9">
        <f>EF_Bundesstrommix_Gemis[[#This Row],[2030]]</f>
        <v>215352</v>
      </c>
      <c r="T124" s="9">
        <f>EF_Bundesstrommix_Gemis[[#This Row],[2035]]</f>
        <v>215352</v>
      </c>
      <c r="U124" s="9">
        <f>EF_Bundesstrommix_Gemis[[#This Row],[2040]]</f>
        <v>215352</v>
      </c>
      <c r="V124" s="9">
        <f>EF_Bundesstrommix_Gemis[[#This Row],[2045]]</f>
        <v>215352</v>
      </c>
      <c r="W124" s="55" t="s">
        <v>282</v>
      </c>
    </row>
    <row r="125" spans="2:23" hidden="1">
      <c r="B125" t="s">
        <v>295</v>
      </c>
      <c r="C125">
        <v>302880</v>
      </c>
      <c r="D125" s="9">
        <f>EF_Bundesstrommix_Gemis[[#This Row],[2015]]</f>
        <v>302880</v>
      </c>
      <c r="E125" s="9">
        <f>EF_Bundesstrommix_Gemis[[#This Row],[2016]]</f>
        <v>302880</v>
      </c>
      <c r="F125" s="9">
        <f>EF_Bundesstrommix_Gemis[[#This Row],[2017]]</f>
        <v>302880</v>
      </c>
      <c r="G125" s="9">
        <f>EF_Bundesstrommix_Gemis[[#This Row],[2018]]</f>
        <v>302880</v>
      </c>
      <c r="H125" s="9">
        <f>EF_Bundesstrommix_Gemis[[#This Row],[2019]]</f>
        <v>302880</v>
      </c>
      <c r="I125" s="9">
        <f>EF_Bundesstrommix_Gemis[[#This Row],[2020]]</f>
        <v>302880</v>
      </c>
      <c r="J125" s="9">
        <f>EF_Bundesstrommix_Gemis[[#This Row],[2021]]</f>
        <v>302880</v>
      </c>
      <c r="K125" s="9">
        <f>EF_Bundesstrommix_Gemis[[#This Row],[2022]]</f>
        <v>302880</v>
      </c>
      <c r="L125" s="9">
        <f>EF_Bundesstrommix_Gemis[[#This Row],[2023]]</f>
        <v>302880</v>
      </c>
      <c r="M125" s="9">
        <f>EF_Bundesstrommix_Gemis[[#This Row],[2024]]</f>
        <v>302880</v>
      </c>
      <c r="N125" s="9">
        <f>EF_Bundesstrommix_Gemis[[#This Row],[2025]]</f>
        <v>302880</v>
      </c>
      <c r="O125" s="9">
        <f>EF_Bundesstrommix_Gemis[[#This Row],[2025]]</f>
        <v>302880</v>
      </c>
      <c r="P125" s="9">
        <f>EF_Bundesstrommix_Gemis[[#This Row],[2025]]</f>
        <v>302880</v>
      </c>
      <c r="Q125" s="9">
        <f>EF_Bundesstrommix_Gemis[[#This Row],[2025]]</f>
        <v>302880</v>
      </c>
      <c r="R125" s="9">
        <f>EF_Bundesstrommix_Gemis[[#This Row],[2026]]</f>
        <v>302880</v>
      </c>
      <c r="S125" s="9">
        <f>EF_Bundesstrommix_Gemis[[#This Row],[2030]]</f>
        <v>302880</v>
      </c>
      <c r="T125" s="9">
        <f>EF_Bundesstrommix_Gemis[[#This Row],[2035]]</f>
        <v>302880</v>
      </c>
      <c r="U125" s="9">
        <f>EF_Bundesstrommix_Gemis[[#This Row],[2040]]</f>
        <v>302880</v>
      </c>
      <c r="V125" s="9">
        <f>EF_Bundesstrommix_Gemis[[#This Row],[2045]]</f>
        <v>302880</v>
      </c>
      <c r="W125" s="55"/>
    </row>
    <row r="126" spans="2:23" hidden="1">
      <c r="B126" t="s">
        <v>296</v>
      </c>
      <c r="C126">
        <v>271448</v>
      </c>
      <c r="D126" s="9">
        <f>EF_Bundesstrommix_Gemis[[#This Row],[2015]]</f>
        <v>271448</v>
      </c>
      <c r="E126" s="9">
        <f>EF_Bundesstrommix_Gemis[[#This Row],[2016]]</f>
        <v>271448</v>
      </c>
      <c r="F126" s="9">
        <f>EF_Bundesstrommix_Gemis[[#This Row],[2017]]</f>
        <v>271448</v>
      </c>
      <c r="G126" s="9">
        <f>EF_Bundesstrommix_Gemis[[#This Row],[2018]]</f>
        <v>271448</v>
      </c>
      <c r="H126" s="9">
        <f>EF_Bundesstrommix_Gemis[[#This Row],[2019]]</f>
        <v>271448</v>
      </c>
      <c r="I126" s="9">
        <f>EF_Bundesstrommix_Gemis[[#This Row],[2020]]</f>
        <v>271448</v>
      </c>
      <c r="J126" s="9">
        <f>EF_Bundesstrommix_Gemis[[#This Row],[2021]]</f>
        <v>271448</v>
      </c>
      <c r="K126" s="9">
        <f>EF_Bundesstrommix_Gemis[[#This Row],[2022]]</f>
        <v>271448</v>
      </c>
      <c r="L126" s="9">
        <f>EF_Bundesstrommix_Gemis[[#This Row],[2023]]</f>
        <v>271448</v>
      </c>
      <c r="M126" s="9">
        <f>EF_Bundesstrommix_Gemis[[#This Row],[2024]]</f>
        <v>271448</v>
      </c>
      <c r="N126" s="9">
        <f>EF_Bundesstrommix_Gemis[[#This Row],[2025]]</f>
        <v>271448</v>
      </c>
      <c r="O126" s="9">
        <f>EF_Bundesstrommix_Gemis[[#This Row],[2025]]</f>
        <v>271448</v>
      </c>
      <c r="P126" s="9">
        <f>EF_Bundesstrommix_Gemis[[#This Row],[2025]]</f>
        <v>271448</v>
      </c>
      <c r="Q126" s="9">
        <f>EF_Bundesstrommix_Gemis[[#This Row],[2025]]</f>
        <v>271448</v>
      </c>
      <c r="R126" s="9">
        <f>EF_Bundesstrommix_Gemis[[#This Row],[2026]]</f>
        <v>271448</v>
      </c>
      <c r="S126" s="9">
        <f>EF_Bundesstrommix_Gemis[[#This Row],[2030]]</f>
        <v>271448</v>
      </c>
      <c r="T126" s="9">
        <f>EF_Bundesstrommix_Gemis[[#This Row],[2035]]</f>
        <v>271448</v>
      </c>
      <c r="U126" s="9">
        <f>EF_Bundesstrommix_Gemis[[#This Row],[2040]]</f>
        <v>271448</v>
      </c>
      <c r="V126" s="9">
        <f>EF_Bundesstrommix_Gemis[[#This Row],[2045]]</f>
        <v>271448</v>
      </c>
      <c r="W126" s="57" t="s">
        <v>282</v>
      </c>
    </row>
    <row r="127" spans="2:23" hidden="1">
      <c r="B127" t="s">
        <v>297</v>
      </c>
      <c r="C127">
        <v>299834</v>
      </c>
      <c r="D127" s="9">
        <f>EF_Bundesstrommix_Gemis[[#This Row],[2015]]</f>
        <v>299834</v>
      </c>
      <c r="E127" s="9">
        <f>EF_Bundesstrommix_Gemis[[#This Row],[2016]]</f>
        <v>299834</v>
      </c>
      <c r="F127" s="9">
        <f>EF_Bundesstrommix_Gemis[[#This Row],[2017]]</f>
        <v>299834</v>
      </c>
      <c r="G127" s="9">
        <f>EF_Bundesstrommix_Gemis[[#This Row],[2018]]</f>
        <v>299834</v>
      </c>
      <c r="H127" s="9">
        <f>EF_Bundesstrommix_Gemis[[#This Row],[2019]]</f>
        <v>299834</v>
      </c>
      <c r="I127" s="9">
        <f>EF_Bundesstrommix_Gemis[[#This Row],[2020]]</f>
        <v>299834</v>
      </c>
      <c r="J127" s="9">
        <f>EF_Bundesstrommix_Gemis[[#This Row],[2021]]</f>
        <v>299834</v>
      </c>
      <c r="K127" s="9">
        <f>EF_Bundesstrommix_Gemis[[#This Row],[2022]]</f>
        <v>299834</v>
      </c>
      <c r="L127" s="9">
        <f>EF_Bundesstrommix_Gemis[[#This Row],[2023]]</f>
        <v>299834</v>
      </c>
      <c r="M127" s="9">
        <f>EF_Bundesstrommix_Gemis[[#This Row],[2024]]</f>
        <v>299834</v>
      </c>
      <c r="N127" s="9">
        <f>EF_Bundesstrommix_Gemis[[#This Row],[2025]]</f>
        <v>299834</v>
      </c>
      <c r="O127" s="9">
        <f>EF_Bundesstrommix_Gemis[[#This Row],[2025]]</f>
        <v>299834</v>
      </c>
      <c r="P127" s="9">
        <f>EF_Bundesstrommix_Gemis[[#This Row],[2025]]</f>
        <v>299834</v>
      </c>
      <c r="Q127" s="9">
        <f>EF_Bundesstrommix_Gemis[[#This Row],[2025]]</f>
        <v>299834</v>
      </c>
      <c r="R127" s="9">
        <f>EF_Bundesstrommix_Gemis[[#This Row],[2026]]</f>
        <v>299834</v>
      </c>
      <c r="S127" s="9">
        <f>EF_Bundesstrommix_Gemis[[#This Row],[2030]]</f>
        <v>299834</v>
      </c>
      <c r="T127" s="9">
        <f>EF_Bundesstrommix_Gemis[[#This Row],[2035]]</f>
        <v>299834</v>
      </c>
      <c r="U127" s="9">
        <f>EF_Bundesstrommix_Gemis[[#This Row],[2040]]</f>
        <v>299834</v>
      </c>
      <c r="V127" s="9">
        <f>EF_Bundesstrommix_Gemis[[#This Row],[2045]]</f>
        <v>299834</v>
      </c>
      <c r="W127" s="55"/>
    </row>
    <row r="128" spans="2:23" hidden="1">
      <c r="B128" t="s">
        <v>298</v>
      </c>
      <c r="C128">
        <v>268061</v>
      </c>
      <c r="D128" s="9">
        <f>EF_Bundesstrommix_Gemis[[#This Row],[2015]]</f>
        <v>268061</v>
      </c>
      <c r="E128" s="9">
        <f>EF_Bundesstrommix_Gemis[[#This Row],[2016]]</f>
        <v>268061</v>
      </c>
      <c r="F128" s="9">
        <f>EF_Bundesstrommix_Gemis[[#This Row],[2017]]</f>
        <v>268061</v>
      </c>
      <c r="G128" s="9">
        <f>EF_Bundesstrommix_Gemis[[#This Row],[2018]]</f>
        <v>268061</v>
      </c>
      <c r="H128" s="9">
        <f>EF_Bundesstrommix_Gemis[[#This Row],[2019]]</f>
        <v>268061</v>
      </c>
      <c r="I128" s="9">
        <f>EF_Bundesstrommix_Gemis[[#This Row],[2020]]</f>
        <v>268061</v>
      </c>
      <c r="J128" s="9">
        <f>EF_Bundesstrommix_Gemis[[#This Row],[2021]]</f>
        <v>268061</v>
      </c>
      <c r="K128" s="9">
        <f>EF_Bundesstrommix_Gemis[[#This Row],[2022]]</f>
        <v>268061</v>
      </c>
      <c r="L128" s="9">
        <f>EF_Bundesstrommix_Gemis[[#This Row],[2023]]</f>
        <v>268061</v>
      </c>
      <c r="M128" s="9">
        <f>EF_Bundesstrommix_Gemis[[#This Row],[2024]]</f>
        <v>268061</v>
      </c>
      <c r="N128" s="9">
        <f>EF_Bundesstrommix_Gemis[[#This Row],[2025]]</f>
        <v>268061</v>
      </c>
      <c r="O128" s="9">
        <f>EF_Bundesstrommix_Gemis[[#This Row],[2025]]</f>
        <v>268061</v>
      </c>
      <c r="P128" s="9">
        <f>EF_Bundesstrommix_Gemis[[#This Row],[2025]]</f>
        <v>268061</v>
      </c>
      <c r="Q128" s="9">
        <f>EF_Bundesstrommix_Gemis[[#This Row],[2025]]</f>
        <v>268061</v>
      </c>
      <c r="R128" s="9">
        <f>EF_Bundesstrommix_Gemis[[#This Row],[2026]]</f>
        <v>268061</v>
      </c>
      <c r="S128" s="9">
        <f>EF_Bundesstrommix_Gemis[[#This Row],[2030]]</f>
        <v>268061</v>
      </c>
      <c r="T128" s="9">
        <f>EF_Bundesstrommix_Gemis[[#This Row],[2035]]</f>
        <v>268061</v>
      </c>
      <c r="U128" s="9">
        <f>EF_Bundesstrommix_Gemis[[#This Row],[2040]]</f>
        <v>268061</v>
      </c>
      <c r="V128" s="9">
        <f>EF_Bundesstrommix_Gemis[[#This Row],[2045]]</f>
        <v>268061</v>
      </c>
      <c r="W128" s="55" t="s">
        <v>282</v>
      </c>
    </row>
    <row r="129" spans="2:23" hidden="1">
      <c r="B129" t="s">
        <v>299</v>
      </c>
      <c r="C129">
        <v>102127</v>
      </c>
      <c r="D129" s="9">
        <f>EF_Bundesstrommix_Gemis[[#This Row],[2015]]</f>
        <v>102127</v>
      </c>
      <c r="E129" s="9">
        <f>EF_Bundesstrommix_Gemis[[#This Row],[2016]]</f>
        <v>102127</v>
      </c>
      <c r="F129" s="9">
        <f>EF_Bundesstrommix_Gemis[[#This Row],[2017]]</f>
        <v>102127</v>
      </c>
      <c r="G129" s="9">
        <f>EF_Bundesstrommix_Gemis[[#This Row],[2018]]</f>
        <v>102127</v>
      </c>
      <c r="H129" s="9">
        <f>EF_Bundesstrommix_Gemis[[#This Row],[2019]]</f>
        <v>102127</v>
      </c>
      <c r="I129" s="9">
        <f>EF_Bundesstrommix_Gemis[[#This Row],[2020]]</f>
        <v>102127</v>
      </c>
      <c r="J129" s="9">
        <f>EF_Bundesstrommix_Gemis[[#This Row],[2021]]</f>
        <v>102127</v>
      </c>
      <c r="K129" s="9">
        <f>EF_Bundesstrommix_Gemis[[#This Row],[2022]]</f>
        <v>102127</v>
      </c>
      <c r="L129" s="9">
        <f>EF_Bundesstrommix_Gemis[[#This Row],[2023]]</f>
        <v>102127</v>
      </c>
      <c r="M129" s="9">
        <f>EF_Bundesstrommix_Gemis[[#This Row],[2024]]</f>
        <v>102127</v>
      </c>
      <c r="N129" s="9">
        <f>EF_Bundesstrommix_Gemis[[#This Row],[2025]]</f>
        <v>102127</v>
      </c>
      <c r="O129" s="9">
        <f>EF_Bundesstrommix_Gemis[[#This Row],[2025]]</f>
        <v>102127</v>
      </c>
      <c r="P129" s="9">
        <f>EF_Bundesstrommix_Gemis[[#This Row],[2025]]</f>
        <v>102127</v>
      </c>
      <c r="Q129" s="9">
        <f>EF_Bundesstrommix_Gemis[[#This Row],[2025]]</f>
        <v>102127</v>
      </c>
      <c r="R129" s="9">
        <f>EF_Bundesstrommix_Gemis[[#This Row],[2026]]</f>
        <v>102127</v>
      </c>
      <c r="S129" s="9">
        <f>EF_Bundesstrommix_Gemis[[#This Row],[2030]]</f>
        <v>102127</v>
      </c>
      <c r="T129" s="9">
        <f>EF_Bundesstrommix_Gemis[[#This Row],[2035]]</f>
        <v>102127</v>
      </c>
      <c r="U129" s="9">
        <f>EF_Bundesstrommix_Gemis[[#This Row],[2040]]</f>
        <v>102127</v>
      </c>
      <c r="V129" s="9">
        <f>EF_Bundesstrommix_Gemis[[#This Row],[2045]]</f>
        <v>102127</v>
      </c>
      <c r="W129" s="55"/>
    </row>
    <row r="130" spans="2:23" hidden="1">
      <c r="B130" t="s">
        <v>300</v>
      </c>
      <c r="C130">
        <v>96807.5</v>
      </c>
      <c r="D130" s="9">
        <f>EF_Bundesstrommix_Gemis[[#This Row],[2015]]</f>
        <v>96807.5</v>
      </c>
      <c r="E130" s="9">
        <f>EF_Bundesstrommix_Gemis[[#This Row],[2016]]</f>
        <v>96807.5</v>
      </c>
      <c r="F130" s="9">
        <f>EF_Bundesstrommix_Gemis[[#This Row],[2017]]</f>
        <v>96807.5</v>
      </c>
      <c r="G130" s="9">
        <f>EF_Bundesstrommix_Gemis[[#This Row],[2018]]</f>
        <v>96807.5</v>
      </c>
      <c r="H130" s="9">
        <f>EF_Bundesstrommix_Gemis[[#This Row],[2019]]</f>
        <v>96807.5</v>
      </c>
      <c r="I130" s="9">
        <f>EF_Bundesstrommix_Gemis[[#This Row],[2020]]</f>
        <v>96807.5</v>
      </c>
      <c r="J130" s="9">
        <f>EF_Bundesstrommix_Gemis[[#This Row],[2021]]</f>
        <v>96807.5</v>
      </c>
      <c r="K130" s="9">
        <f>EF_Bundesstrommix_Gemis[[#This Row],[2022]]</f>
        <v>96807.5</v>
      </c>
      <c r="L130" s="9">
        <f>EF_Bundesstrommix_Gemis[[#This Row],[2023]]</f>
        <v>96807.5</v>
      </c>
      <c r="M130" s="9">
        <f>EF_Bundesstrommix_Gemis[[#This Row],[2024]]</f>
        <v>96807.5</v>
      </c>
      <c r="N130" s="9">
        <f>EF_Bundesstrommix_Gemis[[#This Row],[2025]]</f>
        <v>96807.5</v>
      </c>
      <c r="O130" s="9">
        <f>EF_Bundesstrommix_Gemis[[#This Row],[2025]]</f>
        <v>96807.5</v>
      </c>
      <c r="P130" s="9">
        <f>EF_Bundesstrommix_Gemis[[#This Row],[2025]]</f>
        <v>96807.5</v>
      </c>
      <c r="Q130" s="9">
        <f>EF_Bundesstrommix_Gemis[[#This Row],[2025]]</f>
        <v>96807.5</v>
      </c>
      <c r="R130" s="9">
        <f>EF_Bundesstrommix_Gemis[[#This Row],[2026]]</f>
        <v>96807.5</v>
      </c>
      <c r="S130" s="9">
        <f>EF_Bundesstrommix_Gemis[[#This Row],[2030]]</f>
        <v>96807.5</v>
      </c>
      <c r="T130" s="9">
        <f>EF_Bundesstrommix_Gemis[[#This Row],[2035]]</f>
        <v>96807.5</v>
      </c>
      <c r="U130" s="9">
        <f>EF_Bundesstrommix_Gemis[[#This Row],[2040]]</f>
        <v>96807.5</v>
      </c>
      <c r="V130" s="9">
        <f>EF_Bundesstrommix_Gemis[[#This Row],[2045]]</f>
        <v>96807.5</v>
      </c>
      <c r="W130" s="57" t="s">
        <v>130</v>
      </c>
    </row>
    <row r="131" spans="2:23" hidden="1">
      <c r="B131" t="s">
        <v>301</v>
      </c>
      <c r="C131">
        <v>93967.8</v>
      </c>
      <c r="D131" s="9">
        <f>EF_Bundesstrommix_Gemis[[#This Row],[2015]]</f>
        <v>93967.8</v>
      </c>
      <c r="E131" s="9">
        <f>EF_Bundesstrommix_Gemis[[#This Row],[2016]]</f>
        <v>93967.8</v>
      </c>
      <c r="F131" s="9">
        <f>EF_Bundesstrommix_Gemis[[#This Row],[2017]]</f>
        <v>93967.8</v>
      </c>
      <c r="G131" s="9">
        <f>EF_Bundesstrommix_Gemis[[#This Row],[2018]]</f>
        <v>93967.8</v>
      </c>
      <c r="H131" s="9">
        <f>EF_Bundesstrommix_Gemis[[#This Row],[2019]]</f>
        <v>93967.8</v>
      </c>
      <c r="I131" s="9">
        <f>EF_Bundesstrommix_Gemis[[#This Row],[2020]]</f>
        <v>93967.8</v>
      </c>
      <c r="J131" s="9">
        <f>EF_Bundesstrommix_Gemis[[#This Row],[2021]]</f>
        <v>93967.8</v>
      </c>
      <c r="K131" s="9">
        <f>EF_Bundesstrommix_Gemis[[#This Row],[2022]]</f>
        <v>93967.8</v>
      </c>
      <c r="L131" s="9">
        <f>EF_Bundesstrommix_Gemis[[#This Row],[2023]]</f>
        <v>93967.8</v>
      </c>
      <c r="M131" s="9">
        <f>EF_Bundesstrommix_Gemis[[#This Row],[2024]]</f>
        <v>93967.8</v>
      </c>
      <c r="N131" s="9">
        <f>EF_Bundesstrommix_Gemis[[#This Row],[2025]]</f>
        <v>93967.8</v>
      </c>
      <c r="O131" s="9">
        <f>EF_Bundesstrommix_Gemis[[#This Row],[2025]]</f>
        <v>93967.8</v>
      </c>
      <c r="P131" s="9">
        <f>EF_Bundesstrommix_Gemis[[#This Row],[2025]]</f>
        <v>93967.8</v>
      </c>
      <c r="Q131" s="9">
        <f>EF_Bundesstrommix_Gemis[[#This Row],[2025]]</f>
        <v>93967.8</v>
      </c>
      <c r="R131" s="9">
        <f>EF_Bundesstrommix_Gemis[[#This Row],[2026]]</f>
        <v>93967.8</v>
      </c>
      <c r="S131" s="9">
        <f>EF_Bundesstrommix_Gemis[[#This Row],[2030]]</f>
        <v>93967.8</v>
      </c>
      <c r="T131" s="9">
        <f>EF_Bundesstrommix_Gemis[[#This Row],[2035]]</f>
        <v>93967.8</v>
      </c>
      <c r="U131" s="9">
        <f>EF_Bundesstrommix_Gemis[[#This Row],[2040]]</f>
        <v>93967.8</v>
      </c>
      <c r="V131" s="9">
        <f>EF_Bundesstrommix_Gemis[[#This Row],[2045]]</f>
        <v>93967.8</v>
      </c>
      <c r="W131" s="55" t="s">
        <v>130</v>
      </c>
    </row>
    <row r="132" spans="2:23" hidden="1">
      <c r="B132" t="s">
        <v>302</v>
      </c>
      <c r="C132">
        <v>310605</v>
      </c>
      <c r="D132" s="9">
        <f>EF_Bundesstrommix_Gemis[[#This Row],[2015]]</f>
        <v>310605</v>
      </c>
      <c r="E132" s="9">
        <f>EF_Bundesstrommix_Gemis[[#This Row],[2016]]</f>
        <v>310605</v>
      </c>
      <c r="F132" s="9">
        <f>EF_Bundesstrommix_Gemis[[#This Row],[2017]]</f>
        <v>310605</v>
      </c>
      <c r="G132" s="9">
        <f>EF_Bundesstrommix_Gemis[[#This Row],[2018]]</f>
        <v>310605</v>
      </c>
      <c r="H132" s="9">
        <f>EF_Bundesstrommix_Gemis[[#This Row],[2019]]</f>
        <v>310605</v>
      </c>
      <c r="I132" s="9">
        <f>EF_Bundesstrommix_Gemis[[#This Row],[2020]]</f>
        <v>310605</v>
      </c>
      <c r="J132" s="9">
        <f>EF_Bundesstrommix_Gemis[[#This Row],[2021]]</f>
        <v>310605</v>
      </c>
      <c r="K132" s="9">
        <f>EF_Bundesstrommix_Gemis[[#This Row],[2022]]</f>
        <v>310605</v>
      </c>
      <c r="L132" s="9">
        <f>EF_Bundesstrommix_Gemis[[#This Row],[2023]]</f>
        <v>310605</v>
      </c>
      <c r="M132" s="9">
        <f>EF_Bundesstrommix_Gemis[[#This Row],[2024]]</f>
        <v>310605</v>
      </c>
      <c r="N132" s="9">
        <f>EF_Bundesstrommix_Gemis[[#This Row],[2025]]</f>
        <v>310605</v>
      </c>
      <c r="O132" s="9">
        <f>EF_Bundesstrommix_Gemis[[#This Row],[2025]]</f>
        <v>310605</v>
      </c>
      <c r="P132" s="9">
        <f>EF_Bundesstrommix_Gemis[[#This Row],[2025]]</f>
        <v>310605</v>
      </c>
      <c r="Q132" s="9">
        <f>EF_Bundesstrommix_Gemis[[#This Row],[2025]]</f>
        <v>310605</v>
      </c>
      <c r="R132" s="9">
        <f>EF_Bundesstrommix_Gemis[[#This Row],[2026]]</f>
        <v>310605</v>
      </c>
      <c r="S132" s="9">
        <f>EF_Bundesstrommix_Gemis[[#This Row],[2030]]</f>
        <v>310605</v>
      </c>
      <c r="T132" s="9">
        <f>EF_Bundesstrommix_Gemis[[#This Row],[2035]]</f>
        <v>310605</v>
      </c>
      <c r="U132" s="9">
        <f>EF_Bundesstrommix_Gemis[[#This Row],[2040]]</f>
        <v>310605</v>
      </c>
      <c r="V132" s="9">
        <f>EF_Bundesstrommix_Gemis[[#This Row],[2045]]</f>
        <v>310605</v>
      </c>
      <c r="W132" s="57" t="s">
        <v>283</v>
      </c>
    </row>
    <row r="133" spans="2:23" hidden="1">
      <c r="B133" t="s">
        <v>303</v>
      </c>
      <c r="C133">
        <v>191106</v>
      </c>
      <c r="D133" s="9">
        <f>EF_Bundesstrommix_Gemis[[#This Row],[2015]]</f>
        <v>191106</v>
      </c>
      <c r="E133" s="9">
        <f>EF_Bundesstrommix_Gemis[[#This Row],[2016]]</f>
        <v>191106</v>
      </c>
      <c r="F133" s="9">
        <f>EF_Bundesstrommix_Gemis[[#This Row],[2017]]</f>
        <v>191106</v>
      </c>
      <c r="G133" s="9">
        <f>EF_Bundesstrommix_Gemis[[#This Row],[2018]]</f>
        <v>191106</v>
      </c>
      <c r="H133" s="9">
        <f>EF_Bundesstrommix_Gemis[[#This Row],[2019]]</f>
        <v>191106</v>
      </c>
      <c r="I133" s="9">
        <f>EF_Bundesstrommix_Gemis[[#This Row],[2020]]</f>
        <v>191106</v>
      </c>
      <c r="J133" s="9">
        <f>EF_Bundesstrommix_Gemis[[#This Row],[2021]]</f>
        <v>191106</v>
      </c>
      <c r="K133" s="9">
        <f>EF_Bundesstrommix_Gemis[[#This Row],[2022]]</f>
        <v>191106</v>
      </c>
      <c r="L133" s="9">
        <f>EF_Bundesstrommix_Gemis[[#This Row],[2023]]</f>
        <v>191106</v>
      </c>
      <c r="M133" s="9">
        <f>EF_Bundesstrommix_Gemis[[#This Row],[2024]]</f>
        <v>191106</v>
      </c>
      <c r="N133" s="9">
        <f>EF_Bundesstrommix_Gemis[[#This Row],[2025]]</f>
        <v>191106</v>
      </c>
      <c r="O133" s="9">
        <f>EF_Bundesstrommix_Gemis[[#This Row],[2025]]</f>
        <v>191106</v>
      </c>
      <c r="P133" s="9">
        <f>EF_Bundesstrommix_Gemis[[#This Row],[2025]]</f>
        <v>191106</v>
      </c>
      <c r="Q133" s="9">
        <f>EF_Bundesstrommix_Gemis[[#This Row],[2025]]</f>
        <v>191106</v>
      </c>
      <c r="R133" s="9">
        <f>EF_Bundesstrommix_Gemis[[#This Row],[2026]]</f>
        <v>191106</v>
      </c>
      <c r="S133" s="9">
        <f>EF_Bundesstrommix_Gemis[[#This Row],[2030]]</f>
        <v>191106</v>
      </c>
      <c r="T133" s="9">
        <f>EF_Bundesstrommix_Gemis[[#This Row],[2035]]</f>
        <v>191106</v>
      </c>
      <c r="U133" s="9">
        <f>EF_Bundesstrommix_Gemis[[#This Row],[2040]]</f>
        <v>191106</v>
      </c>
      <c r="V133" s="9">
        <f>EF_Bundesstrommix_Gemis[[#This Row],[2045]]</f>
        <v>191106</v>
      </c>
      <c r="W133" s="55" t="s">
        <v>283</v>
      </c>
    </row>
    <row r="134" spans="2:23" hidden="1">
      <c r="B134" t="s">
        <v>304</v>
      </c>
      <c r="C134">
        <v>382322</v>
      </c>
      <c r="D134" s="9">
        <f>EF_Bundesstrommix_Gemis[[#This Row],[2015]]</f>
        <v>382322</v>
      </c>
      <c r="E134" s="9">
        <f>EF_Bundesstrommix_Gemis[[#This Row],[2016]]</f>
        <v>382322</v>
      </c>
      <c r="F134" s="9">
        <f>EF_Bundesstrommix_Gemis[[#This Row],[2017]]</f>
        <v>382322</v>
      </c>
      <c r="G134" s="9">
        <f>EF_Bundesstrommix_Gemis[[#This Row],[2018]]</f>
        <v>382322</v>
      </c>
      <c r="H134" s="9">
        <f>EF_Bundesstrommix_Gemis[[#This Row],[2019]]</f>
        <v>382322</v>
      </c>
      <c r="I134" s="9">
        <f>EF_Bundesstrommix_Gemis[[#This Row],[2020]]</f>
        <v>382322</v>
      </c>
      <c r="J134" s="9">
        <f>EF_Bundesstrommix_Gemis[[#This Row],[2021]]</f>
        <v>382322</v>
      </c>
      <c r="K134" s="9">
        <f>EF_Bundesstrommix_Gemis[[#This Row],[2022]]</f>
        <v>382322</v>
      </c>
      <c r="L134" s="9">
        <f>EF_Bundesstrommix_Gemis[[#This Row],[2023]]</f>
        <v>382322</v>
      </c>
      <c r="M134" s="9">
        <f>EF_Bundesstrommix_Gemis[[#This Row],[2024]]</f>
        <v>382322</v>
      </c>
      <c r="N134" s="9">
        <f>EF_Bundesstrommix_Gemis[[#This Row],[2025]]</f>
        <v>382322</v>
      </c>
      <c r="O134" s="9">
        <f>EF_Bundesstrommix_Gemis[[#This Row],[2025]]</f>
        <v>382322</v>
      </c>
      <c r="P134" s="9">
        <f>EF_Bundesstrommix_Gemis[[#This Row],[2025]]</f>
        <v>382322</v>
      </c>
      <c r="Q134" s="9">
        <f>EF_Bundesstrommix_Gemis[[#This Row],[2025]]</f>
        <v>382322</v>
      </c>
      <c r="R134" s="9">
        <f>EF_Bundesstrommix_Gemis[[#This Row],[2026]]</f>
        <v>382322</v>
      </c>
      <c r="S134" s="9">
        <f>EF_Bundesstrommix_Gemis[[#This Row],[2030]]</f>
        <v>382322</v>
      </c>
      <c r="T134" s="9">
        <f>EF_Bundesstrommix_Gemis[[#This Row],[2035]]</f>
        <v>382322</v>
      </c>
      <c r="U134" s="9">
        <f>EF_Bundesstrommix_Gemis[[#This Row],[2040]]</f>
        <v>382322</v>
      </c>
      <c r="V134" s="9">
        <f>EF_Bundesstrommix_Gemis[[#This Row],[2045]]</f>
        <v>382322</v>
      </c>
      <c r="W134" s="55"/>
    </row>
    <row r="135" spans="2:23" hidden="1">
      <c r="B135" t="s">
        <v>305</v>
      </c>
      <c r="C135">
        <v>275793</v>
      </c>
      <c r="D135" s="9">
        <f>EF_Bundesstrommix_Gemis[[#This Row],[2015]]</f>
        <v>275793</v>
      </c>
      <c r="E135" s="9">
        <f>EF_Bundesstrommix_Gemis[[#This Row],[2016]]</f>
        <v>275793</v>
      </c>
      <c r="F135" s="9">
        <f>EF_Bundesstrommix_Gemis[[#This Row],[2017]]</f>
        <v>275793</v>
      </c>
      <c r="G135" s="9">
        <f>EF_Bundesstrommix_Gemis[[#This Row],[2018]]</f>
        <v>275793</v>
      </c>
      <c r="H135" s="9">
        <f>EF_Bundesstrommix_Gemis[[#This Row],[2019]]</f>
        <v>275793</v>
      </c>
      <c r="I135" s="9">
        <f>EF_Bundesstrommix_Gemis[[#This Row],[2020]]</f>
        <v>275793</v>
      </c>
      <c r="J135" s="9">
        <f>EF_Bundesstrommix_Gemis[[#This Row],[2021]]</f>
        <v>275793</v>
      </c>
      <c r="K135" s="9">
        <f>EF_Bundesstrommix_Gemis[[#This Row],[2022]]</f>
        <v>275793</v>
      </c>
      <c r="L135" s="9">
        <f>EF_Bundesstrommix_Gemis[[#This Row],[2023]]</f>
        <v>275793</v>
      </c>
      <c r="M135" s="9">
        <f>EF_Bundesstrommix_Gemis[[#This Row],[2024]]</f>
        <v>275793</v>
      </c>
      <c r="N135" s="9">
        <f>EF_Bundesstrommix_Gemis[[#This Row],[2025]]</f>
        <v>275793</v>
      </c>
      <c r="O135" s="9">
        <f>EF_Bundesstrommix_Gemis[[#This Row],[2025]]</f>
        <v>275793</v>
      </c>
      <c r="P135" s="9">
        <f>EF_Bundesstrommix_Gemis[[#This Row],[2025]]</f>
        <v>275793</v>
      </c>
      <c r="Q135" s="9">
        <f>EF_Bundesstrommix_Gemis[[#This Row],[2025]]</f>
        <v>275793</v>
      </c>
      <c r="R135" s="9">
        <f>EF_Bundesstrommix_Gemis[[#This Row],[2026]]</f>
        <v>275793</v>
      </c>
      <c r="S135" s="9">
        <f>EF_Bundesstrommix_Gemis[[#This Row],[2030]]</f>
        <v>275793</v>
      </c>
      <c r="T135" s="9">
        <f>EF_Bundesstrommix_Gemis[[#This Row],[2035]]</f>
        <v>275793</v>
      </c>
      <c r="U135" s="9">
        <f>EF_Bundesstrommix_Gemis[[#This Row],[2040]]</f>
        <v>275793</v>
      </c>
      <c r="V135" s="9">
        <f>EF_Bundesstrommix_Gemis[[#This Row],[2045]]</f>
        <v>275793</v>
      </c>
      <c r="W135" s="57" t="s">
        <v>283</v>
      </c>
    </row>
    <row r="136" spans="2:23" hidden="1">
      <c r="B136" t="s">
        <v>306</v>
      </c>
      <c r="C136">
        <v>275793</v>
      </c>
      <c r="D136" s="9">
        <f>EF_Bundesstrommix_Gemis[[#This Row],[2015]]</f>
        <v>275793</v>
      </c>
      <c r="E136" s="9">
        <f>EF_Bundesstrommix_Gemis[[#This Row],[2016]]</f>
        <v>275793</v>
      </c>
      <c r="F136" s="9">
        <f>EF_Bundesstrommix_Gemis[[#This Row],[2017]]</f>
        <v>275793</v>
      </c>
      <c r="G136" s="9">
        <f>EF_Bundesstrommix_Gemis[[#This Row],[2018]]</f>
        <v>275793</v>
      </c>
      <c r="H136" s="9">
        <f>EF_Bundesstrommix_Gemis[[#This Row],[2019]]</f>
        <v>275793</v>
      </c>
      <c r="I136" s="9">
        <f>EF_Bundesstrommix_Gemis[[#This Row],[2020]]</f>
        <v>275793</v>
      </c>
      <c r="J136" s="9">
        <f>EF_Bundesstrommix_Gemis[[#This Row],[2021]]</f>
        <v>275793</v>
      </c>
      <c r="K136" s="9">
        <f>EF_Bundesstrommix_Gemis[[#This Row],[2022]]</f>
        <v>275793</v>
      </c>
      <c r="L136" s="9">
        <f>EF_Bundesstrommix_Gemis[[#This Row],[2023]]</f>
        <v>275793</v>
      </c>
      <c r="M136" s="9">
        <f>EF_Bundesstrommix_Gemis[[#This Row],[2024]]</f>
        <v>275793</v>
      </c>
      <c r="N136" s="9">
        <f>EF_Bundesstrommix_Gemis[[#This Row],[2025]]</f>
        <v>275793</v>
      </c>
      <c r="O136" s="9">
        <f>EF_Bundesstrommix_Gemis[[#This Row],[2025]]</f>
        <v>275793</v>
      </c>
      <c r="P136" s="9">
        <f>EF_Bundesstrommix_Gemis[[#This Row],[2025]]</f>
        <v>275793</v>
      </c>
      <c r="Q136" s="9">
        <f>EF_Bundesstrommix_Gemis[[#This Row],[2025]]</f>
        <v>275793</v>
      </c>
      <c r="R136" s="9">
        <f>EF_Bundesstrommix_Gemis[[#This Row],[2026]]</f>
        <v>275793</v>
      </c>
      <c r="S136" s="9">
        <f>EF_Bundesstrommix_Gemis[[#This Row],[2030]]</f>
        <v>275793</v>
      </c>
      <c r="T136" s="9">
        <f>EF_Bundesstrommix_Gemis[[#This Row],[2035]]</f>
        <v>275793</v>
      </c>
      <c r="U136" s="9">
        <f>EF_Bundesstrommix_Gemis[[#This Row],[2040]]</f>
        <v>275793</v>
      </c>
      <c r="V136" s="9">
        <f>EF_Bundesstrommix_Gemis[[#This Row],[2045]]</f>
        <v>275793</v>
      </c>
      <c r="W136" s="55" t="s">
        <v>283</v>
      </c>
    </row>
    <row r="137" spans="2:23" hidden="1"/>
    <row r="139" spans="2:23" ht="18.5">
      <c r="B139" s="62" t="s">
        <v>311</v>
      </c>
      <c r="C139" s="7"/>
      <c r="L139" s="5"/>
      <c r="M139" s="5"/>
      <c r="N139" s="5"/>
    </row>
    <row r="140" spans="2:23" ht="18.5">
      <c r="B140" s="24" t="s">
        <v>269</v>
      </c>
    </row>
    <row r="144" spans="2:23" ht="15.5">
      <c r="B144" s="68" t="s">
        <v>313</v>
      </c>
      <c r="C144" s="69"/>
      <c r="E144" s="70"/>
      <c r="F144" s="71"/>
      <c r="G144" s="69"/>
      <c r="H144" s="63"/>
      <c r="I144" s="66"/>
      <c r="J144" s="72"/>
      <c r="K144" s="66"/>
      <c r="L144" s="66"/>
      <c r="M144" s="67"/>
    </row>
    <row r="145" spans="2:24">
      <c r="B145" s="77" t="s">
        <v>314</v>
      </c>
      <c r="C145" s="77" t="s">
        <v>2</v>
      </c>
      <c r="D145" s="77" t="s">
        <v>3</v>
      </c>
      <c r="E145" s="78" t="s">
        <v>4</v>
      </c>
      <c r="F145" s="78" t="s">
        <v>5</v>
      </c>
      <c r="G145" s="78" t="s">
        <v>6</v>
      </c>
      <c r="H145" s="78" t="s">
        <v>7</v>
      </c>
      <c r="I145" s="78" t="s">
        <v>8</v>
      </c>
      <c r="J145" s="78" t="s">
        <v>9</v>
      </c>
      <c r="K145" s="78" t="s">
        <v>10</v>
      </c>
      <c r="L145" s="78" t="s">
        <v>11</v>
      </c>
      <c r="M145" s="78" t="s">
        <v>12</v>
      </c>
      <c r="N145" s="78" t="s">
        <v>13</v>
      </c>
      <c r="O145" s="78" t="s">
        <v>14</v>
      </c>
      <c r="P145" s="78" t="s">
        <v>216</v>
      </c>
      <c r="Q145" s="78" t="s">
        <v>217</v>
      </c>
      <c r="R145" s="78" t="s">
        <v>218</v>
      </c>
      <c r="S145" s="78" t="s">
        <v>15</v>
      </c>
      <c r="T145" s="78" t="s">
        <v>16</v>
      </c>
      <c r="U145" s="78" t="s">
        <v>17</v>
      </c>
      <c r="V145" s="78" t="s">
        <v>18</v>
      </c>
      <c r="W145" s="78" t="s">
        <v>19</v>
      </c>
      <c r="X145" s="79" t="s">
        <v>37</v>
      </c>
    </row>
    <row r="146" spans="2:24" ht="15.5">
      <c r="B146" s="106"/>
      <c r="C146" s="81" t="s">
        <v>601</v>
      </c>
      <c r="D146" s="103"/>
      <c r="E146" s="103"/>
      <c r="F146" s="103"/>
      <c r="G146" s="103"/>
      <c r="H146" s="103"/>
      <c r="I146" s="103"/>
      <c r="J146" s="103"/>
      <c r="K146" s="103" t="str">
        <f>IF(Carnot_Grunddaten[[#Headers],[2022]]=Startseite!$D$68,IF(OR(SUMIF($D146:Carnot_Grunddaten[[#This Row],[2021]],"&gt;0")&gt;0,), AVERAGEIF($D146:Carnot_Grunddaten[[#This Row],[2021]],"&lt;&gt;"""), "0"),IF(Startseite!$D$68=(Carnot_Grunddaten[[#Headers],[2022]]-1),Carnot_Grunddaten[[#This Row],[2021]],IF(Startseite!$D$68&lt;Carnot_Grunddaten[[#Headers],[2022]],Carnot_Grunddaten[[#This Row],[2021]],"0")))</f>
        <v>0</v>
      </c>
      <c r="L146" s="103" t="str">
        <f>IF(Carnot_Grunddaten[[#Headers],[2023]]=Startseite!$D$68,IF(OR(SUMIF($D146:Carnot_Grunddaten[[#This Row],[2022]],"&gt;0")&gt;0,), AVERAGEIF($D146:Carnot_Grunddaten[[#This Row],[2022]],"&lt;&gt;"""), "0"),IF(Startseite!$D$68=(Carnot_Grunddaten[[#Headers],[2023]]-1),Carnot_Grunddaten[[#This Row],[2022]],IF(Startseite!$D$68&lt;Carnot_Grunddaten[[#Headers],[2023]],Carnot_Grunddaten[[#This Row],[2022]],"0")))</f>
        <v>0</v>
      </c>
      <c r="M146" s="103" t="str">
        <f>IF(Carnot_Grunddaten[[#Headers],[2024]]=Startseite!$D$68,IF(OR(SUMIF($D146:Carnot_Grunddaten[[#This Row],[2023]],"&gt;0")&gt;0,), AVERAGEIF($D146:Carnot_Grunddaten[[#This Row],[2023]],"&lt;&gt;"""), "0"),IF(Startseite!$D$68=(Carnot_Grunddaten[[#Headers],[2024]]-1),Carnot_Grunddaten[[#This Row],[2023]],IF(Startseite!$D$68&lt;Carnot_Grunddaten[[#Headers],[2024]],Carnot_Grunddaten[[#This Row],[2023]],"0")))</f>
        <v>0</v>
      </c>
      <c r="N146" s="103" t="str">
        <f>IF(Carnot_Grunddaten[[#Headers],[2025]]=Startseite!$D$68,IF(OR(SUMIF($D146:Carnot_Grunddaten[[#This Row],[2024]],"&gt;0")&gt;0,), AVERAGEIF($D146:Carnot_Grunddaten[[#This Row],[2024]],"&lt;&gt;"""), "0"),IF(Startseite!$D$68=(Carnot_Grunddaten[[#Headers],[2025]]-1),Carnot_Grunddaten[[#This Row],[2024]],IF(Startseite!$D$68&lt;Carnot_Grunddaten[[#Headers],[2025]],Carnot_Grunddaten[[#This Row],[2024]],"0")))</f>
        <v>0</v>
      </c>
      <c r="O146" s="103" t="str">
        <f>IF(Carnot_Grunddaten[[#Headers],[2026]]=Startseite!$D$68,IF(OR(SUMIF($D146:Carnot_Grunddaten[[#This Row],[2025]],"&gt;0")&gt;0,), AVERAGEIF($D146:Carnot_Grunddaten[[#This Row],[2025]],"&lt;&gt;"""), "0"),IF(Startseite!$D$68=(Carnot_Grunddaten[[#Headers],[2026]]-1),Carnot_Grunddaten[[#This Row],[2025]],IF(Startseite!$D$68&lt;Carnot_Grunddaten[[#Headers],[2026]],Carnot_Grunddaten[[#This Row],[2025]],"0")))</f>
        <v>0</v>
      </c>
      <c r="P146" s="103" t="str">
        <f>IF(Carnot_Grunddaten[[#Headers],[2027]]=Startseite!$D$68,IF(OR(SUMIF($D146:Carnot_Grunddaten[[#This Row],[2026]],"&gt;0")&gt;0,), AVERAGEIF($D146:Carnot_Grunddaten[[#This Row],[2026]],"&lt;&gt;"""), "0"),IF(Startseite!$D$68=(Carnot_Grunddaten[[#Headers],[2027]]-1),Carnot_Grunddaten[[#This Row],[2026]],IF(Startseite!$D$68&lt;Carnot_Grunddaten[[#Headers],[2027]],Carnot_Grunddaten[[#This Row],[2026]],"0")))</f>
        <v>0</v>
      </c>
      <c r="Q146" s="103" t="str">
        <f>IF(Carnot_Grunddaten[[#Headers],[2028]]=Startseite!$D$68,IF(OR(SUMIF($D146:Carnot_Grunddaten[[#This Row],[2027]],"&gt;0")&gt;0,), AVERAGEIF($D146:Carnot_Grunddaten[[#This Row],[2027]],"&lt;&gt;"""), "0"),IF(Startseite!$D$68=(Carnot_Grunddaten[[#Headers],[2028]]-1),Carnot_Grunddaten[[#This Row],[2027]],IF(Startseite!$D$68&lt;Carnot_Grunddaten[[#Headers],[2028]],Carnot_Grunddaten[[#This Row],[2027]],"0")))</f>
        <v>0</v>
      </c>
      <c r="R146" s="103" t="str">
        <f>IF(Carnot_Grunddaten[[#Headers],[2029]]=Startseite!$D$68,IF(OR(SUMIF($D146:Carnot_Grunddaten[[#This Row],[2028]],"&gt;0")&gt;0,), AVERAGEIF($D146:Carnot_Grunddaten[[#This Row],[2028]],"&lt;&gt;"""), "0"),IF(Startseite!$D$68=(Carnot_Grunddaten[[#Headers],[2029]]-1),Carnot_Grunddaten[[#This Row],[2028]],IF(Startseite!$D$68&lt;Carnot_Grunddaten[[#Headers],[2029]],Carnot_Grunddaten[[#This Row],[2028]],"0")))</f>
        <v>0</v>
      </c>
      <c r="S146" s="103" t="str">
        <f>IF(Carnot_Grunddaten[[#Headers],[2030]]=Startseite!$D$68,IF(OR(SUMIF($D146:Carnot_Grunddaten[[#This Row],[2029]],"&gt;0")&gt;0,), AVERAGEIF($D146:Carnot_Grunddaten[[#This Row],[2029]],"&lt;&gt;"""), "0"),IF(Startseite!$D$68=(Carnot_Grunddaten[[#Headers],[2030]]-1),Carnot_Grunddaten[[#This Row],[2029]],IF(Startseite!$D$68&lt;Carnot_Grunddaten[[#Headers],[2030]],Carnot_Grunddaten[[#This Row],[2029]],"0")))</f>
        <v>0</v>
      </c>
      <c r="T146" s="103" t="str">
        <f>IF(Carnot_Grunddaten[[#Headers],[2035]]=Startseite!$D$68,IF(OR(SUMIF($D146:Carnot_Grunddaten[[#This Row],[2030]],"&gt;0")&gt;0,), AVERAGEIF($D146:Carnot_Grunddaten[[#This Row],[2030]],"&lt;&gt;"""), "0"),IF(Startseite!$D$68=(Carnot_Grunddaten[[#Headers],[2035]]-1),Carnot_Grunddaten[[#This Row],[2030]],IF(Startseite!$D$68&lt;Carnot_Grunddaten[[#Headers],[2035]],Carnot_Grunddaten[[#This Row],[2030]],"0")))</f>
        <v>0</v>
      </c>
      <c r="U146" s="103" t="str">
        <f>IF(Carnot_Grunddaten[[#Headers],[2040]]=Startseite!$D$68,IF(OR(SUMIF($D146:Carnot_Grunddaten[[#This Row],[2035]],"&gt;0")&gt;0,), AVERAGEIF($D146:Carnot_Grunddaten[[#This Row],[2035]],"&lt;&gt;"""), "0"),IF(Startseite!$D$68=(Carnot_Grunddaten[[#Headers],[2040]]-1),Carnot_Grunddaten[[#This Row],[2035]],IF(Startseite!$D$68&lt;Carnot_Grunddaten[[#Headers],[2040]],Carnot_Grunddaten[[#This Row],[2035]],"0")))</f>
        <v>0</v>
      </c>
      <c r="V146" s="103" t="str">
        <f>IF(Carnot_Grunddaten[[#Headers],[2045]]=Startseite!$D$68,IF(OR(SUMIF($D146:Carnot_Grunddaten[[#This Row],[2040]],"&gt;0")&gt;0,), AVERAGEIF($D146:Carnot_Grunddaten[[#This Row],[2040]],"&lt;&gt;"""), "0"),IF(Startseite!$D$68=(Carnot_Grunddaten[[#Headers],[2045]]-1),Carnot_Grunddaten[[#This Row],[2040]],IF(Startseite!$D$68&lt;Carnot_Grunddaten[[#Headers],[2045]],Carnot_Grunddaten[[#This Row],[2040]],"0")))</f>
        <v>0</v>
      </c>
      <c r="W146" s="103" t="str">
        <f>IF(Carnot_Grunddaten[[#Headers],[2050]]=Startseite!$D$68,IF(OR(SUMIF($D146:Carnot_Grunddaten[[#This Row],[2045]],"&gt;0")&gt;0,), AVERAGEIF($D146:Carnot_Grunddaten[[#This Row],[2045]],"&lt;&gt;"""), "0"),IF(Startseite!$D$68=(Carnot_Grunddaten[[#Headers],[2050]]-1),Carnot_Grunddaten[[#This Row],[2045]],IF(Startseite!$D$68&lt;Carnot_Grunddaten[[#Headers],[2050]],Carnot_Grunddaten[[#This Row],[2045]],"0")))</f>
        <v>0</v>
      </c>
    </row>
    <row r="147" spans="2:24" ht="15.5">
      <c r="B147" s="106"/>
      <c r="C147" s="81" t="s">
        <v>601</v>
      </c>
      <c r="D147" s="103"/>
      <c r="E147" s="103"/>
      <c r="F147" s="103"/>
      <c r="G147" s="103"/>
      <c r="H147" s="103"/>
      <c r="I147" s="103"/>
      <c r="J147" s="103"/>
      <c r="K147" s="103" t="str">
        <f>IF(Carnot_Grunddaten[[#Headers],[2022]]=Startseite!$D$68,IF(OR(SUMIF($D147:Carnot_Grunddaten[[#This Row],[2021]],"&gt;0")&gt;0,), AVERAGEIF($D147:Carnot_Grunddaten[[#This Row],[2021]],"&lt;&gt;"""), "0"),IF(Startseite!$D$68=(Carnot_Grunddaten[[#Headers],[2022]]-1),Carnot_Grunddaten[[#This Row],[2021]],IF(Startseite!$D$68&lt;Carnot_Grunddaten[[#Headers],[2022]],Carnot_Grunddaten[[#This Row],[2021]],"0")))</f>
        <v>0</v>
      </c>
      <c r="L147" s="103" t="str">
        <f>IF(Carnot_Grunddaten[[#Headers],[2023]]=Startseite!$D$68,IF(OR(SUMIF($D147:Carnot_Grunddaten[[#This Row],[2022]],"&gt;0")&gt;0,), AVERAGEIF($D147:Carnot_Grunddaten[[#This Row],[2022]],"&lt;&gt;"""), "0"),IF(Startseite!$D$68=(Carnot_Grunddaten[[#Headers],[2023]]-1),Carnot_Grunddaten[[#This Row],[2022]],IF(Startseite!$D$68&lt;Carnot_Grunddaten[[#Headers],[2023]],Carnot_Grunddaten[[#This Row],[2022]],"0")))</f>
        <v>0</v>
      </c>
      <c r="M147" s="103" t="str">
        <f>IF(Carnot_Grunddaten[[#Headers],[2024]]=Startseite!$D$68,IF(OR(SUMIF($D147:Carnot_Grunddaten[[#This Row],[2023]],"&gt;0")&gt;0,), AVERAGEIF($D147:Carnot_Grunddaten[[#This Row],[2023]],"&lt;&gt;"""), "0"),IF(Startseite!$D$68=(Carnot_Grunddaten[[#Headers],[2024]]-1),Carnot_Grunddaten[[#This Row],[2023]],IF(Startseite!$D$68&lt;Carnot_Grunddaten[[#Headers],[2024]],Carnot_Grunddaten[[#This Row],[2023]],"0")))</f>
        <v>0</v>
      </c>
      <c r="N147" s="103" t="str">
        <f>IF(Carnot_Grunddaten[[#Headers],[2025]]=Startseite!$D$68,IF(OR(SUMIF($D147:Carnot_Grunddaten[[#This Row],[2024]],"&gt;0")&gt;0,), AVERAGEIF($D147:Carnot_Grunddaten[[#This Row],[2024]],"&lt;&gt;"""), "0"),IF(Startseite!$D$68=(Carnot_Grunddaten[[#Headers],[2025]]-1),Carnot_Grunddaten[[#This Row],[2024]],IF(Startseite!$D$68&lt;Carnot_Grunddaten[[#Headers],[2025]],Carnot_Grunddaten[[#This Row],[2024]],"0")))</f>
        <v>0</v>
      </c>
      <c r="O147" s="103" t="str">
        <f>IF(Carnot_Grunddaten[[#Headers],[2026]]=Startseite!$D$68,IF(OR(SUMIF($D147:Carnot_Grunddaten[[#This Row],[2025]],"&gt;0")&gt;0,), AVERAGEIF($D147:Carnot_Grunddaten[[#This Row],[2025]],"&lt;&gt;"""), "0"),IF(Startseite!$D$68=(Carnot_Grunddaten[[#Headers],[2026]]-1),Carnot_Grunddaten[[#This Row],[2025]],IF(Startseite!$D$68&lt;Carnot_Grunddaten[[#Headers],[2026]],Carnot_Grunddaten[[#This Row],[2025]],"0")))</f>
        <v>0</v>
      </c>
      <c r="P147" s="103" t="str">
        <f>IF(Carnot_Grunddaten[[#Headers],[2027]]=Startseite!$D$68,IF(OR(SUMIF($D147:Carnot_Grunddaten[[#This Row],[2026]],"&gt;0")&gt;0,), AVERAGEIF($D147:Carnot_Grunddaten[[#This Row],[2026]],"&lt;&gt;"""), "0"),IF(Startseite!$D$68=(Carnot_Grunddaten[[#Headers],[2027]]-1),Carnot_Grunddaten[[#This Row],[2026]],IF(Startseite!$D$68&lt;Carnot_Grunddaten[[#Headers],[2027]],Carnot_Grunddaten[[#This Row],[2026]],"0")))</f>
        <v>0</v>
      </c>
      <c r="Q147" s="103" t="str">
        <f>IF(Carnot_Grunddaten[[#Headers],[2028]]=Startseite!$D$68,IF(OR(SUMIF($D147:Carnot_Grunddaten[[#This Row],[2027]],"&gt;0")&gt;0,), AVERAGEIF($D147:Carnot_Grunddaten[[#This Row],[2027]],"&lt;&gt;"""), "0"),IF(Startseite!$D$68=(Carnot_Grunddaten[[#Headers],[2028]]-1),Carnot_Grunddaten[[#This Row],[2027]],IF(Startseite!$D$68&lt;Carnot_Grunddaten[[#Headers],[2028]],Carnot_Grunddaten[[#This Row],[2027]],"0")))</f>
        <v>0</v>
      </c>
      <c r="R147" s="103" t="str">
        <f>IF(Carnot_Grunddaten[[#Headers],[2029]]=Startseite!$D$68,IF(OR(SUMIF($D147:Carnot_Grunddaten[[#This Row],[2028]],"&gt;0")&gt;0,), AVERAGEIF($D147:Carnot_Grunddaten[[#This Row],[2028]],"&lt;&gt;"""), "0"),IF(Startseite!$D$68=(Carnot_Grunddaten[[#Headers],[2029]]-1),Carnot_Grunddaten[[#This Row],[2028]],IF(Startseite!$D$68&lt;Carnot_Grunddaten[[#Headers],[2029]],Carnot_Grunddaten[[#This Row],[2028]],"0")))</f>
        <v>0</v>
      </c>
      <c r="S147" s="103" t="str">
        <f>IF(Carnot_Grunddaten[[#Headers],[2030]]=Startseite!$D$68,IF(OR(SUMIF($D147:Carnot_Grunddaten[[#This Row],[2029]],"&gt;0")&gt;0,), AVERAGEIF($D147:Carnot_Grunddaten[[#This Row],[2029]],"&lt;&gt;"""), "0"),IF(Startseite!$D$68=(Carnot_Grunddaten[[#Headers],[2030]]-1),Carnot_Grunddaten[[#This Row],[2029]],IF(Startseite!$D$68&lt;Carnot_Grunddaten[[#Headers],[2030]],Carnot_Grunddaten[[#This Row],[2029]],"0")))</f>
        <v>0</v>
      </c>
      <c r="T147" s="103" t="str">
        <f>IF(Carnot_Grunddaten[[#Headers],[2035]]=Startseite!$D$68,IF(OR(SUMIF($D147:Carnot_Grunddaten[[#This Row],[2030]],"&gt;0")&gt;0,), AVERAGEIF($D147:Carnot_Grunddaten[[#This Row],[2030]],"&lt;&gt;"""), "0"),IF(Startseite!$D$68=(Carnot_Grunddaten[[#Headers],[2035]]-1),Carnot_Grunddaten[[#This Row],[2030]],IF(Startseite!$D$68&lt;Carnot_Grunddaten[[#Headers],[2035]],Carnot_Grunddaten[[#This Row],[2030]],"0")))</f>
        <v>0</v>
      </c>
      <c r="U147" s="103" t="str">
        <f>IF(Carnot_Grunddaten[[#Headers],[2040]]=Startseite!$D$68,IF(OR(SUMIF($D147:Carnot_Grunddaten[[#This Row],[2035]],"&gt;0")&gt;0,), AVERAGEIF($D147:Carnot_Grunddaten[[#This Row],[2035]],"&lt;&gt;"""), "0"),IF(Startseite!$D$68=(Carnot_Grunddaten[[#Headers],[2040]]-1),Carnot_Grunddaten[[#This Row],[2035]],IF(Startseite!$D$68&lt;Carnot_Grunddaten[[#Headers],[2040]],Carnot_Grunddaten[[#This Row],[2035]],"0")))</f>
        <v>0</v>
      </c>
      <c r="V147" s="103" t="str">
        <f>IF(Carnot_Grunddaten[[#Headers],[2045]]=Startseite!$D$68,IF(OR(SUMIF($D147:Carnot_Grunddaten[[#This Row],[2040]],"&gt;0")&gt;0,), AVERAGEIF($D147:Carnot_Grunddaten[[#This Row],[2040]],"&lt;&gt;"""), "0"),IF(Startseite!$D$68=(Carnot_Grunddaten[[#Headers],[2045]]-1),Carnot_Grunddaten[[#This Row],[2040]],IF(Startseite!$D$68&lt;Carnot_Grunddaten[[#Headers],[2045]],Carnot_Grunddaten[[#This Row],[2040]],"0")))</f>
        <v>0</v>
      </c>
      <c r="W147" s="103" t="str">
        <f>IF(Carnot_Grunddaten[[#Headers],[2050]]=Startseite!$D$68,IF(OR(SUMIF($D147:Carnot_Grunddaten[[#This Row],[2045]],"&gt;0")&gt;0,), AVERAGEIF($D147:Carnot_Grunddaten[[#This Row],[2045]],"&lt;&gt;"""), "0"),IF(Startseite!$D$68=(Carnot_Grunddaten[[#Headers],[2050]]-1),Carnot_Grunddaten[[#This Row],[2045]],IF(Startseite!$D$68&lt;Carnot_Grunddaten[[#Headers],[2050]],Carnot_Grunddaten[[#This Row],[2045]],"0")))</f>
        <v>0</v>
      </c>
    </row>
    <row r="148" spans="2:24" ht="15.5">
      <c r="B148" s="106"/>
      <c r="C148" s="81" t="s">
        <v>601</v>
      </c>
      <c r="D148" s="103"/>
      <c r="E148" s="103"/>
      <c r="F148" s="103"/>
      <c r="G148" s="103"/>
      <c r="H148" s="103"/>
      <c r="I148" s="103"/>
      <c r="J148" s="103"/>
      <c r="K148" s="103" t="str">
        <f>IF(Carnot_Grunddaten[[#Headers],[2022]]=Startseite!$D$68,IF(OR(SUMIF($D148:Carnot_Grunddaten[[#This Row],[2021]],"&gt;0")&gt;0,), AVERAGEIF($D148:Carnot_Grunddaten[[#This Row],[2021]],"&lt;&gt;"""), "0"),IF(Startseite!$D$68=(Carnot_Grunddaten[[#Headers],[2022]]-1),Carnot_Grunddaten[[#This Row],[2021]],IF(Startseite!$D$68&lt;Carnot_Grunddaten[[#Headers],[2022]],Carnot_Grunddaten[[#This Row],[2021]],"0")))</f>
        <v>0</v>
      </c>
      <c r="L148" s="103" t="str">
        <f>IF(Carnot_Grunddaten[[#Headers],[2023]]=Startseite!$D$68,IF(OR(SUMIF($D148:Carnot_Grunddaten[[#This Row],[2022]],"&gt;0")&gt;0,), AVERAGEIF($D148:Carnot_Grunddaten[[#This Row],[2022]],"&lt;&gt;"""), "0"),IF(Startseite!$D$68=(Carnot_Grunddaten[[#Headers],[2023]]-1),Carnot_Grunddaten[[#This Row],[2022]],IF(Startseite!$D$68&lt;Carnot_Grunddaten[[#Headers],[2023]],Carnot_Grunddaten[[#This Row],[2022]],"0")))</f>
        <v>0</v>
      </c>
      <c r="M148" s="103" t="str">
        <f>IF(Carnot_Grunddaten[[#Headers],[2024]]=Startseite!$D$68,IF(OR(SUMIF($D148:Carnot_Grunddaten[[#This Row],[2023]],"&gt;0")&gt;0,), AVERAGEIF($D148:Carnot_Grunddaten[[#This Row],[2023]],"&lt;&gt;"""), "0"),IF(Startseite!$D$68=(Carnot_Grunddaten[[#Headers],[2024]]-1),Carnot_Grunddaten[[#This Row],[2023]],IF(Startseite!$D$68&lt;Carnot_Grunddaten[[#Headers],[2024]],Carnot_Grunddaten[[#This Row],[2023]],"0")))</f>
        <v>0</v>
      </c>
      <c r="N148" s="103" t="str">
        <f>IF(Carnot_Grunddaten[[#Headers],[2025]]=Startseite!$D$68,IF(OR(SUMIF($D148:Carnot_Grunddaten[[#This Row],[2024]],"&gt;0")&gt;0,), AVERAGEIF($D148:Carnot_Grunddaten[[#This Row],[2024]],"&lt;&gt;"""), "0"),IF(Startseite!$D$68=(Carnot_Grunddaten[[#Headers],[2025]]-1),Carnot_Grunddaten[[#This Row],[2024]],IF(Startseite!$D$68&lt;Carnot_Grunddaten[[#Headers],[2025]],Carnot_Grunddaten[[#This Row],[2024]],"0")))</f>
        <v>0</v>
      </c>
      <c r="O148" s="103" t="str">
        <f>IF(Carnot_Grunddaten[[#Headers],[2026]]=Startseite!$D$68,IF(OR(SUMIF($D148:Carnot_Grunddaten[[#This Row],[2025]],"&gt;0")&gt;0,), AVERAGEIF($D148:Carnot_Grunddaten[[#This Row],[2025]],"&lt;&gt;"""), "0"),IF(Startseite!$D$68=(Carnot_Grunddaten[[#Headers],[2026]]-1),Carnot_Grunddaten[[#This Row],[2025]],IF(Startseite!$D$68&lt;Carnot_Grunddaten[[#Headers],[2026]],Carnot_Grunddaten[[#This Row],[2025]],"0")))</f>
        <v>0</v>
      </c>
      <c r="P148" s="103" t="str">
        <f>IF(Carnot_Grunddaten[[#Headers],[2027]]=Startseite!$D$68,IF(OR(SUMIF($D148:Carnot_Grunddaten[[#This Row],[2026]],"&gt;0")&gt;0,), AVERAGEIF($D148:Carnot_Grunddaten[[#This Row],[2026]],"&lt;&gt;"""), "0"),IF(Startseite!$D$68=(Carnot_Grunddaten[[#Headers],[2027]]-1),Carnot_Grunddaten[[#This Row],[2026]],IF(Startseite!$D$68&lt;Carnot_Grunddaten[[#Headers],[2027]],Carnot_Grunddaten[[#This Row],[2026]],"0")))</f>
        <v>0</v>
      </c>
      <c r="Q148" s="103" t="str">
        <f>IF(Carnot_Grunddaten[[#Headers],[2028]]=Startseite!$D$68,IF(OR(SUMIF($D148:Carnot_Grunddaten[[#This Row],[2027]],"&gt;0")&gt;0,), AVERAGEIF($D148:Carnot_Grunddaten[[#This Row],[2027]],"&lt;&gt;"""), "0"),IF(Startseite!$D$68=(Carnot_Grunddaten[[#Headers],[2028]]-1),Carnot_Grunddaten[[#This Row],[2027]],IF(Startseite!$D$68&lt;Carnot_Grunddaten[[#Headers],[2028]],Carnot_Grunddaten[[#This Row],[2027]],"0")))</f>
        <v>0</v>
      </c>
      <c r="R148" s="103" t="str">
        <f>IF(Carnot_Grunddaten[[#Headers],[2029]]=Startseite!$D$68,IF(OR(SUMIF($D148:Carnot_Grunddaten[[#This Row],[2028]],"&gt;0")&gt;0,), AVERAGEIF($D148:Carnot_Grunddaten[[#This Row],[2028]],"&lt;&gt;"""), "0"),IF(Startseite!$D$68=(Carnot_Grunddaten[[#Headers],[2029]]-1),Carnot_Grunddaten[[#This Row],[2028]],IF(Startseite!$D$68&lt;Carnot_Grunddaten[[#Headers],[2029]],Carnot_Grunddaten[[#This Row],[2028]],"0")))</f>
        <v>0</v>
      </c>
      <c r="S148" s="103" t="str">
        <f>IF(Carnot_Grunddaten[[#Headers],[2030]]=Startseite!$D$68,IF(OR(SUMIF($D148:Carnot_Grunddaten[[#This Row],[2029]],"&gt;0")&gt;0,), AVERAGEIF($D148:Carnot_Grunddaten[[#This Row],[2029]],"&lt;&gt;"""), "0"),IF(Startseite!$D$68=(Carnot_Grunddaten[[#Headers],[2030]]-1),Carnot_Grunddaten[[#This Row],[2029]],IF(Startseite!$D$68&lt;Carnot_Grunddaten[[#Headers],[2030]],Carnot_Grunddaten[[#This Row],[2029]],"0")))</f>
        <v>0</v>
      </c>
      <c r="T148" s="103" t="str">
        <f>IF(Carnot_Grunddaten[[#Headers],[2035]]=Startseite!$D$68,IF(OR(SUMIF($D148:Carnot_Grunddaten[[#This Row],[2030]],"&gt;0")&gt;0,), AVERAGEIF($D148:Carnot_Grunddaten[[#This Row],[2030]],"&lt;&gt;"""), "0"),IF(Startseite!$D$68=(Carnot_Grunddaten[[#Headers],[2035]]-1),Carnot_Grunddaten[[#This Row],[2030]],IF(Startseite!$D$68&lt;Carnot_Grunddaten[[#Headers],[2035]],Carnot_Grunddaten[[#This Row],[2030]],"0")))</f>
        <v>0</v>
      </c>
      <c r="U148" s="103" t="str">
        <f>IF(Carnot_Grunddaten[[#Headers],[2040]]=Startseite!$D$68,IF(OR(SUMIF($D148:Carnot_Grunddaten[[#This Row],[2035]],"&gt;0")&gt;0,), AVERAGEIF($D148:Carnot_Grunddaten[[#This Row],[2035]],"&lt;&gt;"""), "0"),IF(Startseite!$D$68=(Carnot_Grunddaten[[#Headers],[2040]]-1),Carnot_Grunddaten[[#This Row],[2035]],IF(Startseite!$D$68&lt;Carnot_Grunddaten[[#Headers],[2040]],Carnot_Grunddaten[[#This Row],[2035]],"0")))</f>
        <v>0</v>
      </c>
      <c r="V148" s="103" t="str">
        <f>IF(Carnot_Grunddaten[[#Headers],[2045]]=Startseite!$D$68,IF(OR(SUMIF($D148:Carnot_Grunddaten[[#This Row],[2040]],"&gt;0")&gt;0,), AVERAGEIF($D148:Carnot_Grunddaten[[#This Row],[2040]],"&lt;&gt;"""), "0"),IF(Startseite!$D$68=(Carnot_Grunddaten[[#Headers],[2045]]-1),Carnot_Grunddaten[[#This Row],[2040]],IF(Startseite!$D$68&lt;Carnot_Grunddaten[[#Headers],[2045]],Carnot_Grunddaten[[#This Row],[2040]],"0")))</f>
        <v>0</v>
      </c>
      <c r="W148" s="103" t="str">
        <f>IF(Carnot_Grunddaten[[#Headers],[2050]]=Startseite!$D$68,IF(OR(SUMIF($D148:Carnot_Grunddaten[[#This Row],[2045]],"&gt;0")&gt;0,), AVERAGEIF($D148:Carnot_Grunddaten[[#This Row],[2045]],"&lt;&gt;"""), "0"),IF(Startseite!$D$68=(Carnot_Grunddaten[[#Headers],[2050]]-1),Carnot_Grunddaten[[#This Row],[2045]],IF(Startseite!$D$68&lt;Carnot_Grunddaten[[#Headers],[2050]],Carnot_Grunddaten[[#This Row],[2045]],"0")))</f>
        <v>0</v>
      </c>
    </row>
    <row r="149" spans="2:24" ht="5.25" customHeight="1">
      <c r="B149" s="75"/>
      <c r="C149" s="74"/>
      <c r="D149" s="130"/>
      <c r="E149" s="130"/>
      <c r="F149" s="130"/>
      <c r="G149" s="130"/>
      <c r="H149" s="130"/>
      <c r="I149" s="130"/>
      <c r="J149" s="130"/>
      <c r="K149" s="130"/>
      <c r="L149" s="130"/>
      <c r="M149" s="130"/>
      <c r="N149" s="130"/>
      <c r="O149" s="130"/>
      <c r="P149" s="130"/>
      <c r="Q149" s="130"/>
      <c r="R149" s="130"/>
      <c r="S149" s="130"/>
      <c r="T149" s="130"/>
      <c r="U149" s="130"/>
      <c r="V149" s="130"/>
      <c r="W149" s="130"/>
    </row>
    <row r="150" spans="2:24" ht="15.5">
      <c r="B150" s="80" t="s">
        <v>315</v>
      </c>
      <c r="C150" s="81" t="str">
        <f>+$C146</f>
        <v>MWh/a</v>
      </c>
      <c r="D150" s="103"/>
      <c r="E150" s="103"/>
      <c r="F150" s="103"/>
      <c r="G150" s="103"/>
      <c r="H150" s="103"/>
      <c r="I150" s="103"/>
      <c r="J150" s="103"/>
      <c r="K150" s="103" t="str">
        <f>IF(Carnot_Grunddaten[[#Headers],[2022]]=Startseite!$D$68,IF(OR(SUMIF($D150:Carnot_Grunddaten[[#This Row],[2021]],"&gt;0")&gt;0,), AVERAGEIF($D150:Carnot_Grunddaten[[#This Row],[2021]],"&lt;&gt;"""), "0"),IF(Startseite!$D$68=(Carnot_Grunddaten[[#Headers],[2022]]-1),Carnot_Grunddaten[[#This Row],[2021]],IF(Startseite!$D$68&lt;Carnot_Grunddaten[[#Headers],[2022]],Carnot_Grunddaten[[#This Row],[2021]],"0")))</f>
        <v>0</v>
      </c>
      <c r="L150" s="103" t="str">
        <f>IF(Carnot_Grunddaten[[#Headers],[2023]]=Startseite!$D$68,IF(OR(SUMIF($D150:Carnot_Grunddaten[[#This Row],[2022]],"&gt;0")&gt;0,), AVERAGEIF($D150:Carnot_Grunddaten[[#This Row],[2022]],"&lt;&gt;"""), "0"),IF(Startseite!$D$68=(Carnot_Grunddaten[[#Headers],[2023]]-1),Carnot_Grunddaten[[#This Row],[2022]],IF(Startseite!$D$68&lt;Carnot_Grunddaten[[#Headers],[2023]],Carnot_Grunddaten[[#This Row],[2022]],"0")))</f>
        <v>0</v>
      </c>
      <c r="M150" s="103" t="str">
        <f>IF(Carnot_Grunddaten[[#Headers],[2024]]=Startseite!$D$68,IF(OR(SUMIF($D150:Carnot_Grunddaten[[#This Row],[2023]],"&gt;0")&gt;0,), AVERAGEIF($D150:Carnot_Grunddaten[[#This Row],[2023]],"&lt;&gt;"""), "0"),IF(Startseite!$D$68=(Carnot_Grunddaten[[#Headers],[2024]]-1),Carnot_Grunddaten[[#This Row],[2023]],IF(Startseite!$D$68&lt;Carnot_Grunddaten[[#Headers],[2024]],Carnot_Grunddaten[[#This Row],[2023]],"0")))</f>
        <v>0</v>
      </c>
      <c r="N150" s="103" t="str">
        <f>IF(Carnot_Grunddaten[[#Headers],[2025]]=Startseite!$D$68,IF(OR(SUMIF($D150:Carnot_Grunddaten[[#This Row],[2024]],"&gt;0")&gt;0,), AVERAGEIF($D150:Carnot_Grunddaten[[#This Row],[2024]],"&lt;&gt;"""), "0"),IF(Startseite!$D$68=(Carnot_Grunddaten[[#Headers],[2025]]-1),Carnot_Grunddaten[[#This Row],[2024]],IF(Startseite!$D$68&lt;Carnot_Grunddaten[[#Headers],[2025]],Carnot_Grunddaten[[#This Row],[2024]],"0")))</f>
        <v>0</v>
      </c>
      <c r="O150" s="103" t="str">
        <f>IF(Carnot_Grunddaten[[#Headers],[2026]]=Startseite!$D$68,IF(OR(SUMIF($D150:Carnot_Grunddaten[[#This Row],[2025]],"&gt;0")&gt;0,), AVERAGEIF($D150:Carnot_Grunddaten[[#This Row],[2025]],"&lt;&gt;"""), "0"),IF(Startseite!$D$68=(Carnot_Grunddaten[[#Headers],[2026]]-1),Carnot_Grunddaten[[#This Row],[2025]],IF(Startseite!$D$68&lt;Carnot_Grunddaten[[#Headers],[2026]],Carnot_Grunddaten[[#This Row],[2025]],"0")))</f>
        <v>0</v>
      </c>
      <c r="P150" s="103" t="str">
        <f>IF(Carnot_Grunddaten[[#Headers],[2027]]=Startseite!$D$68,IF(OR(SUMIF($D150:Carnot_Grunddaten[[#This Row],[2026]],"&gt;0")&gt;0,), AVERAGEIF($D150:Carnot_Grunddaten[[#This Row],[2026]],"&lt;&gt;"""), "0"),IF(Startseite!$D$68=(Carnot_Grunddaten[[#Headers],[2027]]-1),Carnot_Grunddaten[[#This Row],[2026]],IF(Startseite!$D$68&lt;Carnot_Grunddaten[[#Headers],[2027]],Carnot_Grunddaten[[#This Row],[2026]],"0")))</f>
        <v>0</v>
      </c>
      <c r="Q150" s="103" t="str">
        <f>IF(Carnot_Grunddaten[[#Headers],[2028]]=Startseite!$D$68,IF(OR(SUMIF($D150:Carnot_Grunddaten[[#This Row],[2027]],"&gt;0")&gt;0,), AVERAGEIF($D150:Carnot_Grunddaten[[#This Row],[2027]],"&lt;&gt;"""), "0"),IF(Startseite!$D$68=(Carnot_Grunddaten[[#Headers],[2028]]-1),Carnot_Grunddaten[[#This Row],[2027]],IF(Startseite!$D$68&lt;Carnot_Grunddaten[[#Headers],[2028]],Carnot_Grunddaten[[#This Row],[2027]],"0")))</f>
        <v>0</v>
      </c>
      <c r="R150" s="103" t="str">
        <f>IF(Carnot_Grunddaten[[#Headers],[2029]]=Startseite!$D$68,IF(OR(SUMIF($D150:Carnot_Grunddaten[[#This Row],[2028]],"&gt;0")&gt;0,), AVERAGEIF($D150:Carnot_Grunddaten[[#This Row],[2028]],"&lt;&gt;"""), "0"),IF(Startseite!$D$68=(Carnot_Grunddaten[[#Headers],[2029]]-1),Carnot_Grunddaten[[#This Row],[2028]],IF(Startseite!$D$68&lt;Carnot_Grunddaten[[#Headers],[2029]],Carnot_Grunddaten[[#This Row],[2028]],"0")))</f>
        <v>0</v>
      </c>
      <c r="S150" s="103" t="str">
        <f>IF(Carnot_Grunddaten[[#Headers],[2030]]=Startseite!$D$68,IF(OR(SUMIF($D150:Carnot_Grunddaten[[#This Row],[2029]],"&gt;0")&gt;0,), AVERAGEIF($D150:Carnot_Grunddaten[[#This Row],[2029]],"&lt;&gt;"""), "0"),IF(Startseite!$D$68=(Carnot_Grunddaten[[#Headers],[2030]]-1),Carnot_Grunddaten[[#This Row],[2029]],IF(Startseite!$D$68&lt;Carnot_Grunddaten[[#Headers],[2030]],Carnot_Grunddaten[[#This Row],[2029]],"0")))</f>
        <v>0</v>
      </c>
      <c r="T150" s="103" t="str">
        <f>IF(Carnot_Grunddaten[[#Headers],[2035]]=Startseite!$D$68,IF(OR(SUMIF($D150:Carnot_Grunddaten[[#This Row],[2030]],"&gt;0")&gt;0,), AVERAGEIF($D150:Carnot_Grunddaten[[#This Row],[2030]],"&lt;&gt;"""), "0"),IF(Startseite!$D$68=(Carnot_Grunddaten[[#Headers],[2035]]-1),Carnot_Grunddaten[[#This Row],[2030]],IF(Startseite!$D$68&lt;Carnot_Grunddaten[[#Headers],[2035]],Carnot_Grunddaten[[#This Row],[2030]],"0")))</f>
        <v>0</v>
      </c>
      <c r="U150" s="103" t="str">
        <f>IF(Carnot_Grunddaten[[#Headers],[2040]]=Startseite!$D$68,IF(OR(SUMIF($D150:Carnot_Grunddaten[[#This Row],[2035]],"&gt;0")&gt;0,), AVERAGEIF($D150:Carnot_Grunddaten[[#This Row],[2035]],"&lt;&gt;"""), "0"),IF(Startseite!$D$68=(Carnot_Grunddaten[[#Headers],[2040]]-1),Carnot_Grunddaten[[#This Row],[2035]],IF(Startseite!$D$68&lt;Carnot_Grunddaten[[#Headers],[2040]],Carnot_Grunddaten[[#This Row],[2035]],"0")))</f>
        <v>0</v>
      </c>
      <c r="V150" s="103" t="str">
        <f>IF(Carnot_Grunddaten[[#Headers],[2045]]=Startseite!$D$68,IF(OR(SUMIF($D150:Carnot_Grunddaten[[#This Row],[2040]],"&gt;0")&gt;0,), AVERAGEIF($D150:Carnot_Grunddaten[[#This Row],[2040]],"&lt;&gt;"""), "0"),IF(Startseite!$D$68=(Carnot_Grunddaten[[#Headers],[2045]]-1),Carnot_Grunddaten[[#This Row],[2040]],IF(Startseite!$D$68&lt;Carnot_Grunddaten[[#Headers],[2045]],Carnot_Grunddaten[[#This Row],[2040]],"0")))</f>
        <v>0</v>
      </c>
      <c r="W150" s="103" t="str">
        <f>IF(Carnot_Grunddaten[[#Headers],[2050]]=Startseite!$D$68,IF(OR(SUMIF($D150:Carnot_Grunddaten[[#This Row],[2045]],"&gt;0")&gt;0,), AVERAGEIF($D150:Carnot_Grunddaten[[#This Row],[2045]],"&lt;&gt;"""), "0"),IF(Startseite!$D$68=(Carnot_Grunddaten[[#Headers],[2050]]-1),Carnot_Grunddaten[[#This Row],[2045]],IF(Startseite!$D$68&lt;Carnot_Grunddaten[[#Headers],[2050]],Carnot_Grunddaten[[#This Row],[2045]],"0")))</f>
        <v>0</v>
      </c>
    </row>
    <row r="151" spans="2:24" ht="15.5">
      <c r="B151" s="80" t="s">
        <v>316</v>
      </c>
      <c r="C151" s="81" t="str">
        <f t="shared" ref="C151:C156" si="18">+$C150</f>
        <v>MWh/a</v>
      </c>
      <c r="D151" s="103"/>
      <c r="E151" s="103"/>
      <c r="F151" s="103"/>
      <c r="G151" s="103"/>
      <c r="H151" s="103"/>
      <c r="I151" s="103"/>
      <c r="J151" s="103"/>
      <c r="K151" s="103" t="str">
        <f>IF(Carnot_Grunddaten[[#Headers],[2022]]=Startseite!$D$68,IF(OR(SUMIF($D151:Carnot_Grunddaten[[#This Row],[2021]],"&gt;0")&gt;0,), AVERAGEIF($D151:Carnot_Grunddaten[[#This Row],[2021]],"&lt;&gt;"""), "0"),IF(Startseite!$D$68=(Carnot_Grunddaten[[#Headers],[2022]]-1),Carnot_Grunddaten[[#This Row],[2021]],IF(Startseite!$D$68&lt;Carnot_Grunddaten[[#Headers],[2022]],Carnot_Grunddaten[[#This Row],[2021]],"0")))</f>
        <v>0</v>
      </c>
      <c r="L151" s="103" t="str">
        <f>IF(Carnot_Grunddaten[[#Headers],[2023]]=Startseite!$D$68,IF(OR(SUMIF($D151:Carnot_Grunddaten[[#This Row],[2022]],"&gt;0")&gt;0,), AVERAGEIF($D151:Carnot_Grunddaten[[#This Row],[2022]],"&lt;&gt;"""), "0"),IF(Startseite!$D$68=(Carnot_Grunddaten[[#Headers],[2023]]-1),Carnot_Grunddaten[[#This Row],[2022]],IF(Startseite!$D$68&lt;Carnot_Grunddaten[[#Headers],[2023]],Carnot_Grunddaten[[#This Row],[2022]],"0")))</f>
        <v>0</v>
      </c>
      <c r="M151" s="103" t="str">
        <f>IF(Carnot_Grunddaten[[#Headers],[2024]]=Startseite!$D$68,IF(OR(SUMIF($D151:Carnot_Grunddaten[[#This Row],[2023]],"&gt;0")&gt;0,), AVERAGEIF($D151:Carnot_Grunddaten[[#This Row],[2023]],"&lt;&gt;"""), "0"),IF(Startseite!$D$68=(Carnot_Grunddaten[[#Headers],[2024]]-1),Carnot_Grunddaten[[#This Row],[2023]],IF(Startseite!$D$68&lt;Carnot_Grunddaten[[#Headers],[2024]],Carnot_Grunddaten[[#This Row],[2023]],"0")))</f>
        <v>0</v>
      </c>
      <c r="N151" s="103" t="str">
        <f>IF(Carnot_Grunddaten[[#Headers],[2025]]=Startseite!$D$68,IF(OR(SUMIF($D151:Carnot_Grunddaten[[#This Row],[2024]],"&gt;0")&gt;0,), AVERAGEIF($D151:Carnot_Grunddaten[[#This Row],[2024]],"&lt;&gt;"""), "0"),IF(Startseite!$D$68=(Carnot_Grunddaten[[#Headers],[2025]]-1),Carnot_Grunddaten[[#This Row],[2024]],IF(Startseite!$D$68&lt;Carnot_Grunddaten[[#Headers],[2025]],Carnot_Grunddaten[[#This Row],[2024]],"0")))</f>
        <v>0</v>
      </c>
      <c r="O151" s="103" t="str">
        <f>IF(Carnot_Grunddaten[[#Headers],[2026]]=Startseite!$D$68,IF(OR(SUMIF($D151:Carnot_Grunddaten[[#This Row],[2025]],"&gt;0")&gt;0,), AVERAGEIF($D151:Carnot_Grunddaten[[#This Row],[2025]],"&lt;&gt;"""), "0"),IF(Startseite!$D$68=(Carnot_Grunddaten[[#Headers],[2026]]-1),Carnot_Grunddaten[[#This Row],[2025]],IF(Startseite!$D$68&lt;Carnot_Grunddaten[[#Headers],[2026]],Carnot_Grunddaten[[#This Row],[2025]],"0")))</f>
        <v>0</v>
      </c>
      <c r="P151" s="103" t="str">
        <f>IF(Carnot_Grunddaten[[#Headers],[2027]]=Startseite!$D$68,IF(OR(SUMIF($D151:Carnot_Grunddaten[[#This Row],[2026]],"&gt;0")&gt;0,), AVERAGEIF($D151:Carnot_Grunddaten[[#This Row],[2026]],"&lt;&gt;"""), "0"),IF(Startseite!$D$68=(Carnot_Grunddaten[[#Headers],[2027]]-1),Carnot_Grunddaten[[#This Row],[2026]],IF(Startseite!$D$68&lt;Carnot_Grunddaten[[#Headers],[2027]],Carnot_Grunddaten[[#This Row],[2026]],"0")))</f>
        <v>0</v>
      </c>
      <c r="Q151" s="103" t="str">
        <f>IF(Carnot_Grunddaten[[#Headers],[2028]]=Startseite!$D$68,IF(OR(SUMIF($D151:Carnot_Grunddaten[[#This Row],[2027]],"&gt;0")&gt;0,), AVERAGEIF($D151:Carnot_Grunddaten[[#This Row],[2027]],"&lt;&gt;"""), "0"),IF(Startseite!$D$68=(Carnot_Grunddaten[[#Headers],[2028]]-1),Carnot_Grunddaten[[#This Row],[2027]],IF(Startseite!$D$68&lt;Carnot_Grunddaten[[#Headers],[2028]],Carnot_Grunddaten[[#This Row],[2027]],"0")))</f>
        <v>0</v>
      </c>
      <c r="R151" s="103" t="str">
        <f>IF(Carnot_Grunddaten[[#Headers],[2029]]=Startseite!$D$68,IF(OR(SUMIF($D151:Carnot_Grunddaten[[#This Row],[2028]],"&gt;0")&gt;0,), AVERAGEIF($D151:Carnot_Grunddaten[[#This Row],[2028]],"&lt;&gt;"""), "0"),IF(Startseite!$D$68=(Carnot_Grunddaten[[#Headers],[2029]]-1),Carnot_Grunddaten[[#This Row],[2028]],IF(Startseite!$D$68&lt;Carnot_Grunddaten[[#Headers],[2029]],Carnot_Grunddaten[[#This Row],[2028]],"0")))</f>
        <v>0</v>
      </c>
      <c r="S151" s="103" t="str">
        <f>IF(Carnot_Grunddaten[[#Headers],[2030]]=Startseite!$D$68,IF(OR(SUMIF($D151:Carnot_Grunddaten[[#This Row],[2029]],"&gt;0")&gt;0,), AVERAGEIF($D151:Carnot_Grunddaten[[#This Row],[2029]],"&lt;&gt;"""), "0"),IF(Startseite!$D$68=(Carnot_Grunddaten[[#Headers],[2030]]-1),Carnot_Grunddaten[[#This Row],[2029]],IF(Startseite!$D$68&lt;Carnot_Grunddaten[[#Headers],[2030]],Carnot_Grunddaten[[#This Row],[2029]],"0")))</f>
        <v>0</v>
      </c>
      <c r="T151" s="103" t="str">
        <f>IF(Carnot_Grunddaten[[#Headers],[2035]]=Startseite!$D$68,IF(OR(SUMIF($D151:Carnot_Grunddaten[[#This Row],[2030]],"&gt;0")&gt;0,), AVERAGEIF($D151:Carnot_Grunddaten[[#This Row],[2030]],"&lt;&gt;"""), "0"),IF(Startseite!$D$68=(Carnot_Grunddaten[[#Headers],[2035]]-1),Carnot_Grunddaten[[#This Row],[2030]],IF(Startseite!$D$68&lt;Carnot_Grunddaten[[#Headers],[2035]],Carnot_Grunddaten[[#This Row],[2030]],"0")))</f>
        <v>0</v>
      </c>
      <c r="U151" s="103" t="str">
        <f>IF(Carnot_Grunddaten[[#Headers],[2040]]=Startseite!$D$68,IF(OR(SUMIF($D151:Carnot_Grunddaten[[#This Row],[2035]],"&gt;0")&gt;0,), AVERAGEIF($D151:Carnot_Grunddaten[[#This Row],[2035]],"&lt;&gt;"""), "0"),IF(Startseite!$D$68=(Carnot_Grunddaten[[#Headers],[2040]]-1),Carnot_Grunddaten[[#This Row],[2035]],IF(Startseite!$D$68&lt;Carnot_Grunddaten[[#Headers],[2040]],Carnot_Grunddaten[[#This Row],[2035]],"0")))</f>
        <v>0</v>
      </c>
      <c r="V151" s="103" t="str">
        <f>IF(Carnot_Grunddaten[[#Headers],[2045]]=Startseite!$D$68,IF(OR(SUMIF($D151:Carnot_Grunddaten[[#This Row],[2040]],"&gt;0")&gt;0,), AVERAGEIF($D151:Carnot_Grunddaten[[#This Row],[2040]],"&lt;&gt;"""), "0"),IF(Startseite!$D$68=(Carnot_Grunddaten[[#Headers],[2045]]-1),Carnot_Grunddaten[[#This Row],[2040]],IF(Startseite!$D$68&lt;Carnot_Grunddaten[[#Headers],[2045]],Carnot_Grunddaten[[#This Row],[2040]],"0")))</f>
        <v>0</v>
      </c>
      <c r="W151" s="103" t="str">
        <f>IF(Carnot_Grunddaten[[#Headers],[2050]]=Startseite!$D$68,IF(OR(SUMIF($D151:Carnot_Grunddaten[[#This Row],[2045]],"&gt;0")&gt;0,), AVERAGEIF($D151:Carnot_Grunddaten[[#This Row],[2045]],"&lt;&gt;"""), "0"),IF(Startseite!$D$68=(Carnot_Grunddaten[[#Headers],[2050]]-1),Carnot_Grunddaten[[#This Row],[2045]],IF(Startseite!$D$68&lt;Carnot_Grunddaten[[#Headers],[2050]],Carnot_Grunddaten[[#This Row],[2045]],"0")))</f>
        <v>0</v>
      </c>
    </row>
    <row r="152" spans="2:24" ht="15.5">
      <c r="B152" s="80" t="s">
        <v>317</v>
      </c>
      <c r="C152" s="81" t="str">
        <f t="shared" si="18"/>
        <v>MWh/a</v>
      </c>
      <c r="D152" s="76">
        <f t="shared" ref="D152:W152" si="19">+SUM(D146:D148)-D150-D151</f>
        <v>0</v>
      </c>
      <c r="E152" s="76">
        <f t="shared" si="19"/>
        <v>0</v>
      </c>
      <c r="F152" s="76">
        <f t="shared" si="19"/>
        <v>0</v>
      </c>
      <c r="G152" s="76">
        <f t="shared" si="19"/>
        <v>0</v>
      </c>
      <c r="H152" s="76">
        <f t="shared" si="19"/>
        <v>0</v>
      </c>
      <c r="I152" s="76">
        <f t="shared" si="19"/>
        <v>0</v>
      </c>
      <c r="J152" s="76">
        <f t="shared" si="19"/>
        <v>0</v>
      </c>
      <c r="K152" s="76">
        <f t="shared" si="19"/>
        <v>0</v>
      </c>
      <c r="L152" s="76">
        <f t="shared" si="19"/>
        <v>0</v>
      </c>
      <c r="M152" s="76">
        <f t="shared" si="19"/>
        <v>0</v>
      </c>
      <c r="N152" s="76">
        <f t="shared" si="19"/>
        <v>0</v>
      </c>
      <c r="O152" s="76">
        <f t="shared" si="19"/>
        <v>0</v>
      </c>
      <c r="P152" s="76">
        <f t="shared" si="19"/>
        <v>0</v>
      </c>
      <c r="Q152" s="76">
        <f t="shared" si="19"/>
        <v>0</v>
      </c>
      <c r="R152" s="76">
        <f t="shared" si="19"/>
        <v>0</v>
      </c>
      <c r="S152" s="76">
        <f t="shared" si="19"/>
        <v>0</v>
      </c>
      <c r="T152" s="76">
        <f t="shared" si="19"/>
        <v>0</v>
      </c>
      <c r="U152" s="76">
        <f t="shared" si="19"/>
        <v>0</v>
      </c>
      <c r="V152" s="76">
        <f t="shared" si="19"/>
        <v>0</v>
      </c>
      <c r="W152" s="76">
        <f t="shared" si="19"/>
        <v>0</v>
      </c>
    </row>
    <row r="153" spans="2:24" ht="15.5">
      <c r="B153" s="80" t="s">
        <v>318</v>
      </c>
      <c r="C153" s="81" t="str">
        <f t="shared" si="18"/>
        <v>MWh/a</v>
      </c>
      <c r="D153" s="103"/>
      <c r="E153" s="103"/>
      <c r="F153" s="103"/>
      <c r="G153" s="103"/>
      <c r="H153" s="103"/>
      <c r="I153" s="103"/>
      <c r="J153" s="103"/>
      <c r="K153" s="103" t="str">
        <f>IF(Carnot_Grunddaten[[#Headers],[2022]]=Startseite!$D$68,IF(OR(SUMIF($D150:Carnot_Grunddaten[[#This Row],[2021]],"&gt;0")&gt;0,), AVERAGEIF($D150:Carnot_Grunddaten[[#This Row],[2021]],"&lt;&gt;"""), "0"),IF(Startseite!$D$68=(Carnot_Grunddaten[[#Headers],[2022]]-1),Carnot_Grunddaten[[#This Row],[2021]],IF(Startseite!$D$68&lt;Carnot_Grunddaten[[#Headers],[2022]],Carnot_Grunddaten[[#This Row],[2021]],"0")))</f>
        <v>0</v>
      </c>
      <c r="L153" s="103" t="str">
        <f>IF(Carnot_Grunddaten[[#Headers],[2023]]=Startseite!$D$68,IF(OR(SUMIF($D150:Carnot_Grunddaten[[#This Row],[2022]],"&gt;0")&gt;0,), AVERAGEIF($D150:Carnot_Grunddaten[[#This Row],[2022]],"&lt;&gt;"""), "0"),IF(Startseite!$D$68=(Carnot_Grunddaten[[#Headers],[2023]]-1),Carnot_Grunddaten[[#This Row],[2022]],IF(Startseite!$D$68&lt;Carnot_Grunddaten[[#Headers],[2023]],Carnot_Grunddaten[[#This Row],[2022]],"0")))</f>
        <v>0</v>
      </c>
      <c r="M153" s="103" t="str">
        <f>IF(Carnot_Grunddaten[[#Headers],[2024]]=Startseite!$D$68,IF(OR(SUMIF($D150:Carnot_Grunddaten[[#This Row],[2023]],"&gt;0")&gt;0,), AVERAGEIF($D150:Carnot_Grunddaten[[#This Row],[2023]],"&lt;&gt;"""), "0"),IF(Startseite!$D$68=(Carnot_Grunddaten[[#Headers],[2024]]-1),Carnot_Grunddaten[[#This Row],[2023]],IF(Startseite!$D$68&lt;Carnot_Grunddaten[[#Headers],[2024]],Carnot_Grunddaten[[#This Row],[2023]],"0")))</f>
        <v>0</v>
      </c>
      <c r="N153" s="103" t="str">
        <f>IF(Carnot_Grunddaten[[#Headers],[2025]]=Startseite!$D$68,IF(OR(SUMIF($D150:Carnot_Grunddaten[[#This Row],[2024]],"&gt;0")&gt;0,), AVERAGEIF($D150:Carnot_Grunddaten[[#This Row],[2024]],"&lt;&gt;"""), "0"),IF(Startseite!$D$68=(Carnot_Grunddaten[[#Headers],[2025]]-1),Carnot_Grunddaten[[#This Row],[2024]],IF(Startseite!$D$68&lt;Carnot_Grunddaten[[#Headers],[2025]],Carnot_Grunddaten[[#This Row],[2024]],"0")))</f>
        <v>0</v>
      </c>
      <c r="O153" s="103" t="str">
        <f>IF(Carnot_Grunddaten[[#Headers],[2026]]=Startseite!$D$68,IF(OR(SUMIF($D150:Carnot_Grunddaten[[#This Row],[2025]],"&gt;0")&gt;0,), AVERAGEIF($D150:Carnot_Grunddaten[[#This Row],[2025]],"&lt;&gt;"""), "0"),IF(Startseite!$D$68=(Carnot_Grunddaten[[#Headers],[2026]]-1),Carnot_Grunddaten[[#This Row],[2025]],IF(Startseite!$D$68&lt;Carnot_Grunddaten[[#Headers],[2026]],Carnot_Grunddaten[[#This Row],[2025]],"0")))</f>
        <v>0</v>
      </c>
      <c r="P153" s="103" t="str">
        <f>IF(Carnot_Grunddaten[[#Headers],[2027]]=Startseite!$D$68,IF(OR(SUMIF($D150:Carnot_Grunddaten[[#This Row],[2026]],"&gt;0")&gt;0,), AVERAGEIF($D150:Carnot_Grunddaten[[#This Row],[2026]],"&lt;&gt;"""), "0"),IF(Startseite!$D$68=(Carnot_Grunddaten[[#Headers],[2027]]-1),Carnot_Grunddaten[[#This Row],[2026]],IF(Startseite!$D$68&lt;Carnot_Grunddaten[[#Headers],[2027]],Carnot_Grunddaten[[#This Row],[2026]],"0")))</f>
        <v>0</v>
      </c>
      <c r="Q153" s="103" t="str">
        <f>IF(Carnot_Grunddaten[[#Headers],[2028]]=Startseite!$D$68,IF(OR(SUMIF($D150:Carnot_Grunddaten[[#This Row],[2027]],"&gt;0")&gt;0,), AVERAGEIF($D150:Carnot_Grunddaten[[#This Row],[2027]],"&lt;&gt;"""), "0"),IF(Startseite!$D$68=(Carnot_Grunddaten[[#Headers],[2028]]-1),Carnot_Grunddaten[[#This Row],[2027]],IF(Startseite!$D$68&lt;Carnot_Grunddaten[[#Headers],[2028]],Carnot_Grunddaten[[#This Row],[2027]],"0")))</f>
        <v>0</v>
      </c>
      <c r="R153" s="103" t="str">
        <f>IF(Carnot_Grunddaten[[#Headers],[2029]]=Startseite!$D$68,IF(OR(SUMIF($D150:Carnot_Grunddaten[[#This Row],[2028]],"&gt;0")&gt;0,), AVERAGEIF($D150:Carnot_Grunddaten[[#This Row],[2028]],"&lt;&gt;"""), "0"),IF(Startseite!$D$68=(Carnot_Grunddaten[[#Headers],[2029]]-1),Carnot_Grunddaten[[#This Row],[2028]],IF(Startseite!$D$68&lt;Carnot_Grunddaten[[#Headers],[2029]],Carnot_Grunddaten[[#This Row],[2028]],"0")))</f>
        <v>0</v>
      </c>
      <c r="S153" s="103" t="str">
        <f>IF(Carnot_Grunddaten[[#Headers],[2030]]=Startseite!$D$68,IF(OR(SUMIF($D150:Carnot_Grunddaten[[#This Row],[2029]],"&gt;0")&gt;0,), AVERAGEIF($D150:Carnot_Grunddaten[[#This Row],[2029]],"&lt;&gt;"""), "0"),IF(Startseite!$D$68=(Carnot_Grunddaten[[#Headers],[2030]]-1),Carnot_Grunddaten[[#This Row],[2029]],IF(Startseite!$D$68&lt;Carnot_Grunddaten[[#Headers],[2030]],Carnot_Grunddaten[[#This Row],[2029]],"0")))</f>
        <v>0</v>
      </c>
      <c r="T153" s="103" t="str">
        <f>IF(Carnot_Grunddaten[[#Headers],[2035]]=Startseite!$D$68,IF(OR(SUMIF($D150:Carnot_Grunddaten[[#This Row],[2030]],"&gt;0")&gt;0,), AVERAGEIF($D150:Carnot_Grunddaten[[#This Row],[2030]],"&lt;&gt;"""), "0"),IF(Startseite!$D$68=(Carnot_Grunddaten[[#Headers],[2035]]-1),Carnot_Grunddaten[[#This Row],[2030]],IF(Startseite!$D$68&lt;Carnot_Grunddaten[[#Headers],[2035]],Carnot_Grunddaten[[#This Row],[2030]],"0")))</f>
        <v>0</v>
      </c>
      <c r="U153" s="103" t="str">
        <f>IF(Carnot_Grunddaten[[#Headers],[2040]]=Startseite!$D$68,IF(OR(SUMIF($D150:Carnot_Grunddaten[[#This Row],[2035]],"&gt;0")&gt;0,), AVERAGEIF($D150:Carnot_Grunddaten[[#This Row],[2035]],"&lt;&gt;"""), "0"),IF(Startseite!$D$68=(Carnot_Grunddaten[[#Headers],[2040]]-1),Carnot_Grunddaten[[#This Row],[2035]],IF(Startseite!$D$68&lt;Carnot_Grunddaten[[#Headers],[2040]],Carnot_Grunddaten[[#This Row],[2035]],"0")))</f>
        <v>0</v>
      </c>
      <c r="V153" s="103" t="str">
        <f>IF(Carnot_Grunddaten[[#Headers],[2045]]=Startseite!$D$68,IF(OR(SUMIF($D150:Carnot_Grunddaten[[#This Row],[2040]],"&gt;0")&gt;0,), AVERAGEIF($D150:Carnot_Grunddaten[[#This Row],[2040]],"&lt;&gt;"""), "0"),IF(Startseite!$D$68=(Carnot_Grunddaten[[#Headers],[2045]]-1),Carnot_Grunddaten[[#This Row],[2040]],IF(Startseite!$D$68&lt;Carnot_Grunddaten[[#Headers],[2045]],Carnot_Grunddaten[[#This Row],[2040]],"0")))</f>
        <v>0</v>
      </c>
      <c r="W153" s="103" t="str">
        <f>IF(Carnot_Grunddaten[[#Headers],[2050]]=Startseite!$D$68,IF(OR(SUMIF($D150:Carnot_Grunddaten[[#This Row],[2045]],"&gt;0")&gt;0,), AVERAGEIF($D150:Carnot_Grunddaten[[#This Row],[2045]],"&lt;&gt;"""), "0"),IF(Startseite!$D$68=(Carnot_Grunddaten[[#Headers],[2050]]-1),Carnot_Grunddaten[[#This Row],[2045]],IF(Startseite!$D$68&lt;Carnot_Grunddaten[[#Headers],[2050]],Carnot_Grunddaten[[#This Row],[2045]],"0")))</f>
        <v>0</v>
      </c>
    </row>
    <row r="154" spans="2:24" ht="15.5">
      <c r="B154" s="80" t="s">
        <v>319</v>
      </c>
      <c r="C154" s="81" t="str">
        <f t="shared" si="18"/>
        <v>MWh/a</v>
      </c>
      <c r="D154" s="103"/>
      <c r="E154" s="103"/>
      <c r="F154" s="103"/>
      <c r="G154" s="103"/>
      <c r="H154" s="103"/>
      <c r="I154" s="103"/>
      <c r="J154" s="103"/>
      <c r="K154" s="103" t="str">
        <f>IF(Carnot_Grunddaten[[#Headers],[2022]]=Startseite!$D$68,IF(OR(SUMIF($D153:Carnot_Grunddaten[[#This Row],[2021]],"&gt;0")&gt;0,), AVERAGEIF($D153:Carnot_Grunddaten[[#This Row],[2021]],"&lt;&gt;"""), "0"),IF(Startseite!$D$68=(Carnot_Grunddaten[[#Headers],[2022]]-1),Carnot_Grunddaten[[#This Row],[2021]],IF(Startseite!$D$68&lt;Carnot_Grunddaten[[#Headers],[2022]],Carnot_Grunddaten[[#This Row],[2021]],"0")))</f>
        <v>0</v>
      </c>
      <c r="L154" s="103" t="str">
        <f>IF(Carnot_Grunddaten[[#Headers],[2023]]=Startseite!$D$68,IF(OR(SUMIF($D153:Carnot_Grunddaten[[#This Row],[2022]],"&gt;0")&gt;0,), AVERAGEIF($D153:Carnot_Grunddaten[[#This Row],[2022]],"&lt;&gt;"""), "0"),IF(Startseite!$D$68=(Carnot_Grunddaten[[#Headers],[2023]]-1),Carnot_Grunddaten[[#This Row],[2022]],IF(Startseite!$D$68&lt;Carnot_Grunddaten[[#Headers],[2023]],Carnot_Grunddaten[[#This Row],[2022]],"0")))</f>
        <v>0</v>
      </c>
      <c r="M154" s="103" t="str">
        <f>IF(Carnot_Grunddaten[[#Headers],[2024]]=Startseite!$D$68,IF(OR(SUMIF($D153:Carnot_Grunddaten[[#This Row],[2023]],"&gt;0")&gt;0,), AVERAGEIF($D153:Carnot_Grunddaten[[#This Row],[2023]],"&lt;&gt;"""), "0"),IF(Startseite!$D$68=(Carnot_Grunddaten[[#Headers],[2024]]-1),Carnot_Grunddaten[[#This Row],[2023]],IF(Startseite!$D$68&lt;Carnot_Grunddaten[[#Headers],[2024]],Carnot_Grunddaten[[#This Row],[2023]],"0")))</f>
        <v>0</v>
      </c>
      <c r="N154" s="103" t="str">
        <f>IF(Carnot_Grunddaten[[#Headers],[2025]]=Startseite!$D$68,IF(OR(SUMIF($D153:Carnot_Grunddaten[[#This Row],[2024]],"&gt;0")&gt;0,), AVERAGEIF($D153:Carnot_Grunddaten[[#This Row],[2024]],"&lt;&gt;"""), "0"),IF(Startseite!$D$68=(Carnot_Grunddaten[[#Headers],[2025]]-1),Carnot_Grunddaten[[#This Row],[2024]],IF(Startseite!$D$68&lt;Carnot_Grunddaten[[#Headers],[2025]],Carnot_Grunddaten[[#This Row],[2024]],"0")))</f>
        <v>0</v>
      </c>
      <c r="O154" s="103" t="str">
        <f>IF(Carnot_Grunddaten[[#Headers],[2026]]=Startseite!$D$68,IF(OR(SUMIF($D153:Carnot_Grunddaten[[#This Row],[2025]],"&gt;0")&gt;0,), AVERAGEIF($D153:Carnot_Grunddaten[[#This Row],[2025]],"&lt;&gt;"""), "0"),IF(Startseite!$D$68=(Carnot_Grunddaten[[#Headers],[2026]]-1),Carnot_Grunddaten[[#This Row],[2025]],IF(Startseite!$D$68&lt;Carnot_Grunddaten[[#Headers],[2026]],Carnot_Grunddaten[[#This Row],[2025]],"0")))</f>
        <v>0</v>
      </c>
      <c r="P154" s="103" t="str">
        <f>IF(Carnot_Grunddaten[[#Headers],[2027]]=Startseite!$D$68,IF(OR(SUMIF($D153:Carnot_Grunddaten[[#This Row],[2026]],"&gt;0")&gt;0,), AVERAGEIF($D153:Carnot_Grunddaten[[#This Row],[2026]],"&lt;&gt;"""), "0"),IF(Startseite!$D$68=(Carnot_Grunddaten[[#Headers],[2027]]-1),Carnot_Grunddaten[[#This Row],[2026]],IF(Startseite!$D$68&lt;Carnot_Grunddaten[[#Headers],[2027]],Carnot_Grunddaten[[#This Row],[2026]],"0")))</f>
        <v>0</v>
      </c>
      <c r="Q154" s="103" t="str">
        <f>IF(Carnot_Grunddaten[[#Headers],[2028]]=Startseite!$D$68,IF(OR(SUMIF($D153:Carnot_Grunddaten[[#This Row],[2027]],"&gt;0")&gt;0,), AVERAGEIF($D153:Carnot_Grunddaten[[#This Row],[2027]],"&lt;&gt;"""), "0"),IF(Startseite!$D$68=(Carnot_Grunddaten[[#Headers],[2028]]-1),Carnot_Grunddaten[[#This Row],[2027]],IF(Startseite!$D$68&lt;Carnot_Grunddaten[[#Headers],[2028]],Carnot_Grunddaten[[#This Row],[2027]],"0")))</f>
        <v>0</v>
      </c>
      <c r="R154" s="103" t="str">
        <f>IF(Carnot_Grunddaten[[#Headers],[2029]]=Startseite!$D$68,IF(OR(SUMIF($D153:Carnot_Grunddaten[[#This Row],[2028]],"&gt;0")&gt;0,), AVERAGEIF($D153:Carnot_Grunddaten[[#This Row],[2028]],"&lt;&gt;"""), "0"),IF(Startseite!$D$68=(Carnot_Grunddaten[[#Headers],[2029]]-1),Carnot_Grunddaten[[#This Row],[2028]],IF(Startseite!$D$68&lt;Carnot_Grunddaten[[#Headers],[2029]],Carnot_Grunddaten[[#This Row],[2028]],"0")))</f>
        <v>0</v>
      </c>
      <c r="S154" s="103" t="str">
        <f>IF(Carnot_Grunddaten[[#Headers],[2030]]=Startseite!$D$68,IF(OR(SUMIF($D153:Carnot_Grunddaten[[#This Row],[2029]],"&gt;0")&gt;0,), AVERAGEIF($D153:Carnot_Grunddaten[[#This Row],[2029]],"&lt;&gt;"""), "0"),IF(Startseite!$D$68=(Carnot_Grunddaten[[#Headers],[2030]]-1),Carnot_Grunddaten[[#This Row],[2029]],IF(Startseite!$D$68&lt;Carnot_Grunddaten[[#Headers],[2030]],Carnot_Grunddaten[[#This Row],[2029]],"0")))</f>
        <v>0</v>
      </c>
      <c r="T154" s="103" t="str">
        <f>IF(Carnot_Grunddaten[[#Headers],[2035]]=Startseite!$D$68,IF(OR(SUMIF($D153:Carnot_Grunddaten[[#This Row],[2030]],"&gt;0")&gt;0,), AVERAGEIF($D153:Carnot_Grunddaten[[#This Row],[2030]],"&lt;&gt;"""), "0"),IF(Startseite!$D$68=(Carnot_Grunddaten[[#Headers],[2035]]-1),Carnot_Grunddaten[[#This Row],[2030]],IF(Startseite!$D$68&lt;Carnot_Grunddaten[[#Headers],[2035]],Carnot_Grunddaten[[#This Row],[2030]],"0")))</f>
        <v>0</v>
      </c>
      <c r="U154" s="103" t="str">
        <f>IF(Carnot_Grunddaten[[#Headers],[2040]]=Startseite!$D$68,IF(OR(SUMIF($D153:Carnot_Grunddaten[[#This Row],[2035]],"&gt;0")&gt;0,), AVERAGEIF($D153:Carnot_Grunddaten[[#This Row],[2035]],"&lt;&gt;"""), "0"),IF(Startseite!$D$68=(Carnot_Grunddaten[[#Headers],[2040]]-1),Carnot_Grunddaten[[#This Row],[2035]],IF(Startseite!$D$68&lt;Carnot_Grunddaten[[#Headers],[2040]],Carnot_Grunddaten[[#This Row],[2035]],"0")))</f>
        <v>0</v>
      </c>
      <c r="V154" s="103" t="str">
        <f>IF(Carnot_Grunddaten[[#Headers],[2045]]=Startseite!$D$68,IF(OR(SUMIF($D153:Carnot_Grunddaten[[#This Row],[2040]],"&gt;0")&gt;0,), AVERAGEIF($D153:Carnot_Grunddaten[[#This Row],[2040]],"&lt;&gt;"""), "0"),IF(Startseite!$D$68=(Carnot_Grunddaten[[#Headers],[2045]]-1),Carnot_Grunddaten[[#This Row],[2040]],IF(Startseite!$D$68&lt;Carnot_Grunddaten[[#Headers],[2045]],Carnot_Grunddaten[[#This Row],[2040]],"0")))</f>
        <v>0</v>
      </c>
      <c r="W154" s="103" t="str">
        <f>IF(Carnot_Grunddaten[[#Headers],[2050]]=Startseite!$D$68,IF(OR(SUMIF($D153:Carnot_Grunddaten[[#This Row],[2045]],"&gt;0")&gt;0,), AVERAGEIF($D153:Carnot_Grunddaten[[#This Row],[2045]],"&lt;&gt;"""), "0"),IF(Startseite!$D$68=(Carnot_Grunddaten[[#Headers],[2050]]-1),Carnot_Grunddaten[[#This Row],[2045]],IF(Startseite!$D$68&lt;Carnot_Grunddaten[[#Headers],[2050]],Carnot_Grunddaten[[#This Row],[2045]],"0")))</f>
        <v>0</v>
      </c>
    </row>
    <row r="155" spans="2:24" ht="15.5" hidden="1">
      <c r="B155" s="80" t="s">
        <v>320</v>
      </c>
      <c r="C155" s="81" t="str">
        <f t="shared" si="18"/>
        <v>MWh/a</v>
      </c>
      <c r="D155" s="76">
        <f t="shared" ref="D155:W156" si="20">D150-D153</f>
        <v>0</v>
      </c>
      <c r="E155" s="76">
        <f t="shared" si="20"/>
        <v>0</v>
      </c>
      <c r="F155" s="76">
        <f t="shared" si="20"/>
        <v>0</v>
      </c>
      <c r="G155" s="76">
        <f t="shared" si="20"/>
        <v>0</v>
      </c>
      <c r="H155" s="76">
        <f t="shared" si="20"/>
        <v>0</v>
      </c>
      <c r="I155" s="76">
        <f t="shared" si="20"/>
        <v>0</v>
      </c>
      <c r="J155" s="76">
        <f t="shared" si="20"/>
        <v>0</v>
      </c>
      <c r="K155" s="76">
        <f t="shared" si="20"/>
        <v>0</v>
      </c>
      <c r="L155" s="76">
        <f t="shared" si="20"/>
        <v>0</v>
      </c>
      <c r="M155" s="76">
        <f t="shared" si="20"/>
        <v>0</v>
      </c>
      <c r="N155" s="76">
        <f t="shared" si="20"/>
        <v>0</v>
      </c>
      <c r="O155" s="76">
        <f t="shared" si="20"/>
        <v>0</v>
      </c>
      <c r="P155" s="76">
        <f t="shared" si="20"/>
        <v>0</v>
      </c>
      <c r="Q155" s="76">
        <f t="shared" si="20"/>
        <v>0</v>
      </c>
      <c r="R155" s="76">
        <f t="shared" si="20"/>
        <v>0</v>
      </c>
      <c r="S155" s="76">
        <f t="shared" si="20"/>
        <v>0</v>
      </c>
      <c r="T155" s="76">
        <f t="shared" si="20"/>
        <v>0</v>
      </c>
      <c r="U155" s="76">
        <f t="shared" si="20"/>
        <v>0</v>
      </c>
      <c r="V155" s="76">
        <f t="shared" si="20"/>
        <v>0</v>
      </c>
      <c r="W155" s="76">
        <f t="shared" si="20"/>
        <v>0</v>
      </c>
    </row>
    <row r="156" spans="2:24" ht="15.5" hidden="1">
      <c r="B156" s="80" t="s">
        <v>321</v>
      </c>
      <c r="C156" s="81" t="str">
        <f t="shared" si="18"/>
        <v>MWh/a</v>
      </c>
      <c r="D156" s="76">
        <f t="shared" si="20"/>
        <v>0</v>
      </c>
      <c r="E156" s="76">
        <f t="shared" si="20"/>
        <v>0</v>
      </c>
      <c r="F156" s="76">
        <f t="shared" si="20"/>
        <v>0</v>
      </c>
      <c r="G156" s="76">
        <f t="shared" si="20"/>
        <v>0</v>
      </c>
      <c r="H156" s="76">
        <f t="shared" si="20"/>
        <v>0</v>
      </c>
      <c r="I156" s="76">
        <f t="shared" si="20"/>
        <v>0</v>
      </c>
      <c r="J156" s="76">
        <f t="shared" si="20"/>
        <v>0</v>
      </c>
      <c r="K156" s="76">
        <f t="shared" si="20"/>
        <v>0</v>
      </c>
      <c r="L156" s="76">
        <f t="shared" si="20"/>
        <v>0</v>
      </c>
      <c r="M156" s="76">
        <f t="shared" si="20"/>
        <v>0</v>
      </c>
      <c r="N156" s="76">
        <f t="shared" si="20"/>
        <v>0</v>
      </c>
      <c r="O156" s="76">
        <f t="shared" si="20"/>
        <v>0</v>
      </c>
      <c r="P156" s="76">
        <f t="shared" si="20"/>
        <v>0</v>
      </c>
      <c r="Q156" s="76">
        <f t="shared" si="20"/>
        <v>0</v>
      </c>
      <c r="R156" s="76">
        <f t="shared" si="20"/>
        <v>0</v>
      </c>
      <c r="S156" s="76">
        <f t="shared" si="20"/>
        <v>0</v>
      </c>
      <c r="T156" s="76">
        <f t="shared" si="20"/>
        <v>0</v>
      </c>
      <c r="U156" s="76">
        <f t="shared" si="20"/>
        <v>0</v>
      </c>
      <c r="V156" s="76">
        <f t="shared" si="20"/>
        <v>0</v>
      </c>
      <c r="W156" s="76">
        <f t="shared" si="20"/>
        <v>0</v>
      </c>
    </row>
    <row r="157" spans="2:24" ht="15.5">
      <c r="B157" s="80" t="s">
        <v>322</v>
      </c>
      <c r="D157" s="104" t="s">
        <v>328</v>
      </c>
      <c r="E157" s="104" t="s">
        <v>328</v>
      </c>
      <c r="F157" s="104" t="s">
        <v>328</v>
      </c>
      <c r="G157" s="104" t="s">
        <v>328</v>
      </c>
      <c r="H157" s="104" t="s">
        <v>328</v>
      </c>
      <c r="I157" s="104" t="s">
        <v>328</v>
      </c>
      <c r="J157" s="104" t="s">
        <v>328</v>
      </c>
      <c r="K157" s="104" t="s">
        <v>328</v>
      </c>
      <c r="L157" s="104" t="s">
        <v>328</v>
      </c>
      <c r="M157" s="104" t="s">
        <v>328</v>
      </c>
      <c r="N157" s="104" t="s">
        <v>328</v>
      </c>
      <c r="O157" s="104" t="s">
        <v>328</v>
      </c>
      <c r="P157" s="104" t="s">
        <v>328</v>
      </c>
      <c r="Q157" s="104" t="s">
        <v>328</v>
      </c>
      <c r="R157" s="104" t="s">
        <v>328</v>
      </c>
      <c r="S157" s="104" t="s">
        <v>328</v>
      </c>
      <c r="T157" s="104" t="s">
        <v>328</v>
      </c>
      <c r="U157" s="104" t="s">
        <v>328</v>
      </c>
      <c r="V157" s="104" t="s">
        <v>328</v>
      </c>
      <c r="W157" s="104" t="s">
        <v>328</v>
      </c>
    </row>
    <row r="158" spans="2:24" ht="15.5" hidden="1">
      <c r="B158" s="80" t="s">
        <v>323</v>
      </c>
      <c r="C158" s="81" t="s">
        <v>324</v>
      </c>
      <c r="D158" s="82">
        <f>IF(ISERROR(VLOOKUP($B$146,Emissionsfaktoren!$C$182:$X$191,'Strommix &amp; BHKW'!D$145-2012,FALSE)),0,VLOOKUP('Strommix &amp; BHKW'!$B$146,Emissionsfaktoren!$C$182:$W$191,'Strommix &amp; BHKW'!D$145-2012,FALSE))</f>
        <v>0</v>
      </c>
      <c r="E158" s="82">
        <f>IF(ISERROR(VLOOKUP($B$146,Emissionsfaktoren!$C$182:$X$191,'Strommix &amp; BHKW'!E$145-2012,FALSE)),0,VLOOKUP('Strommix &amp; BHKW'!$B$146,Emissionsfaktoren!$C$182:$W$191,'Strommix &amp; BHKW'!E$145-2012,FALSE))</f>
        <v>0</v>
      </c>
      <c r="F158" s="82">
        <f>IF(ISERROR(VLOOKUP($B$146,Emissionsfaktoren!$C$182:$X$191,'Strommix &amp; BHKW'!F$145-2012,FALSE)),0,VLOOKUP('Strommix &amp; BHKW'!$B$146,Emissionsfaktoren!$C$182:$W$191,'Strommix &amp; BHKW'!F$145-2012,FALSE))</f>
        <v>0</v>
      </c>
      <c r="G158" s="82">
        <f>IF(ISERROR(VLOOKUP($B$146,Emissionsfaktoren!$C$182:$X$191,'Strommix &amp; BHKW'!G$145-2012,FALSE)),0,VLOOKUP('Strommix &amp; BHKW'!$B$146,Emissionsfaktoren!$C$182:$W$191,'Strommix &amp; BHKW'!G$145-2012,FALSE))</f>
        <v>0</v>
      </c>
      <c r="H158" s="82">
        <f>IF(ISERROR(VLOOKUP($B$146,Emissionsfaktoren!$C$182:$X$191,'Strommix &amp; BHKW'!H$145-2012,FALSE)),0,VLOOKUP('Strommix &amp; BHKW'!$B$146,Emissionsfaktoren!$C$182:$W$191,'Strommix &amp; BHKW'!H$145-2012,FALSE))</f>
        <v>0</v>
      </c>
      <c r="I158" s="82">
        <f>IF(ISERROR(VLOOKUP($B$146,Emissionsfaktoren!$C$182:$X$191,'Strommix &amp; BHKW'!I$145-2012,FALSE)),0,VLOOKUP('Strommix &amp; BHKW'!$B$146,Emissionsfaktoren!$C$182:$W$191,'Strommix &amp; BHKW'!I$145-2012,FALSE))</f>
        <v>0</v>
      </c>
      <c r="J158" s="82">
        <f>IF(ISERROR(VLOOKUP($B$146,Emissionsfaktoren!$C$182:$X$191,'Strommix &amp; BHKW'!J$145-2012,FALSE)),0,VLOOKUP('Strommix &amp; BHKW'!$B$146,Emissionsfaktoren!$C$182:$W$191,'Strommix &amp; BHKW'!J$145-2012,FALSE))</f>
        <v>0</v>
      </c>
      <c r="K158" s="82">
        <f>IF(ISERROR(VLOOKUP($B$146,Emissionsfaktoren!$C$182:$X$191,'Strommix &amp; BHKW'!K$145-2012,FALSE)),0,VLOOKUP('Strommix &amp; BHKW'!$B$146,Emissionsfaktoren!$C$182:$W$191,'Strommix &amp; BHKW'!K$145-2012,FALSE))</f>
        <v>0</v>
      </c>
      <c r="L158" s="82">
        <f>IF(ISERROR(VLOOKUP($B$146,Emissionsfaktoren!$C$182:$X$191,'Strommix &amp; BHKW'!L$145-2012,FALSE)),0,VLOOKUP('Strommix &amp; BHKW'!$B$146,Emissionsfaktoren!$C$182:$W$191,'Strommix &amp; BHKW'!L$145-2012,FALSE))</f>
        <v>0</v>
      </c>
      <c r="M158" s="82">
        <f>IF(ISERROR(VLOOKUP($B$146,Emissionsfaktoren!$C$182:$X$191,'Strommix &amp; BHKW'!M$145-2012,FALSE)),0,VLOOKUP('Strommix &amp; BHKW'!$B$146,Emissionsfaktoren!$C$182:$W$191,'Strommix &amp; BHKW'!M$145-2012,FALSE))</f>
        <v>0</v>
      </c>
      <c r="N158" s="82">
        <f>IF(ISERROR(VLOOKUP($B$146,Emissionsfaktoren!$C$182:$X$191,'Strommix &amp; BHKW'!N$145-2012,FALSE)),0,VLOOKUP('Strommix &amp; BHKW'!$B$146,Emissionsfaktoren!$C$182:$W$191,'Strommix &amp; BHKW'!N$145-2012,FALSE))</f>
        <v>0</v>
      </c>
      <c r="O158" s="82">
        <f>IF(ISERROR(VLOOKUP($B$146,Emissionsfaktoren!$C$182:$X$191,'Strommix &amp; BHKW'!O$145-2012,FALSE)),0,VLOOKUP('Strommix &amp; BHKW'!$B$146,Emissionsfaktoren!$C$182:$W$191,'Strommix &amp; BHKW'!O$145-2012,FALSE))</f>
        <v>0</v>
      </c>
      <c r="P158" s="82">
        <f>IF(ISERROR(VLOOKUP($B$146,Emissionsfaktoren!$C$182:$X$191,'Strommix &amp; BHKW'!P$145-2012,FALSE)),0,VLOOKUP('Strommix &amp; BHKW'!$B$146,Emissionsfaktoren!$C$182:$W$191,'Strommix &amp; BHKW'!P$145-2012,FALSE))</f>
        <v>0</v>
      </c>
      <c r="Q158" s="82">
        <f>IF(ISERROR(VLOOKUP($B$146,Emissionsfaktoren!$C$182:$X$191,'Strommix &amp; BHKW'!Q$145-2012,FALSE)),0,VLOOKUP('Strommix &amp; BHKW'!$B$146,Emissionsfaktoren!$C$182:$W$191,'Strommix &amp; BHKW'!Q$145-2012,FALSE))</f>
        <v>0</v>
      </c>
      <c r="R158" s="82">
        <f>IF(ISERROR(VLOOKUP($B$146,Emissionsfaktoren!$C$182:$X$191,'Strommix &amp; BHKW'!R$145-2012,FALSE)),0,VLOOKUP('Strommix &amp; BHKW'!$B$146,Emissionsfaktoren!$C$182:$W$191,'Strommix &amp; BHKW'!R$145-2012,FALSE))</f>
        <v>0</v>
      </c>
      <c r="S158" s="82">
        <f>IF(ISERROR(VLOOKUP($B$146,Emissionsfaktoren!$C$182:$X$191,'Strommix &amp; BHKW'!S$145-2012,FALSE)),0,VLOOKUP('Strommix &amp; BHKW'!$B$146,Emissionsfaktoren!$C$182:$W$191,'Strommix &amp; BHKW'!S$145-2012,FALSE))</f>
        <v>0</v>
      </c>
      <c r="T158" s="82">
        <f>IF(ISERROR(VLOOKUP($B$146,Emissionsfaktoren!$C$182:$X$191,'Strommix &amp; BHKW'!T$145-2012,FALSE)),0,VLOOKUP('Strommix &amp; BHKW'!$B$146,Emissionsfaktoren!$C$182:$W$191,'Strommix &amp; BHKW'!T$145-2012,FALSE))</f>
        <v>0</v>
      </c>
      <c r="U158" s="82">
        <f>IF(ISERROR(VLOOKUP($B$146,Emissionsfaktoren!$C$182:$X$191,'Strommix &amp; BHKW'!U$145-2012,FALSE)),0,VLOOKUP('Strommix &amp; BHKW'!$B$146,Emissionsfaktoren!$C$182:$W$191,'Strommix &amp; BHKW'!U$145-2012,FALSE))</f>
        <v>0</v>
      </c>
      <c r="V158" s="82">
        <f>IF(ISERROR(VLOOKUP($B$146,Emissionsfaktoren!$C$182:$X$191,'Strommix &amp; BHKW'!V$145-2012,FALSE)),0,VLOOKUP('Strommix &amp; BHKW'!$B$146,Emissionsfaktoren!$C$182:$W$191,'Strommix &amp; BHKW'!V$145-2012,FALSE))</f>
        <v>0</v>
      </c>
      <c r="W158" s="82">
        <f>IF(ISERROR(VLOOKUP($B$146,Emissionsfaktoren!$C$182:$X$191,'Strommix &amp; BHKW'!W$145-2012,FALSE)),0,VLOOKUP('Strommix &amp; BHKW'!$B$146,Emissionsfaktoren!$C$182:$W$191,'Strommix &amp; BHKW'!W$145-2012,FALSE))</f>
        <v>0</v>
      </c>
    </row>
    <row r="159" spans="2:24" ht="15.5" hidden="1">
      <c r="B159" s="80" t="s">
        <v>323</v>
      </c>
      <c r="C159" s="81" t="s">
        <v>324</v>
      </c>
      <c r="D159" s="82">
        <f>IF(ISERROR(VLOOKUP($B147,Emissionsfaktoren!$C$182:$X$191,'Strommix &amp; BHKW'!D$145-2012,FALSE)),0,VLOOKUP('Strommix &amp; BHKW'!$B147,Emissionsfaktoren!$C$182:$W$191,'Strommix &amp; BHKW'!D$145-2012,FALSE))</f>
        <v>0</v>
      </c>
      <c r="E159" s="82">
        <f>IF(ISERROR(VLOOKUP($B147,Emissionsfaktoren!$C$182:$X$191,'Strommix &amp; BHKW'!E$145-2012,FALSE)),0,VLOOKUP('Strommix &amp; BHKW'!$B147,Emissionsfaktoren!$C$182:$W$191,'Strommix &amp; BHKW'!E$145-2012,FALSE))</f>
        <v>0</v>
      </c>
      <c r="F159" s="82">
        <f>IF(ISERROR(VLOOKUP($B147,Emissionsfaktoren!$C$182:$X$191,'Strommix &amp; BHKW'!F$145-2012,FALSE)),0,VLOOKUP('Strommix &amp; BHKW'!$B147,Emissionsfaktoren!$C$182:$W$191,'Strommix &amp; BHKW'!F$145-2012,FALSE))</f>
        <v>0</v>
      </c>
      <c r="G159" s="82">
        <f>IF(ISERROR(VLOOKUP($B147,Emissionsfaktoren!$C$182:$X$191,'Strommix &amp; BHKW'!G$145-2012,FALSE)),0,VLOOKUP('Strommix &amp; BHKW'!$B147,Emissionsfaktoren!$C$182:$W$191,'Strommix &amp; BHKW'!G$145-2012,FALSE))</f>
        <v>0</v>
      </c>
      <c r="H159" s="82">
        <f>IF(ISERROR(VLOOKUP($B147,Emissionsfaktoren!$C$182:$X$191,'Strommix &amp; BHKW'!H$145-2012,FALSE)),0,VLOOKUP('Strommix &amp; BHKW'!$B147,Emissionsfaktoren!$C$182:$W$191,'Strommix &amp; BHKW'!H$145-2012,FALSE))</f>
        <v>0</v>
      </c>
      <c r="I159" s="82">
        <f>IF(ISERROR(VLOOKUP($B147,Emissionsfaktoren!$C$182:$X$191,'Strommix &amp; BHKW'!I$145-2012,FALSE)),0,VLOOKUP('Strommix &amp; BHKW'!$B147,Emissionsfaktoren!$C$182:$W$191,'Strommix &amp; BHKW'!I$145-2012,FALSE))</f>
        <v>0</v>
      </c>
      <c r="J159" s="82">
        <f>IF(ISERROR(VLOOKUP($B147,Emissionsfaktoren!$C$182:$X$191,'Strommix &amp; BHKW'!J$145-2012,FALSE)),0,VLOOKUP('Strommix &amp; BHKW'!$B147,Emissionsfaktoren!$C$182:$W$191,'Strommix &amp; BHKW'!J$145-2012,FALSE))</f>
        <v>0</v>
      </c>
      <c r="K159" s="82">
        <f>IF(ISERROR(VLOOKUP($B147,Emissionsfaktoren!$C$182:$X$191,'Strommix &amp; BHKW'!K$145-2012,FALSE)),0,VLOOKUP('Strommix &amp; BHKW'!$B147,Emissionsfaktoren!$C$182:$W$191,'Strommix &amp; BHKW'!K$145-2012,FALSE))</f>
        <v>0</v>
      </c>
      <c r="L159" s="82">
        <f>IF(ISERROR(VLOOKUP($B147,Emissionsfaktoren!$C$182:$X$191,'Strommix &amp; BHKW'!L$145-2012,FALSE)),0,VLOOKUP('Strommix &amp; BHKW'!$B147,Emissionsfaktoren!$C$182:$W$191,'Strommix &amp; BHKW'!L$145-2012,FALSE))</f>
        <v>0</v>
      </c>
      <c r="M159" s="82">
        <f>IF(ISERROR(VLOOKUP($B147,Emissionsfaktoren!$C$182:$X$191,'Strommix &amp; BHKW'!M$145-2012,FALSE)),0,VLOOKUP('Strommix &amp; BHKW'!$B147,Emissionsfaktoren!$C$182:$W$191,'Strommix &amp; BHKW'!M$145-2012,FALSE))</f>
        <v>0</v>
      </c>
      <c r="N159" s="82">
        <f>IF(ISERROR(VLOOKUP($B147,Emissionsfaktoren!$C$182:$X$191,'Strommix &amp; BHKW'!N$145-2012,FALSE)),0,VLOOKUP('Strommix &amp; BHKW'!$B147,Emissionsfaktoren!$C$182:$W$191,'Strommix &amp; BHKW'!N$145-2012,FALSE))</f>
        <v>0</v>
      </c>
      <c r="O159" s="82">
        <f>IF(ISERROR(VLOOKUP($B147,Emissionsfaktoren!$C$182:$X$191,'Strommix &amp; BHKW'!O$145-2012,FALSE)),0,VLOOKUP('Strommix &amp; BHKW'!$B147,Emissionsfaktoren!$C$182:$W$191,'Strommix &amp; BHKW'!O$145-2012,FALSE))</f>
        <v>0</v>
      </c>
      <c r="P159" s="82">
        <f>IF(ISERROR(VLOOKUP($B147,Emissionsfaktoren!$C$182:$X$191,'Strommix &amp; BHKW'!P$145-2012,FALSE)),0,VLOOKUP('Strommix &amp; BHKW'!$B147,Emissionsfaktoren!$C$182:$W$191,'Strommix &amp; BHKW'!P$145-2012,FALSE))</f>
        <v>0</v>
      </c>
      <c r="Q159" s="82">
        <f>IF(ISERROR(VLOOKUP($B147,Emissionsfaktoren!$C$182:$X$191,'Strommix &amp; BHKW'!Q$145-2012,FALSE)),0,VLOOKUP('Strommix &amp; BHKW'!$B147,Emissionsfaktoren!$C$182:$W$191,'Strommix &amp; BHKW'!Q$145-2012,FALSE))</f>
        <v>0</v>
      </c>
      <c r="R159" s="82">
        <f>IF(ISERROR(VLOOKUP($B147,Emissionsfaktoren!$C$182:$X$191,'Strommix &amp; BHKW'!R$145-2012,FALSE)),0,VLOOKUP('Strommix &amp; BHKW'!$B147,Emissionsfaktoren!$C$182:$W$191,'Strommix &amp; BHKW'!R$145-2012,FALSE))</f>
        <v>0</v>
      </c>
      <c r="S159" s="82">
        <f>IF(ISERROR(VLOOKUP($B147,Emissionsfaktoren!$C$182:$X$191,'Strommix &amp; BHKW'!S$145-2012,FALSE)),0,VLOOKUP('Strommix &amp; BHKW'!$B147,Emissionsfaktoren!$C$182:$W$191,'Strommix &amp; BHKW'!S$145-2012,FALSE))</f>
        <v>0</v>
      </c>
      <c r="T159" s="82">
        <f>IF(ISERROR(VLOOKUP($B147,Emissionsfaktoren!$C$182:$X$191,'Strommix &amp; BHKW'!T$145-2012,FALSE)),0,VLOOKUP('Strommix &amp; BHKW'!$B147,Emissionsfaktoren!$C$182:$W$191,'Strommix &amp; BHKW'!T$145-2012,FALSE))</f>
        <v>0</v>
      </c>
      <c r="U159" s="82">
        <f>IF(ISERROR(VLOOKUP($B147,Emissionsfaktoren!$C$182:$X$191,'Strommix &amp; BHKW'!U$145-2012,FALSE)),0,VLOOKUP('Strommix &amp; BHKW'!$B147,Emissionsfaktoren!$C$182:$W$191,'Strommix &amp; BHKW'!U$145-2012,FALSE))</f>
        <v>0</v>
      </c>
      <c r="V159" s="82">
        <f>IF(ISERROR(VLOOKUP($B147,Emissionsfaktoren!$C$182:$X$191,'Strommix &amp; BHKW'!V$145-2012,FALSE)),0,VLOOKUP('Strommix &amp; BHKW'!$B147,Emissionsfaktoren!$C$182:$W$191,'Strommix &amp; BHKW'!V$145-2012,FALSE))</f>
        <v>0</v>
      </c>
      <c r="W159" s="82">
        <f>IF(ISERROR(VLOOKUP($B147,Emissionsfaktoren!$C$182:$X$191,'Strommix &amp; BHKW'!W$145-2012,FALSE)),0,VLOOKUP('Strommix &amp; BHKW'!$B147,Emissionsfaktoren!$C$182:$W$191,'Strommix &amp; BHKW'!W$145-2012,FALSE))</f>
        <v>0</v>
      </c>
    </row>
    <row r="160" spans="2:24" ht="15.5" hidden="1">
      <c r="B160" s="80" t="s">
        <v>323</v>
      </c>
      <c r="C160" s="81" t="s">
        <v>324</v>
      </c>
      <c r="D160" s="82">
        <f>IF(ISERROR(VLOOKUP($B148,Emissionsfaktoren!$C$182:$X$191,'Strommix &amp; BHKW'!D$145-2012,FALSE)),0,VLOOKUP('Strommix &amp; BHKW'!$B148,Emissionsfaktoren!$C$182:$W$191,'Strommix &amp; BHKW'!D$145-2012,FALSE))</f>
        <v>0</v>
      </c>
      <c r="E160" s="82">
        <f>IF(ISERROR(VLOOKUP($B148,Emissionsfaktoren!$C$182:$X$191,'Strommix &amp; BHKW'!E$145-2012,FALSE)),0,VLOOKUP('Strommix &amp; BHKW'!$B148,Emissionsfaktoren!$C$182:$W$191,'Strommix &amp; BHKW'!E$145-2012,FALSE))</f>
        <v>0</v>
      </c>
      <c r="F160" s="82">
        <f>IF(ISERROR(VLOOKUP($B148,Emissionsfaktoren!$C$182:$X$191,'Strommix &amp; BHKW'!F$145-2012,FALSE)),0,VLOOKUP('Strommix &amp; BHKW'!$B148,Emissionsfaktoren!$C$182:$W$191,'Strommix &amp; BHKW'!F$145-2012,FALSE))</f>
        <v>0</v>
      </c>
      <c r="G160" s="82">
        <f>IF(ISERROR(VLOOKUP($B148,Emissionsfaktoren!$C$182:$X$191,'Strommix &amp; BHKW'!G$145-2012,FALSE)),0,VLOOKUP('Strommix &amp; BHKW'!$B148,Emissionsfaktoren!$C$182:$W$191,'Strommix &amp; BHKW'!G$145-2012,FALSE))</f>
        <v>0</v>
      </c>
      <c r="H160" s="82">
        <f>IF(ISERROR(VLOOKUP($B148,Emissionsfaktoren!$C$182:$X$191,'Strommix &amp; BHKW'!H$145-2012,FALSE)),0,VLOOKUP('Strommix &amp; BHKW'!$B148,Emissionsfaktoren!$C$182:$W$191,'Strommix &amp; BHKW'!H$145-2012,FALSE))</f>
        <v>0</v>
      </c>
      <c r="I160" s="82">
        <f>IF(ISERROR(VLOOKUP($B148,Emissionsfaktoren!$C$182:$X$191,'Strommix &amp; BHKW'!I$145-2012,FALSE)),0,VLOOKUP('Strommix &amp; BHKW'!$B148,Emissionsfaktoren!$C$182:$W$191,'Strommix &amp; BHKW'!I$145-2012,FALSE))</f>
        <v>0</v>
      </c>
      <c r="J160" s="82">
        <f>IF(ISERROR(VLOOKUP($B148,Emissionsfaktoren!$C$182:$X$191,'Strommix &amp; BHKW'!J$145-2012,FALSE)),0,VLOOKUP('Strommix &amp; BHKW'!$B148,Emissionsfaktoren!$C$182:$W$191,'Strommix &amp; BHKW'!J$145-2012,FALSE))</f>
        <v>0</v>
      </c>
      <c r="K160" s="82">
        <f>IF(ISERROR(VLOOKUP($B148,Emissionsfaktoren!$C$182:$X$191,'Strommix &amp; BHKW'!K$145-2012,FALSE)),0,VLOOKUP('Strommix &amp; BHKW'!$B148,Emissionsfaktoren!$C$182:$W$191,'Strommix &amp; BHKW'!K$145-2012,FALSE))</f>
        <v>0</v>
      </c>
      <c r="L160" s="82">
        <f>IF(ISERROR(VLOOKUP($B148,Emissionsfaktoren!$C$182:$X$191,'Strommix &amp; BHKW'!L$145-2012,FALSE)),0,VLOOKUP('Strommix &amp; BHKW'!$B148,Emissionsfaktoren!$C$182:$W$191,'Strommix &amp; BHKW'!L$145-2012,FALSE))</f>
        <v>0</v>
      </c>
      <c r="M160" s="82">
        <f>IF(ISERROR(VLOOKUP($B148,Emissionsfaktoren!$C$182:$X$191,'Strommix &amp; BHKW'!M$145-2012,FALSE)),0,VLOOKUP('Strommix &amp; BHKW'!$B148,Emissionsfaktoren!$C$182:$W$191,'Strommix &amp; BHKW'!M$145-2012,FALSE))</f>
        <v>0</v>
      </c>
      <c r="N160" s="82">
        <f>IF(ISERROR(VLOOKUP($B148,Emissionsfaktoren!$C$182:$X$191,'Strommix &amp; BHKW'!N$145-2012,FALSE)),0,VLOOKUP('Strommix &amp; BHKW'!$B148,Emissionsfaktoren!$C$182:$W$191,'Strommix &amp; BHKW'!N$145-2012,FALSE))</f>
        <v>0</v>
      </c>
      <c r="O160" s="82">
        <f>IF(ISERROR(VLOOKUP($B148,Emissionsfaktoren!$C$182:$X$191,'Strommix &amp; BHKW'!O$145-2012,FALSE)),0,VLOOKUP('Strommix &amp; BHKW'!$B148,Emissionsfaktoren!$C$182:$W$191,'Strommix &amp; BHKW'!O$145-2012,FALSE))</f>
        <v>0</v>
      </c>
      <c r="P160" s="82">
        <f>IF(ISERROR(VLOOKUP($B148,Emissionsfaktoren!$C$182:$X$191,'Strommix &amp; BHKW'!P$145-2012,FALSE)),0,VLOOKUP('Strommix &amp; BHKW'!$B148,Emissionsfaktoren!$C$182:$W$191,'Strommix &amp; BHKW'!P$145-2012,FALSE))</f>
        <v>0</v>
      </c>
      <c r="Q160" s="82">
        <f>IF(ISERROR(VLOOKUP($B148,Emissionsfaktoren!$C$182:$X$191,'Strommix &amp; BHKW'!Q$145-2012,FALSE)),0,VLOOKUP('Strommix &amp; BHKW'!$B148,Emissionsfaktoren!$C$182:$W$191,'Strommix &amp; BHKW'!Q$145-2012,FALSE))</f>
        <v>0</v>
      </c>
      <c r="R160" s="82">
        <f>IF(ISERROR(VLOOKUP($B148,Emissionsfaktoren!$C$182:$X$191,'Strommix &amp; BHKW'!R$145-2012,FALSE)),0,VLOOKUP('Strommix &amp; BHKW'!$B148,Emissionsfaktoren!$C$182:$W$191,'Strommix &amp; BHKW'!R$145-2012,FALSE))</f>
        <v>0</v>
      </c>
      <c r="S160" s="82">
        <f>IF(ISERROR(VLOOKUP($B148,Emissionsfaktoren!$C$182:$X$191,'Strommix &amp; BHKW'!S$145-2012,FALSE)),0,VLOOKUP('Strommix &amp; BHKW'!$B148,Emissionsfaktoren!$C$182:$W$191,'Strommix &amp; BHKW'!S$145-2012,FALSE))</f>
        <v>0</v>
      </c>
      <c r="T160" s="82">
        <f>IF(ISERROR(VLOOKUP($B148,Emissionsfaktoren!$C$182:$X$191,'Strommix &amp; BHKW'!T$145-2012,FALSE)),0,VLOOKUP('Strommix &amp; BHKW'!$B148,Emissionsfaktoren!$C$182:$W$191,'Strommix &amp; BHKW'!T$145-2012,FALSE))</f>
        <v>0</v>
      </c>
      <c r="U160" s="82">
        <f>IF(ISERROR(VLOOKUP($B148,Emissionsfaktoren!$C$182:$X$191,'Strommix &amp; BHKW'!U$145-2012,FALSE)),0,VLOOKUP('Strommix &amp; BHKW'!$B148,Emissionsfaktoren!$C$182:$W$191,'Strommix &amp; BHKW'!U$145-2012,FALSE))</f>
        <v>0</v>
      </c>
      <c r="V160" s="82">
        <f>IF(ISERROR(VLOOKUP($B148,Emissionsfaktoren!$C$182:$X$191,'Strommix &amp; BHKW'!V$145-2012,FALSE)),0,VLOOKUP('Strommix &amp; BHKW'!$B148,Emissionsfaktoren!$C$182:$W$191,'Strommix &amp; BHKW'!V$145-2012,FALSE))</f>
        <v>0</v>
      </c>
      <c r="W160" s="82">
        <f>IF(ISERROR(VLOOKUP($B148,Emissionsfaktoren!$C$182:$X$191,'Strommix &amp; BHKW'!W$145-2012,FALSE)),0,VLOOKUP('Strommix &amp; BHKW'!$B148,Emissionsfaktoren!$C$182:$W$191,'Strommix &amp; BHKW'!W$145-2012,FALSE))</f>
        <v>0</v>
      </c>
    </row>
    <row r="161" spans="2:24" ht="15.5">
      <c r="B161" s="64"/>
      <c r="C161" s="63"/>
      <c r="D161" s="64"/>
      <c r="E161" s="65"/>
      <c r="F161" s="83"/>
      <c r="G161" s="64"/>
      <c r="H161" s="63"/>
      <c r="I161" s="66"/>
      <c r="J161" s="66"/>
      <c r="K161" s="66"/>
      <c r="L161" s="66"/>
      <c r="M161" s="66"/>
    </row>
    <row r="162" spans="2:24" ht="15.5" hidden="1">
      <c r="B162" s="75" t="s">
        <v>325</v>
      </c>
      <c r="C162" s="80"/>
      <c r="D162" s="80"/>
      <c r="E162" s="84"/>
      <c r="F162" s="83"/>
      <c r="G162" s="64"/>
      <c r="H162" s="63"/>
      <c r="I162" s="66"/>
      <c r="J162" s="66"/>
      <c r="K162" s="66"/>
      <c r="L162" s="66"/>
      <c r="M162" s="66"/>
    </row>
    <row r="163" spans="2:24" ht="15.5" hidden="1">
      <c r="B163" s="80" t="s">
        <v>326</v>
      </c>
      <c r="C163" s="85">
        <v>0.3</v>
      </c>
      <c r="D163" s="80" t="s">
        <v>327</v>
      </c>
      <c r="E163" s="84"/>
      <c r="F163" s="83"/>
      <c r="G163" s="64"/>
      <c r="H163" s="63"/>
      <c r="I163" s="66"/>
      <c r="J163" s="66"/>
      <c r="K163" s="66"/>
      <c r="L163" s="66"/>
      <c r="M163" s="66"/>
    </row>
    <row r="164" spans="2:24" ht="15.5" hidden="1">
      <c r="B164" s="80" t="s">
        <v>328</v>
      </c>
      <c r="C164" s="80">
        <v>0.22</v>
      </c>
      <c r="D164" s="80" t="s">
        <v>329</v>
      </c>
      <c r="E164" s="84"/>
      <c r="F164" s="83"/>
      <c r="G164" s="64"/>
      <c r="H164" s="63"/>
      <c r="I164" s="66"/>
      <c r="J164" s="66"/>
      <c r="K164" s="66"/>
      <c r="L164" s="66"/>
      <c r="M164" s="66"/>
    </row>
    <row r="165" spans="2:24" ht="15.5" hidden="1">
      <c r="B165" s="80" t="s">
        <v>330</v>
      </c>
      <c r="C165" s="80">
        <v>0.19</v>
      </c>
      <c r="D165" s="80" t="s">
        <v>331</v>
      </c>
      <c r="E165" s="84"/>
      <c r="F165" s="83"/>
      <c r="G165" s="64"/>
      <c r="H165" s="63"/>
      <c r="I165" s="66"/>
      <c r="J165" s="66"/>
      <c r="K165" s="66"/>
      <c r="L165" s="66"/>
      <c r="M165" s="66"/>
    </row>
    <row r="166" spans="2:24" ht="15.5" hidden="1">
      <c r="B166" s="80" t="s">
        <v>332</v>
      </c>
      <c r="C166" s="80">
        <v>0.15</v>
      </c>
      <c r="D166" s="80" t="s">
        <v>333</v>
      </c>
      <c r="E166" s="84"/>
      <c r="F166" s="83"/>
      <c r="G166" s="64"/>
      <c r="H166" s="63"/>
      <c r="I166" s="66"/>
      <c r="J166" s="66"/>
      <c r="K166" s="66"/>
      <c r="L166" s="66"/>
      <c r="M166" s="66"/>
    </row>
    <row r="167" spans="2:24" ht="15.5" hidden="1">
      <c r="B167" s="80"/>
      <c r="C167" s="80"/>
      <c r="D167" s="80"/>
      <c r="E167" s="84"/>
      <c r="F167" s="83"/>
      <c r="G167" s="64"/>
      <c r="H167" s="63"/>
      <c r="I167" s="66"/>
      <c r="J167" s="66"/>
      <c r="K167" s="66"/>
      <c r="L167" s="66"/>
      <c r="M167" s="66"/>
    </row>
    <row r="168" spans="2:24" ht="15.5" hidden="1">
      <c r="B168" s="71" t="s">
        <v>334</v>
      </c>
      <c r="C168" s="63"/>
      <c r="D168" s="80"/>
      <c r="E168" s="81"/>
      <c r="F168" s="76"/>
      <c r="G168" s="64"/>
      <c r="H168" s="63"/>
      <c r="I168" s="66"/>
      <c r="J168" s="66"/>
      <c r="K168" s="66"/>
      <c r="L168" s="66"/>
      <c r="M168" s="66"/>
    </row>
    <row r="169" spans="2:24" hidden="1">
      <c r="B169" s="73" t="s">
        <v>250</v>
      </c>
      <c r="C169" s="73" t="s">
        <v>2</v>
      </c>
      <c r="D169" s="73" t="s">
        <v>3</v>
      </c>
      <c r="E169" s="73" t="s">
        <v>4</v>
      </c>
      <c r="F169" s="73" t="s">
        <v>5</v>
      </c>
      <c r="G169" s="73" t="s">
        <v>6</v>
      </c>
      <c r="H169" s="73" t="s">
        <v>7</v>
      </c>
      <c r="I169" s="73" t="s">
        <v>8</v>
      </c>
      <c r="J169" s="73" t="s">
        <v>9</v>
      </c>
      <c r="K169" s="73" t="s">
        <v>10</v>
      </c>
      <c r="L169" s="73" t="s">
        <v>11</v>
      </c>
      <c r="M169" s="73" t="s">
        <v>12</v>
      </c>
      <c r="N169" s="73" t="s">
        <v>13</v>
      </c>
      <c r="O169" s="73" t="s">
        <v>14</v>
      </c>
      <c r="P169" s="73" t="s">
        <v>216</v>
      </c>
      <c r="Q169" s="73" t="s">
        <v>217</v>
      </c>
      <c r="R169" s="73" t="s">
        <v>218</v>
      </c>
      <c r="S169" s="73" t="s">
        <v>15</v>
      </c>
      <c r="T169" s="73" t="s">
        <v>16</v>
      </c>
      <c r="U169" s="73" t="s">
        <v>17</v>
      </c>
      <c r="V169" s="73" t="s">
        <v>18</v>
      </c>
      <c r="W169" s="73" t="s">
        <v>19</v>
      </c>
      <c r="X169" s="73" t="s">
        <v>37</v>
      </c>
    </row>
    <row r="170" spans="2:24" ht="15.5" hidden="1">
      <c r="B170" s="80" t="s">
        <v>162</v>
      </c>
      <c r="C170" s="87"/>
      <c r="D170" s="86">
        <f t="shared" ref="D170:W170" si="21">IF((D157=$B$163),1,IF(D157=$B$164,2,IF(D157=$B$165,3,IF(D157=$B$166,4,"Fehler"))))</f>
        <v>2</v>
      </c>
      <c r="E170" s="86">
        <f t="shared" si="21"/>
        <v>2</v>
      </c>
      <c r="F170" s="86">
        <f t="shared" si="21"/>
        <v>2</v>
      </c>
      <c r="G170" s="86">
        <f t="shared" si="21"/>
        <v>2</v>
      </c>
      <c r="H170" s="86">
        <f t="shared" si="21"/>
        <v>2</v>
      </c>
      <c r="I170" s="86">
        <f t="shared" si="21"/>
        <v>2</v>
      </c>
      <c r="J170" s="86">
        <f t="shared" si="21"/>
        <v>2</v>
      </c>
      <c r="K170" s="86">
        <f t="shared" si="21"/>
        <v>2</v>
      </c>
      <c r="L170" s="86">
        <f t="shared" si="21"/>
        <v>2</v>
      </c>
      <c r="M170" s="86">
        <f t="shared" si="21"/>
        <v>2</v>
      </c>
      <c r="N170" s="86">
        <f t="shared" si="21"/>
        <v>2</v>
      </c>
      <c r="O170" s="86">
        <f t="shared" si="21"/>
        <v>2</v>
      </c>
      <c r="P170" s="86">
        <f t="shared" si="21"/>
        <v>2</v>
      </c>
      <c r="Q170" s="86">
        <f t="shared" si="21"/>
        <v>2</v>
      </c>
      <c r="R170" s="86">
        <f t="shared" si="21"/>
        <v>2</v>
      </c>
      <c r="S170" s="86">
        <f t="shared" si="21"/>
        <v>2</v>
      </c>
      <c r="T170" s="86">
        <f t="shared" si="21"/>
        <v>2</v>
      </c>
      <c r="U170" s="86">
        <f t="shared" si="21"/>
        <v>2</v>
      </c>
      <c r="V170" s="86">
        <f t="shared" si="21"/>
        <v>2</v>
      </c>
      <c r="W170" s="86">
        <f t="shared" si="21"/>
        <v>2</v>
      </c>
    </row>
    <row r="171" spans="2:24" ht="15.5" hidden="1">
      <c r="B171" s="80" t="s">
        <v>335</v>
      </c>
      <c r="C171" s="87" t="s">
        <v>336</v>
      </c>
      <c r="D171" s="89">
        <f t="shared" ref="D171:W171" si="22">(+D146*D158+D147*D159+D148*D160)/1000</f>
        <v>0</v>
      </c>
      <c r="E171" s="89">
        <f t="shared" si="22"/>
        <v>0</v>
      </c>
      <c r="F171" s="89">
        <f t="shared" si="22"/>
        <v>0</v>
      </c>
      <c r="G171" s="89">
        <f t="shared" si="22"/>
        <v>0</v>
      </c>
      <c r="H171" s="89">
        <f t="shared" si="22"/>
        <v>0</v>
      </c>
      <c r="I171" s="89">
        <f t="shared" si="22"/>
        <v>0</v>
      </c>
      <c r="J171" s="89">
        <f t="shared" si="22"/>
        <v>0</v>
      </c>
      <c r="K171" s="89">
        <f t="shared" si="22"/>
        <v>0</v>
      </c>
      <c r="L171" s="89">
        <f t="shared" si="22"/>
        <v>0</v>
      </c>
      <c r="M171" s="89">
        <f t="shared" si="22"/>
        <v>0</v>
      </c>
      <c r="N171" s="89">
        <f t="shared" si="22"/>
        <v>0</v>
      </c>
      <c r="O171" s="89">
        <f t="shared" si="22"/>
        <v>0</v>
      </c>
      <c r="P171" s="89">
        <f t="shared" si="22"/>
        <v>0</v>
      </c>
      <c r="Q171" s="89">
        <f t="shared" si="22"/>
        <v>0</v>
      </c>
      <c r="R171" s="89">
        <f t="shared" si="22"/>
        <v>0</v>
      </c>
      <c r="S171" s="89">
        <f t="shared" si="22"/>
        <v>0</v>
      </c>
      <c r="T171" s="89">
        <f t="shared" si="22"/>
        <v>0</v>
      </c>
      <c r="U171" s="89">
        <f t="shared" si="22"/>
        <v>0</v>
      </c>
      <c r="V171" s="89">
        <f t="shared" si="22"/>
        <v>0</v>
      </c>
      <c r="W171" s="89">
        <f t="shared" si="22"/>
        <v>0</v>
      </c>
    </row>
    <row r="172" spans="2:24" ht="15.5" hidden="1">
      <c r="B172" s="80" t="s">
        <v>337</v>
      </c>
      <c r="C172" s="87" t="s">
        <v>338</v>
      </c>
      <c r="D172" s="89">
        <v>1</v>
      </c>
      <c r="E172" s="90">
        <v>1</v>
      </c>
      <c r="F172" s="90">
        <v>1</v>
      </c>
      <c r="G172" s="90">
        <v>1</v>
      </c>
      <c r="H172" s="90">
        <v>1</v>
      </c>
      <c r="I172" s="90">
        <v>1</v>
      </c>
      <c r="J172" s="90">
        <v>1</v>
      </c>
      <c r="K172" s="90">
        <v>1</v>
      </c>
      <c r="L172" s="90">
        <v>1</v>
      </c>
      <c r="M172" s="90">
        <v>1</v>
      </c>
      <c r="N172" s="90">
        <v>1</v>
      </c>
      <c r="O172" s="90">
        <v>1</v>
      </c>
      <c r="P172" s="90">
        <v>1</v>
      </c>
      <c r="Q172" s="90">
        <v>1</v>
      </c>
      <c r="R172" s="90">
        <v>1</v>
      </c>
      <c r="S172" s="90">
        <v>1</v>
      </c>
      <c r="T172" s="90">
        <v>1</v>
      </c>
      <c r="U172" s="90">
        <v>1</v>
      </c>
      <c r="V172" s="90">
        <v>1</v>
      </c>
      <c r="W172" s="90">
        <v>1</v>
      </c>
    </row>
    <row r="173" spans="2:24" ht="15.5" hidden="1">
      <c r="B173" s="80" t="s">
        <v>339</v>
      </c>
      <c r="C173" s="87" t="s">
        <v>338</v>
      </c>
      <c r="D173" s="90">
        <f t="shared" ref="D173:W173" si="23">IF($D$170=1,$C$163,IF($D$170=2,$C$164,IF($D$170=3,$C$165,$C$166)))</f>
        <v>0.22</v>
      </c>
      <c r="E173" s="90">
        <f t="shared" si="23"/>
        <v>0.22</v>
      </c>
      <c r="F173" s="90">
        <f t="shared" si="23"/>
        <v>0.22</v>
      </c>
      <c r="G173" s="90">
        <f t="shared" si="23"/>
        <v>0.22</v>
      </c>
      <c r="H173" s="90">
        <f t="shared" si="23"/>
        <v>0.22</v>
      </c>
      <c r="I173" s="90">
        <f t="shared" si="23"/>
        <v>0.22</v>
      </c>
      <c r="J173" s="90">
        <f t="shared" si="23"/>
        <v>0.22</v>
      </c>
      <c r="K173" s="90">
        <f t="shared" si="23"/>
        <v>0.22</v>
      </c>
      <c r="L173" s="90">
        <f t="shared" si="23"/>
        <v>0.22</v>
      </c>
      <c r="M173" s="90">
        <f t="shared" si="23"/>
        <v>0.22</v>
      </c>
      <c r="N173" s="90">
        <f t="shared" si="23"/>
        <v>0.22</v>
      </c>
      <c r="O173" s="90">
        <f t="shared" si="23"/>
        <v>0.22</v>
      </c>
      <c r="P173" s="90">
        <f t="shared" si="23"/>
        <v>0.22</v>
      </c>
      <c r="Q173" s="90">
        <f t="shared" si="23"/>
        <v>0.22</v>
      </c>
      <c r="R173" s="90">
        <f t="shared" si="23"/>
        <v>0.22</v>
      </c>
      <c r="S173" s="90">
        <f t="shared" si="23"/>
        <v>0.22</v>
      </c>
      <c r="T173" s="90">
        <f t="shared" si="23"/>
        <v>0.22</v>
      </c>
      <c r="U173" s="90">
        <f t="shared" si="23"/>
        <v>0.22</v>
      </c>
      <c r="V173" s="90">
        <f t="shared" si="23"/>
        <v>0.22</v>
      </c>
      <c r="W173" s="90">
        <f t="shared" si="23"/>
        <v>0.22</v>
      </c>
    </row>
    <row r="174" spans="2:24" ht="15.5" hidden="1">
      <c r="B174" s="80" t="s">
        <v>340</v>
      </c>
      <c r="C174" s="87" t="s">
        <v>341</v>
      </c>
      <c r="D174" s="88" t="str">
        <f t="shared" ref="D174:W174" si="24">IF(AND(ISNUMBER(D151),ISNUMBER(D172)),(+D172*D151)/((D172*D151)+(D173*D150)),"")</f>
        <v/>
      </c>
      <c r="E174" s="88" t="str">
        <f t="shared" si="24"/>
        <v/>
      </c>
      <c r="F174" s="88" t="str">
        <f t="shared" si="24"/>
        <v/>
      </c>
      <c r="G174" s="88" t="str">
        <f t="shared" si="24"/>
        <v/>
      </c>
      <c r="H174" s="88" t="str">
        <f t="shared" si="24"/>
        <v/>
      </c>
      <c r="I174" s="88" t="str">
        <f t="shared" si="24"/>
        <v/>
      </c>
      <c r="J174" s="88" t="str">
        <f t="shared" si="24"/>
        <v/>
      </c>
      <c r="K174" s="88" t="str">
        <f t="shared" si="24"/>
        <v/>
      </c>
      <c r="L174" s="88" t="str">
        <f t="shared" si="24"/>
        <v/>
      </c>
      <c r="M174" s="88" t="str">
        <f t="shared" si="24"/>
        <v/>
      </c>
      <c r="N174" s="88" t="str">
        <f t="shared" si="24"/>
        <v/>
      </c>
      <c r="O174" s="88" t="str">
        <f t="shared" si="24"/>
        <v/>
      </c>
      <c r="P174" s="88" t="str">
        <f t="shared" si="24"/>
        <v/>
      </c>
      <c r="Q174" s="88" t="str">
        <f t="shared" si="24"/>
        <v/>
      </c>
      <c r="R174" s="88" t="str">
        <f t="shared" si="24"/>
        <v/>
      </c>
      <c r="S174" s="88" t="str">
        <f t="shared" si="24"/>
        <v/>
      </c>
      <c r="T174" s="88" t="str">
        <f t="shared" si="24"/>
        <v/>
      </c>
      <c r="U174" s="88" t="str">
        <f t="shared" si="24"/>
        <v/>
      </c>
      <c r="V174" s="88" t="str">
        <f t="shared" si="24"/>
        <v/>
      </c>
      <c r="W174" s="88" t="str">
        <f t="shared" si="24"/>
        <v/>
      </c>
    </row>
    <row r="175" spans="2:24" ht="15.5" hidden="1">
      <c r="B175" s="80" t="s">
        <v>342</v>
      </c>
      <c r="C175" s="87" t="s">
        <v>341</v>
      </c>
      <c r="D175" s="88" t="str">
        <f t="shared" ref="D175:W175" si="25">IF(AND(ISNUMBER(D150),ISNUMBER(D151)),+(D173*D150)/((D172*D151)+(D173*D150)),"")</f>
        <v/>
      </c>
      <c r="E175" s="88" t="str">
        <f t="shared" si="25"/>
        <v/>
      </c>
      <c r="F175" s="88" t="str">
        <f t="shared" si="25"/>
        <v/>
      </c>
      <c r="G175" s="88" t="str">
        <f t="shared" si="25"/>
        <v/>
      </c>
      <c r="H175" s="88" t="str">
        <f t="shared" si="25"/>
        <v/>
      </c>
      <c r="I175" s="88" t="str">
        <f t="shared" si="25"/>
        <v/>
      </c>
      <c r="J175" s="88" t="str">
        <f t="shared" si="25"/>
        <v/>
      </c>
      <c r="K175" s="88" t="str">
        <f t="shared" si="25"/>
        <v/>
      </c>
      <c r="L175" s="88" t="str">
        <f t="shared" si="25"/>
        <v/>
      </c>
      <c r="M175" s="88" t="str">
        <f t="shared" si="25"/>
        <v/>
      </c>
      <c r="N175" s="88" t="str">
        <f t="shared" si="25"/>
        <v/>
      </c>
      <c r="O175" s="88" t="str">
        <f t="shared" si="25"/>
        <v/>
      </c>
      <c r="P175" s="88" t="str">
        <f t="shared" si="25"/>
        <v/>
      </c>
      <c r="Q175" s="88" t="str">
        <f t="shared" si="25"/>
        <v/>
      </c>
      <c r="R175" s="88" t="str">
        <f t="shared" si="25"/>
        <v/>
      </c>
      <c r="S175" s="88" t="str">
        <f t="shared" si="25"/>
        <v/>
      </c>
      <c r="T175" s="88" t="str">
        <f t="shared" si="25"/>
        <v/>
      </c>
      <c r="U175" s="88" t="str">
        <f t="shared" si="25"/>
        <v/>
      </c>
      <c r="V175" s="88" t="str">
        <f t="shared" si="25"/>
        <v/>
      </c>
      <c r="W175" s="88" t="str">
        <f t="shared" si="25"/>
        <v/>
      </c>
    </row>
    <row r="176" spans="2:24" ht="15.5" hidden="1">
      <c r="B176" s="64"/>
      <c r="C176" s="63"/>
      <c r="D176" s="64"/>
      <c r="E176" s="65"/>
      <c r="F176" s="83"/>
      <c r="G176" s="64"/>
      <c r="H176" s="63"/>
      <c r="I176" s="66"/>
      <c r="J176" s="66"/>
      <c r="K176" s="66"/>
      <c r="L176" s="66"/>
      <c r="M176" s="66"/>
    </row>
    <row r="177" spans="2:24" ht="15.5" hidden="1">
      <c r="B177" s="71" t="s">
        <v>343</v>
      </c>
      <c r="C177" s="63"/>
      <c r="D177" s="64"/>
      <c r="E177" s="65"/>
      <c r="F177" s="83"/>
      <c r="G177" s="64"/>
      <c r="H177" s="63"/>
      <c r="I177" s="66"/>
      <c r="J177" s="66"/>
      <c r="K177" s="66"/>
      <c r="L177" s="66"/>
      <c r="M177" s="66"/>
    </row>
    <row r="178" spans="2:24" hidden="1">
      <c r="B178" s="91" t="s">
        <v>33</v>
      </c>
      <c r="C178" s="91" t="s">
        <v>2</v>
      </c>
      <c r="D178" s="91" t="s">
        <v>3</v>
      </c>
      <c r="E178" s="91" t="s">
        <v>4</v>
      </c>
      <c r="F178" s="91" t="s">
        <v>5</v>
      </c>
      <c r="G178" s="91" t="s">
        <v>6</v>
      </c>
      <c r="H178" s="91" t="s">
        <v>7</v>
      </c>
      <c r="I178" s="91" t="s">
        <v>8</v>
      </c>
      <c r="J178" s="91" t="s">
        <v>9</v>
      </c>
      <c r="K178" s="91" t="s">
        <v>10</v>
      </c>
      <c r="L178" s="91" t="s">
        <v>11</v>
      </c>
      <c r="M178" s="91" t="s">
        <v>12</v>
      </c>
      <c r="N178" s="91" t="s">
        <v>13</v>
      </c>
      <c r="O178" s="91" t="s">
        <v>14</v>
      </c>
      <c r="P178" s="91" t="s">
        <v>216</v>
      </c>
      <c r="Q178" s="91" t="s">
        <v>217</v>
      </c>
      <c r="R178" s="91" t="s">
        <v>218</v>
      </c>
      <c r="S178" s="91" t="s">
        <v>15</v>
      </c>
      <c r="T178" s="91" t="s">
        <v>16</v>
      </c>
      <c r="U178" s="91" t="s">
        <v>17</v>
      </c>
      <c r="V178" s="91" t="s">
        <v>18</v>
      </c>
      <c r="W178" s="91" t="s">
        <v>19</v>
      </c>
      <c r="X178" s="92" t="s">
        <v>37</v>
      </c>
    </row>
    <row r="179" spans="2:24" ht="15.5" hidden="1">
      <c r="B179" s="80" t="s">
        <v>344</v>
      </c>
      <c r="C179" s="81" t="s">
        <v>336</v>
      </c>
      <c r="D179" s="76" t="str">
        <f t="shared" ref="D179:W179" si="26">IF(AND(ISNUMBER(D174)),+D171*D174,"")</f>
        <v/>
      </c>
      <c r="E179" s="76" t="str">
        <f t="shared" si="26"/>
        <v/>
      </c>
      <c r="F179" s="76" t="str">
        <f t="shared" si="26"/>
        <v/>
      </c>
      <c r="G179" s="76" t="str">
        <f t="shared" si="26"/>
        <v/>
      </c>
      <c r="H179" s="76" t="str">
        <f t="shared" si="26"/>
        <v/>
      </c>
      <c r="I179" s="76" t="str">
        <f t="shared" si="26"/>
        <v/>
      </c>
      <c r="J179" s="76" t="str">
        <f t="shared" si="26"/>
        <v/>
      </c>
      <c r="K179" s="76" t="str">
        <f t="shared" si="26"/>
        <v/>
      </c>
      <c r="L179" s="76" t="str">
        <f t="shared" si="26"/>
        <v/>
      </c>
      <c r="M179" s="76" t="str">
        <f t="shared" si="26"/>
        <v/>
      </c>
      <c r="N179" s="76" t="str">
        <f t="shared" si="26"/>
        <v/>
      </c>
      <c r="O179" s="76" t="str">
        <f t="shared" si="26"/>
        <v/>
      </c>
      <c r="P179" s="76" t="str">
        <f t="shared" si="26"/>
        <v/>
      </c>
      <c r="Q179" s="76" t="str">
        <f t="shared" si="26"/>
        <v/>
      </c>
      <c r="R179" s="76" t="str">
        <f t="shared" si="26"/>
        <v/>
      </c>
      <c r="S179" s="76" t="str">
        <f t="shared" si="26"/>
        <v/>
      </c>
      <c r="T179" s="76" t="str">
        <f t="shared" si="26"/>
        <v/>
      </c>
      <c r="U179" s="76" t="str">
        <f t="shared" si="26"/>
        <v/>
      </c>
      <c r="V179" s="76" t="str">
        <f t="shared" si="26"/>
        <v/>
      </c>
      <c r="W179" s="76" t="str">
        <f t="shared" si="26"/>
        <v/>
      </c>
    </row>
    <row r="180" spans="2:24" ht="15.5" hidden="1">
      <c r="B180" s="80" t="s">
        <v>345</v>
      </c>
      <c r="C180" s="81" t="s">
        <v>336</v>
      </c>
      <c r="D180" s="76" t="str">
        <f t="shared" ref="D180:W180" si="27">IF(ISNUMBER(D175),+D171*D175,"")</f>
        <v/>
      </c>
      <c r="E180" s="76" t="str">
        <f t="shared" si="27"/>
        <v/>
      </c>
      <c r="F180" s="76" t="str">
        <f t="shared" si="27"/>
        <v/>
      </c>
      <c r="G180" s="76" t="str">
        <f t="shared" si="27"/>
        <v/>
      </c>
      <c r="H180" s="76" t="str">
        <f t="shared" si="27"/>
        <v/>
      </c>
      <c r="I180" s="76" t="str">
        <f t="shared" si="27"/>
        <v/>
      </c>
      <c r="J180" s="76" t="str">
        <f t="shared" si="27"/>
        <v/>
      </c>
      <c r="K180" s="76" t="str">
        <f t="shared" si="27"/>
        <v/>
      </c>
      <c r="L180" s="76" t="str">
        <f t="shared" si="27"/>
        <v/>
      </c>
      <c r="M180" s="76" t="str">
        <f t="shared" si="27"/>
        <v/>
      </c>
      <c r="N180" s="76" t="str">
        <f t="shared" si="27"/>
        <v/>
      </c>
      <c r="O180" s="76" t="str">
        <f t="shared" si="27"/>
        <v/>
      </c>
      <c r="P180" s="76" t="str">
        <f t="shared" si="27"/>
        <v/>
      </c>
      <c r="Q180" s="76" t="str">
        <f t="shared" si="27"/>
        <v/>
      </c>
      <c r="R180" s="76" t="str">
        <f t="shared" si="27"/>
        <v/>
      </c>
      <c r="S180" s="76" t="str">
        <f t="shared" si="27"/>
        <v/>
      </c>
      <c r="T180" s="76" t="str">
        <f t="shared" si="27"/>
        <v/>
      </c>
      <c r="U180" s="76" t="str">
        <f t="shared" si="27"/>
        <v/>
      </c>
      <c r="V180" s="76" t="str">
        <f t="shared" si="27"/>
        <v/>
      </c>
      <c r="W180" s="76" t="str">
        <f t="shared" si="27"/>
        <v/>
      </c>
    </row>
    <row r="181" spans="2:24" ht="15.5" hidden="1">
      <c r="B181" s="80"/>
      <c r="C181" s="87"/>
      <c r="D181" s="80"/>
      <c r="E181" s="81"/>
      <c r="F181" s="83"/>
      <c r="G181" s="66"/>
      <c r="H181" s="66"/>
      <c r="I181" s="66"/>
      <c r="J181" s="66"/>
      <c r="K181" s="66"/>
      <c r="L181" s="66"/>
      <c r="M181" s="66"/>
    </row>
    <row r="182" spans="2:24" ht="15.5" hidden="1">
      <c r="B182" s="75" t="s">
        <v>346</v>
      </c>
      <c r="C182" s="87"/>
      <c r="D182" s="80"/>
      <c r="E182" s="81"/>
      <c r="F182" s="83"/>
      <c r="G182" s="66"/>
      <c r="H182" s="66"/>
      <c r="I182" s="66"/>
      <c r="J182" s="66"/>
      <c r="K182" s="66"/>
      <c r="L182" s="66"/>
      <c r="M182" s="66"/>
    </row>
    <row r="183" spans="2:24">
      <c r="B183" s="93" t="s">
        <v>347</v>
      </c>
      <c r="C183" s="94" t="s">
        <v>2</v>
      </c>
      <c r="D183" s="94" t="s">
        <v>3</v>
      </c>
      <c r="E183" s="94" t="s">
        <v>4</v>
      </c>
      <c r="F183" s="94" t="s">
        <v>5</v>
      </c>
      <c r="G183" s="94" t="s">
        <v>6</v>
      </c>
      <c r="H183" s="94" t="s">
        <v>7</v>
      </c>
      <c r="I183" s="94" t="s">
        <v>8</v>
      </c>
      <c r="J183" s="94" t="s">
        <v>9</v>
      </c>
      <c r="K183" s="94" t="s">
        <v>10</v>
      </c>
      <c r="L183" s="94" t="s">
        <v>11</v>
      </c>
      <c r="M183" s="94" t="s">
        <v>12</v>
      </c>
      <c r="N183" s="94" t="s">
        <v>13</v>
      </c>
      <c r="O183" s="94" t="s">
        <v>14</v>
      </c>
      <c r="P183" s="94" t="s">
        <v>216</v>
      </c>
      <c r="Q183" s="94" t="s">
        <v>217</v>
      </c>
      <c r="R183" s="94" t="s">
        <v>218</v>
      </c>
      <c r="S183" s="94" t="s">
        <v>15</v>
      </c>
      <c r="T183" s="94" t="s">
        <v>16</v>
      </c>
      <c r="U183" s="94" t="s">
        <v>17</v>
      </c>
      <c r="V183" s="94" t="s">
        <v>18</v>
      </c>
      <c r="W183" s="94" t="s">
        <v>19</v>
      </c>
      <c r="X183" s="95" t="s">
        <v>37</v>
      </c>
    </row>
    <row r="184" spans="2:24" ht="17.5" hidden="1">
      <c r="B184" s="80" t="s">
        <v>348</v>
      </c>
      <c r="C184" s="81" t="s">
        <v>349</v>
      </c>
      <c r="D184" s="96" t="str">
        <f t="shared" ref="D184:W184" si="28">IF(ISNUMBER(D180),+D180/D150,"0")</f>
        <v>0</v>
      </c>
      <c r="E184" s="96" t="str">
        <f t="shared" si="28"/>
        <v>0</v>
      </c>
      <c r="F184" s="96" t="str">
        <f t="shared" si="28"/>
        <v>0</v>
      </c>
      <c r="G184" s="96" t="str">
        <f t="shared" si="28"/>
        <v>0</v>
      </c>
      <c r="H184" s="96" t="str">
        <f t="shared" si="28"/>
        <v>0</v>
      </c>
      <c r="I184" s="96" t="str">
        <f t="shared" si="28"/>
        <v>0</v>
      </c>
      <c r="J184" s="96" t="str">
        <f t="shared" si="28"/>
        <v>0</v>
      </c>
      <c r="K184" s="96" t="str">
        <f t="shared" si="28"/>
        <v>0</v>
      </c>
      <c r="L184" s="96" t="str">
        <f t="shared" si="28"/>
        <v>0</v>
      </c>
      <c r="M184" s="96" t="str">
        <f t="shared" si="28"/>
        <v>0</v>
      </c>
      <c r="N184" s="96" t="str">
        <f t="shared" si="28"/>
        <v>0</v>
      </c>
      <c r="O184" s="96" t="str">
        <f t="shared" si="28"/>
        <v>0</v>
      </c>
      <c r="P184" s="96" t="str">
        <f t="shared" si="28"/>
        <v>0</v>
      </c>
      <c r="Q184" s="96" t="str">
        <f t="shared" si="28"/>
        <v>0</v>
      </c>
      <c r="R184" s="96" t="str">
        <f t="shared" si="28"/>
        <v>0</v>
      </c>
      <c r="S184" s="96" t="str">
        <f t="shared" si="28"/>
        <v>0</v>
      </c>
      <c r="T184" s="96" t="str">
        <f t="shared" si="28"/>
        <v>0</v>
      </c>
      <c r="U184" s="96" t="str">
        <f t="shared" si="28"/>
        <v>0</v>
      </c>
      <c r="V184" s="96" t="str">
        <f t="shared" si="28"/>
        <v>0</v>
      </c>
      <c r="W184" s="96" t="str">
        <f t="shared" si="28"/>
        <v>0</v>
      </c>
    </row>
    <row r="185" spans="2:24" ht="15.5" hidden="1">
      <c r="B185" s="80" t="s">
        <v>350</v>
      </c>
      <c r="C185" s="81"/>
      <c r="D185" s="97">
        <v>0.15</v>
      </c>
      <c r="E185" s="97">
        <v>0.15</v>
      </c>
      <c r="F185" s="97">
        <v>0.15</v>
      </c>
      <c r="G185" s="97">
        <v>0.15</v>
      </c>
      <c r="H185" s="97">
        <v>0.15</v>
      </c>
      <c r="I185" s="97">
        <v>0.15</v>
      </c>
      <c r="J185" s="97">
        <v>0.15</v>
      </c>
      <c r="K185" s="97">
        <v>0.15</v>
      </c>
      <c r="L185" s="97">
        <v>0.15</v>
      </c>
      <c r="M185" s="97">
        <v>0.15</v>
      </c>
      <c r="N185" s="97">
        <v>0.15</v>
      </c>
      <c r="O185" s="97">
        <v>0.15</v>
      </c>
      <c r="P185" s="97">
        <v>0.15</v>
      </c>
      <c r="Q185" s="97">
        <v>0.15</v>
      </c>
      <c r="R185" s="97">
        <v>0.15</v>
      </c>
      <c r="S185" s="97">
        <v>0.15</v>
      </c>
      <c r="T185" s="97">
        <v>0.15</v>
      </c>
      <c r="U185" s="97">
        <v>0.15</v>
      </c>
      <c r="V185" s="97">
        <v>0.15</v>
      </c>
      <c r="W185" s="97">
        <v>0.15</v>
      </c>
    </row>
    <row r="186" spans="2:24" ht="15.5">
      <c r="B186" s="75" t="s">
        <v>351</v>
      </c>
      <c r="C186" s="74" t="s">
        <v>602</v>
      </c>
      <c r="D186" s="96" t="str">
        <f>IF(ISNUMBER(D184),+D184*(1+D185),"0")</f>
        <v>0</v>
      </c>
      <c r="E186" s="96" t="str">
        <f t="shared" ref="E186:W186" si="29">IF(ISNUMBER(E184),+E184*(1+E185),"0")</f>
        <v>0</v>
      </c>
      <c r="F186" s="96" t="str">
        <f t="shared" si="29"/>
        <v>0</v>
      </c>
      <c r="G186" s="96" t="str">
        <f t="shared" si="29"/>
        <v>0</v>
      </c>
      <c r="H186" s="96" t="str">
        <f t="shared" si="29"/>
        <v>0</v>
      </c>
      <c r="I186" s="96" t="str">
        <f t="shared" si="29"/>
        <v>0</v>
      </c>
      <c r="J186" s="96" t="str">
        <f t="shared" si="29"/>
        <v>0</v>
      </c>
      <c r="K186" s="96" t="str">
        <f t="shared" si="29"/>
        <v>0</v>
      </c>
      <c r="L186" s="96" t="str">
        <f t="shared" si="29"/>
        <v>0</v>
      </c>
      <c r="M186" s="96" t="str">
        <f t="shared" si="29"/>
        <v>0</v>
      </c>
      <c r="N186" s="96" t="str">
        <f t="shared" si="29"/>
        <v>0</v>
      </c>
      <c r="O186" s="96" t="str">
        <f t="shared" si="29"/>
        <v>0</v>
      </c>
      <c r="P186" s="96" t="str">
        <f t="shared" si="29"/>
        <v>0</v>
      </c>
      <c r="Q186" s="96" t="str">
        <f t="shared" si="29"/>
        <v>0</v>
      </c>
      <c r="R186" s="96" t="str">
        <f t="shared" si="29"/>
        <v>0</v>
      </c>
      <c r="S186" s="96" t="str">
        <f t="shared" si="29"/>
        <v>0</v>
      </c>
      <c r="T186" s="96" t="str">
        <f t="shared" si="29"/>
        <v>0</v>
      </c>
      <c r="U186" s="96" t="str">
        <f t="shared" si="29"/>
        <v>0</v>
      </c>
      <c r="V186" s="96" t="str">
        <f t="shared" si="29"/>
        <v>0</v>
      </c>
      <c r="W186" s="96" t="str">
        <f t="shared" si="29"/>
        <v>0</v>
      </c>
    </row>
    <row r="187" spans="2:24" ht="15.5">
      <c r="B187" s="75" t="s">
        <v>352</v>
      </c>
      <c r="C187" s="74" t="s">
        <v>602</v>
      </c>
      <c r="D187" s="96" t="str">
        <f t="shared" ref="D187:W187" si="30">IF(ISNUMBER(D179),+D179/D151,"0")</f>
        <v>0</v>
      </c>
      <c r="E187" s="96" t="str">
        <f t="shared" si="30"/>
        <v>0</v>
      </c>
      <c r="F187" s="96" t="str">
        <f t="shared" si="30"/>
        <v>0</v>
      </c>
      <c r="G187" s="96" t="str">
        <f t="shared" si="30"/>
        <v>0</v>
      </c>
      <c r="H187" s="96" t="str">
        <f t="shared" si="30"/>
        <v>0</v>
      </c>
      <c r="I187" s="96" t="str">
        <f t="shared" si="30"/>
        <v>0</v>
      </c>
      <c r="J187" s="96" t="str">
        <f t="shared" si="30"/>
        <v>0</v>
      </c>
      <c r="K187" s="96" t="str">
        <f t="shared" si="30"/>
        <v>0</v>
      </c>
      <c r="L187" s="96" t="str">
        <f t="shared" si="30"/>
        <v>0</v>
      </c>
      <c r="M187" s="96" t="str">
        <f t="shared" si="30"/>
        <v>0</v>
      </c>
      <c r="N187" s="96" t="str">
        <f t="shared" si="30"/>
        <v>0</v>
      </c>
      <c r="O187" s="96" t="str">
        <f t="shared" si="30"/>
        <v>0</v>
      </c>
      <c r="P187" s="96" t="str">
        <f t="shared" si="30"/>
        <v>0</v>
      </c>
      <c r="Q187" s="96" t="str">
        <f t="shared" si="30"/>
        <v>0</v>
      </c>
      <c r="R187" s="96" t="str">
        <f t="shared" si="30"/>
        <v>0</v>
      </c>
      <c r="S187" s="96" t="str">
        <f t="shared" si="30"/>
        <v>0</v>
      </c>
      <c r="T187" s="96" t="str">
        <f t="shared" si="30"/>
        <v>0</v>
      </c>
      <c r="U187" s="96" t="str">
        <f t="shared" si="30"/>
        <v>0</v>
      </c>
      <c r="V187" s="96" t="str">
        <f t="shared" si="30"/>
        <v>0</v>
      </c>
      <c r="W187" s="96" t="str">
        <f t="shared" si="30"/>
        <v>0</v>
      </c>
    </row>
    <row r="188" spans="2:24" ht="15.5">
      <c r="B188" s="80"/>
      <c r="C188" s="87"/>
      <c r="D188" s="80"/>
      <c r="E188" s="81"/>
      <c r="F188" s="66"/>
      <c r="G188" s="66"/>
      <c r="H188" s="66"/>
      <c r="I188" s="66"/>
      <c r="J188" s="66"/>
      <c r="K188" s="66"/>
      <c r="L188" s="66"/>
      <c r="M188" s="66"/>
    </row>
    <row r="189" spans="2:24" ht="18.5">
      <c r="B189" s="24" t="s">
        <v>270</v>
      </c>
      <c r="L189" s="5"/>
      <c r="M189" s="5"/>
      <c r="N189" s="5"/>
    </row>
    <row r="190" spans="2:24" ht="18.5">
      <c r="B190" s="24"/>
      <c r="L190" s="5"/>
      <c r="M190" s="5"/>
      <c r="N190" s="5"/>
    </row>
    <row r="191" spans="2:24" ht="18.5">
      <c r="B191" s="24"/>
      <c r="L191" s="5"/>
      <c r="M191" s="5"/>
      <c r="N191" s="5"/>
    </row>
    <row r="192" spans="2:24" hidden="1">
      <c r="L192" s="5"/>
      <c r="M192" s="5"/>
      <c r="N192" s="5"/>
    </row>
    <row r="193" spans="2:24" hidden="1">
      <c r="L193" s="5"/>
      <c r="M193" s="5"/>
      <c r="N193" s="5"/>
    </row>
    <row r="194" spans="2:24" hidden="1">
      <c r="B194" s="1" t="s">
        <v>353</v>
      </c>
      <c r="L194" s="5"/>
      <c r="M194" s="5"/>
      <c r="N194" s="5"/>
    </row>
    <row r="195" spans="2:24" hidden="1">
      <c r="B195" t="s">
        <v>354</v>
      </c>
      <c r="C195" s="50">
        <v>0.9</v>
      </c>
      <c r="D195" t="s">
        <v>355</v>
      </c>
      <c r="L195" s="5"/>
      <c r="M195" s="5"/>
      <c r="N195" s="5"/>
    </row>
    <row r="196" spans="2:24" hidden="1">
      <c r="B196" t="s">
        <v>356</v>
      </c>
      <c r="C196" s="50">
        <v>0.375</v>
      </c>
      <c r="D196" t="s">
        <v>357</v>
      </c>
      <c r="L196" s="5"/>
      <c r="M196" s="5"/>
      <c r="N196" s="5"/>
    </row>
    <row r="197" spans="2:24" hidden="1">
      <c r="B197" t="s">
        <v>358</v>
      </c>
      <c r="C197" s="50">
        <v>0.39</v>
      </c>
      <c r="D197" t="s">
        <v>359</v>
      </c>
      <c r="L197" s="5"/>
      <c r="M197" s="5"/>
      <c r="N197" s="5"/>
    </row>
    <row r="198" spans="2:24" hidden="1">
      <c r="B198" t="s">
        <v>360</v>
      </c>
      <c r="C198" s="50">
        <v>0.42</v>
      </c>
      <c r="D198" t="s">
        <v>361</v>
      </c>
      <c r="L198" s="5"/>
      <c r="M198" s="5"/>
      <c r="N198" s="5"/>
    </row>
    <row r="199" spans="2:24">
      <c r="B199" s="1"/>
    </row>
    <row r="200" spans="2:24">
      <c r="B200" t="s">
        <v>362</v>
      </c>
      <c r="C200" t="s">
        <v>2</v>
      </c>
      <c r="D200" t="s">
        <v>3</v>
      </c>
      <c r="E200" t="s">
        <v>4</v>
      </c>
      <c r="F200" t="s">
        <v>5</v>
      </c>
      <c r="G200" t="s">
        <v>6</v>
      </c>
      <c r="H200" t="s">
        <v>7</v>
      </c>
      <c r="I200" t="s">
        <v>8</v>
      </c>
      <c r="J200" t="s">
        <v>9</v>
      </c>
      <c r="K200" t="s">
        <v>10</v>
      </c>
      <c r="L200" t="s">
        <v>11</v>
      </c>
      <c r="M200" t="s">
        <v>12</v>
      </c>
      <c r="N200" t="s">
        <v>13</v>
      </c>
      <c r="O200" t="s">
        <v>14</v>
      </c>
      <c r="P200" t="s">
        <v>216</v>
      </c>
      <c r="Q200" t="s">
        <v>217</v>
      </c>
      <c r="R200" t="s">
        <v>218</v>
      </c>
      <c r="S200" t="s">
        <v>15</v>
      </c>
      <c r="T200" t="s">
        <v>16</v>
      </c>
      <c r="U200" t="s">
        <v>17</v>
      </c>
      <c r="V200" t="s">
        <v>18</v>
      </c>
      <c r="W200" t="s">
        <v>19</v>
      </c>
      <c r="X200" t="s">
        <v>37</v>
      </c>
    </row>
    <row r="201" spans="2:24">
      <c r="B201" t="s">
        <v>363</v>
      </c>
      <c r="C201" s="13" t="s">
        <v>42</v>
      </c>
      <c r="D201" s="104"/>
      <c r="E201" s="104"/>
      <c r="F201" s="104"/>
      <c r="G201" s="104"/>
      <c r="H201" s="104"/>
      <c r="I201" s="104"/>
      <c r="J201" s="104"/>
      <c r="K201" s="104" t="str">
        <f>IF(Eigenes_BHKWklein[[#Headers],[2022]]=Startseite!$D$68,IF(OR(SUMIF($D201:Eigenes_BHKWklein[[#This Row],[2021]],"&gt;0")&gt;0,), AVERAGEIF($D201:Eigenes_BHKWklein[[#This Row],[2021]],"&lt;&gt;"""), "0"),IF(Startseite!$D$68=(Eigenes_BHKWklein[[#Headers],[2022]]-1),Eigenes_BHKWklein[[#This Row],[2021]],IF(Startseite!$D$68&lt;Eigenes_BHKWklein[[#Headers],[2022]],Eigenes_BHKWklein[[#This Row],[2021]],"0")))</f>
        <v>0</v>
      </c>
      <c r="L201" s="104" t="str">
        <f>IF(Eigenes_BHKWklein[[#Headers],[2023]]=Startseite!$D$68,IF(OR(SUMIF($D201:Eigenes_BHKWklein[[#This Row],[2022]],"&gt;0")&gt;0,), AVERAGEIF($D201:Eigenes_BHKWklein[[#This Row],[2022]],"&lt;&gt;"""), "0"),IF(Startseite!$D$68=(Eigenes_BHKWklein[[#Headers],[2023]]-1),Eigenes_BHKWklein[[#This Row],[2022]],IF(Startseite!$D$68&lt;Eigenes_BHKWklein[[#Headers],[2023]],Eigenes_BHKWklein[[#This Row],[2022]],"0")))</f>
        <v>0</v>
      </c>
      <c r="M201" s="104" t="str">
        <f>IF(Eigenes_BHKWklein[[#Headers],[2024]]=Startseite!$D$68,IF(OR(SUMIF($D201:Eigenes_BHKWklein[[#This Row],[2023]],"&gt;0")&gt;0,), AVERAGEIF($D201:Eigenes_BHKWklein[[#This Row],[2023]],"&lt;&gt;"""), "0"),IF(Startseite!$D$68=(Eigenes_BHKWklein[[#Headers],[2024]]-1),Eigenes_BHKWklein[[#This Row],[2023]],IF(Startseite!$D$68&lt;Eigenes_BHKWklein[[#Headers],[2024]],Eigenes_BHKWklein[[#This Row],[2023]],"0")))</f>
        <v>0</v>
      </c>
      <c r="N201" s="104" t="str">
        <f>IF(Eigenes_BHKWklein[[#Headers],[2025]]=Startseite!$D$68,IF(OR(SUMIF($D201:Eigenes_BHKWklein[[#This Row],[2024]],"&gt;0")&gt;0,), AVERAGEIF($D201:Eigenes_BHKWklein[[#This Row],[2024]],"&lt;&gt;"""), "0"),IF(Startseite!$D$68=(Eigenes_BHKWklein[[#Headers],[2025]]-1),Eigenes_BHKWklein[[#This Row],[2024]],IF(Startseite!$D$68&lt;Eigenes_BHKWklein[[#Headers],[2025]],Eigenes_BHKWklein[[#This Row],[2024]],"0")))</f>
        <v>0</v>
      </c>
      <c r="O201" s="104" t="str">
        <f>IF(Eigenes_BHKWklein[[#Headers],[2026]]=Startseite!$D$68,IF(OR(SUMIF($D201:Eigenes_BHKWklein[[#This Row],[2025]],"&gt;0")&gt;0,), AVERAGEIF($D201:Eigenes_BHKWklein[[#This Row],[2025]],"&lt;&gt;"""), "0"),IF(Startseite!$D$68=(Eigenes_BHKWklein[[#Headers],[2026]]-1),Eigenes_BHKWklein[[#This Row],[2025]],IF(Startseite!$D$68&lt;Eigenes_BHKWklein[[#Headers],[2026]],Eigenes_BHKWklein[[#This Row],[2025]],"0")))</f>
        <v>0</v>
      </c>
      <c r="P201" s="104" t="str">
        <f>IF(Eigenes_BHKWklein[[#Headers],[2027]]=Startseite!$D$68,IF(OR(SUMIF($D201:Eigenes_BHKWklein[[#This Row],[2026]],"&gt;0")&gt;0,), AVERAGEIF($D201:Eigenes_BHKWklein[[#This Row],[2026]],"&lt;&gt;"""), "0"),IF(Startseite!$D$68=(Eigenes_BHKWklein[[#Headers],[2027]]-1),Eigenes_BHKWklein[[#This Row],[2026]],IF(Startseite!$D$68&lt;Eigenes_BHKWklein[[#Headers],[2027]],Eigenes_BHKWklein[[#This Row],[2026]],"0")))</f>
        <v>0</v>
      </c>
      <c r="Q201" s="104" t="str">
        <f>IF(Eigenes_BHKWklein[[#Headers],[2028]]=Startseite!$D$68,IF(OR(SUMIF($D201:Eigenes_BHKWklein[[#This Row],[2027]],"&gt;0")&gt;0,), AVERAGEIF($D201:Eigenes_BHKWklein[[#This Row],[2027]],"&lt;&gt;"""), "0"),IF(Startseite!$D$68=(Eigenes_BHKWklein[[#Headers],[2028]]-1),Eigenes_BHKWklein[[#This Row],[2027]],IF(Startseite!$D$68&lt;Eigenes_BHKWklein[[#Headers],[2028]],Eigenes_BHKWklein[[#This Row],[2027]],"0")))</f>
        <v>0</v>
      </c>
      <c r="R201" s="104" t="str">
        <f>IF(Eigenes_BHKWklein[[#Headers],[2029]]=Startseite!$D$68,IF(OR(SUMIF($D201:Eigenes_BHKWklein[[#This Row],[2028]],"&gt;0")&gt;0,), AVERAGEIF($D201:Eigenes_BHKWklein[[#This Row],[2028]],"&lt;&gt;"""), "0"),IF(Startseite!$D$68=(Eigenes_BHKWklein[[#Headers],[2029]]-1),Eigenes_BHKWklein[[#This Row],[2028]],IF(Startseite!$D$68&lt;Eigenes_BHKWklein[[#Headers],[2029]],Eigenes_BHKWklein[[#This Row],[2028]],"0")))</f>
        <v>0</v>
      </c>
      <c r="S201" s="104" t="str">
        <f>IF(Eigenes_BHKWklein[[#Headers],[2030]]=Startseite!$D$68,IF(OR(SUMIF($D201:Eigenes_BHKWklein[[#This Row],[2029]],"&gt;0")&gt;0,), AVERAGEIF($D201:Eigenes_BHKWklein[[#This Row],[2029]],"&lt;&gt;"""), "0"),IF(Startseite!$D$68=(Eigenes_BHKWklein[[#Headers],[2030]]-1),Eigenes_BHKWklein[[#This Row],[2029]],IF(Startseite!$D$68&lt;Eigenes_BHKWklein[[#Headers],[2030]],Eigenes_BHKWklein[[#This Row],[2029]],"0")))</f>
        <v>0</v>
      </c>
      <c r="T201" s="104" t="str">
        <f>IF(Eigenes_BHKWklein[[#Headers],[2035]]=Startseite!$D$68,IF(OR(SUMIF($D201:Eigenes_BHKWklein[[#This Row],[2030]],"&gt;0")&gt;0,), AVERAGEIF($D201:Eigenes_BHKWklein[[#This Row],[2030]],"&lt;&gt;"""), "0"),IF(Startseite!$D$68=(Eigenes_BHKWklein[[#Headers],[2035]]-1),Eigenes_BHKWklein[[#This Row],[2030]],IF(Startseite!$D$68&lt;Eigenes_BHKWklein[[#Headers],[2035]],Eigenes_BHKWklein[[#This Row],[2030]],"0")))</f>
        <v>0</v>
      </c>
      <c r="U201" s="104" t="str">
        <f>IF(Eigenes_BHKWklein[[#Headers],[2040]]=Startseite!$D$68,IF(OR(SUMIF($D201:Eigenes_BHKWklein[[#This Row],[2035]],"&gt;0")&gt;0,), AVERAGEIF($D201:Eigenes_BHKWklein[[#This Row],[2035]],"&lt;&gt;"""), "0"),IF(Startseite!$D$68=(Eigenes_BHKWklein[[#Headers],[2040]]-1),Eigenes_BHKWklein[[#This Row],[2035]],IF(Startseite!$D$68&lt;Eigenes_BHKWklein[[#Headers],[2040]],Eigenes_BHKWklein[[#This Row],[2035]],"0")))</f>
        <v>0</v>
      </c>
      <c r="V201" s="104" t="str">
        <f>IF(Eigenes_BHKWklein[[#Headers],[2045]]=Startseite!$D$68,IF(OR(SUMIF($D201:Eigenes_BHKWklein[[#This Row],[2040]],"&gt;0")&gt;0,), AVERAGEIF($D201:Eigenes_BHKWklein[[#This Row],[2040]],"&lt;&gt;"""), "0"),IF(Startseite!$D$68=(Eigenes_BHKWklein[[#Headers],[2045]]-1),Eigenes_BHKWklein[[#This Row],[2040]],IF(Startseite!$D$68&lt;Eigenes_BHKWklein[[#Headers],[2045]],Eigenes_BHKWklein[[#This Row],[2040]],"0")))</f>
        <v>0</v>
      </c>
      <c r="W201" s="104" t="str">
        <f>IF(Eigenes_BHKWklein[[#Headers],[2050]]=Startseite!$D$68,IF(OR(SUMIF($D201:Eigenes_BHKWklein[[#This Row],[2045]],"&gt;0")&gt;0,), AVERAGEIF($D201:Eigenes_BHKWklein[[#This Row],[2045]],"&lt;&gt;"""), "0"),IF(Startseite!$D$68=(Eigenes_BHKWklein[[#Headers],[2050]]-1),Eigenes_BHKWklein[[#This Row],[2045]],IF(Startseite!$D$68&lt;Eigenes_BHKWklein[[#Headers],[2050]],Eigenes_BHKWklein[[#This Row],[2045]],"0")))</f>
        <v>0</v>
      </c>
    </row>
    <row r="202" spans="2:24" ht="16.5" hidden="1">
      <c r="B202" s="13" t="s">
        <v>364</v>
      </c>
      <c r="C202" t="s">
        <v>195</v>
      </c>
      <c r="D202" s="13">
        <f>D201*Emissionsfaktoren!E29</f>
        <v>0</v>
      </c>
      <c r="E202" s="13">
        <f>E201*Emissionsfaktoren!F29</f>
        <v>0</v>
      </c>
      <c r="F202" s="13">
        <f>F201*Emissionsfaktoren!G29</f>
        <v>0</v>
      </c>
      <c r="G202" s="13">
        <f>G201*Emissionsfaktoren!H29</f>
        <v>0</v>
      </c>
      <c r="H202" s="13">
        <f>H201*Emissionsfaktoren!I29</f>
        <v>0</v>
      </c>
      <c r="I202" s="13">
        <f>I201*Emissionsfaktoren!J29</f>
        <v>0</v>
      </c>
      <c r="J202" s="13">
        <f>J201*Emissionsfaktoren!K29</f>
        <v>0</v>
      </c>
      <c r="K202" s="13">
        <f>K201*Emissionsfaktoren!L29</f>
        <v>0</v>
      </c>
      <c r="L202" s="13">
        <f>L201*Emissionsfaktoren!M29</f>
        <v>0</v>
      </c>
      <c r="M202" s="13">
        <f>M201*Emissionsfaktoren!N29</f>
        <v>0</v>
      </c>
      <c r="N202" s="13">
        <f>N201*Emissionsfaktoren!O29</f>
        <v>0</v>
      </c>
      <c r="O202" s="13">
        <f>O201*Emissionsfaktoren!P29</f>
        <v>0</v>
      </c>
      <c r="P202" s="13">
        <f>P201*Emissionsfaktoren!Q29</f>
        <v>0</v>
      </c>
      <c r="Q202" s="13">
        <f>Q201*Emissionsfaktoren!R29</f>
        <v>0</v>
      </c>
      <c r="R202" s="13">
        <f>R201*Emissionsfaktoren!S29</f>
        <v>0</v>
      </c>
      <c r="S202" s="13">
        <f>S201*Emissionsfaktoren!T29</f>
        <v>0</v>
      </c>
      <c r="T202" s="13">
        <f>T201*Emissionsfaktoren!U29</f>
        <v>0</v>
      </c>
      <c r="U202" s="13">
        <f>U201*Emissionsfaktoren!V29</f>
        <v>0</v>
      </c>
      <c r="V202" s="13">
        <f>V201*Emissionsfaktoren!W29</f>
        <v>0</v>
      </c>
      <c r="W202" s="13">
        <f>W201*Emissionsfaktoren!X29</f>
        <v>0</v>
      </c>
    </row>
    <row r="203" spans="2:24" ht="16.5">
      <c r="B203" t="s">
        <v>365</v>
      </c>
      <c r="C203" t="s">
        <v>195</v>
      </c>
      <c r="D203">
        <f t="shared" ref="D203:W203" si="31">(D202*(($C$196/($C$195-$C$196))/(1+($C$196/($C$195-$C$196)))))</f>
        <v>0</v>
      </c>
      <c r="E203">
        <f t="shared" si="31"/>
        <v>0</v>
      </c>
      <c r="F203">
        <f t="shared" si="31"/>
        <v>0</v>
      </c>
      <c r="G203">
        <f t="shared" si="31"/>
        <v>0</v>
      </c>
      <c r="H203">
        <f t="shared" si="31"/>
        <v>0</v>
      </c>
      <c r="I203">
        <f t="shared" si="31"/>
        <v>0</v>
      </c>
      <c r="J203">
        <f t="shared" si="31"/>
        <v>0</v>
      </c>
      <c r="K203">
        <f t="shared" si="31"/>
        <v>0</v>
      </c>
      <c r="L203">
        <f t="shared" si="31"/>
        <v>0</v>
      </c>
      <c r="M203">
        <f t="shared" si="31"/>
        <v>0</v>
      </c>
      <c r="N203">
        <f t="shared" si="31"/>
        <v>0</v>
      </c>
      <c r="O203">
        <f t="shared" si="31"/>
        <v>0</v>
      </c>
      <c r="P203">
        <f t="shared" si="31"/>
        <v>0</v>
      </c>
      <c r="Q203">
        <f t="shared" si="31"/>
        <v>0</v>
      </c>
      <c r="R203">
        <f t="shared" si="31"/>
        <v>0</v>
      </c>
      <c r="S203">
        <f t="shared" si="31"/>
        <v>0</v>
      </c>
      <c r="T203">
        <f t="shared" si="31"/>
        <v>0</v>
      </c>
      <c r="U203">
        <f t="shared" si="31"/>
        <v>0</v>
      </c>
      <c r="V203">
        <f t="shared" si="31"/>
        <v>0</v>
      </c>
      <c r="W203">
        <f t="shared" si="31"/>
        <v>0</v>
      </c>
    </row>
    <row r="204" spans="2:24" ht="16.5">
      <c r="B204" t="s">
        <v>366</v>
      </c>
      <c r="C204" t="s">
        <v>195</v>
      </c>
      <c r="D204">
        <f t="shared" ref="D204:W204" si="32">D202*1/(1+($C$196/($C$195-$C$196)))</f>
        <v>0</v>
      </c>
      <c r="E204">
        <f t="shared" si="32"/>
        <v>0</v>
      </c>
      <c r="F204">
        <f t="shared" si="32"/>
        <v>0</v>
      </c>
      <c r="G204">
        <f t="shared" si="32"/>
        <v>0</v>
      </c>
      <c r="H204">
        <f t="shared" si="32"/>
        <v>0</v>
      </c>
      <c r="I204">
        <f t="shared" si="32"/>
        <v>0</v>
      </c>
      <c r="J204">
        <f t="shared" si="32"/>
        <v>0</v>
      </c>
      <c r="K204">
        <f t="shared" si="32"/>
        <v>0</v>
      </c>
      <c r="L204">
        <f t="shared" si="32"/>
        <v>0</v>
      </c>
      <c r="M204">
        <f t="shared" si="32"/>
        <v>0</v>
      </c>
      <c r="N204">
        <f t="shared" si="32"/>
        <v>0</v>
      </c>
      <c r="O204">
        <f t="shared" si="32"/>
        <v>0</v>
      </c>
      <c r="P204">
        <f t="shared" si="32"/>
        <v>0</v>
      </c>
      <c r="Q204">
        <f t="shared" si="32"/>
        <v>0</v>
      </c>
      <c r="R204">
        <f t="shared" si="32"/>
        <v>0</v>
      </c>
      <c r="S204">
        <f t="shared" si="32"/>
        <v>0</v>
      </c>
      <c r="T204">
        <f t="shared" si="32"/>
        <v>0</v>
      </c>
      <c r="U204">
        <f t="shared" si="32"/>
        <v>0</v>
      </c>
      <c r="V204">
        <f t="shared" si="32"/>
        <v>0</v>
      </c>
      <c r="W204">
        <f t="shared" si="32"/>
        <v>0</v>
      </c>
    </row>
    <row r="206" spans="2:24">
      <c r="B206" t="s">
        <v>367</v>
      </c>
      <c r="C206" t="s">
        <v>2</v>
      </c>
      <c r="D206" t="s">
        <v>3</v>
      </c>
      <c r="E206" t="s">
        <v>4</v>
      </c>
      <c r="F206" t="s">
        <v>5</v>
      </c>
      <c r="G206" t="s">
        <v>6</v>
      </c>
      <c r="H206" t="s">
        <v>7</v>
      </c>
      <c r="I206" t="s">
        <v>8</v>
      </c>
      <c r="J206" t="s">
        <v>9</v>
      </c>
      <c r="K206" t="s">
        <v>10</v>
      </c>
      <c r="L206" t="s">
        <v>11</v>
      </c>
      <c r="M206" t="s">
        <v>12</v>
      </c>
      <c r="N206" t="s">
        <v>13</v>
      </c>
      <c r="O206" t="s">
        <v>14</v>
      </c>
      <c r="P206" t="s">
        <v>216</v>
      </c>
      <c r="Q206" t="s">
        <v>217</v>
      </c>
      <c r="R206" t="s">
        <v>218</v>
      </c>
      <c r="S206" t="s">
        <v>15</v>
      </c>
      <c r="T206" t="s">
        <v>16</v>
      </c>
      <c r="U206" t="s">
        <v>17</v>
      </c>
      <c r="V206" t="s">
        <v>18</v>
      </c>
      <c r="W206" t="s">
        <v>19</v>
      </c>
      <c r="X206" t="s">
        <v>37</v>
      </c>
    </row>
    <row r="207" spans="2:24">
      <c r="B207" t="s">
        <v>363</v>
      </c>
      <c r="C207" s="13" t="s">
        <v>42</v>
      </c>
      <c r="D207" s="104"/>
      <c r="E207" s="104"/>
      <c r="F207" s="104"/>
      <c r="G207" s="104"/>
      <c r="H207" s="104"/>
      <c r="I207" s="104"/>
      <c r="J207" s="104"/>
      <c r="K207" s="104" t="str">
        <f>IF(Eigenes_BHKWmittel[[#Headers],[2022]]=Startseite!$D$68,IF(OR(SUMIF($D207:Eigenes_BHKWmittel[[#This Row],[2021]],"&gt;0")&gt;0,), AVERAGEIF($D207:Eigenes_BHKWmittel[[#This Row],[2021]],"&lt;&gt;"""), "0"),IF(Startseite!$D$68=(Eigenes_BHKWmittel[[#Headers],[2022]]-1),Eigenes_BHKWmittel[[#This Row],[2021]],IF(Startseite!$D$68&lt;Eigenes_BHKWmittel[[#Headers],[2022]],Eigenes_BHKWmittel[[#This Row],[2021]],"0")))</f>
        <v>0</v>
      </c>
      <c r="L207" s="104" t="str">
        <f>IF(Eigenes_BHKWmittel[[#Headers],[2023]]=Startseite!$D$68,IF(OR(SUMIF($D207:Eigenes_BHKWmittel[[#This Row],[2022]],"&gt;0")&gt;0,), AVERAGEIF($D207:Eigenes_BHKWmittel[[#This Row],[2022]],"&lt;&gt;"""), "0"),IF(Startseite!$D$68=(Eigenes_BHKWmittel[[#Headers],[2023]]-1),Eigenes_BHKWmittel[[#This Row],[2022]],IF(Startseite!$D$68&lt;Eigenes_BHKWmittel[[#Headers],[2023]],Eigenes_BHKWmittel[[#This Row],[2022]],"0")))</f>
        <v>0</v>
      </c>
      <c r="M207" s="104" t="str">
        <f>IF(Eigenes_BHKWmittel[[#Headers],[2024]]=Startseite!$D$68,IF(OR(SUMIF($D207:Eigenes_BHKWmittel[[#This Row],[2023]],"&gt;0")&gt;0,), AVERAGEIF($D207:Eigenes_BHKWmittel[[#This Row],[2023]],"&lt;&gt;"""), "0"),IF(Startseite!$D$68=(Eigenes_BHKWmittel[[#Headers],[2024]]-1),Eigenes_BHKWmittel[[#This Row],[2023]],IF(Startseite!$D$68&lt;Eigenes_BHKWmittel[[#Headers],[2024]],Eigenes_BHKWmittel[[#This Row],[2023]],"0")))</f>
        <v>0</v>
      </c>
      <c r="N207" s="104" t="str">
        <f>IF(Eigenes_BHKWmittel[[#Headers],[2025]]=Startseite!$D$68,IF(OR(SUMIF($D207:Eigenes_BHKWmittel[[#This Row],[2024]],"&gt;0")&gt;0,), AVERAGEIF($D207:Eigenes_BHKWmittel[[#This Row],[2024]],"&lt;&gt;"""), "0"),IF(Startseite!$D$68=(Eigenes_BHKWmittel[[#Headers],[2025]]-1),Eigenes_BHKWmittel[[#This Row],[2024]],IF(Startseite!$D$68&lt;Eigenes_BHKWmittel[[#Headers],[2025]],Eigenes_BHKWmittel[[#This Row],[2024]],"0")))</f>
        <v>0</v>
      </c>
      <c r="O207" s="104" t="str">
        <f>IF(Eigenes_BHKWmittel[[#Headers],[2026]]=Startseite!$D$68,IF(OR(SUMIF($D207:Eigenes_BHKWmittel[[#This Row],[2025]],"&gt;0")&gt;0,), AVERAGEIF($D207:Eigenes_BHKWmittel[[#This Row],[2025]],"&lt;&gt;"""), "0"),IF(Startseite!$D$68=(Eigenes_BHKWmittel[[#Headers],[2026]]-1),Eigenes_BHKWmittel[[#This Row],[2025]],IF(Startseite!$D$68&lt;Eigenes_BHKWmittel[[#Headers],[2026]],Eigenes_BHKWmittel[[#This Row],[2025]],"0")))</f>
        <v>0</v>
      </c>
      <c r="P207" s="104" t="str">
        <f>IF(Eigenes_BHKWmittel[[#Headers],[2027]]=Startseite!$D$68,IF(OR(SUMIF($D207:Eigenes_BHKWmittel[[#This Row],[2026]],"&gt;0")&gt;0,), AVERAGEIF($D207:Eigenes_BHKWmittel[[#This Row],[2026]],"&lt;&gt;"""), "0"),IF(Startseite!$D$68=(Eigenes_BHKWmittel[[#Headers],[2027]]-1),Eigenes_BHKWmittel[[#This Row],[2026]],IF(Startseite!$D$68&lt;Eigenes_BHKWmittel[[#Headers],[2027]],Eigenes_BHKWmittel[[#This Row],[2026]],"0")))</f>
        <v>0</v>
      </c>
      <c r="Q207" s="104" t="str">
        <f>IF(Eigenes_BHKWmittel[[#Headers],[2028]]=Startseite!$D$68,IF(OR(SUMIF($D207:Eigenes_BHKWmittel[[#This Row],[2027]],"&gt;0")&gt;0,), AVERAGEIF($D207:Eigenes_BHKWmittel[[#This Row],[2027]],"&lt;&gt;"""), "0"),IF(Startseite!$D$68=(Eigenes_BHKWmittel[[#Headers],[2028]]-1),Eigenes_BHKWmittel[[#This Row],[2027]],IF(Startseite!$D$68&lt;Eigenes_BHKWmittel[[#Headers],[2028]],Eigenes_BHKWmittel[[#This Row],[2027]],"0")))</f>
        <v>0</v>
      </c>
      <c r="R207" s="104" t="str">
        <f>IF(Eigenes_BHKWmittel[[#Headers],[2029]]=Startseite!$D$68,IF(OR(SUMIF($D207:Eigenes_BHKWmittel[[#This Row],[2028]],"&gt;0")&gt;0,), AVERAGEIF($D207:Eigenes_BHKWmittel[[#This Row],[2028]],"&lt;&gt;"""), "0"),IF(Startseite!$D$68=(Eigenes_BHKWmittel[[#Headers],[2029]]-1),Eigenes_BHKWmittel[[#This Row],[2028]],IF(Startseite!$D$68&lt;Eigenes_BHKWmittel[[#Headers],[2029]],Eigenes_BHKWmittel[[#This Row],[2028]],"0")))</f>
        <v>0</v>
      </c>
      <c r="S207" s="104" t="str">
        <f>IF(Eigenes_BHKWmittel[[#Headers],[2030]]=Startseite!$D$68,IF(OR(SUMIF($D207:Eigenes_BHKWmittel[[#This Row],[2029]],"&gt;0")&gt;0,), AVERAGEIF($D207:Eigenes_BHKWmittel[[#This Row],[2029]],"&lt;&gt;"""), "0"),IF(Startseite!$D$68=(Eigenes_BHKWmittel[[#Headers],[2030]]-1),Eigenes_BHKWmittel[[#This Row],[2029]],IF(Startseite!$D$68&lt;Eigenes_BHKWmittel[[#Headers],[2030]],Eigenes_BHKWmittel[[#This Row],[2029]],"0")))</f>
        <v>0</v>
      </c>
      <c r="T207" s="104" t="str">
        <f>IF(Eigenes_BHKWmittel[[#Headers],[2035]]=Startseite!$D$68,IF(OR(SUMIF($D207:Eigenes_BHKWmittel[[#This Row],[2030]],"&gt;0")&gt;0,), AVERAGEIF($D207:Eigenes_BHKWmittel[[#This Row],[2030]],"&lt;&gt;"""), "0"),IF(Startseite!$D$68=(Eigenes_BHKWmittel[[#Headers],[2035]]-1),Eigenes_BHKWmittel[[#This Row],[2030]],IF(Startseite!$D$68&lt;Eigenes_BHKWmittel[[#Headers],[2035]],Eigenes_BHKWmittel[[#This Row],[2030]],"0")))</f>
        <v>0</v>
      </c>
      <c r="U207" s="104" t="str">
        <f>IF(Eigenes_BHKWmittel[[#Headers],[2040]]=Startseite!$D$68,IF(OR(SUMIF($D207:Eigenes_BHKWmittel[[#This Row],[2035]],"&gt;0")&gt;0,), AVERAGEIF($D207:Eigenes_BHKWmittel[[#This Row],[2035]],"&lt;&gt;"""), "0"),IF(Startseite!$D$68=(Eigenes_BHKWmittel[[#Headers],[2040]]-1),Eigenes_BHKWmittel[[#This Row],[2035]],IF(Startseite!$D$68&lt;Eigenes_BHKWmittel[[#Headers],[2040]],Eigenes_BHKWmittel[[#This Row],[2035]],"0")))</f>
        <v>0</v>
      </c>
      <c r="V207" s="104" t="str">
        <f>IF(Eigenes_BHKWmittel[[#Headers],[2045]]=Startseite!$D$68,IF(OR(SUMIF($D207:Eigenes_BHKWmittel[[#This Row],[2040]],"&gt;0")&gt;0,), AVERAGEIF($D207:Eigenes_BHKWmittel[[#This Row],[2040]],"&lt;&gt;"""), "0"),IF(Startseite!$D$68=(Eigenes_BHKWmittel[[#Headers],[2045]]-1),Eigenes_BHKWmittel[[#This Row],[2040]],IF(Startseite!$D$68&lt;Eigenes_BHKWmittel[[#Headers],[2045]],Eigenes_BHKWmittel[[#This Row],[2040]],"0")))</f>
        <v>0</v>
      </c>
      <c r="W207" s="104" t="str">
        <f>IF(Eigenes_BHKWmittel[[#Headers],[2050]]=Startseite!$D$68,IF(OR(SUMIF($D207:Eigenes_BHKWmittel[[#This Row],[2045]],"&gt;0")&gt;0,), AVERAGEIF($D207:Eigenes_BHKWmittel[[#This Row],[2045]],"&lt;&gt;"""), "0"),IF(Startseite!$D$68=(Eigenes_BHKWmittel[[#Headers],[2050]]-1),Eigenes_BHKWmittel[[#This Row],[2045]],IF(Startseite!$D$68&lt;Eigenes_BHKWmittel[[#Headers],[2050]],Eigenes_BHKWmittel[[#This Row],[2045]],"0")))</f>
        <v>0</v>
      </c>
    </row>
    <row r="208" spans="2:24" ht="16.5" hidden="1">
      <c r="B208" s="13" t="s">
        <v>368</v>
      </c>
      <c r="C208" t="s">
        <v>195</v>
      </c>
      <c r="D208" s="13">
        <f>D207*Emissionsfaktoren!E29</f>
        <v>0</v>
      </c>
      <c r="E208" s="13">
        <f>E207*Emissionsfaktoren!F29</f>
        <v>0</v>
      </c>
      <c r="F208" s="13">
        <f>F207*Emissionsfaktoren!G29</f>
        <v>0</v>
      </c>
      <c r="G208" s="13">
        <f>G207*Emissionsfaktoren!H29</f>
        <v>0</v>
      </c>
      <c r="H208" s="13">
        <f>H207*Emissionsfaktoren!I29</f>
        <v>0</v>
      </c>
      <c r="I208" s="13">
        <f>I207*Emissionsfaktoren!J29</f>
        <v>0</v>
      </c>
      <c r="J208" s="13">
        <f>J207*Emissionsfaktoren!K29</f>
        <v>0</v>
      </c>
      <c r="K208" s="13">
        <f>K207*Emissionsfaktoren!L29</f>
        <v>0</v>
      </c>
      <c r="L208" s="13">
        <f>L207*Emissionsfaktoren!M29</f>
        <v>0</v>
      </c>
      <c r="M208" s="13">
        <f>M207*Emissionsfaktoren!N29</f>
        <v>0</v>
      </c>
      <c r="N208" s="13">
        <f>N207*Emissionsfaktoren!O29</f>
        <v>0</v>
      </c>
      <c r="O208" s="13">
        <f>O207*Emissionsfaktoren!P29</f>
        <v>0</v>
      </c>
      <c r="P208" s="13">
        <f>P207*Emissionsfaktoren!Q29</f>
        <v>0</v>
      </c>
      <c r="Q208" s="13">
        <f>Q207*Emissionsfaktoren!R29</f>
        <v>0</v>
      </c>
      <c r="R208" s="13">
        <f>R207*Emissionsfaktoren!S29</f>
        <v>0</v>
      </c>
      <c r="S208" s="13">
        <f>S207*Emissionsfaktoren!T29</f>
        <v>0</v>
      </c>
      <c r="T208" s="13">
        <f>T207*Emissionsfaktoren!U29</f>
        <v>0</v>
      </c>
      <c r="U208" s="13">
        <f>U207*Emissionsfaktoren!V29</f>
        <v>0</v>
      </c>
      <c r="V208" s="13">
        <f>V207*Emissionsfaktoren!W29</f>
        <v>0</v>
      </c>
      <c r="W208" s="13">
        <f>W207*Emissionsfaktoren!X29</f>
        <v>0</v>
      </c>
    </row>
    <row r="209" spans="2:24" ht="16.5">
      <c r="B209" t="s">
        <v>365</v>
      </c>
      <c r="C209" t="s">
        <v>195</v>
      </c>
      <c r="D209">
        <f t="shared" ref="D209:W209" si="33">(D208*(($C$197/($C$195-$C$197)/(1+($C$197/($C$195-$C$197))))))</f>
        <v>0</v>
      </c>
      <c r="E209">
        <f t="shared" si="33"/>
        <v>0</v>
      </c>
      <c r="F209">
        <f t="shared" si="33"/>
        <v>0</v>
      </c>
      <c r="G209">
        <f t="shared" si="33"/>
        <v>0</v>
      </c>
      <c r="H209">
        <f t="shared" si="33"/>
        <v>0</v>
      </c>
      <c r="I209">
        <f t="shared" si="33"/>
        <v>0</v>
      </c>
      <c r="J209">
        <f t="shared" si="33"/>
        <v>0</v>
      </c>
      <c r="K209">
        <f t="shared" si="33"/>
        <v>0</v>
      </c>
      <c r="L209">
        <f t="shared" si="33"/>
        <v>0</v>
      </c>
      <c r="M209">
        <f t="shared" si="33"/>
        <v>0</v>
      </c>
      <c r="N209">
        <f t="shared" si="33"/>
        <v>0</v>
      </c>
      <c r="O209">
        <f t="shared" si="33"/>
        <v>0</v>
      </c>
      <c r="P209">
        <f t="shared" si="33"/>
        <v>0</v>
      </c>
      <c r="Q209">
        <f t="shared" si="33"/>
        <v>0</v>
      </c>
      <c r="R209">
        <f t="shared" si="33"/>
        <v>0</v>
      </c>
      <c r="S209">
        <f t="shared" si="33"/>
        <v>0</v>
      </c>
      <c r="T209">
        <f t="shared" si="33"/>
        <v>0</v>
      </c>
      <c r="U209">
        <f t="shared" si="33"/>
        <v>0</v>
      </c>
      <c r="V209">
        <f t="shared" si="33"/>
        <v>0</v>
      </c>
      <c r="W209">
        <f t="shared" si="33"/>
        <v>0</v>
      </c>
    </row>
    <row r="210" spans="2:24" ht="16.5">
      <c r="B210" t="s">
        <v>366</v>
      </c>
      <c r="C210" t="s">
        <v>195</v>
      </c>
      <c r="D210">
        <f t="shared" ref="D210:W210" si="34">D208*1/(1+($C$197/($C$195-$C$197)))</f>
        <v>0</v>
      </c>
      <c r="E210">
        <f t="shared" si="34"/>
        <v>0</v>
      </c>
      <c r="F210">
        <f t="shared" si="34"/>
        <v>0</v>
      </c>
      <c r="G210">
        <f t="shared" si="34"/>
        <v>0</v>
      </c>
      <c r="H210">
        <f t="shared" si="34"/>
        <v>0</v>
      </c>
      <c r="I210">
        <f t="shared" si="34"/>
        <v>0</v>
      </c>
      <c r="J210">
        <f t="shared" si="34"/>
        <v>0</v>
      </c>
      <c r="K210">
        <f t="shared" si="34"/>
        <v>0</v>
      </c>
      <c r="L210">
        <f t="shared" si="34"/>
        <v>0</v>
      </c>
      <c r="M210">
        <f t="shared" si="34"/>
        <v>0</v>
      </c>
      <c r="N210">
        <f t="shared" si="34"/>
        <v>0</v>
      </c>
      <c r="O210">
        <f t="shared" si="34"/>
        <v>0</v>
      </c>
      <c r="P210">
        <f t="shared" si="34"/>
        <v>0</v>
      </c>
      <c r="Q210">
        <f t="shared" si="34"/>
        <v>0</v>
      </c>
      <c r="R210">
        <f t="shared" si="34"/>
        <v>0</v>
      </c>
      <c r="S210">
        <f t="shared" si="34"/>
        <v>0</v>
      </c>
      <c r="T210">
        <f t="shared" si="34"/>
        <v>0</v>
      </c>
      <c r="U210">
        <f t="shared" si="34"/>
        <v>0</v>
      </c>
      <c r="V210">
        <f t="shared" si="34"/>
        <v>0</v>
      </c>
      <c r="W210">
        <f t="shared" si="34"/>
        <v>0</v>
      </c>
    </row>
    <row r="212" spans="2:24">
      <c r="B212" t="s">
        <v>369</v>
      </c>
      <c r="C212" t="s">
        <v>2</v>
      </c>
      <c r="D212" t="s">
        <v>3</v>
      </c>
      <c r="E212" t="s">
        <v>4</v>
      </c>
      <c r="F212" t="s">
        <v>5</v>
      </c>
      <c r="G212" t="s">
        <v>6</v>
      </c>
      <c r="H212" t="s">
        <v>7</v>
      </c>
      <c r="I212" t="s">
        <v>8</v>
      </c>
      <c r="J212" t="s">
        <v>9</v>
      </c>
      <c r="K212" t="s">
        <v>10</v>
      </c>
      <c r="L212" t="s">
        <v>11</v>
      </c>
      <c r="M212" t="s">
        <v>12</v>
      </c>
      <c r="N212" t="s">
        <v>13</v>
      </c>
      <c r="O212" t="s">
        <v>14</v>
      </c>
      <c r="P212" t="s">
        <v>216</v>
      </c>
      <c r="Q212" t="s">
        <v>217</v>
      </c>
      <c r="R212" t="s">
        <v>218</v>
      </c>
      <c r="S212" t="s">
        <v>15</v>
      </c>
      <c r="T212" t="s">
        <v>16</v>
      </c>
      <c r="U212" t="s">
        <v>17</v>
      </c>
      <c r="V212" t="s">
        <v>18</v>
      </c>
      <c r="W212" t="s">
        <v>19</v>
      </c>
      <c r="X212" t="s">
        <v>37</v>
      </c>
    </row>
    <row r="213" spans="2:24">
      <c r="B213" t="s">
        <v>363</v>
      </c>
      <c r="C213" s="13" t="s">
        <v>42</v>
      </c>
      <c r="D213" s="104"/>
      <c r="E213" s="104"/>
      <c r="F213" s="104"/>
      <c r="G213" s="104"/>
      <c r="H213" s="104"/>
      <c r="I213" s="104"/>
      <c r="J213" s="104"/>
      <c r="K213" s="104" t="str">
        <f>IF(Eigenes_BHKWgroß[[#Headers],[2022]]=Startseite!$D$68,IF(OR(SUMIF($D213:Eigenes_BHKWgroß[[#This Row],[2021]],"&gt;0")&gt;0,), AVERAGEIF($D213:Eigenes_BHKWgroß[[#This Row],[2021]],"&lt;&gt;"""), "0"),IF(Startseite!$D$68=(Eigenes_BHKWgroß[[#Headers],[2022]]-1),Eigenes_BHKWgroß[[#This Row],[2021]],IF(Startseite!$D$68&lt;Eigenes_BHKWgroß[[#Headers],[2022]],Eigenes_BHKWgroß[[#This Row],[2021]],"0")))</f>
        <v>0</v>
      </c>
      <c r="L213" s="104" t="str">
        <f>IF(Eigenes_BHKWgroß[[#Headers],[2023]]=Startseite!$D$68,IF(OR(SUMIF($D213:Eigenes_BHKWgroß[[#This Row],[2022]],"&gt;0")&gt;0,), AVERAGEIF($D213:Eigenes_BHKWgroß[[#This Row],[2022]],"&lt;&gt;"""), "0"),IF(Startseite!$D$68=(Eigenes_BHKWgroß[[#Headers],[2023]]-1),Eigenes_BHKWgroß[[#This Row],[2022]],IF(Startseite!$D$68&lt;Eigenes_BHKWgroß[[#Headers],[2023]],Eigenes_BHKWgroß[[#This Row],[2022]],"0")))</f>
        <v>0</v>
      </c>
      <c r="M213" s="104" t="str">
        <f>IF(Eigenes_BHKWgroß[[#Headers],[2024]]=Startseite!$D$68,IF(OR(SUMIF($D213:Eigenes_BHKWgroß[[#This Row],[2023]],"&gt;0")&gt;0,), AVERAGEIF($D213:Eigenes_BHKWgroß[[#This Row],[2023]],"&lt;&gt;"""), "0"),IF(Startseite!$D$68=(Eigenes_BHKWgroß[[#Headers],[2024]]-1),Eigenes_BHKWgroß[[#This Row],[2023]],IF(Startseite!$D$68&lt;Eigenes_BHKWgroß[[#Headers],[2024]],Eigenes_BHKWgroß[[#This Row],[2023]],"0")))</f>
        <v>0</v>
      </c>
      <c r="N213" s="104" t="str">
        <f>IF(Eigenes_BHKWgroß[[#Headers],[2025]]=Startseite!$D$68,IF(OR(SUMIF($D213:Eigenes_BHKWgroß[[#This Row],[2024]],"&gt;0")&gt;0,), AVERAGEIF($D213:Eigenes_BHKWgroß[[#This Row],[2024]],"&lt;&gt;"""), "0"),IF(Startseite!$D$68=(Eigenes_BHKWgroß[[#Headers],[2025]]-1),Eigenes_BHKWgroß[[#This Row],[2024]],IF(Startseite!$D$68&lt;Eigenes_BHKWgroß[[#Headers],[2025]],Eigenes_BHKWgroß[[#This Row],[2024]],"0")))</f>
        <v>0</v>
      </c>
      <c r="O213" s="104" t="str">
        <f>IF(Eigenes_BHKWgroß[[#Headers],[2026]]=Startseite!$D$68,IF(OR(SUMIF($D213:Eigenes_BHKWgroß[[#This Row],[2025]],"&gt;0")&gt;0,), AVERAGEIF($D213:Eigenes_BHKWgroß[[#This Row],[2025]],"&lt;&gt;"""), "0"),IF(Startseite!$D$68=(Eigenes_BHKWgroß[[#Headers],[2026]]-1),Eigenes_BHKWgroß[[#This Row],[2025]],IF(Startseite!$D$68&lt;Eigenes_BHKWgroß[[#Headers],[2026]],Eigenes_BHKWgroß[[#This Row],[2025]],"0")))</f>
        <v>0</v>
      </c>
      <c r="P213" s="104" t="str">
        <f>IF(Eigenes_BHKWgroß[[#Headers],[2027]]=Startseite!$D$68,IF(OR(SUMIF($D213:Eigenes_BHKWgroß[[#This Row],[2026]],"&gt;0")&gt;0,), AVERAGEIF($D213:Eigenes_BHKWgroß[[#This Row],[2026]],"&lt;&gt;"""), "0"),IF(Startseite!$D$68=(Eigenes_BHKWgroß[[#Headers],[2027]]-1),Eigenes_BHKWgroß[[#This Row],[2026]],IF(Startseite!$D$68&lt;Eigenes_BHKWgroß[[#Headers],[2027]],Eigenes_BHKWgroß[[#This Row],[2026]],"0")))</f>
        <v>0</v>
      </c>
      <c r="Q213" s="104" t="str">
        <f>IF(Eigenes_BHKWgroß[[#Headers],[2028]]=Startseite!$D$68,IF(OR(SUMIF($D213:Eigenes_BHKWgroß[[#This Row],[2027]],"&gt;0")&gt;0,), AVERAGEIF($D213:Eigenes_BHKWgroß[[#This Row],[2027]],"&lt;&gt;"""), "0"),IF(Startseite!$D$68=(Eigenes_BHKWgroß[[#Headers],[2028]]-1),Eigenes_BHKWgroß[[#This Row],[2027]],IF(Startseite!$D$68&lt;Eigenes_BHKWgroß[[#Headers],[2028]],Eigenes_BHKWgroß[[#This Row],[2027]],"0")))</f>
        <v>0</v>
      </c>
      <c r="R213" s="104" t="str">
        <f>IF(Eigenes_BHKWgroß[[#Headers],[2029]]=Startseite!$D$68,IF(OR(SUMIF($D213:Eigenes_BHKWgroß[[#This Row],[2028]],"&gt;0")&gt;0,), AVERAGEIF($D213:Eigenes_BHKWgroß[[#This Row],[2028]],"&lt;&gt;"""), "0"),IF(Startseite!$D$68=(Eigenes_BHKWgroß[[#Headers],[2029]]-1),Eigenes_BHKWgroß[[#This Row],[2028]],IF(Startseite!$D$68&lt;Eigenes_BHKWgroß[[#Headers],[2029]],Eigenes_BHKWgroß[[#This Row],[2028]],"0")))</f>
        <v>0</v>
      </c>
      <c r="S213" s="104" t="str">
        <f>IF(Eigenes_BHKWgroß[[#Headers],[2030]]=Startseite!$D$68,IF(OR(SUMIF($D213:Eigenes_BHKWgroß[[#This Row],[2029]],"&gt;0")&gt;0,), AVERAGEIF($D213:Eigenes_BHKWgroß[[#This Row],[2029]],"&lt;&gt;"""), "0"),IF(Startseite!$D$68=(Eigenes_BHKWgroß[[#Headers],[2030]]-1),Eigenes_BHKWgroß[[#This Row],[2029]],IF(Startseite!$D$68&lt;Eigenes_BHKWgroß[[#Headers],[2030]],Eigenes_BHKWgroß[[#This Row],[2029]],"0")))</f>
        <v>0</v>
      </c>
      <c r="T213" s="104" t="str">
        <f>IF(Eigenes_BHKWgroß[[#Headers],[2035]]=Startseite!$D$68,IF(OR(SUMIF($D213:Eigenes_BHKWgroß[[#This Row],[2030]],"&gt;0")&gt;0,), AVERAGEIF($D213:Eigenes_BHKWgroß[[#This Row],[2030]],"&lt;&gt;"""), "0"),IF(Startseite!$D$68=(Eigenes_BHKWgroß[[#Headers],[2035]]-1),Eigenes_BHKWgroß[[#This Row],[2030]],IF(Startseite!$D$68&lt;Eigenes_BHKWgroß[[#Headers],[2035]],Eigenes_BHKWgroß[[#This Row],[2030]],"0")))</f>
        <v>0</v>
      </c>
      <c r="U213" s="104" t="str">
        <f>IF(Eigenes_BHKWgroß[[#Headers],[2040]]=Startseite!$D$68,IF(OR(SUMIF($D213:Eigenes_BHKWgroß[[#This Row],[2035]],"&gt;0")&gt;0,), AVERAGEIF($D213:Eigenes_BHKWgroß[[#This Row],[2035]],"&lt;&gt;"""), "0"),IF(Startseite!$D$68=(Eigenes_BHKWgroß[[#Headers],[2040]]-1),Eigenes_BHKWgroß[[#This Row],[2035]],IF(Startseite!$D$68&lt;Eigenes_BHKWgroß[[#Headers],[2040]],Eigenes_BHKWgroß[[#This Row],[2035]],"0")))</f>
        <v>0</v>
      </c>
      <c r="V213" s="104" t="str">
        <f>IF(Eigenes_BHKWgroß[[#Headers],[2045]]=Startseite!$D$68,IF(OR(SUMIF($D213:Eigenes_BHKWgroß[[#This Row],[2040]],"&gt;0")&gt;0,), AVERAGEIF($D213:Eigenes_BHKWgroß[[#This Row],[2040]],"&lt;&gt;"""), "0"),IF(Startseite!$D$68=(Eigenes_BHKWgroß[[#Headers],[2045]]-1),Eigenes_BHKWgroß[[#This Row],[2040]],IF(Startseite!$D$68&lt;Eigenes_BHKWgroß[[#Headers],[2045]],Eigenes_BHKWgroß[[#This Row],[2040]],"0")))</f>
        <v>0</v>
      </c>
      <c r="W213" s="104" t="str">
        <f>IF(Eigenes_BHKWgroß[[#Headers],[2050]]=Startseite!$D$68,IF(OR(SUMIF($D213:Eigenes_BHKWgroß[[#This Row],[2045]],"&gt;0")&gt;0,), AVERAGEIF($D213:Eigenes_BHKWgroß[[#This Row],[2045]],"&lt;&gt;"""), "0"),IF(Startseite!$D$68=(Eigenes_BHKWgroß[[#Headers],[2050]]-1),Eigenes_BHKWgroß[[#This Row],[2045]],IF(Startseite!$D$68&lt;Eigenes_BHKWgroß[[#Headers],[2050]],Eigenes_BHKWgroß[[#This Row],[2045]],"0")))</f>
        <v>0</v>
      </c>
    </row>
    <row r="214" spans="2:24" ht="16.5" hidden="1">
      <c r="B214" s="13" t="s">
        <v>368</v>
      </c>
      <c r="C214" t="s">
        <v>195</v>
      </c>
      <c r="D214" s="13">
        <f>D213*Emissionsfaktoren!E29</f>
        <v>0</v>
      </c>
      <c r="E214" s="13">
        <f>E213*Emissionsfaktoren!F29</f>
        <v>0</v>
      </c>
      <c r="F214" s="13">
        <f>F213*Emissionsfaktoren!G29</f>
        <v>0</v>
      </c>
      <c r="G214" s="13">
        <f>G213*Emissionsfaktoren!H29</f>
        <v>0</v>
      </c>
      <c r="H214" s="13">
        <f>H213*Emissionsfaktoren!I29</f>
        <v>0</v>
      </c>
      <c r="I214" s="13">
        <f>I213*Emissionsfaktoren!J29</f>
        <v>0</v>
      </c>
      <c r="J214" s="13">
        <f>J213*Emissionsfaktoren!K29</f>
        <v>0</v>
      </c>
      <c r="K214" s="13">
        <f>K213*Emissionsfaktoren!L29</f>
        <v>0</v>
      </c>
      <c r="L214" s="13">
        <f>L213*Emissionsfaktoren!M29</f>
        <v>0</v>
      </c>
      <c r="M214" s="13">
        <f>M213*Emissionsfaktoren!N29</f>
        <v>0</v>
      </c>
      <c r="N214" s="13">
        <f>N213*Emissionsfaktoren!O29</f>
        <v>0</v>
      </c>
      <c r="O214" s="13">
        <f>O213*Emissionsfaktoren!P29</f>
        <v>0</v>
      </c>
      <c r="P214" s="13">
        <f>P213*Emissionsfaktoren!Q29</f>
        <v>0</v>
      </c>
      <c r="Q214" s="13">
        <f>Q213*Emissionsfaktoren!R29</f>
        <v>0</v>
      </c>
      <c r="R214" s="13">
        <f>R213*Emissionsfaktoren!S29</f>
        <v>0</v>
      </c>
      <c r="S214" s="13">
        <f>S213*Emissionsfaktoren!T29</f>
        <v>0</v>
      </c>
      <c r="T214" s="13">
        <f>T213*Emissionsfaktoren!U29</f>
        <v>0</v>
      </c>
      <c r="U214" s="13">
        <f>U213*Emissionsfaktoren!V29</f>
        <v>0</v>
      </c>
      <c r="V214" s="13">
        <f>V213*Emissionsfaktoren!W29</f>
        <v>0</v>
      </c>
      <c r="W214" s="13">
        <f>W213*Emissionsfaktoren!X29</f>
        <v>0</v>
      </c>
    </row>
    <row r="215" spans="2:24" ht="16.5">
      <c r="B215" t="s">
        <v>365</v>
      </c>
      <c r="C215" t="s">
        <v>195</v>
      </c>
      <c r="D215">
        <f t="shared" ref="D215:W215" si="35">(D214*(($C$198/($C$195-$C$198))/(1+($C$198/($C$195-$C$198)))))</f>
        <v>0</v>
      </c>
      <c r="E215">
        <f t="shared" si="35"/>
        <v>0</v>
      </c>
      <c r="F215">
        <f t="shared" si="35"/>
        <v>0</v>
      </c>
      <c r="G215">
        <f t="shared" si="35"/>
        <v>0</v>
      </c>
      <c r="H215">
        <f t="shared" si="35"/>
        <v>0</v>
      </c>
      <c r="I215">
        <f t="shared" si="35"/>
        <v>0</v>
      </c>
      <c r="J215">
        <f t="shared" si="35"/>
        <v>0</v>
      </c>
      <c r="K215">
        <f t="shared" si="35"/>
        <v>0</v>
      </c>
      <c r="L215">
        <f t="shared" si="35"/>
        <v>0</v>
      </c>
      <c r="M215">
        <f t="shared" si="35"/>
        <v>0</v>
      </c>
      <c r="N215">
        <f t="shared" si="35"/>
        <v>0</v>
      </c>
      <c r="O215">
        <f t="shared" si="35"/>
        <v>0</v>
      </c>
      <c r="P215">
        <f t="shared" si="35"/>
        <v>0</v>
      </c>
      <c r="Q215">
        <f t="shared" si="35"/>
        <v>0</v>
      </c>
      <c r="R215">
        <f t="shared" si="35"/>
        <v>0</v>
      </c>
      <c r="S215">
        <f t="shared" si="35"/>
        <v>0</v>
      </c>
      <c r="T215">
        <f t="shared" si="35"/>
        <v>0</v>
      </c>
      <c r="U215">
        <f t="shared" si="35"/>
        <v>0</v>
      </c>
      <c r="V215">
        <f t="shared" si="35"/>
        <v>0</v>
      </c>
      <c r="W215">
        <f t="shared" si="35"/>
        <v>0</v>
      </c>
    </row>
    <row r="216" spans="2:24" ht="16.5">
      <c r="B216" t="s">
        <v>366</v>
      </c>
      <c r="C216" t="s">
        <v>195</v>
      </c>
      <c r="D216">
        <f t="shared" ref="D216:W216" si="36">D214*1/(1+($C$198/($C$195-$C$198)))</f>
        <v>0</v>
      </c>
      <c r="E216">
        <f t="shared" si="36"/>
        <v>0</v>
      </c>
      <c r="F216">
        <f t="shared" si="36"/>
        <v>0</v>
      </c>
      <c r="G216">
        <f t="shared" si="36"/>
        <v>0</v>
      </c>
      <c r="H216">
        <f t="shared" si="36"/>
        <v>0</v>
      </c>
      <c r="I216">
        <f t="shared" si="36"/>
        <v>0</v>
      </c>
      <c r="J216">
        <f t="shared" si="36"/>
        <v>0</v>
      </c>
      <c r="K216">
        <f t="shared" si="36"/>
        <v>0</v>
      </c>
      <c r="L216">
        <f t="shared" si="36"/>
        <v>0</v>
      </c>
      <c r="M216">
        <f t="shared" si="36"/>
        <v>0</v>
      </c>
      <c r="N216">
        <f t="shared" si="36"/>
        <v>0</v>
      </c>
      <c r="O216">
        <f t="shared" si="36"/>
        <v>0</v>
      </c>
      <c r="P216">
        <f t="shared" si="36"/>
        <v>0</v>
      </c>
      <c r="Q216">
        <f t="shared" si="36"/>
        <v>0</v>
      </c>
      <c r="R216">
        <f t="shared" si="36"/>
        <v>0</v>
      </c>
      <c r="S216">
        <f t="shared" si="36"/>
        <v>0</v>
      </c>
      <c r="T216">
        <f t="shared" si="36"/>
        <v>0</v>
      </c>
      <c r="U216">
        <f t="shared" si="36"/>
        <v>0</v>
      </c>
      <c r="V216">
        <f t="shared" si="36"/>
        <v>0</v>
      </c>
      <c r="W216">
        <f t="shared" si="36"/>
        <v>0</v>
      </c>
    </row>
  </sheetData>
  <dataValidations disablePrompts="1" count="1">
    <dataValidation type="list" allowBlank="1" showInputMessage="1" showErrorMessage="1" sqref="D157:W157" xr:uid="{7F3D056B-01EA-4F7A-BBB5-38DC90FDEED6}">
      <formula1>$B$163:$B$166</formula1>
    </dataValidation>
  </dataValidations>
  <hyperlinks>
    <hyperlink ref="B6" location="'Strommix &amp; BHKW'!B12" display="1. Individueller Strommix" xr:uid="{A794A409-FB78-46D9-8858-6984C7FB3355}"/>
    <hyperlink ref="B9" location="'Strommix &amp; BHKW'!B140" display="     2.1 Carnot-Methode" xr:uid="{7F007DF3-CEB7-423E-9181-DCD989F0D853}"/>
    <hyperlink ref="B10" location="'Strommix &amp; BHKW'!B189" display="     2.2 Finnische Methode" xr:uid="{C229629C-5A8A-4243-97D1-C11327D241E8}"/>
    <hyperlink ref="J1" r:id="rId1" tooltip="Kontakt zur Autorin" display="Kontakt zur Autorin" xr:uid="{249DD070-BF28-436B-9EFA-AD2A9B40E68F}"/>
    <hyperlink ref="B1" location="Startseite!B44" tooltip="Zurück zur Einleitung" display="      Zur Navigation" xr:uid="{26E77C3A-5F7C-45C4-9991-B99518C8A28C}"/>
    <hyperlink ref="G20" location="Startseite!H51" display="      Zum Handbuch" xr:uid="{1750C930-A31C-445B-9CEC-164BF6D9DCD3}"/>
  </hyperlinks>
  <pageMargins left="0.7" right="0.7" top="0.78740157499999996" bottom="0.78740157499999996" header="0.3" footer="0.3"/>
  <pageSetup paperSize="9" orientation="portrait" r:id="rId2"/>
  <drawing r:id="rId3"/>
  <legacyDrawing r:id="rId4"/>
  <tableParts count="17">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78C0D931-6437-407d-A8EE-F0AAD7539E65}">
      <x14:conditionalFormattings>
        <x14:conditionalFormatting xmlns:xm="http://schemas.microsoft.com/office/excel/2006/main">
          <x14:cfRule type="expression" priority="117" id="{159761CD-F92F-42E2-83B6-6CB7EE662B60}">
            <xm:f>J$145&gt;=Startseite!$D$68</xm:f>
            <x14:dxf>
              <fill>
                <patternFill>
                  <bgColor rgb="FFFFC000"/>
                </patternFill>
              </fill>
            </x14:dxf>
          </x14:cfRule>
          <xm:sqref>J42:V46 J52:V56 J62:V66 J72:V76 J82:V86 K146:W148 K150:W151 K153:W154 K201:W201 K207:W207 K213:W213 J32:V36</xm:sqref>
        </x14:conditionalFormatting>
        <x14:conditionalFormatting xmlns:xm="http://schemas.microsoft.com/office/excel/2006/main">
          <x14:cfRule type="expression" priority="129" id="{1F00B144-C48F-49C1-9BE1-F04A932D55D8}">
            <xm:f>J$31&gt;=Startseite!$D$68</xm:f>
            <x14:dxf>
              <fill>
                <patternFill>
                  <bgColor rgb="FFFFC000"/>
                </patternFill>
              </fill>
            </x14:dxf>
          </x14:cfRule>
          <xm:sqref>J42:V46 J52:V56 J62:V66 J72:V76 J82:V86 J32:V36</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8778BAEC-6D26-46BF-8481-4F36616F7532}">
          <x14:formula1>
            <xm:f>Emissionsfaktoren!$C$182:$C$191</xm:f>
          </x14:formula1>
          <xm:sqref>B146:B149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2742-CCD8-497C-99B7-C0B5B9D509B0}">
  <sheetPr>
    <tabColor rgb="FF7030A0"/>
  </sheetPr>
  <dimension ref="A1:L21"/>
  <sheetViews>
    <sheetView showGridLines="0" zoomScaleNormal="100" workbookViewId="0">
      <pane ySplit="1" topLeftCell="A2" activePane="bottomLeft" state="frozen"/>
      <selection pane="bottomLeft"/>
    </sheetView>
  </sheetViews>
  <sheetFormatPr baseColWidth="10" defaultColWidth="10.81640625" defaultRowHeight="14.5"/>
  <cols>
    <col min="1" max="1" width="2.54296875" style="131" customWidth="1"/>
    <col min="2" max="2" width="30.1796875" style="131" customWidth="1"/>
    <col min="3" max="3" width="46.81640625" style="131" customWidth="1"/>
    <col min="4" max="5" width="10.81640625" style="131"/>
    <col min="6" max="6" width="11.7265625" style="131" customWidth="1"/>
    <col min="7" max="11" width="10.81640625" style="140"/>
    <col min="12" max="16384" width="10.81640625" style="131"/>
  </cols>
  <sheetData>
    <row r="1" spans="1:12">
      <c r="A1"/>
      <c r="B1" s="4" t="s">
        <v>556</v>
      </c>
      <c r="C1"/>
      <c r="D1"/>
      <c r="E1"/>
      <c r="F1" s="5"/>
      <c r="G1" s="5"/>
      <c r="H1" s="5"/>
      <c r="I1" s="3" t="s">
        <v>489</v>
      </c>
      <c r="K1" s="13"/>
    </row>
    <row r="3" spans="1:12" ht="18.5">
      <c r="B3" s="133" t="s">
        <v>421</v>
      </c>
    </row>
    <row r="7" spans="1:12">
      <c r="G7"/>
      <c r="H7" s="25" t="s">
        <v>631</v>
      </c>
      <c r="I7"/>
    </row>
    <row r="8" spans="1:12">
      <c r="E8"/>
    </row>
    <row r="9" spans="1:12" ht="14.5" customHeight="1">
      <c r="B9" s="180" t="s">
        <v>557</v>
      </c>
      <c r="C9" s="184"/>
      <c r="D9" s="132"/>
      <c r="E9" s="132"/>
      <c r="F9" s="132"/>
      <c r="G9" s="186"/>
      <c r="H9" s="186"/>
      <c r="I9" s="186"/>
      <c r="J9" s="186"/>
      <c r="K9" s="186"/>
    </row>
    <row r="10" spans="1:12" ht="34" customHeight="1">
      <c r="B10" s="181" t="s">
        <v>558</v>
      </c>
      <c r="C10" s="182" t="s">
        <v>422</v>
      </c>
      <c r="D10" s="141" t="b">
        <v>1</v>
      </c>
      <c r="E10" s="141" t="b">
        <v>0</v>
      </c>
      <c r="F10" s="132"/>
      <c r="G10" s="186"/>
      <c r="H10" s="186"/>
      <c r="I10" s="186"/>
      <c r="J10" s="186">
        <f>IF(AND(D10,E10),1,0)</f>
        <v>0</v>
      </c>
      <c r="K10" s="186"/>
      <c r="L10" s="185"/>
    </row>
    <row r="11" spans="1:12" ht="52" customHeight="1">
      <c r="B11" s="181" t="s">
        <v>559</v>
      </c>
      <c r="C11" s="182" t="s">
        <v>427</v>
      </c>
      <c r="D11" s="141" t="b">
        <v>1</v>
      </c>
      <c r="E11" s="141" t="b">
        <v>0</v>
      </c>
      <c r="F11" s="141" t="b">
        <v>0</v>
      </c>
      <c r="G11" s="186">
        <f t="shared" ref="G11:G16" si="0">IF(D11,0,0)</f>
        <v>0</v>
      </c>
      <c r="H11" s="186">
        <f t="shared" ref="H11:H16" si="1">IF(E11,1,0)</f>
        <v>0</v>
      </c>
      <c r="I11" s="186">
        <f t="shared" ref="I11:I16" si="2">IF(F11,2,0)</f>
        <v>0</v>
      </c>
      <c r="J11" s="186">
        <f t="shared" ref="J11:J16" si="3">IF(OR(AND(D11,E11),AND(D11,F11),AND(E11,F11),AND(D11,E11,F11)),1,0)</f>
        <v>0</v>
      </c>
      <c r="K11" s="186"/>
      <c r="L11" s="185"/>
    </row>
    <row r="12" spans="1:12" ht="47.5" customHeight="1">
      <c r="B12" s="181" t="s">
        <v>560</v>
      </c>
      <c r="C12" s="182" t="s">
        <v>428</v>
      </c>
      <c r="D12" s="141" t="b">
        <v>1</v>
      </c>
      <c r="E12" s="141" t="b">
        <v>0</v>
      </c>
      <c r="F12" s="141" t="b">
        <v>0</v>
      </c>
      <c r="G12" s="186">
        <f t="shared" si="0"/>
        <v>0</v>
      </c>
      <c r="H12" s="186">
        <f t="shared" si="1"/>
        <v>0</v>
      </c>
      <c r="I12" s="186">
        <f t="shared" si="2"/>
        <v>0</v>
      </c>
      <c r="J12" s="186">
        <f t="shared" si="3"/>
        <v>0</v>
      </c>
      <c r="K12" s="186"/>
      <c r="L12" s="185"/>
    </row>
    <row r="13" spans="1:12" ht="46" customHeight="1">
      <c r="B13" s="181" t="s">
        <v>561</v>
      </c>
      <c r="C13" s="182" t="s">
        <v>490</v>
      </c>
      <c r="D13" s="141" t="b">
        <v>1</v>
      </c>
      <c r="E13" s="141" t="b">
        <v>0</v>
      </c>
      <c r="F13" s="141" t="b">
        <v>0</v>
      </c>
      <c r="G13" s="186">
        <f t="shared" si="0"/>
        <v>0</v>
      </c>
      <c r="H13" s="186">
        <f t="shared" si="1"/>
        <v>0</v>
      </c>
      <c r="I13" s="186">
        <f t="shared" si="2"/>
        <v>0</v>
      </c>
      <c r="J13" s="186">
        <f t="shared" si="3"/>
        <v>0</v>
      </c>
      <c r="K13" s="186"/>
      <c r="L13" s="185"/>
    </row>
    <row r="14" spans="1:12" ht="32.25" customHeight="1">
      <c r="B14" s="181" t="s">
        <v>562</v>
      </c>
      <c r="C14" s="182" t="s">
        <v>425</v>
      </c>
      <c r="D14" s="141" t="b">
        <v>1</v>
      </c>
      <c r="E14" s="141" t="b">
        <v>0</v>
      </c>
      <c r="F14" s="141" t="b">
        <v>0</v>
      </c>
      <c r="G14" s="186">
        <f t="shared" si="0"/>
        <v>0</v>
      </c>
      <c r="H14" s="186">
        <f t="shared" si="1"/>
        <v>0</v>
      </c>
      <c r="I14" s="186">
        <f t="shared" si="2"/>
        <v>0</v>
      </c>
      <c r="J14" s="186">
        <f t="shared" si="3"/>
        <v>0</v>
      </c>
      <c r="K14" s="186"/>
      <c r="L14" s="185"/>
    </row>
    <row r="15" spans="1:12" ht="30" customHeight="1">
      <c r="B15" s="181" t="s">
        <v>563</v>
      </c>
      <c r="C15" s="182" t="s">
        <v>424</v>
      </c>
      <c r="D15" s="141" t="b">
        <v>1</v>
      </c>
      <c r="E15" s="141" t="b">
        <v>0</v>
      </c>
      <c r="F15" s="141" t="b">
        <v>0</v>
      </c>
      <c r="G15" s="186">
        <f t="shared" si="0"/>
        <v>0</v>
      </c>
      <c r="H15" s="186">
        <f t="shared" si="1"/>
        <v>0</v>
      </c>
      <c r="I15" s="186">
        <f t="shared" si="2"/>
        <v>0</v>
      </c>
      <c r="J15" s="186">
        <f t="shared" si="3"/>
        <v>0</v>
      </c>
      <c r="K15" s="186"/>
      <c r="L15" s="185"/>
    </row>
    <row r="16" spans="1:12" ht="26.15" customHeight="1">
      <c r="B16" s="181" t="s">
        <v>564</v>
      </c>
      <c r="C16" s="182" t="s">
        <v>426</v>
      </c>
      <c r="D16" s="141" t="b">
        <v>1</v>
      </c>
      <c r="E16" s="141" t="b">
        <v>0</v>
      </c>
      <c r="F16" s="141" t="b">
        <v>0</v>
      </c>
      <c r="G16" s="186">
        <f t="shared" si="0"/>
        <v>0</v>
      </c>
      <c r="H16" s="186">
        <f t="shared" si="1"/>
        <v>0</v>
      </c>
      <c r="I16" s="186">
        <f t="shared" si="2"/>
        <v>0</v>
      </c>
      <c r="J16" s="186">
        <f t="shared" si="3"/>
        <v>0</v>
      </c>
      <c r="K16" s="186"/>
      <c r="L16" s="185"/>
    </row>
    <row r="17" spans="2:12" ht="18" customHeight="1">
      <c r="B17" s="291" t="s">
        <v>423</v>
      </c>
      <c r="C17" s="291"/>
      <c r="D17" s="291"/>
      <c r="E17" s="291"/>
      <c r="F17" s="291"/>
      <c r="G17" s="186">
        <f>SUM(G11:G16)</f>
        <v>0</v>
      </c>
      <c r="H17" s="186">
        <f t="shared" ref="H17:I17" si="4">SUM(H11:H16)</f>
        <v>0</v>
      </c>
      <c r="I17" s="186">
        <f t="shared" si="4"/>
        <v>0</v>
      </c>
      <c r="J17" s="186">
        <f>SUM(J10:J16)</f>
        <v>0</v>
      </c>
      <c r="K17" s="186"/>
      <c r="L17" s="185"/>
    </row>
    <row r="18" spans="2:12" ht="16.5" customHeight="1">
      <c r="B18" s="249" t="s">
        <v>622</v>
      </c>
      <c r="C18" s="287" t="str">
        <f>(IF(E10,"Es handelt sich um keine eigenständige Einheit. Die Emissionen der Einheit sind in die Bilanz aufzunehmen.",IF(G18&gt;=4,"Die Einheit ist so eng mit der Hochschule verflochten, dass ihre Emissionen in die Bilanz der Institution eingehen.","Die Einheit ist nur locker mit der Institution verflochten, so dass ihre Emissionen nicht in die Bilanz der Institution eingehen")))</f>
        <v>Die Einheit ist nur locker mit der Institution verflochten, so dass ihre Emissionen nicht in die Bilanz der Institution eingehen</v>
      </c>
      <c r="D18" s="288"/>
      <c r="E18" s="288"/>
      <c r="F18" s="288"/>
      <c r="G18" s="183">
        <f>SUM(H17:J17)</f>
        <v>0</v>
      </c>
      <c r="H18" s="186"/>
      <c r="I18" s="186"/>
      <c r="J18" s="186"/>
      <c r="K18" s="186"/>
      <c r="L18" s="185"/>
    </row>
    <row r="19" spans="2:12" ht="17.25" customHeight="1">
      <c r="B19" s="251"/>
      <c r="C19" s="289"/>
      <c r="D19" s="290"/>
      <c r="E19" s="290"/>
      <c r="F19" s="290"/>
      <c r="G19" s="183"/>
      <c r="H19" s="132"/>
      <c r="I19" s="132"/>
      <c r="J19" s="132"/>
      <c r="K19" s="132"/>
      <c r="L19" s="185"/>
    </row>
    <row r="20" spans="2:12" ht="15" customHeight="1">
      <c r="C20" s="250"/>
      <c r="D20" s="250"/>
      <c r="E20" s="250"/>
      <c r="F20" s="250"/>
      <c r="G20" s="131"/>
      <c r="H20" s="185"/>
      <c r="I20" s="185"/>
      <c r="J20" s="185"/>
      <c r="K20" s="185"/>
      <c r="L20" s="185"/>
    </row>
    <row r="21" spans="2:12">
      <c r="G21" s="185"/>
      <c r="H21" s="185"/>
      <c r="I21" s="185"/>
      <c r="J21" s="185"/>
      <c r="K21" s="185"/>
      <c r="L21" s="185"/>
    </row>
  </sheetData>
  <mergeCells count="2">
    <mergeCell ref="C18:F19"/>
    <mergeCell ref="B17:F17"/>
  </mergeCells>
  <conditionalFormatting sqref="B18">
    <cfRule type="expression" dxfId="386" priority="1">
      <formula>#REF!&gt;0</formula>
    </cfRule>
  </conditionalFormatting>
  <conditionalFormatting sqref="B10:C16">
    <cfRule type="expression" dxfId="385" priority="11">
      <formula>#REF!&gt;0</formula>
    </cfRule>
  </conditionalFormatting>
  <conditionalFormatting sqref="B10:E10">
    <cfRule type="expression" dxfId="384" priority="9">
      <formula>"Wenn(UND(D8=""WAHR"";E8=""WAHR""))"</formula>
    </cfRule>
  </conditionalFormatting>
  <conditionalFormatting sqref="B17:F17">
    <cfRule type="expression" dxfId="383" priority="10">
      <formula>$J$17&gt;0</formula>
    </cfRule>
  </conditionalFormatting>
  <hyperlinks>
    <hyperlink ref="I1" r:id="rId1" tooltip="Kontakt zur Autorin" display="Kontakt zur Autorin" xr:uid="{2E229962-A056-4F16-8BD4-3B9804873120}"/>
    <hyperlink ref="B1" location="Startseite!B44" tooltip="Zurück zur Einleitung" display="      Zur Navigation" xr:uid="{6EE49B4A-C851-4A74-92B8-D8DBD7AB2D03}"/>
    <hyperlink ref="H7" location="Startseite!H51" display="      Zum Handbuch" xr:uid="{9FD6947C-6C47-45BF-8D1E-25FFF8E70F6E}"/>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42" r:id="rId5" name="Check Box 2">
              <controlPr defaultSize="0" autoFill="0" autoLine="0" autoPict="0">
                <anchor moveWithCells="1">
                  <from>
                    <xdr:col>3</xdr:col>
                    <xdr:colOff>57150</xdr:colOff>
                    <xdr:row>10</xdr:row>
                    <xdr:rowOff>31750</xdr:rowOff>
                  </from>
                  <to>
                    <xdr:col>4</xdr:col>
                    <xdr:colOff>19050</xdr:colOff>
                    <xdr:row>10</xdr:row>
                    <xdr:rowOff>355600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xdr:col>
                    <xdr:colOff>69850</xdr:colOff>
                    <xdr:row>11</xdr:row>
                    <xdr:rowOff>31750</xdr:rowOff>
                  </from>
                  <to>
                    <xdr:col>4</xdr:col>
                    <xdr:colOff>31750</xdr:colOff>
                    <xdr:row>11</xdr:row>
                    <xdr:rowOff>355600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57150</xdr:colOff>
                    <xdr:row>12</xdr:row>
                    <xdr:rowOff>31750</xdr:rowOff>
                  </from>
                  <to>
                    <xdr:col>4</xdr:col>
                    <xdr:colOff>19050</xdr:colOff>
                    <xdr:row>12</xdr:row>
                    <xdr:rowOff>355600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50800</xdr:colOff>
                    <xdr:row>13</xdr:row>
                    <xdr:rowOff>31750</xdr:rowOff>
                  </from>
                  <to>
                    <xdr:col>4</xdr:col>
                    <xdr:colOff>12700</xdr:colOff>
                    <xdr:row>13</xdr:row>
                    <xdr:rowOff>355600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xdr:col>
                    <xdr:colOff>50800</xdr:colOff>
                    <xdr:row>14</xdr:row>
                    <xdr:rowOff>31750</xdr:rowOff>
                  </from>
                  <to>
                    <xdr:col>4</xdr:col>
                    <xdr:colOff>12700</xdr:colOff>
                    <xdr:row>14</xdr:row>
                    <xdr:rowOff>355600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50800</xdr:colOff>
                    <xdr:row>15</xdr:row>
                    <xdr:rowOff>31750</xdr:rowOff>
                  </from>
                  <to>
                    <xdr:col>4</xdr:col>
                    <xdr:colOff>12700</xdr:colOff>
                    <xdr:row>16</xdr:row>
                    <xdr:rowOff>31750</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4</xdr:col>
                    <xdr:colOff>50800</xdr:colOff>
                    <xdr:row>10</xdr:row>
                    <xdr:rowOff>31750</xdr:rowOff>
                  </from>
                  <to>
                    <xdr:col>5</xdr:col>
                    <xdr:colOff>12700</xdr:colOff>
                    <xdr:row>10</xdr:row>
                    <xdr:rowOff>355600</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4</xdr:col>
                    <xdr:colOff>50800</xdr:colOff>
                    <xdr:row>11</xdr:row>
                    <xdr:rowOff>31750</xdr:rowOff>
                  </from>
                  <to>
                    <xdr:col>5</xdr:col>
                    <xdr:colOff>12700</xdr:colOff>
                    <xdr:row>11</xdr:row>
                    <xdr:rowOff>355600</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4</xdr:col>
                    <xdr:colOff>50800</xdr:colOff>
                    <xdr:row>12</xdr:row>
                    <xdr:rowOff>31750</xdr:rowOff>
                  </from>
                  <to>
                    <xdr:col>5</xdr:col>
                    <xdr:colOff>12700</xdr:colOff>
                    <xdr:row>12</xdr:row>
                    <xdr:rowOff>355600</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4</xdr:col>
                    <xdr:colOff>50800</xdr:colOff>
                    <xdr:row>13</xdr:row>
                    <xdr:rowOff>31750</xdr:rowOff>
                  </from>
                  <to>
                    <xdr:col>5</xdr:col>
                    <xdr:colOff>12700</xdr:colOff>
                    <xdr:row>13</xdr:row>
                    <xdr:rowOff>355600</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4</xdr:col>
                    <xdr:colOff>50800</xdr:colOff>
                    <xdr:row>14</xdr:row>
                    <xdr:rowOff>31750</xdr:rowOff>
                  </from>
                  <to>
                    <xdr:col>5</xdr:col>
                    <xdr:colOff>12700</xdr:colOff>
                    <xdr:row>14</xdr:row>
                    <xdr:rowOff>355600</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4</xdr:col>
                    <xdr:colOff>50800</xdr:colOff>
                    <xdr:row>15</xdr:row>
                    <xdr:rowOff>31750</xdr:rowOff>
                  </from>
                  <to>
                    <xdr:col>5</xdr:col>
                    <xdr:colOff>12700</xdr:colOff>
                    <xdr:row>16</xdr:row>
                    <xdr:rowOff>31750</xdr:rowOff>
                  </to>
                </anchor>
              </controlPr>
            </control>
          </mc:Choice>
        </mc:AlternateContent>
        <mc:AlternateContent xmlns:mc="http://schemas.openxmlformats.org/markup-compatibility/2006">
          <mc:Choice Requires="x14">
            <control shapeId="10259" r:id="rId17" name="Check Box 19">
              <controlPr defaultSize="0" autoFill="0" autoLine="0" autoPict="0">
                <anchor moveWithCells="1">
                  <from>
                    <xdr:col>4</xdr:col>
                    <xdr:colOff>50800</xdr:colOff>
                    <xdr:row>14</xdr:row>
                    <xdr:rowOff>31750</xdr:rowOff>
                  </from>
                  <to>
                    <xdr:col>5</xdr:col>
                    <xdr:colOff>12700</xdr:colOff>
                    <xdr:row>14</xdr:row>
                    <xdr:rowOff>355600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5</xdr:col>
                    <xdr:colOff>50800</xdr:colOff>
                    <xdr:row>10</xdr:row>
                    <xdr:rowOff>31750</xdr:rowOff>
                  </from>
                  <to>
                    <xdr:col>5</xdr:col>
                    <xdr:colOff>774700</xdr:colOff>
                    <xdr:row>10</xdr:row>
                    <xdr:rowOff>355600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5</xdr:col>
                    <xdr:colOff>50800</xdr:colOff>
                    <xdr:row>11</xdr:row>
                    <xdr:rowOff>31750</xdr:rowOff>
                  </from>
                  <to>
                    <xdr:col>5</xdr:col>
                    <xdr:colOff>774700</xdr:colOff>
                    <xdr:row>11</xdr:row>
                    <xdr:rowOff>355600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5</xdr:col>
                    <xdr:colOff>50800</xdr:colOff>
                    <xdr:row>12</xdr:row>
                    <xdr:rowOff>31750</xdr:rowOff>
                  </from>
                  <to>
                    <xdr:col>5</xdr:col>
                    <xdr:colOff>774700</xdr:colOff>
                    <xdr:row>12</xdr:row>
                    <xdr:rowOff>355600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5</xdr:col>
                    <xdr:colOff>50800</xdr:colOff>
                    <xdr:row>13</xdr:row>
                    <xdr:rowOff>31750</xdr:rowOff>
                  </from>
                  <to>
                    <xdr:col>5</xdr:col>
                    <xdr:colOff>774700</xdr:colOff>
                    <xdr:row>13</xdr:row>
                    <xdr:rowOff>355600</xdr:rowOff>
                  </to>
                </anchor>
              </controlPr>
            </control>
          </mc:Choice>
        </mc:AlternateContent>
        <mc:AlternateContent xmlns:mc="http://schemas.openxmlformats.org/markup-compatibility/2006">
          <mc:Choice Requires="x14">
            <control shapeId="10260" r:id="rId22" name="Check Box 20">
              <controlPr defaultSize="0" autoFill="0" autoLine="0" autoPict="0">
                <anchor moveWithCells="1">
                  <from>
                    <xdr:col>5</xdr:col>
                    <xdr:colOff>50800</xdr:colOff>
                    <xdr:row>14</xdr:row>
                    <xdr:rowOff>31750</xdr:rowOff>
                  </from>
                  <to>
                    <xdr:col>5</xdr:col>
                    <xdr:colOff>774700</xdr:colOff>
                    <xdr:row>14</xdr:row>
                    <xdr:rowOff>355600</xdr:rowOff>
                  </to>
                </anchor>
              </controlPr>
            </control>
          </mc:Choice>
        </mc:AlternateContent>
        <mc:AlternateContent xmlns:mc="http://schemas.openxmlformats.org/markup-compatibility/2006">
          <mc:Choice Requires="x14">
            <control shapeId="10261" r:id="rId23" name="Check Box 21">
              <controlPr defaultSize="0" autoFill="0" autoLine="0" autoPict="0">
                <anchor moveWithCells="1">
                  <from>
                    <xdr:col>5</xdr:col>
                    <xdr:colOff>50800</xdr:colOff>
                    <xdr:row>15</xdr:row>
                    <xdr:rowOff>31750</xdr:rowOff>
                  </from>
                  <to>
                    <xdr:col>5</xdr:col>
                    <xdr:colOff>774700</xdr:colOff>
                    <xdr:row>16</xdr:row>
                    <xdr:rowOff>31750</xdr:rowOff>
                  </to>
                </anchor>
              </controlPr>
            </control>
          </mc:Choice>
        </mc:AlternateContent>
        <mc:AlternateContent xmlns:mc="http://schemas.openxmlformats.org/markup-compatibility/2006">
          <mc:Choice Requires="x14">
            <control shapeId="10241" r:id="rId24" name="Check Box 1">
              <controlPr defaultSize="0" autoFill="0" autoLine="0" autoPict="0">
                <anchor moveWithCells="1">
                  <from>
                    <xdr:col>3</xdr:col>
                    <xdr:colOff>69850</xdr:colOff>
                    <xdr:row>9</xdr:row>
                    <xdr:rowOff>12700</xdr:rowOff>
                  </from>
                  <to>
                    <xdr:col>4</xdr:col>
                    <xdr:colOff>31750</xdr:colOff>
                    <xdr:row>9</xdr:row>
                    <xdr:rowOff>336550</xdr:rowOff>
                  </to>
                </anchor>
              </controlPr>
            </control>
          </mc:Choice>
        </mc:AlternateContent>
        <mc:AlternateContent xmlns:mc="http://schemas.openxmlformats.org/markup-compatibility/2006">
          <mc:Choice Requires="x14">
            <control shapeId="10248" r:id="rId25" name="Check Box 8">
              <controlPr defaultSize="0" autoFill="0" autoLine="0" autoPict="0">
                <anchor moveWithCells="1">
                  <from>
                    <xdr:col>4</xdr:col>
                    <xdr:colOff>50800</xdr:colOff>
                    <xdr:row>9</xdr:row>
                    <xdr:rowOff>31750</xdr:rowOff>
                  </from>
                  <to>
                    <xdr:col>5</xdr:col>
                    <xdr:colOff>12700</xdr:colOff>
                    <xdr:row>9</xdr:row>
                    <xdr:rowOff>355600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530BC-173B-44D8-B32D-CB9A9E3E9D54}">
  <sheetPr>
    <tabColor rgb="FF7030A0"/>
  </sheetPr>
  <dimension ref="B1:Z230"/>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baseColWidth="10" defaultRowHeight="14.5"/>
  <cols>
    <col min="1" max="1" width="2.54296875" customWidth="1"/>
    <col min="2" max="2" width="4.54296875" customWidth="1"/>
    <col min="3" max="3" width="47.26953125" customWidth="1"/>
    <col min="4" max="4" width="16.453125" customWidth="1"/>
    <col min="5" max="5" width="10.54296875" customWidth="1"/>
    <col min="6" max="8" width="10.81640625" customWidth="1"/>
    <col min="9" max="10" width="11.453125" customWidth="1"/>
    <col min="11" max="11" width="10.81640625" customWidth="1"/>
    <col min="12" max="17" width="11.453125" customWidth="1"/>
    <col min="18" max="21" width="10.81640625" customWidth="1"/>
    <col min="22" max="22" width="10.54296875" customWidth="1"/>
    <col min="23" max="23" width="10.453125" customWidth="1"/>
    <col min="24" max="24" width="10" customWidth="1"/>
    <col min="25" max="25" width="58.26953125" customWidth="1"/>
    <col min="26" max="26" width="117.453125" customWidth="1"/>
  </cols>
  <sheetData>
    <row r="1" spans="2:11">
      <c r="B1" s="4" t="s">
        <v>556</v>
      </c>
      <c r="F1" s="5"/>
      <c r="G1" s="5"/>
      <c r="H1" s="5"/>
      <c r="J1" s="5"/>
      <c r="K1" s="3" t="s">
        <v>489</v>
      </c>
    </row>
    <row r="3" spans="2:11" ht="18.5">
      <c r="B3" s="24" t="s">
        <v>46</v>
      </c>
    </row>
    <row r="4" spans="2:11" ht="15.5">
      <c r="B4" s="6"/>
    </row>
    <row r="7" spans="2:11">
      <c r="H7" s="25" t="s">
        <v>631</v>
      </c>
    </row>
    <row r="8" spans="2:11">
      <c r="B8" s="8"/>
    </row>
    <row r="9" spans="2:11" hidden="1"/>
    <row r="10" spans="2:11" hidden="1"/>
    <row r="11" spans="2:11" hidden="1">
      <c r="B11" s="8"/>
    </row>
    <row r="12" spans="2:11" hidden="1"/>
    <row r="13" spans="2:11" ht="15.5" hidden="1">
      <c r="B13" s="6"/>
    </row>
    <row r="14" spans="2:11" ht="15.5" hidden="1">
      <c r="B14" s="6"/>
    </row>
    <row r="15" spans="2:11" ht="15.5" hidden="1">
      <c r="B15" s="6"/>
    </row>
    <row r="16" spans="2:11" ht="15.5" hidden="1">
      <c r="B16" s="6"/>
    </row>
    <row r="17" spans="2:26">
      <c r="B17" s="12" t="s">
        <v>38</v>
      </c>
      <c r="C17" s="12" t="s">
        <v>28</v>
      </c>
      <c r="D17" s="12" t="s">
        <v>2</v>
      </c>
      <c r="E17" s="9" t="s">
        <v>3</v>
      </c>
      <c r="F17" s="9" t="s">
        <v>4</v>
      </c>
      <c r="G17" s="9" t="s">
        <v>5</v>
      </c>
      <c r="H17" s="9" t="s">
        <v>6</v>
      </c>
      <c r="I17" s="9" t="s">
        <v>7</v>
      </c>
      <c r="J17" s="146" t="s">
        <v>8</v>
      </c>
      <c r="K17" s="9" t="s">
        <v>9</v>
      </c>
      <c r="L17" s="10" t="s">
        <v>10</v>
      </c>
      <c r="M17" s="10" t="s">
        <v>11</v>
      </c>
      <c r="N17" s="10" t="s">
        <v>12</v>
      </c>
      <c r="O17" s="10" t="s">
        <v>13</v>
      </c>
      <c r="P17" s="10" t="s">
        <v>14</v>
      </c>
      <c r="Q17" s="10" t="s">
        <v>216</v>
      </c>
      <c r="R17" s="10" t="s">
        <v>217</v>
      </c>
      <c r="S17" s="10" t="s">
        <v>218</v>
      </c>
      <c r="T17" s="10" t="s">
        <v>15</v>
      </c>
      <c r="U17" s="10" t="s">
        <v>16</v>
      </c>
      <c r="V17" s="10" t="s">
        <v>17</v>
      </c>
      <c r="W17" s="10" t="s">
        <v>18</v>
      </c>
      <c r="X17" s="10" t="s">
        <v>19</v>
      </c>
      <c r="Y17" s="10" t="s">
        <v>36</v>
      </c>
      <c r="Z17" s="10" t="s">
        <v>136</v>
      </c>
    </row>
    <row r="18" spans="2:26" ht="16.5">
      <c r="B18" s="19">
        <v>1</v>
      </c>
      <c r="C18" s="19" t="str">
        <f>Refsz_Verbräuche[[#This Row],[Datenpunkt]]</f>
        <v>Bundesmix</v>
      </c>
      <c r="D18" t="s">
        <v>106</v>
      </c>
      <c r="E18" s="22">
        <v>542.06700000000001</v>
      </c>
      <c r="F18" s="22">
        <v>548.70799999999997</v>
      </c>
      <c r="G18" s="22">
        <v>504.108</v>
      </c>
      <c r="H18" s="21">
        <v>488.113</v>
      </c>
      <c r="I18" s="22">
        <v>410.81</v>
      </c>
      <c r="J18" s="22">
        <v>504.88299999999998</v>
      </c>
      <c r="K18" s="22">
        <v>395.89699999999999</v>
      </c>
      <c r="L18" s="22">
        <v>395.89699999999999</v>
      </c>
      <c r="M18" s="22">
        <v>395.89699999999999</v>
      </c>
      <c r="N18" s="22">
        <v>395.89699999999999</v>
      </c>
      <c r="O18" s="22">
        <v>395.89699999999999</v>
      </c>
      <c r="P18" s="22">
        <v>395.89699999999999</v>
      </c>
      <c r="Q18" s="22">
        <v>395.89699999999999</v>
      </c>
      <c r="R18" s="22">
        <v>395.89699999999999</v>
      </c>
      <c r="S18" s="22">
        <v>395.89699999999999</v>
      </c>
      <c r="T18" s="22">
        <v>370.61399999999998</v>
      </c>
      <c r="U18" s="22">
        <v>370.61399999999998</v>
      </c>
      <c r="V18" s="22">
        <v>370.61399999999998</v>
      </c>
      <c r="W18" s="22">
        <v>370.61399999999998</v>
      </c>
      <c r="X18" s="22">
        <v>370.61399999999998</v>
      </c>
      <c r="Y18" s="11" t="s">
        <v>30</v>
      </c>
      <c r="Z18" s="11" t="s">
        <v>224</v>
      </c>
    </row>
    <row r="19" spans="2:26" ht="16.5">
      <c r="B19" s="19">
        <v>2</v>
      </c>
      <c r="C19" s="19" t="str">
        <f>Refsz_Verbräuche[[#This Row],[Datenpunkt]]</f>
        <v>Bundesmix KS80</v>
      </c>
      <c r="D19" t="s">
        <v>29</v>
      </c>
      <c r="E19" s="21">
        <v>542.06700000000001</v>
      </c>
      <c r="F19" s="21">
        <v>548.70799999999997</v>
      </c>
      <c r="G19" s="21">
        <v>504.108</v>
      </c>
      <c r="H19" s="21">
        <v>488.113</v>
      </c>
      <c r="I19" s="21">
        <v>410.81</v>
      </c>
      <c r="J19" s="21">
        <v>504.88299999999998</v>
      </c>
      <c r="K19" s="21">
        <v>395.89699999999999</v>
      </c>
      <c r="L19" s="21">
        <v>395.89699999999999</v>
      </c>
      <c r="M19" s="21">
        <v>395.89699999999999</v>
      </c>
      <c r="N19" s="21">
        <v>395.89699999999999</v>
      </c>
      <c r="O19" s="21">
        <v>395.89699999999999</v>
      </c>
      <c r="P19" s="21">
        <v>395.89699999999999</v>
      </c>
      <c r="Q19" s="21">
        <v>395.89699999999999</v>
      </c>
      <c r="R19" s="21">
        <v>395.89699999999999</v>
      </c>
      <c r="S19" s="21">
        <v>395.89699999999999</v>
      </c>
      <c r="T19" s="21">
        <v>308.08999999999997</v>
      </c>
      <c r="U19" s="21">
        <v>308.08999999999997</v>
      </c>
      <c r="V19" s="21">
        <v>308.08999999999997</v>
      </c>
      <c r="W19" s="21">
        <v>308.08999999999997</v>
      </c>
      <c r="X19" s="21">
        <v>308.08999999999997</v>
      </c>
      <c r="Y19" s="11" t="s">
        <v>31</v>
      </c>
      <c r="Z19" s="11" t="s">
        <v>223</v>
      </c>
    </row>
    <row r="20" spans="2:26" ht="16.5">
      <c r="B20" s="19">
        <v>3</v>
      </c>
      <c r="C20" s="19" t="str">
        <f>Refsz_Verbräuche[[#This Row],[Datenpunkt]]</f>
        <v>Individueller Strommix Einrichtung 1</v>
      </c>
      <c r="D20" t="s">
        <v>106</v>
      </c>
      <c r="E20" s="21">
        <f>EF_Tarif1[[#Totals],[2015]]</f>
        <v>0</v>
      </c>
      <c r="F20" s="21">
        <f>EF_Tarif1[[#Totals],[2016]]</f>
        <v>0</v>
      </c>
      <c r="G20" s="21">
        <f>EF_Tarif1[[#Totals],[2017]]</f>
        <v>0</v>
      </c>
      <c r="H20" s="21">
        <f>EF_Tarif1[[#Totals],[2018]]</f>
        <v>0</v>
      </c>
      <c r="I20" s="21">
        <f>EF_Tarif1[[#Totals],[2019]]</f>
        <v>0</v>
      </c>
      <c r="J20" s="21">
        <f>EF_Tarif1[[#Totals],[2020]]</f>
        <v>0</v>
      </c>
      <c r="K20" s="21">
        <f>EF_Tarif1[[#Totals],[2021]]</f>
        <v>0</v>
      </c>
      <c r="L20" s="21">
        <f>EF_Tarif1[[#Totals],[2022]]</f>
        <v>0</v>
      </c>
      <c r="M20" s="21">
        <f>EF_Tarif1[[#Totals],[2023]]</f>
        <v>0</v>
      </c>
      <c r="N20" s="21">
        <f>EF_Tarif1[[#Totals],[2024]]</f>
        <v>0</v>
      </c>
      <c r="O20" s="21">
        <f>EF_Tarif1[[#Totals],[2025]]</f>
        <v>0</v>
      </c>
      <c r="P20" s="21">
        <f>EF_Tarif1[[#Totals],[2026]]</f>
        <v>0</v>
      </c>
      <c r="Q20" s="21">
        <f>EF_Tarif1[[#Totals],[2027]]</f>
        <v>0</v>
      </c>
      <c r="R20" s="21">
        <f>EF_Tarif1[[#Totals],[2028]]</f>
        <v>0</v>
      </c>
      <c r="S20" s="21">
        <f>EF_Tarif1[[#Totals],[2029]]</f>
        <v>0</v>
      </c>
      <c r="T20" s="21">
        <f>EF_Tarif1[[#Totals],[2030]]</f>
        <v>0</v>
      </c>
      <c r="U20" s="21">
        <f>EF_Tarif1[[#Totals],[2035]]</f>
        <v>0</v>
      </c>
      <c r="V20" s="21">
        <f>EF_Tarif1[[#Totals],[2040]]</f>
        <v>0</v>
      </c>
      <c r="W20" s="21">
        <f>EF_Tarif1[[#Totals],[2045]]</f>
        <v>0</v>
      </c>
      <c r="X20" s="21">
        <f>EF_Tarif1[[#Totals],[2050]]</f>
        <v>0</v>
      </c>
      <c r="Y20" s="11" t="s">
        <v>133</v>
      </c>
      <c r="Z20" s="11"/>
    </row>
    <row r="21" spans="2:26" ht="16.5">
      <c r="B21" s="19">
        <v>4</v>
      </c>
      <c r="C21" s="19" t="str">
        <f>Refsz_Verbräuche[[#This Row],[Datenpunkt]]</f>
        <v>Individueller Strommix Einrichtung 2</v>
      </c>
      <c r="D21" t="s">
        <v>29</v>
      </c>
      <c r="E21" s="21">
        <f>EF_Tarif2[[#Totals],[2015]]</f>
        <v>0</v>
      </c>
      <c r="F21" s="21">
        <f>EF_Tarif2[[#Totals],[2016]]</f>
        <v>0</v>
      </c>
      <c r="G21" s="21">
        <f>EF_Tarif2[[#Totals],[2017]]</f>
        <v>0</v>
      </c>
      <c r="H21" s="21">
        <f>EF_Tarif2[[#Totals],[2018]]</f>
        <v>0</v>
      </c>
      <c r="I21" s="21">
        <f>EF_Tarif2[[#Totals],[2019]]</f>
        <v>0</v>
      </c>
      <c r="J21" s="21">
        <f>EF_Tarif2[[#Totals],[2020]]</f>
        <v>0</v>
      </c>
      <c r="K21" s="21">
        <f>EF_Tarif2[[#Totals],[2021]]</f>
        <v>0</v>
      </c>
      <c r="L21" s="21">
        <f>EF_Tarif2[[#Totals],[2022]]</f>
        <v>0</v>
      </c>
      <c r="M21" s="21">
        <f>EF_Tarif2[[#Totals],[2023]]</f>
        <v>0</v>
      </c>
      <c r="N21" s="21">
        <f>EF_Tarif2[[#Totals],[2024]]</f>
        <v>0</v>
      </c>
      <c r="O21" s="21">
        <f>EF_Tarif2[[#Totals],[2025]]</f>
        <v>0</v>
      </c>
      <c r="P21" s="21">
        <f>EF_Tarif2[[#Totals],[2026]]</f>
        <v>0</v>
      </c>
      <c r="Q21" s="21">
        <f>EF_Tarif2[[#Totals],[2027]]</f>
        <v>0</v>
      </c>
      <c r="R21" s="21">
        <f>EF_Tarif2[[#Totals],[2028]]</f>
        <v>0</v>
      </c>
      <c r="S21" s="21">
        <f>EF_Tarif2[[#Totals],[2029]]</f>
        <v>0</v>
      </c>
      <c r="T21" s="21">
        <f>EF_Tarif2[[#Totals],[2030]]</f>
        <v>0</v>
      </c>
      <c r="U21" s="21">
        <f>EF_Tarif2[[#Totals],[2035]]</f>
        <v>0</v>
      </c>
      <c r="V21" s="21">
        <f>EF_Tarif2[[#Totals],[2040]]</f>
        <v>0</v>
      </c>
      <c r="W21" s="21">
        <f>EF_Tarif2[[#Totals],[2045]]</f>
        <v>0</v>
      </c>
      <c r="X21" s="21">
        <f>EF_Tarif2[[#Totals],[2050]]</f>
        <v>0</v>
      </c>
      <c r="Y21" s="11" t="s">
        <v>133</v>
      </c>
      <c r="Z21" s="11"/>
    </row>
    <row r="22" spans="2:26" ht="16.5">
      <c r="B22" s="19">
        <v>5</v>
      </c>
      <c r="C22" s="19" t="str">
        <f>Refsz_Verbräuche[[#This Row],[Datenpunkt]]</f>
        <v>Individueller Strommix Einrichtung 3</v>
      </c>
      <c r="D22" t="s">
        <v>29</v>
      </c>
      <c r="E22" s="21">
        <f>EF_Tarif3[[#Totals],[2015]]</f>
        <v>0</v>
      </c>
      <c r="F22" s="21">
        <f>EF_Tarif3[[#Totals],[2016]]</f>
        <v>0</v>
      </c>
      <c r="G22" s="21">
        <f>EF_Tarif3[[#Totals],[2017]]</f>
        <v>0</v>
      </c>
      <c r="H22" s="21">
        <f>EF_Tarif3[[#Totals],[2018]]</f>
        <v>0</v>
      </c>
      <c r="I22" s="21">
        <f>EF_Tarif3[[#Totals],[2019]]</f>
        <v>0</v>
      </c>
      <c r="J22" s="21">
        <f>EF_Tarif3[[#Totals],[2020]]</f>
        <v>0</v>
      </c>
      <c r="K22" s="21">
        <f>EF_Tarif3[[#Totals],[2021]]</f>
        <v>0</v>
      </c>
      <c r="L22" s="21">
        <f>EF_Tarif3[[#Totals],[2022]]</f>
        <v>0</v>
      </c>
      <c r="M22" s="21">
        <f>EF_Tarif3[[#Totals],[2023]]</f>
        <v>0</v>
      </c>
      <c r="N22" s="21">
        <f>EF_Tarif3[[#Totals],[2024]]</f>
        <v>0</v>
      </c>
      <c r="O22" s="21">
        <f>EF_Tarif3[[#Totals],[2025]]</f>
        <v>0</v>
      </c>
      <c r="P22" s="21">
        <f>EF_Tarif3[[#Totals],[2026]]</f>
        <v>0</v>
      </c>
      <c r="Q22" s="21">
        <f>EF_Tarif3[[#Totals],[2027]]</f>
        <v>0</v>
      </c>
      <c r="R22" s="21">
        <f>EF_Tarif3[[#Totals],[2028]]</f>
        <v>0</v>
      </c>
      <c r="S22" s="21">
        <f>EF_Tarif3[[#Totals],[2029]]</f>
        <v>0</v>
      </c>
      <c r="T22" s="21">
        <f>EF_Tarif3[[#Totals],[2030]]</f>
        <v>0</v>
      </c>
      <c r="U22" s="21">
        <f>EF_Tarif3[[#Totals],[2035]]</f>
        <v>0</v>
      </c>
      <c r="V22" s="21">
        <f>EF_Tarif3[[#Totals],[2040]]</f>
        <v>0</v>
      </c>
      <c r="W22" s="21">
        <f>EF_Tarif3[[#Totals],[2045]]</f>
        <v>0</v>
      </c>
      <c r="X22" s="21">
        <f>EF_Tarif3[[#Totals],[2050]]</f>
        <v>0</v>
      </c>
      <c r="Y22" s="11" t="s">
        <v>133</v>
      </c>
      <c r="Z22" s="11"/>
    </row>
    <row r="23" spans="2:26" ht="16.5">
      <c r="B23" s="19">
        <v>6</v>
      </c>
      <c r="C23" s="19" t="str">
        <f>Refsz_Verbräuche[[#This Row],[Datenpunkt]]</f>
        <v>Individueller Strommix Einrichtung 4</v>
      </c>
      <c r="D23" t="s">
        <v>29</v>
      </c>
      <c r="E23" s="21">
        <f>EF_Tarif4[[#Totals],[2015]]</f>
        <v>0</v>
      </c>
      <c r="F23" s="21">
        <f>EF_Tarif4[[#Totals],[2016]]</f>
        <v>0</v>
      </c>
      <c r="G23" s="21">
        <f>EF_Tarif4[[#Totals],[2017]]</f>
        <v>0</v>
      </c>
      <c r="H23" s="21">
        <f>EF_Tarif4[[#Totals],[2018]]</f>
        <v>0</v>
      </c>
      <c r="I23" s="21">
        <f>EF_Tarif4[[#Totals],[2019]]</f>
        <v>0</v>
      </c>
      <c r="J23" s="21">
        <f>EF_Tarif4[[#Totals],[2020]]</f>
        <v>0</v>
      </c>
      <c r="K23" s="21">
        <f>EF_Tarif4[[#Totals],[2021]]</f>
        <v>0</v>
      </c>
      <c r="L23" s="21">
        <f>EF_Tarif4[[#Totals],[2022]]</f>
        <v>0</v>
      </c>
      <c r="M23" s="21">
        <f>EF_Tarif4[[#Totals],[2023]]</f>
        <v>0</v>
      </c>
      <c r="N23" s="21">
        <f>EF_Tarif4[[#Totals],[2024]]</f>
        <v>0</v>
      </c>
      <c r="O23" s="21">
        <f>EF_Tarif4[[#Totals],[2025]]</f>
        <v>0</v>
      </c>
      <c r="P23" s="21">
        <f>EF_Tarif4[[#Totals],[2026]]</f>
        <v>0</v>
      </c>
      <c r="Q23" s="21">
        <f>EF_Tarif4[[#Totals],[2027]]</f>
        <v>0</v>
      </c>
      <c r="R23" s="21">
        <f>EF_Tarif4[[#Totals],[2028]]</f>
        <v>0</v>
      </c>
      <c r="S23" s="21">
        <f>EF_Tarif4[[#Totals],[2029]]</f>
        <v>0</v>
      </c>
      <c r="T23" s="21">
        <f>EF_Tarif4[[#Totals],[2030]]</f>
        <v>0</v>
      </c>
      <c r="U23" s="21">
        <f>EF_Tarif4[[#Totals],[2035]]</f>
        <v>0</v>
      </c>
      <c r="V23" s="21">
        <f>EF_Tarif4[[#Totals],[2040]]</f>
        <v>0</v>
      </c>
      <c r="W23" s="21">
        <f>EF_Tarif4[[#Totals],[2045]]</f>
        <v>0</v>
      </c>
      <c r="X23" s="21">
        <f>EF_Tarif4[[#Totals],[2050]]</f>
        <v>0</v>
      </c>
      <c r="Y23" s="11" t="s">
        <v>133</v>
      </c>
      <c r="Z23" s="11"/>
    </row>
    <row r="24" spans="2:26" ht="16.5">
      <c r="B24" s="19">
        <v>7</v>
      </c>
      <c r="C24" s="19" t="str">
        <f>Refsz_Verbräuche[[#This Row],[Datenpunkt]]</f>
        <v>Individueller Strommix Einrichtung 5</v>
      </c>
      <c r="D24" t="s">
        <v>29</v>
      </c>
      <c r="E24" s="21">
        <f>EF_Tarif5[[#Totals],[2015]]</f>
        <v>0</v>
      </c>
      <c r="F24" s="21">
        <f>EF_Tarif5[[#Totals],[2016]]</f>
        <v>0</v>
      </c>
      <c r="G24" s="21">
        <f>EF_Tarif5[[#Totals],[2017]]</f>
        <v>0</v>
      </c>
      <c r="H24" s="21">
        <f>EF_Tarif5[[#Totals],[2018]]</f>
        <v>0</v>
      </c>
      <c r="I24" s="21">
        <f>EF_Tarif5[[#Totals],[2019]]</f>
        <v>0</v>
      </c>
      <c r="J24" s="21">
        <f>EF_Tarif5[[#Totals],[2020]]</f>
        <v>0</v>
      </c>
      <c r="K24" s="21">
        <f>EF_Tarif5[[#Totals],[2021]]</f>
        <v>0</v>
      </c>
      <c r="L24" s="21">
        <f>EF_Tarif5[[#Totals],[2022]]</f>
        <v>0</v>
      </c>
      <c r="M24" s="21">
        <f>EF_Tarif5[[#Totals],[2023]]</f>
        <v>0</v>
      </c>
      <c r="N24" s="21">
        <f>EF_Tarif5[[#Totals],[2024]]</f>
        <v>0</v>
      </c>
      <c r="O24" s="21">
        <f>EF_Tarif5[[#Totals],[2025]]</f>
        <v>0</v>
      </c>
      <c r="P24" s="21">
        <f>EF_Tarif5[[#Totals],[2026]]</f>
        <v>0</v>
      </c>
      <c r="Q24" s="21">
        <f>EF_Tarif5[[#Totals],[2027]]</f>
        <v>0</v>
      </c>
      <c r="R24" s="21">
        <f>EF_Tarif5[[#Totals],[2028]]</f>
        <v>0</v>
      </c>
      <c r="S24" s="21">
        <f>EF_Tarif5[[#Totals],[2029]]</f>
        <v>0</v>
      </c>
      <c r="T24" s="21">
        <f>EF_Tarif5[[#Totals],[2030]]</f>
        <v>0</v>
      </c>
      <c r="U24" s="21">
        <f>EF_Tarif5[[#Totals],[2035]]</f>
        <v>0</v>
      </c>
      <c r="V24" s="21">
        <f>EF_Tarif5[[#Totals],[2040]]</f>
        <v>0</v>
      </c>
      <c r="W24" s="21">
        <f>EF_Tarif5[[#Totals],[2045]]</f>
        <v>0</v>
      </c>
      <c r="X24" s="21">
        <f>EF_Tarif5[[#Totals],[2050]]</f>
        <v>0</v>
      </c>
      <c r="Y24" s="11" t="s">
        <v>133</v>
      </c>
      <c r="Z24" s="11"/>
    </row>
    <row r="25" spans="2:26" ht="16.5">
      <c r="B25" s="19">
        <v>8</v>
      </c>
      <c r="C25" s="19" t="str">
        <f>Refsz_Verbräuche[[#This Row],[Datenpunkt]]</f>
        <v>Individueller Strommix Einrichtung 6</v>
      </c>
      <c r="D25" t="s">
        <v>29</v>
      </c>
      <c r="E25" s="21">
        <f>EF_Tarif6[[#Totals],[2015]]</f>
        <v>0</v>
      </c>
      <c r="F25" s="21">
        <f>EF_Tarif6[[#Totals],[2016]]</f>
        <v>0</v>
      </c>
      <c r="G25" s="21">
        <f>EF_Tarif6[[#Totals],[2017]]</f>
        <v>0</v>
      </c>
      <c r="H25" s="21">
        <f>EF_Tarif6[[#Totals],[2018]]</f>
        <v>0</v>
      </c>
      <c r="I25" s="21">
        <f>EF_Tarif6[[#Totals],[2019]]</f>
        <v>0</v>
      </c>
      <c r="J25" s="21">
        <f>EF_Tarif6[[#Totals],[2020]]</f>
        <v>0</v>
      </c>
      <c r="K25" s="21">
        <f>EF_Tarif6[[#Totals],[2021]]</f>
        <v>0</v>
      </c>
      <c r="L25" s="21">
        <f>EF_Tarif6[[#Totals],[2022]]</f>
        <v>0</v>
      </c>
      <c r="M25" s="21">
        <f>EF_Tarif6[[#Totals],[2023]]</f>
        <v>0</v>
      </c>
      <c r="N25" s="21">
        <f>EF_Tarif6[[#Totals],[2024]]</f>
        <v>0</v>
      </c>
      <c r="O25" s="21">
        <f>EF_Tarif6[[#Totals],[2025]]</f>
        <v>0</v>
      </c>
      <c r="P25" s="21">
        <f>EF_Tarif6[[#Totals],[2026]]</f>
        <v>0</v>
      </c>
      <c r="Q25" s="21">
        <f>EF_Tarif6[[#Totals],[2027]]</f>
        <v>0</v>
      </c>
      <c r="R25" s="21">
        <f>EF_Tarif6[[#Totals],[2028]]</f>
        <v>0</v>
      </c>
      <c r="S25" s="21">
        <f>EF_Tarif6[[#Totals],[2029]]</f>
        <v>0</v>
      </c>
      <c r="T25" s="21">
        <f>EF_Tarif6[[#Totals],[2030]]</f>
        <v>0</v>
      </c>
      <c r="U25" s="21">
        <f>EF_Tarif6[[#Totals],[2035]]</f>
        <v>0</v>
      </c>
      <c r="V25" s="21">
        <f>EF_Tarif6[[#Totals],[2040]]</f>
        <v>0</v>
      </c>
      <c r="W25" s="21">
        <f>EF_Tarif6[[#Totals],[2045]]</f>
        <v>0</v>
      </c>
      <c r="X25" s="21">
        <f>EF_Tarif6[[#Totals],[2050]]</f>
        <v>0</v>
      </c>
      <c r="Y25" s="11" t="s">
        <v>133</v>
      </c>
      <c r="Z25" s="11"/>
    </row>
    <row r="26" spans="2:26">
      <c r="B26" s="19">
        <v>9</v>
      </c>
      <c r="C26" s="19" t="str">
        <f>Refsz_Verbräuche[[#This Row],[Datenpunkt]]</f>
        <v>BHKW</v>
      </c>
      <c r="D26" t="s">
        <v>244</v>
      </c>
      <c r="E26" s="21"/>
      <c r="F26" s="21"/>
      <c r="G26" s="21"/>
      <c r="H26" s="21"/>
      <c r="I26" s="21"/>
      <c r="J26" s="21"/>
      <c r="K26" s="21"/>
      <c r="L26" s="21"/>
      <c r="M26" s="21"/>
      <c r="N26" s="21"/>
      <c r="O26" s="21"/>
      <c r="P26" s="21"/>
      <c r="Q26" s="21"/>
      <c r="R26" s="21"/>
      <c r="S26" s="21"/>
      <c r="T26" s="21"/>
      <c r="U26" s="21"/>
      <c r="V26" s="21"/>
      <c r="W26" s="21"/>
      <c r="X26" s="21"/>
      <c r="Y26" s="11" t="s">
        <v>225</v>
      </c>
      <c r="Z26" s="11"/>
    </row>
    <row r="27" spans="2:26" ht="16.5">
      <c r="B27" s="19">
        <v>10</v>
      </c>
      <c r="C27" s="19" t="str">
        <f>Refsz_Verbräuche[[#This Row],[Datenpunkt]]</f>
        <v>Ökostrom</v>
      </c>
      <c r="D27" t="s">
        <v>106</v>
      </c>
      <c r="E27" s="21">
        <v>50</v>
      </c>
      <c r="F27" s="21">
        <v>50</v>
      </c>
      <c r="G27" s="21">
        <v>50</v>
      </c>
      <c r="H27" s="21">
        <v>50</v>
      </c>
      <c r="I27" s="21">
        <v>50</v>
      </c>
      <c r="J27" s="21">
        <v>50</v>
      </c>
      <c r="K27" s="21">
        <v>50</v>
      </c>
      <c r="L27" s="21">
        <v>50</v>
      </c>
      <c r="M27" s="21">
        <v>50</v>
      </c>
      <c r="N27" s="21">
        <v>50</v>
      </c>
      <c r="O27" s="21">
        <v>50</v>
      </c>
      <c r="P27" s="21">
        <v>50</v>
      </c>
      <c r="Q27" s="21">
        <v>50</v>
      </c>
      <c r="R27" s="21">
        <v>50</v>
      </c>
      <c r="S27" s="21">
        <v>50</v>
      </c>
      <c r="T27" s="21">
        <v>50</v>
      </c>
      <c r="U27" s="21">
        <v>50</v>
      </c>
      <c r="V27" s="21">
        <v>50</v>
      </c>
      <c r="W27" s="21">
        <v>50</v>
      </c>
      <c r="X27" s="21">
        <v>50</v>
      </c>
      <c r="Y27" s="11" t="s">
        <v>478</v>
      </c>
      <c r="Z27" s="11"/>
    </row>
    <row r="28" spans="2:26" ht="16.5">
      <c r="B28" s="19">
        <v>11</v>
      </c>
      <c r="C28" s="19" t="str">
        <f>Refsz_Verbräuche[[#This Row],[Datenpunkt]]</f>
        <v>PV-Eigennutzung</v>
      </c>
      <c r="D28" t="s">
        <v>106</v>
      </c>
      <c r="E28" s="21">
        <v>40.351999999999997</v>
      </c>
      <c r="F28" s="21">
        <v>40.351999999999997</v>
      </c>
      <c r="G28" s="21">
        <v>40.351999999999997</v>
      </c>
      <c r="H28" s="21">
        <v>40.351999999999997</v>
      </c>
      <c r="I28" s="21">
        <v>40.351999999999997</v>
      </c>
      <c r="J28" s="21">
        <v>26.196999999999999</v>
      </c>
      <c r="K28" s="21">
        <v>26.196999999999999</v>
      </c>
      <c r="L28" s="21">
        <v>26.196999999999999</v>
      </c>
      <c r="M28" s="21">
        <v>26.196999999999999</v>
      </c>
      <c r="N28" s="21">
        <v>26.196999999999999</v>
      </c>
      <c r="O28" s="21">
        <v>26.196999999999999</v>
      </c>
      <c r="P28" s="21">
        <v>26.196999999999999</v>
      </c>
      <c r="Q28" s="21">
        <v>26.196999999999999</v>
      </c>
      <c r="R28" s="21">
        <v>26.196999999999999</v>
      </c>
      <c r="S28" s="21">
        <v>26.196999999999999</v>
      </c>
      <c r="T28" s="21">
        <v>21.277999999999999</v>
      </c>
      <c r="U28" s="21">
        <v>21.277999999999999</v>
      </c>
      <c r="V28" s="21">
        <v>21.277999999999999</v>
      </c>
      <c r="W28" s="21">
        <v>21.277999999999999</v>
      </c>
      <c r="X28" s="21">
        <v>19.152999999999999</v>
      </c>
      <c r="Y28" s="11" t="s">
        <v>31</v>
      </c>
      <c r="Z28" s="11" t="s">
        <v>135</v>
      </c>
    </row>
    <row r="29" spans="2:26" ht="16.5">
      <c r="B29" s="19">
        <v>12</v>
      </c>
      <c r="C29" s="19" t="str">
        <f>Refsz_Verbräuche[[#This Row],[Datenpunkt]]</f>
        <v>Erdgas</v>
      </c>
      <c r="D29" t="s">
        <v>29</v>
      </c>
      <c r="E29" s="22">
        <v>279.24299999999999</v>
      </c>
      <c r="F29" s="22">
        <v>279.24299999999999</v>
      </c>
      <c r="G29" s="22">
        <v>279.24299999999999</v>
      </c>
      <c r="H29" s="21">
        <v>279.24299999999999</v>
      </c>
      <c r="I29" s="22">
        <v>279.24299999999999</v>
      </c>
      <c r="J29" s="22">
        <v>261.16199999999998</v>
      </c>
      <c r="K29" s="22">
        <v>261.16199999999998</v>
      </c>
      <c r="L29" s="22">
        <v>261.16199999999998</v>
      </c>
      <c r="M29" s="22">
        <v>261.16199999999998</v>
      </c>
      <c r="N29" s="22">
        <v>261.16199999999998</v>
      </c>
      <c r="O29" s="22">
        <v>261.16199999999998</v>
      </c>
      <c r="P29" s="22">
        <v>261.16199999999998</v>
      </c>
      <c r="Q29" s="22">
        <v>261.16199999999998</v>
      </c>
      <c r="R29" s="22">
        <v>261.16199999999998</v>
      </c>
      <c r="S29" s="22">
        <v>261.16199999999998</v>
      </c>
      <c r="T29" s="22">
        <v>129.32900000000001</v>
      </c>
      <c r="U29" s="22">
        <v>129.32900000000001</v>
      </c>
      <c r="V29" s="22">
        <v>129.32900000000001</v>
      </c>
      <c r="W29" s="22">
        <v>129.32900000000001</v>
      </c>
      <c r="X29" s="22">
        <v>129.32900000000001</v>
      </c>
      <c r="Y29" s="11" t="s">
        <v>31</v>
      </c>
      <c r="Z29" s="11" t="s">
        <v>505</v>
      </c>
    </row>
    <row r="30" spans="2:26">
      <c r="B30" s="19">
        <v>13</v>
      </c>
      <c r="C30" s="19" t="str">
        <f>Refsz_Verbräuche[[#This Row],[Datenpunkt]]</f>
        <v>BHKW</v>
      </c>
      <c r="D30" t="s">
        <v>244</v>
      </c>
      <c r="E30" s="21"/>
      <c r="F30" s="21"/>
      <c r="G30" s="21"/>
      <c r="H30" s="21"/>
      <c r="I30" s="21"/>
      <c r="J30" s="21"/>
      <c r="K30" s="21"/>
      <c r="L30" s="21"/>
      <c r="M30" s="21"/>
      <c r="N30" s="21"/>
      <c r="O30" s="21"/>
      <c r="P30" s="21"/>
      <c r="Q30" s="21"/>
      <c r="R30" s="21"/>
      <c r="S30" s="21"/>
      <c r="T30" s="21"/>
      <c r="U30" s="21"/>
      <c r="V30" s="21"/>
      <c r="W30" s="21"/>
      <c r="X30" s="21"/>
      <c r="Y30" s="11" t="s">
        <v>225</v>
      </c>
      <c r="Z30" s="11"/>
    </row>
    <row r="31" spans="2:26" ht="16.5">
      <c r="B31" s="19">
        <v>14</v>
      </c>
      <c r="C31" s="19" t="str">
        <f>Refsz_Verbräuche[[#This Row],[Datenpunkt]]</f>
        <v>Biogas</v>
      </c>
      <c r="D31" t="s">
        <v>29</v>
      </c>
      <c r="E31" s="22">
        <f>27.3154*10^3/277.77777</f>
        <v>98.335442753392414</v>
      </c>
      <c r="F31" s="22">
        <f>27.3154*10^3/277.77777</f>
        <v>98.335442753392414</v>
      </c>
      <c r="G31" s="22">
        <f>27.3154*10^3/277.77777</f>
        <v>98.335442753392414</v>
      </c>
      <c r="H31" s="22">
        <f>27.3154*10^3/277.77777</f>
        <v>98.335442753392414</v>
      </c>
      <c r="I31" s="22">
        <f>27.3154*10^3/277.77777</f>
        <v>98.335442753392414</v>
      </c>
      <c r="J31" s="22">
        <f>28.0053*10^3/277.77777</f>
        <v>100.81908282293432</v>
      </c>
      <c r="K31" s="22">
        <f t="shared" ref="K31:S31" si="0">28.0053*10^3/277.77777</f>
        <v>100.81908282293432</v>
      </c>
      <c r="L31" s="22">
        <f t="shared" si="0"/>
        <v>100.81908282293432</v>
      </c>
      <c r="M31" s="22">
        <f t="shared" si="0"/>
        <v>100.81908282293432</v>
      </c>
      <c r="N31" s="22">
        <f t="shared" si="0"/>
        <v>100.81908282293432</v>
      </c>
      <c r="O31" s="22">
        <f t="shared" si="0"/>
        <v>100.81908282293432</v>
      </c>
      <c r="P31" s="22">
        <f t="shared" si="0"/>
        <v>100.81908282293432</v>
      </c>
      <c r="Q31" s="22">
        <f t="shared" si="0"/>
        <v>100.81908282293432</v>
      </c>
      <c r="R31" s="22">
        <f t="shared" si="0"/>
        <v>100.81908282293432</v>
      </c>
      <c r="S31" s="22">
        <f t="shared" si="0"/>
        <v>100.81908282293432</v>
      </c>
      <c r="T31" s="22">
        <f>25.6843*10^3/277.77777</f>
        <v>92.463482588977513</v>
      </c>
      <c r="U31" s="22">
        <f>25.6843*10^3/277.77777</f>
        <v>92.463482588977513</v>
      </c>
      <c r="V31" s="22">
        <f>25.6843*10^3/277.77777</f>
        <v>92.463482588977513</v>
      </c>
      <c r="W31" s="22">
        <f>25.6843*10^3/277.77777</f>
        <v>92.463482588977513</v>
      </c>
      <c r="X31" s="22">
        <f>25.6843*10^3/277.77777</f>
        <v>92.463482588977513</v>
      </c>
      <c r="Y31" s="11" t="s">
        <v>31</v>
      </c>
      <c r="Z31" s="11" t="s">
        <v>261</v>
      </c>
    </row>
    <row r="32" spans="2:26" ht="16.5">
      <c r="B32" s="19">
        <v>15</v>
      </c>
      <c r="C32" s="19" t="str">
        <f>Refsz_Verbräuche[[#This Row],[Datenpunkt]]</f>
        <v>Individueller Emissionsfaktor</v>
      </c>
      <c r="D32" t="s">
        <v>29</v>
      </c>
      <c r="E32" s="127"/>
      <c r="F32" s="127"/>
      <c r="G32" s="127"/>
      <c r="H32" s="127"/>
      <c r="I32" s="127"/>
      <c r="J32" s="127"/>
      <c r="K32" s="127"/>
      <c r="L32" s="127"/>
      <c r="M32" s="127"/>
      <c r="N32" s="127"/>
      <c r="O32" s="127"/>
      <c r="P32" s="127"/>
      <c r="Q32" s="127"/>
      <c r="R32" s="127"/>
      <c r="S32" s="127"/>
      <c r="T32" s="127"/>
      <c r="U32" s="127"/>
      <c r="V32" s="127"/>
      <c r="W32" s="127"/>
      <c r="X32" s="127"/>
      <c r="Y32" s="128"/>
      <c r="Z32" s="128"/>
    </row>
    <row r="33" spans="2:26" ht="16.5">
      <c r="B33" s="19">
        <v>16</v>
      </c>
      <c r="C33" s="19" t="str">
        <f>Refsz_Verbräuche[[#This Row],[Datenpunkt]]</f>
        <v>Holzhackschnitzel</v>
      </c>
      <c r="D33" t="s">
        <v>106</v>
      </c>
      <c r="E33" s="21">
        <v>24.585000000000001</v>
      </c>
      <c r="F33" s="21">
        <v>24.585000000000001</v>
      </c>
      <c r="G33" s="21">
        <v>24.585000000000001</v>
      </c>
      <c r="H33" s="21">
        <v>24.585000000000001</v>
      </c>
      <c r="I33" s="21">
        <v>24.585000000000001</v>
      </c>
      <c r="J33" s="21">
        <v>16.485800000000001</v>
      </c>
      <c r="K33" s="21">
        <v>16.485800000000001</v>
      </c>
      <c r="L33" s="21">
        <v>16.485800000000001</v>
      </c>
      <c r="M33" s="21">
        <v>16.485800000000001</v>
      </c>
      <c r="N33" s="21">
        <v>16.485800000000001</v>
      </c>
      <c r="O33" s="21">
        <v>16.485800000000001</v>
      </c>
      <c r="P33" s="21">
        <v>16.485800000000001</v>
      </c>
      <c r="Q33" s="21">
        <v>16.485800000000001</v>
      </c>
      <c r="R33" s="21">
        <v>16.485800000000001</v>
      </c>
      <c r="S33" s="21">
        <v>16.485800000000001</v>
      </c>
      <c r="T33" s="21">
        <v>9.9179999999999993</v>
      </c>
      <c r="U33" s="21">
        <v>9.9179999999999993</v>
      </c>
      <c r="V33" s="21">
        <v>9.9179999999999993</v>
      </c>
      <c r="W33" s="21">
        <v>9.9179999999999993</v>
      </c>
      <c r="X33" s="21">
        <v>9.9179999999999993</v>
      </c>
      <c r="Y33" s="11" t="s">
        <v>31</v>
      </c>
      <c r="Z33" s="11" t="s">
        <v>226</v>
      </c>
    </row>
    <row r="34" spans="2:26" ht="16.5">
      <c r="B34" s="19">
        <v>17</v>
      </c>
      <c r="C34" s="19" t="str">
        <f>Refsz_Verbräuche[[#This Row],[Datenpunkt]]</f>
        <v>Holzpellets, 10kW/kleinere Zentralheizung</v>
      </c>
      <c r="D34" t="s">
        <v>29</v>
      </c>
      <c r="E34" s="21">
        <f>7783.04/277.77777</f>
        <v>28.018944784530458</v>
      </c>
      <c r="F34" s="21">
        <f>7783.04/277.77777</f>
        <v>28.018944784530458</v>
      </c>
      <c r="G34" s="21">
        <f>7783.04/277.77777</f>
        <v>28.018944784530458</v>
      </c>
      <c r="H34" s="21">
        <f>7783.04/277.77777</f>
        <v>28.018944784530458</v>
      </c>
      <c r="I34" s="21">
        <f>7783.04/277.77777</f>
        <v>28.018944784530458</v>
      </c>
      <c r="J34" s="21">
        <f>5516.29/277.77777</f>
        <v>19.858644556042048</v>
      </c>
      <c r="K34" s="21">
        <f t="shared" ref="K34:S34" si="1">5516.29/277.77777</f>
        <v>19.858644556042048</v>
      </c>
      <c r="L34" s="21">
        <f t="shared" si="1"/>
        <v>19.858644556042048</v>
      </c>
      <c r="M34" s="21">
        <f t="shared" si="1"/>
        <v>19.858644556042048</v>
      </c>
      <c r="N34" s="21">
        <f t="shared" si="1"/>
        <v>19.858644556042048</v>
      </c>
      <c r="O34" s="21">
        <f t="shared" si="1"/>
        <v>19.858644556042048</v>
      </c>
      <c r="P34" s="21">
        <f t="shared" si="1"/>
        <v>19.858644556042048</v>
      </c>
      <c r="Q34" s="21">
        <f t="shared" si="1"/>
        <v>19.858644556042048</v>
      </c>
      <c r="R34" s="21">
        <f t="shared" si="1"/>
        <v>19.858644556042048</v>
      </c>
      <c r="S34" s="21">
        <f t="shared" si="1"/>
        <v>19.858644556042048</v>
      </c>
      <c r="T34" s="21">
        <f>3928.27/277.77777</f>
        <v>14.141772395969628</v>
      </c>
      <c r="U34" s="21">
        <f>3928.27/277.77777</f>
        <v>14.141772395969628</v>
      </c>
      <c r="V34" s="21">
        <f>3928.27/277.77777</f>
        <v>14.141772395969628</v>
      </c>
      <c r="W34" s="21">
        <f>3928.27/277.77777</f>
        <v>14.141772395969628</v>
      </c>
      <c r="X34" s="21">
        <f>1328.99/277.77777</f>
        <v>4.7843641339621961</v>
      </c>
      <c r="Y34" s="11" t="s">
        <v>31</v>
      </c>
      <c r="Z34" s="11" t="s">
        <v>128</v>
      </c>
    </row>
    <row r="35" spans="2:26" ht="16.5">
      <c r="B35" s="19">
        <v>18</v>
      </c>
      <c r="C35" s="19" t="str">
        <f>Refsz_Verbräuche[[#This Row],[Datenpunkt]]</f>
        <v>Holzpellets, 50kW/größere Zentralheizung</v>
      </c>
      <c r="D35" t="s">
        <v>29</v>
      </c>
      <c r="E35" s="21">
        <f>7580.4/277.77777</f>
        <v>27.289440764104341</v>
      </c>
      <c r="F35" s="21">
        <f t="shared" ref="F35:X35" si="2">7580.4/277.77777</f>
        <v>27.289440764104341</v>
      </c>
      <c r="G35" s="21">
        <f t="shared" si="2"/>
        <v>27.289440764104341</v>
      </c>
      <c r="H35" s="21">
        <f t="shared" si="2"/>
        <v>27.289440764104341</v>
      </c>
      <c r="I35" s="21">
        <f t="shared" si="2"/>
        <v>27.289440764104341</v>
      </c>
      <c r="J35" s="21">
        <f t="shared" si="2"/>
        <v>27.289440764104341</v>
      </c>
      <c r="K35" s="21">
        <f t="shared" si="2"/>
        <v>27.289440764104341</v>
      </c>
      <c r="L35" s="21">
        <f t="shared" si="2"/>
        <v>27.289440764104341</v>
      </c>
      <c r="M35" s="21">
        <f t="shared" si="2"/>
        <v>27.289440764104341</v>
      </c>
      <c r="N35" s="21">
        <f t="shared" si="2"/>
        <v>27.289440764104341</v>
      </c>
      <c r="O35" s="21">
        <f t="shared" si="2"/>
        <v>27.289440764104341</v>
      </c>
      <c r="P35" s="21">
        <f t="shared" si="2"/>
        <v>27.289440764104341</v>
      </c>
      <c r="Q35" s="21">
        <f t="shared" si="2"/>
        <v>27.289440764104341</v>
      </c>
      <c r="R35" s="21">
        <f t="shared" si="2"/>
        <v>27.289440764104341</v>
      </c>
      <c r="S35" s="21">
        <f t="shared" si="2"/>
        <v>27.289440764104341</v>
      </c>
      <c r="T35" s="21">
        <f t="shared" si="2"/>
        <v>27.289440764104341</v>
      </c>
      <c r="U35" s="21">
        <f t="shared" si="2"/>
        <v>27.289440764104341</v>
      </c>
      <c r="V35" s="21">
        <f t="shared" si="2"/>
        <v>27.289440764104341</v>
      </c>
      <c r="W35" s="21">
        <f t="shared" si="2"/>
        <v>27.289440764104341</v>
      </c>
      <c r="X35" s="21">
        <f t="shared" si="2"/>
        <v>27.289440764104341</v>
      </c>
      <c r="Y35" s="11" t="s">
        <v>31</v>
      </c>
      <c r="Z35" s="11" t="s">
        <v>131</v>
      </c>
    </row>
    <row r="36" spans="2:26" ht="16.5">
      <c r="B36" s="19">
        <v>19</v>
      </c>
      <c r="C36" s="19" t="str">
        <f>Refsz_Verbräuche[[#This Row],[Datenpunkt]]</f>
        <v>Fernwärme Mix</v>
      </c>
      <c r="D36" t="s">
        <v>106</v>
      </c>
      <c r="E36" s="21">
        <v>196.822</v>
      </c>
      <c r="F36" s="21">
        <v>196.822</v>
      </c>
      <c r="G36" s="21">
        <v>196.822</v>
      </c>
      <c r="H36" s="21">
        <v>196.822</v>
      </c>
      <c r="I36" s="21">
        <v>196.822</v>
      </c>
      <c r="J36" s="21">
        <v>152.04400000000001</v>
      </c>
      <c r="K36" s="21">
        <v>152.04400000000001</v>
      </c>
      <c r="L36" s="21">
        <v>152.04400000000001</v>
      </c>
      <c r="M36" s="21">
        <v>152.04400000000001</v>
      </c>
      <c r="N36" s="21">
        <v>152.04400000000001</v>
      </c>
      <c r="O36" s="21">
        <v>152.04400000000001</v>
      </c>
      <c r="P36" s="21">
        <v>152.04400000000001</v>
      </c>
      <c r="Q36" s="21">
        <v>152.04400000000001</v>
      </c>
      <c r="R36" s="21">
        <v>152.04400000000001</v>
      </c>
      <c r="S36" s="21">
        <v>152.04400000000001</v>
      </c>
      <c r="T36" s="21">
        <v>80.155000000000001</v>
      </c>
      <c r="U36" s="21">
        <v>80.155000000000001</v>
      </c>
      <c r="V36" s="21">
        <v>80.155000000000001</v>
      </c>
      <c r="W36" s="21">
        <v>80.155000000000001</v>
      </c>
      <c r="X36" s="21">
        <v>30.327999999999999</v>
      </c>
      <c r="Y36" s="11" t="s">
        <v>31</v>
      </c>
      <c r="Z36" s="11" t="s">
        <v>486</v>
      </c>
    </row>
    <row r="37" spans="2:26" ht="16.5">
      <c r="B37" s="19">
        <v>20</v>
      </c>
      <c r="C37" s="19" t="str">
        <f>Refsz_Verbräuche[[#This Row],[Datenpunkt]]</f>
        <v>Fernwärme Abfall</v>
      </c>
      <c r="D37" t="s">
        <v>29</v>
      </c>
      <c r="E37" s="21">
        <v>130</v>
      </c>
      <c r="F37" s="21">
        <v>130</v>
      </c>
      <c r="G37" s="21">
        <v>130</v>
      </c>
      <c r="H37" s="21">
        <v>130</v>
      </c>
      <c r="I37" s="21">
        <v>130</v>
      </c>
      <c r="J37" s="21">
        <v>130</v>
      </c>
      <c r="K37" s="21">
        <v>130</v>
      </c>
      <c r="L37" s="21">
        <v>130</v>
      </c>
      <c r="M37" s="21">
        <v>130</v>
      </c>
      <c r="N37" s="21">
        <v>130</v>
      </c>
      <c r="O37" s="21">
        <v>130</v>
      </c>
      <c r="P37" s="21">
        <v>130</v>
      </c>
      <c r="Q37" s="21">
        <v>130</v>
      </c>
      <c r="R37" s="21">
        <v>130</v>
      </c>
      <c r="S37" s="21">
        <v>130</v>
      </c>
      <c r="T37" s="21">
        <v>130</v>
      </c>
      <c r="U37" s="21">
        <v>130</v>
      </c>
      <c r="V37" s="21">
        <v>130</v>
      </c>
      <c r="W37" s="21">
        <v>130</v>
      </c>
      <c r="X37" s="21">
        <v>130</v>
      </c>
      <c r="Y37" s="11" t="s">
        <v>478</v>
      </c>
      <c r="Z37" s="11" t="s">
        <v>385</v>
      </c>
    </row>
    <row r="38" spans="2:26" ht="16.5">
      <c r="B38" s="19">
        <v>21</v>
      </c>
      <c r="C38" s="19" t="str">
        <f>Refsz_Verbräuche[[#This Row],[Datenpunkt]]</f>
        <v>Heizöl</v>
      </c>
      <c r="D38" t="s">
        <v>29</v>
      </c>
      <c r="E38" s="21">
        <f>103626/277.77777</f>
        <v>373.05361044550114</v>
      </c>
      <c r="F38" s="21">
        <f>103626/277.77777</f>
        <v>373.05361044550114</v>
      </c>
      <c r="G38" s="21">
        <f>103626/277.77777</f>
        <v>373.05361044550114</v>
      </c>
      <c r="H38" s="21">
        <f>103626/277.77777</f>
        <v>373.05361044550114</v>
      </c>
      <c r="I38" s="21">
        <f>103626/277.77777</f>
        <v>373.05361044550114</v>
      </c>
      <c r="J38" s="21">
        <f>101152/277.77777</f>
        <v>364.14721019612193</v>
      </c>
      <c r="K38" s="21">
        <f t="shared" ref="K38:S38" si="3">101152/277.77777</f>
        <v>364.14721019612193</v>
      </c>
      <c r="L38" s="21">
        <f t="shared" si="3"/>
        <v>364.14721019612193</v>
      </c>
      <c r="M38" s="21">
        <f t="shared" si="3"/>
        <v>364.14721019612193</v>
      </c>
      <c r="N38" s="21">
        <f t="shared" si="3"/>
        <v>364.14721019612193</v>
      </c>
      <c r="O38" s="21">
        <f t="shared" si="3"/>
        <v>364.14721019612193</v>
      </c>
      <c r="P38" s="21">
        <f t="shared" si="3"/>
        <v>364.14721019612193</v>
      </c>
      <c r="Q38" s="21">
        <f t="shared" si="3"/>
        <v>364.14721019612193</v>
      </c>
      <c r="R38" s="21">
        <f t="shared" si="3"/>
        <v>364.14721019612193</v>
      </c>
      <c r="S38" s="21">
        <f t="shared" si="3"/>
        <v>364.14721019612193</v>
      </c>
      <c r="T38" s="21">
        <f>99017.9/277.77777</f>
        <v>356.46444998100463</v>
      </c>
      <c r="U38" s="21">
        <f>99017.9/277.77777</f>
        <v>356.46444998100463</v>
      </c>
      <c r="V38" s="21">
        <f>99017.9/277.77777</f>
        <v>356.46444998100463</v>
      </c>
      <c r="W38" s="21">
        <f>99017.9/277.77777</f>
        <v>356.46444998100463</v>
      </c>
      <c r="X38" s="21">
        <f>91762.3/277.77777</f>
        <v>330.34428924964016</v>
      </c>
      <c r="Y38" s="11" t="s">
        <v>31</v>
      </c>
      <c r="Z38" s="11" t="s">
        <v>129</v>
      </c>
    </row>
    <row r="39" spans="2:26" ht="16.5">
      <c r="B39" s="19">
        <v>22</v>
      </c>
      <c r="C39" s="28" t="str">
        <f>Refsz_Verbräuche[[#This Row],[Datenpunkt]]</f>
        <v>Solarthermie</v>
      </c>
      <c r="D39" t="s">
        <v>29</v>
      </c>
      <c r="E39" s="21">
        <f>6.6445*10^3/277.77777</f>
        <v>23.92020066976562</v>
      </c>
      <c r="F39" s="21">
        <f>6.6445*10^3/277.77777</f>
        <v>23.92020066976562</v>
      </c>
      <c r="G39" s="21">
        <f>6.6445*10^3/277.77777</f>
        <v>23.92020066976562</v>
      </c>
      <c r="H39" s="21">
        <f>6.6445*10^3/277.77777</f>
        <v>23.92020066976562</v>
      </c>
      <c r="I39" s="21">
        <f>6.6445*10^3/277.77777</f>
        <v>23.92020066976562</v>
      </c>
      <c r="J39" s="21">
        <f t="shared" ref="J39:S39" si="4">5.44813*10^3/277.77777</f>
        <v>19.613268549171522</v>
      </c>
      <c r="K39" s="21">
        <f t="shared" si="4"/>
        <v>19.613268549171522</v>
      </c>
      <c r="L39" s="21">
        <f t="shared" si="4"/>
        <v>19.613268549171522</v>
      </c>
      <c r="M39" s="21">
        <f t="shared" si="4"/>
        <v>19.613268549171522</v>
      </c>
      <c r="N39" s="21">
        <f t="shared" si="4"/>
        <v>19.613268549171522</v>
      </c>
      <c r="O39" s="21">
        <f t="shared" si="4"/>
        <v>19.613268549171522</v>
      </c>
      <c r="P39" s="21">
        <f t="shared" si="4"/>
        <v>19.613268549171522</v>
      </c>
      <c r="Q39" s="21">
        <f t="shared" si="4"/>
        <v>19.613268549171522</v>
      </c>
      <c r="R39" s="21">
        <f t="shared" si="4"/>
        <v>19.613268549171522</v>
      </c>
      <c r="S39" s="21">
        <f t="shared" si="4"/>
        <v>19.613268549171522</v>
      </c>
      <c r="T39" s="21">
        <f>4.51353*10^3/277.77777</f>
        <v>16.24870845496384</v>
      </c>
      <c r="U39" s="21">
        <f>4.51353*10^3/277.77777</f>
        <v>16.24870845496384</v>
      </c>
      <c r="V39" s="21">
        <f>4.51353*10^3/277.77777</f>
        <v>16.24870845496384</v>
      </c>
      <c r="W39" s="21">
        <f>4.51353*10^3/277.77777</f>
        <v>16.24870845496384</v>
      </c>
      <c r="X39" s="21">
        <f>2.32892*10^3/277.77777</f>
        <v>8.3841122347551433</v>
      </c>
      <c r="Y39" s="11" t="s">
        <v>31</v>
      </c>
      <c r="Z39" s="11" t="s">
        <v>384</v>
      </c>
    </row>
    <row r="40" spans="2:26" ht="16.5">
      <c r="B40" s="19">
        <v>23</v>
      </c>
      <c r="C40" s="19" t="str">
        <f>Refsz_Verbräuche[[#This Row],[Datenpunkt]]</f>
        <v>Sole-Wasser-Wärmepumpe; Bundesstrommix</v>
      </c>
      <c r="D40" t="s">
        <v>106</v>
      </c>
      <c r="E40" s="21">
        <f>E18/4</f>
        <v>135.51675</v>
      </c>
      <c r="F40" s="21">
        <f t="shared" ref="F40:X40" si="5">F18/4</f>
        <v>137.17699999999999</v>
      </c>
      <c r="G40" s="21">
        <f t="shared" si="5"/>
        <v>126.027</v>
      </c>
      <c r="H40" s="21">
        <f t="shared" si="5"/>
        <v>122.02825</v>
      </c>
      <c r="I40" s="21">
        <f t="shared" si="5"/>
        <v>102.7025</v>
      </c>
      <c r="J40" s="21">
        <f t="shared" si="5"/>
        <v>126.22075</v>
      </c>
      <c r="K40" s="21">
        <f t="shared" si="5"/>
        <v>98.974249999999998</v>
      </c>
      <c r="L40" s="21">
        <f t="shared" si="5"/>
        <v>98.974249999999998</v>
      </c>
      <c r="M40" s="21">
        <f t="shared" si="5"/>
        <v>98.974249999999998</v>
      </c>
      <c r="N40" s="21">
        <f t="shared" si="5"/>
        <v>98.974249999999998</v>
      </c>
      <c r="O40" s="21">
        <f t="shared" si="5"/>
        <v>98.974249999999998</v>
      </c>
      <c r="P40" s="21">
        <f t="shared" si="5"/>
        <v>98.974249999999998</v>
      </c>
      <c r="Q40" s="21">
        <f t="shared" si="5"/>
        <v>98.974249999999998</v>
      </c>
      <c r="R40" s="21">
        <f t="shared" si="5"/>
        <v>98.974249999999998</v>
      </c>
      <c r="S40" s="21">
        <f t="shared" si="5"/>
        <v>98.974249999999998</v>
      </c>
      <c r="T40" s="21">
        <f t="shared" si="5"/>
        <v>92.653499999999994</v>
      </c>
      <c r="U40" s="21">
        <f t="shared" si="5"/>
        <v>92.653499999999994</v>
      </c>
      <c r="V40" s="21">
        <f t="shared" si="5"/>
        <v>92.653499999999994</v>
      </c>
      <c r="W40" s="21">
        <f t="shared" si="5"/>
        <v>92.653499999999994</v>
      </c>
      <c r="X40" s="21">
        <f t="shared" si="5"/>
        <v>92.653499999999994</v>
      </c>
      <c r="Y40" s="11" t="s">
        <v>377</v>
      </c>
      <c r="Z40" s="11" t="s">
        <v>387</v>
      </c>
    </row>
    <row r="41" spans="2:26" ht="16.5">
      <c r="B41" s="19">
        <v>24</v>
      </c>
      <c r="C41" s="19" t="str">
        <f>Refsz_Verbräuche[[#This Row],[Datenpunkt]]</f>
        <v>Sole-Wasser-Wärmepumpe; Ökostrom</v>
      </c>
      <c r="D41" t="s">
        <v>29</v>
      </c>
      <c r="E41" s="21">
        <f>E27/4</f>
        <v>12.5</v>
      </c>
      <c r="F41" s="21">
        <f t="shared" ref="F41:X41" si="6">F27/4</f>
        <v>12.5</v>
      </c>
      <c r="G41" s="21">
        <f t="shared" si="6"/>
        <v>12.5</v>
      </c>
      <c r="H41" s="21">
        <f t="shared" si="6"/>
        <v>12.5</v>
      </c>
      <c r="I41" s="21">
        <f t="shared" si="6"/>
        <v>12.5</v>
      </c>
      <c r="J41" s="21">
        <f t="shared" si="6"/>
        <v>12.5</v>
      </c>
      <c r="K41" s="21">
        <f t="shared" si="6"/>
        <v>12.5</v>
      </c>
      <c r="L41" s="21">
        <f t="shared" si="6"/>
        <v>12.5</v>
      </c>
      <c r="M41" s="21">
        <f t="shared" si="6"/>
        <v>12.5</v>
      </c>
      <c r="N41" s="21">
        <f t="shared" si="6"/>
        <v>12.5</v>
      </c>
      <c r="O41" s="21">
        <f t="shared" si="6"/>
        <v>12.5</v>
      </c>
      <c r="P41" s="21">
        <f t="shared" si="6"/>
        <v>12.5</v>
      </c>
      <c r="Q41" s="21">
        <f t="shared" si="6"/>
        <v>12.5</v>
      </c>
      <c r="R41" s="21">
        <f t="shared" si="6"/>
        <v>12.5</v>
      </c>
      <c r="S41" s="21">
        <f t="shared" si="6"/>
        <v>12.5</v>
      </c>
      <c r="T41" s="21">
        <f t="shared" si="6"/>
        <v>12.5</v>
      </c>
      <c r="U41" s="21">
        <f t="shared" si="6"/>
        <v>12.5</v>
      </c>
      <c r="V41" s="21">
        <f t="shared" si="6"/>
        <v>12.5</v>
      </c>
      <c r="W41" s="21">
        <f t="shared" si="6"/>
        <v>12.5</v>
      </c>
      <c r="X41" s="21">
        <f t="shared" si="6"/>
        <v>12.5</v>
      </c>
      <c r="Y41" s="11" t="s">
        <v>386</v>
      </c>
      <c r="Z41" s="11" t="s">
        <v>132</v>
      </c>
    </row>
    <row r="42" spans="2:26" ht="16.5">
      <c r="B42" s="19">
        <v>25</v>
      </c>
      <c r="C42" s="19" t="str">
        <f>Refsz_Verbräuche[[#This Row],[Datenpunkt]]</f>
        <v>Individuelle Wärmepumpe</v>
      </c>
      <c r="D42" t="s">
        <v>29</v>
      </c>
      <c r="E42" s="21">
        <f>E18/$Z$42</f>
        <v>135.51675</v>
      </c>
      <c r="F42" s="21">
        <f t="shared" ref="F42:X42" si="7">F18/$Z$42</f>
        <v>137.17699999999999</v>
      </c>
      <c r="G42" s="21">
        <f t="shared" si="7"/>
        <v>126.027</v>
      </c>
      <c r="H42" s="21">
        <f t="shared" si="7"/>
        <v>122.02825</v>
      </c>
      <c r="I42" s="21">
        <f t="shared" si="7"/>
        <v>102.7025</v>
      </c>
      <c r="J42" s="21">
        <f t="shared" si="7"/>
        <v>126.22075</v>
      </c>
      <c r="K42" s="21">
        <f t="shared" si="7"/>
        <v>98.974249999999998</v>
      </c>
      <c r="L42" s="21">
        <f t="shared" si="7"/>
        <v>98.974249999999998</v>
      </c>
      <c r="M42" s="21">
        <f t="shared" si="7"/>
        <v>98.974249999999998</v>
      </c>
      <c r="N42" s="21">
        <f t="shared" si="7"/>
        <v>98.974249999999998</v>
      </c>
      <c r="O42" s="21">
        <f t="shared" si="7"/>
        <v>98.974249999999998</v>
      </c>
      <c r="P42" s="21">
        <f t="shared" si="7"/>
        <v>98.974249999999998</v>
      </c>
      <c r="Q42" s="21">
        <f t="shared" si="7"/>
        <v>98.974249999999998</v>
      </c>
      <c r="R42" s="21">
        <f t="shared" si="7"/>
        <v>98.974249999999998</v>
      </c>
      <c r="S42" s="21">
        <f t="shared" si="7"/>
        <v>98.974249999999998</v>
      </c>
      <c r="T42" s="21">
        <f t="shared" si="7"/>
        <v>92.653499999999994</v>
      </c>
      <c r="U42" s="21">
        <f t="shared" si="7"/>
        <v>92.653499999999994</v>
      </c>
      <c r="V42" s="21">
        <f t="shared" si="7"/>
        <v>92.653499999999994</v>
      </c>
      <c r="W42" s="21">
        <f t="shared" si="7"/>
        <v>92.653499999999994</v>
      </c>
      <c r="X42" s="21">
        <f t="shared" si="7"/>
        <v>92.653499999999994</v>
      </c>
      <c r="Y42" t="s">
        <v>378</v>
      </c>
      <c r="Z42" s="128">
        <v>4</v>
      </c>
    </row>
    <row r="43" spans="2:26" ht="16.5">
      <c r="B43" s="19">
        <v>26</v>
      </c>
      <c r="C43" s="19" t="str">
        <f>Refsz_Verbräuche[[#This Row],[Datenpunkt]]</f>
        <v>Nachfüllmenge Kältemittel (R22)</v>
      </c>
      <c r="D43" t="s">
        <v>150</v>
      </c>
      <c r="E43" s="22">
        <f>1886</f>
        <v>1886</v>
      </c>
      <c r="F43" s="22">
        <f>1886</f>
        <v>1886</v>
      </c>
      <c r="G43" s="22">
        <f>1886</f>
        <v>1886</v>
      </c>
      <c r="H43" s="22">
        <f>1886</f>
        <v>1886</v>
      </c>
      <c r="I43" s="22">
        <f>1886</f>
        <v>1886</v>
      </c>
      <c r="J43" s="22">
        <f>1886</f>
        <v>1886</v>
      </c>
      <c r="K43" s="22">
        <f>1886</f>
        <v>1886</v>
      </c>
      <c r="L43" s="22">
        <f>1886</f>
        <v>1886</v>
      </c>
      <c r="M43" s="22">
        <f>1886</f>
        <v>1886</v>
      </c>
      <c r="N43" s="22">
        <f>1886</f>
        <v>1886</v>
      </c>
      <c r="O43" s="22">
        <f>1886</f>
        <v>1886</v>
      </c>
      <c r="P43" s="22">
        <f>1886</f>
        <v>1886</v>
      </c>
      <c r="Q43" s="22">
        <f>1886</f>
        <v>1886</v>
      </c>
      <c r="R43" s="22">
        <f>1886</f>
        <v>1886</v>
      </c>
      <c r="S43" s="22">
        <f>1886</f>
        <v>1886</v>
      </c>
      <c r="T43" s="22">
        <f>1886</f>
        <v>1886</v>
      </c>
      <c r="U43" s="22">
        <f>1886</f>
        <v>1886</v>
      </c>
      <c r="V43" s="22">
        <f>1886</f>
        <v>1886</v>
      </c>
      <c r="W43" s="22">
        <f>1886</f>
        <v>1886</v>
      </c>
      <c r="X43" s="22">
        <f>1886</f>
        <v>1886</v>
      </c>
      <c r="Y43" t="s">
        <v>487</v>
      </c>
      <c r="Z43" s="11" t="s">
        <v>473</v>
      </c>
    </row>
    <row r="44" spans="2:26" ht="16.5">
      <c r="B44" s="19">
        <v>27</v>
      </c>
      <c r="C44" s="19" t="str">
        <f>Refsz_Verbräuche[[#This Row],[Datenpunkt]]</f>
        <v>Nachfüllmenge Kältemittel (R134A)</v>
      </c>
      <c r="D44" t="s">
        <v>150</v>
      </c>
      <c r="E44" s="22">
        <v>1533</v>
      </c>
      <c r="F44" s="22">
        <v>1533</v>
      </c>
      <c r="G44" s="22">
        <v>1533</v>
      </c>
      <c r="H44" s="22">
        <v>1533</v>
      </c>
      <c r="I44" s="22">
        <v>1533</v>
      </c>
      <c r="J44" s="22">
        <v>1533</v>
      </c>
      <c r="K44" s="22">
        <v>1533</v>
      </c>
      <c r="L44" s="22">
        <v>1533</v>
      </c>
      <c r="M44" s="22">
        <v>1533</v>
      </c>
      <c r="N44" s="22">
        <v>1533</v>
      </c>
      <c r="O44" s="22">
        <v>1533</v>
      </c>
      <c r="P44" s="22">
        <v>1533</v>
      </c>
      <c r="Q44" s="22">
        <v>1533</v>
      </c>
      <c r="R44" s="22">
        <v>1533</v>
      </c>
      <c r="S44" s="22">
        <v>1533</v>
      </c>
      <c r="T44" s="22">
        <v>1533</v>
      </c>
      <c r="U44" s="22">
        <v>1533</v>
      </c>
      <c r="V44" s="22">
        <v>1533</v>
      </c>
      <c r="W44" s="22">
        <v>1533</v>
      </c>
      <c r="X44" s="22">
        <v>1533</v>
      </c>
      <c r="Y44" t="s">
        <v>487</v>
      </c>
      <c r="Z44" s="11" t="s">
        <v>474</v>
      </c>
    </row>
    <row r="45" spans="2:26" ht="16.5">
      <c r="B45" s="19">
        <v>28</v>
      </c>
      <c r="C45" s="19" t="str">
        <f>Refsz_Verbräuche[[#This Row],[Datenpunkt]]</f>
        <v>Nachfüllmenge Kältemittel (R404A)</v>
      </c>
      <c r="D45" t="s">
        <v>150</v>
      </c>
      <c r="E45" s="22">
        <v>4025</v>
      </c>
      <c r="F45" s="22">
        <v>4025</v>
      </c>
      <c r="G45" s="22">
        <v>4025</v>
      </c>
      <c r="H45" s="22">
        <v>4025</v>
      </c>
      <c r="I45" s="22">
        <v>4025</v>
      </c>
      <c r="J45" s="22">
        <v>4025</v>
      </c>
      <c r="K45" s="22">
        <v>4025</v>
      </c>
      <c r="L45" s="22">
        <v>4025</v>
      </c>
      <c r="M45" s="22">
        <v>4025</v>
      </c>
      <c r="N45" s="22">
        <v>4025</v>
      </c>
      <c r="O45" s="22">
        <v>4025</v>
      </c>
      <c r="P45" s="22">
        <v>4025</v>
      </c>
      <c r="Q45" s="22">
        <v>4025</v>
      </c>
      <c r="R45" s="22">
        <v>4025</v>
      </c>
      <c r="S45" s="22">
        <v>4025</v>
      </c>
      <c r="T45" s="22">
        <v>4025</v>
      </c>
      <c r="U45" s="22">
        <v>4025</v>
      </c>
      <c r="V45" s="22">
        <v>4025</v>
      </c>
      <c r="W45" s="22">
        <v>4025</v>
      </c>
      <c r="X45" s="22">
        <v>4025</v>
      </c>
      <c r="Y45" t="s">
        <v>487</v>
      </c>
      <c r="Z45" s="11" t="s">
        <v>475</v>
      </c>
    </row>
    <row r="46" spans="2:26" ht="16.5">
      <c r="B46" s="19">
        <v>29</v>
      </c>
      <c r="C46" s="19" t="str">
        <f>Refsz_Verbräuche[[#This Row],[Datenpunkt]]</f>
        <v>Nachfüllmenge Kältemittel (R410A)</v>
      </c>
      <c r="D46" t="s">
        <v>150</v>
      </c>
      <c r="E46" s="22">
        <v>2177</v>
      </c>
      <c r="F46" s="22">
        <v>2177</v>
      </c>
      <c r="G46" s="22">
        <v>2177</v>
      </c>
      <c r="H46" s="22">
        <v>2177</v>
      </c>
      <c r="I46" s="22">
        <v>2177</v>
      </c>
      <c r="J46" s="22">
        <v>2177</v>
      </c>
      <c r="K46" s="22">
        <v>2177</v>
      </c>
      <c r="L46" s="22">
        <v>2177</v>
      </c>
      <c r="M46" s="22">
        <v>2177</v>
      </c>
      <c r="N46" s="22">
        <v>2177</v>
      </c>
      <c r="O46" s="22">
        <v>2177</v>
      </c>
      <c r="P46" s="22">
        <v>2177</v>
      </c>
      <c r="Q46" s="22">
        <v>2177</v>
      </c>
      <c r="R46" s="22">
        <v>2177</v>
      </c>
      <c r="S46" s="22">
        <v>2177</v>
      </c>
      <c r="T46" s="22">
        <v>2177</v>
      </c>
      <c r="U46" s="22">
        <v>2177</v>
      </c>
      <c r="V46" s="22">
        <v>2177</v>
      </c>
      <c r="W46" s="22">
        <v>2177</v>
      </c>
      <c r="X46" s="22">
        <v>2177</v>
      </c>
      <c r="Y46" t="s">
        <v>487</v>
      </c>
      <c r="Z46" s="11" t="s">
        <v>476</v>
      </c>
    </row>
    <row r="47" spans="2:26">
      <c r="B47" s="19">
        <v>30</v>
      </c>
      <c r="C47" s="19">
        <f>Refsz_Verbräuche[[#This Row],[Datenpunkt]]</f>
        <v>0</v>
      </c>
      <c r="D47" s="9"/>
      <c r="E47" s="21"/>
      <c r="F47" s="21"/>
      <c r="G47" s="21"/>
      <c r="H47" s="21"/>
      <c r="I47" s="21"/>
      <c r="J47" s="21"/>
      <c r="K47" s="21"/>
      <c r="L47" s="21"/>
      <c r="M47" s="21"/>
      <c r="N47" s="21"/>
      <c r="O47" s="21"/>
      <c r="P47" s="21"/>
      <c r="Q47" s="21"/>
      <c r="R47" s="21"/>
      <c r="S47" s="21"/>
      <c r="T47" s="21"/>
      <c r="U47" s="21"/>
      <c r="V47" s="21"/>
      <c r="W47" s="21"/>
      <c r="X47" s="21"/>
      <c r="Y47" s="11"/>
      <c r="Z47" s="11"/>
    </row>
    <row r="48" spans="2:26" ht="16.5">
      <c r="B48" s="19">
        <v>31</v>
      </c>
      <c r="C48" s="19" t="str">
        <f>Refsz_Verbräuche[[#This Row],[Datenpunkt]]</f>
        <v>Fuhrpark (Diesel)</v>
      </c>
      <c r="D48" t="s">
        <v>418</v>
      </c>
      <c r="E48" s="22">
        <v>0.24147024456164837</v>
      </c>
      <c r="F48" s="22">
        <v>0.24147024456164837</v>
      </c>
      <c r="G48" s="22">
        <v>0.24147024456164837</v>
      </c>
      <c r="H48" s="22">
        <v>0.24147024456164837</v>
      </c>
      <c r="I48" s="22">
        <v>0.24147024456164837</v>
      </c>
      <c r="J48" s="22">
        <v>0.24147024456164837</v>
      </c>
      <c r="K48" s="22">
        <v>0.24147024456164837</v>
      </c>
      <c r="L48" s="22">
        <v>0.24147024456164837</v>
      </c>
      <c r="M48" s="22">
        <v>0.24147024456164837</v>
      </c>
      <c r="N48" s="22">
        <v>0.24147024456164837</v>
      </c>
      <c r="O48" s="22">
        <v>0.24147024456164837</v>
      </c>
      <c r="P48" s="22">
        <v>0.24147024456164837</v>
      </c>
      <c r="Q48" s="22">
        <v>0.24147024456164837</v>
      </c>
      <c r="R48" s="22">
        <v>0.24147024456164837</v>
      </c>
      <c r="S48" s="22">
        <v>0.24147024456164837</v>
      </c>
      <c r="T48" s="22">
        <v>0.2167995587252195</v>
      </c>
      <c r="U48" s="22">
        <v>0.2167995587252195</v>
      </c>
      <c r="V48" s="22">
        <v>0.2167995587252195</v>
      </c>
      <c r="W48" s="22">
        <v>0.2167995587252195</v>
      </c>
      <c r="X48" s="22">
        <v>1.3021317440630929E-2</v>
      </c>
      <c r="Y48" s="11" t="s">
        <v>472</v>
      </c>
      <c r="Z48" t="s">
        <v>420</v>
      </c>
    </row>
    <row r="49" spans="2:26" ht="16.5">
      <c r="B49" s="19">
        <v>32</v>
      </c>
      <c r="C49" s="19" t="str">
        <f>Refsz_Verbräuche[[#This Row],[Datenpunkt]]</f>
        <v>Fuhrpark (Benzin)</v>
      </c>
      <c r="D49" t="s">
        <v>418</v>
      </c>
      <c r="E49" s="22">
        <v>0.23823316764042801</v>
      </c>
      <c r="F49" s="22">
        <v>0.23823316764042801</v>
      </c>
      <c r="G49" s="22">
        <v>0.23823316764042801</v>
      </c>
      <c r="H49" s="22">
        <v>0.23823316764042801</v>
      </c>
      <c r="I49" s="22">
        <v>0.23823316764042801</v>
      </c>
      <c r="J49" s="22">
        <v>0.23823316764042801</v>
      </c>
      <c r="K49" s="22">
        <v>0.23823316764042801</v>
      </c>
      <c r="L49" s="22">
        <v>0.23823316764042801</v>
      </c>
      <c r="M49" s="22">
        <v>0.23823316764042801</v>
      </c>
      <c r="N49" s="22">
        <v>0.23823316764042801</v>
      </c>
      <c r="O49" s="22">
        <v>0.23823316764042801</v>
      </c>
      <c r="P49" s="22">
        <v>0.23823316764042801</v>
      </c>
      <c r="Q49" s="22">
        <v>0.23823316764042801</v>
      </c>
      <c r="R49" s="22">
        <v>0.23823316764042801</v>
      </c>
      <c r="S49" s="22">
        <v>0.23823316764042801</v>
      </c>
      <c r="T49" s="22">
        <v>0.21114519195821158</v>
      </c>
      <c r="U49" s="22">
        <v>0.21114519195821158</v>
      </c>
      <c r="V49" s="22">
        <v>0.21114519195821158</v>
      </c>
      <c r="W49" s="22">
        <v>0.21114519195821158</v>
      </c>
      <c r="X49" s="22">
        <v>1.0557175497570959E-2</v>
      </c>
      <c r="Y49" s="11" t="s">
        <v>472</v>
      </c>
      <c r="Z49" t="s">
        <v>500</v>
      </c>
    </row>
    <row r="50" spans="2:26" ht="16.5">
      <c r="B50" s="19">
        <v>33</v>
      </c>
      <c r="C50" s="19" t="str">
        <f>Refsz_Verbräuche[[#This Row],[Datenpunkt]]</f>
        <v>Fuhrpark (E-Auto/ BEV)</v>
      </c>
      <c r="D50" t="s">
        <v>418</v>
      </c>
      <c r="E50" s="22">
        <v>0.13988990608409799</v>
      </c>
      <c r="F50" s="22">
        <v>0.13988990608409799</v>
      </c>
      <c r="G50" s="22">
        <v>0.13988990608409799</v>
      </c>
      <c r="H50" s="22">
        <v>0.13988990608409799</v>
      </c>
      <c r="I50" s="22">
        <v>0.13988990608409799</v>
      </c>
      <c r="J50" s="22">
        <v>0.13988990608409799</v>
      </c>
      <c r="K50" s="22">
        <v>0.13988990608409799</v>
      </c>
      <c r="L50" s="22">
        <v>0.13988990608409799</v>
      </c>
      <c r="M50" s="22">
        <v>0.13988990608409799</v>
      </c>
      <c r="N50" s="22">
        <v>0.13988990608409799</v>
      </c>
      <c r="O50" s="22">
        <v>0.13988990608409799</v>
      </c>
      <c r="P50" s="22">
        <v>0.13988990608409799</v>
      </c>
      <c r="Q50" s="22">
        <v>0.13988990608409799</v>
      </c>
      <c r="R50" s="22">
        <v>0.13988990608409799</v>
      </c>
      <c r="S50" s="22">
        <v>0.13988990608409799</v>
      </c>
      <c r="T50" s="22">
        <v>0.1106590587034632</v>
      </c>
      <c r="U50" s="22">
        <v>0.1106590587034632</v>
      </c>
      <c r="V50" s="22">
        <v>0.1106590587034632</v>
      </c>
      <c r="W50" s="22">
        <v>0.1106590587034632</v>
      </c>
      <c r="X50" s="22">
        <v>3.4756006759183145E-3</v>
      </c>
      <c r="Y50" s="11" t="s">
        <v>472</v>
      </c>
      <c r="Z50" t="s">
        <v>501</v>
      </c>
    </row>
    <row r="51" spans="2:26" ht="16.5">
      <c r="B51" s="19">
        <v>34</v>
      </c>
      <c r="C51" s="19" t="str">
        <f>Refsz_Verbräuche[[#This Row],[Datenpunkt]]</f>
        <v>Fuhrpark (Wasserstoff/ FCEV)</v>
      </c>
      <c r="D51" t="s">
        <v>418</v>
      </c>
      <c r="E51" s="21">
        <v>0.19898582947594404</v>
      </c>
      <c r="F51" s="21">
        <v>0.19898582947594404</v>
      </c>
      <c r="G51" s="21">
        <v>0.19898582947594404</v>
      </c>
      <c r="H51" s="21">
        <v>0.19898582947594404</v>
      </c>
      <c r="I51" s="21">
        <v>0.19898582947594404</v>
      </c>
      <c r="J51" s="21">
        <v>0.19898582947594404</v>
      </c>
      <c r="K51" s="21">
        <v>0.19898582947594404</v>
      </c>
      <c r="L51" s="21">
        <v>0.19898582947594404</v>
      </c>
      <c r="M51" s="21">
        <v>0.19898582947594404</v>
      </c>
      <c r="N51" s="21">
        <v>0.19898582947594404</v>
      </c>
      <c r="O51" s="21">
        <v>0.19898582947594404</v>
      </c>
      <c r="P51" s="21">
        <v>0.19898582947594404</v>
      </c>
      <c r="Q51" s="21">
        <v>0.19898582947594404</v>
      </c>
      <c r="R51" s="21">
        <v>0.19898582947594404</v>
      </c>
      <c r="S51" s="21">
        <v>0.19898582947594404</v>
      </c>
      <c r="T51" s="21">
        <v>0.18582529423090632</v>
      </c>
      <c r="U51" s="21">
        <v>0.18582529423090632</v>
      </c>
      <c r="V51" s="21">
        <v>0.18582529423090632</v>
      </c>
      <c r="W51" s="21">
        <v>0.18582529423090632</v>
      </c>
      <c r="X51" s="21">
        <v>6.9165711407782439E-3</v>
      </c>
      <c r="Y51" s="11" t="s">
        <v>472</v>
      </c>
      <c r="Z51" t="s">
        <v>502</v>
      </c>
    </row>
    <row r="52" spans="2:26" ht="16.5">
      <c r="B52" s="19">
        <v>35</v>
      </c>
      <c r="C52" s="19" t="str">
        <f>Refsz_Verbräuche[[#This Row],[Datenpunkt]]</f>
        <v>Fuhrpark (CNG)</v>
      </c>
      <c r="D52" t="s">
        <v>418</v>
      </c>
      <c r="E52" s="22">
        <v>0.19430236726041999</v>
      </c>
      <c r="F52" s="22">
        <v>0.19430236726041999</v>
      </c>
      <c r="G52" s="22">
        <v>0.19430236726041999</v>
      </c>
      <c r="H52" s="22">
        <v>0.19430236726041999</v>
      </c>
      <c r="I52" s="22">
        <v>0.19430236726041999</v>
      </c>
      <c r="J52" s="22">
        <v>0.19430236726041999</v>
      </c>
      <c r="K52" s="22">
        <v>0.19430236726041999</v>
      </c>
      <c r="L52" s="22">
        <v>0.19430236726041999</v>
      </c>
      <c r="M52" s="22">
        <v>0.19430236726041999</v>
      </c>
      <c r="N52" s="22">
        <v>0.19430236726041999</v>
      </c>
      <c r="O52" s="22">
        <v>0.19430236726041999</v>
      </c>
      <c r="P52" s="22">
        <v>0.19430236726041999</v>
      </c>
      <c r="Q52" s="22">
        <v>0.19430236726041999</v>
      </c>
      <c r="R52" s="22">
        <v>0.19430236726041999</v>
      </c>
      <c r="S52" s="22">
        <v>0.19430236726041999</v>
      </c>
      <c r="T52" s="22">
        <v>0.17257425041292387</v>
      </c>
      <c r="U52" s="22">
        <v>0.17257425041292387</v>
      </c>
      <c r="V52" s="22">
        <v>0.17257425041292387</v>
      </c>
      <c r="W52" s="22">
        <v>0.17257425041292387</v>
      </c>
      <c r="X52" s="22">
        <v>9.4253410530137013E-3</v>
      </c>
      <c r="Y52" s="11" t="s">
        <v>472</v>
      </c>
      <c r="Z52" t="s">
        <v>503</v>
      </c>
    </row>
    <row r="53" spans="2:26" ht="16.5">
      <c r="B53" s="19">
        <v>36</v>
      </c>
      <c r="C53" s="19" t="str">
        <f>Refsz_Verbräuche[[#This Row],[Datenpunkt]]</f>
        <v>Fuhrpark (Plug-In-Hybrid, PHEV)</v>
      </c>
      <c r="D53" t="s">
        <v>418</v>
      </c>
      <c r="E53" s="22">
        <v>0.19039932667175896</v>
      </c>
      <c r="F53" s="22">
        <v>0.19039932667175896</v>
      </c>
      <c r="G53" s="22">
        <v>0.19039932667175896</v>
      </c>
      <c r="H53" s="22">
        <v>0.19039932667175896</v>
      </c>
      <c r="I53" s="22">
        <v>0.19039932667175896</v>
      </c>
      <c r="J53" s="22">
        <v>0.19039932667175896</v>
      </c>
      <c r="K53" s="22">
        <v>0.19039932667175896</v>
      </c>
      <c r="L53" s="22">
        <v>0.19039932667175896</v>
      </c>
      <c r="M53" s="22">
        <v>0.19039932667175896</v>
      </c>
      <c r="N53" s="22">
        <v>0.19039932667175896</v>
      </c>
      <c r="O53" s="22">
        <v>0.19039932667175896</v>
      </c>
      <c r="P53" s="22">
        <v>0.19039932667175896</v>
      </c>
      <c r="Q53" s="22">
        <v>0.19039932667175896</v>
      </c>
      <c r="R53" s="22">
        <v>0.19039932667175896</v>
      </c>
      <c r="S53" s="22">
        <v>0.19039932667175896</v>
      </c>
      <c r="T53" s="22">
        <v>0.14826064928261593</v>
      </c>
      <c r="U53" s="22">
        <v>0.14826064928261593</v>
      </c>
      <c r="V53" s="22">
        <v>0.14826064928261593</v>
      </c>
      <c r="W53" s="22">
        <v>0.14826064928261593</v>
      </c>
      <c r="X53" s="22">
        <v>6.4973040225473544E-3</v>
      </c>
      <c r="Y53" s="11" t="s">
        <v>472</v>
      </c>
      <c r="Z53" t="s">
        <v>504</v>
      </c>
    </row>
    <row r="54" spans="2:26">
      <c r="B54" s="19">
        <v>37</v>
      </c>
      <c r="C54" s="19">
        <f>Refsz_Verbräuche[[#This Row],[Datenpunkt]]</f>
        <v>0</v>
      </c>
      <c r="E54" s="21"/>
      <c r="F54" s="21"/>
      <c r="G54" s="21"/>
      <c r="H54" s="21"/>
      <c r="I54" s="21"/>
      <c r="J54" s="21"/>
      <c r="K54" s="21"/>
      <c r="L54" s="21"/>
      <c r="M54" s="21"/>
      <c r="N54" s="21"/>
      <c r="O54" s="21"/>
      <c r="P54" s="21"/>
      <c r="Q54" s="21"/>
      <c r="R54" s="21"/>
      <c r="S54" s="21"/>
      <c r="T54" s="21"/>
      <c r="U54" s="21"/>
      <c r="V54" s="21"/>
      <c r="W54" s="21"/>
      <c r="X54" s="21"/>
      <c r="Y54" s="11"/>
      <c r="Z54" s="11"/>
    </row>
    <row r="55" spans="2:26" ht="16.5">
      <c r="B55" s="19">
        <v>38</v>
      </c>
      <c r="C55" s="19" t="str">
        <f>Refsz_Verbräuche[[#This Row],[Datenpunkt]]</f>
        <v>DR - Flugreisen</v>
      </c>
      <c r="D55" t="s">
        <v>151</v>
      </c>
      <c r="E55" s="21">
        <v>0.214</v>
      </c>
      <c r="F55" s="21">
        <v>0.214</v>
      </c>
      <c r="G55" s="21">
        <v>0.20100000000000001</v>
      </c>
      <c r="H55" s="21">
        <v>0.23</v>
      </c>
      <c r="I55" s="21">
        <v>0.214</v>
      </c>
      <c r="J55" s="21">
        <v>0.28399999999999997</v>
      </c>
      <c r="K55" s="21">
        <v>0.28399999999999997</v>
      </c>
      <c r="L55" s="21">
        <v>0.23799999999999999</v>
      </c>
      <c r="M55" s="21">
        <v>0.23799999999999999</v>
      </c>
      <c r="N55" s="21">
        <v>0.23799999999999999</v>
      </c>
      <c r="O55" s="21">
        <v>0.23799999999999999</v>
      </c>
      <c r="P55" s="21">
        <v>0.23799999999999999</v>
      </c>
      <c r="Q55" s="21">
        <v>0.23799999999999999</v>
      </c>
      <c r="R55" s="21">
        <v>0.23799999999999999</v>
      </c>
      <c r="S55" s="21">
        <v>0.23799999999999999</v>
      </c>
      <c r="T55" s="21">
        <v>0.23799999999999999</v>
      </c>
      <c r="U55" s="21">
        <v>0.23799999999999999</v>
      </c>
      <c r="V55" s="21">
        <v>0.23799999999999999</v>
      </c>
      <c r="W55" s="21">
        <v>0.23799999999999999</v>
      </c>
      <c r="X55" s="21">
        <v>0.23799999999999999</v>
      </c>
      <c r="Y55" t="s">
        <v>471</v>
      </c>
      <c r="Z55" t="s">
        <v>453</v>
      </c>
    </row>
    <row r="56" spans="2:26" ht="16.5">
      <c r="B56" s="19">
        <v>39</v>
      </c>
      <c r="C56" s="19" t="str">
        <f>Refsz_Verbräuche[[#This Row],[Datenpunkt]]</f>
        <v>DR - Eisenbahn (Fernverkehr)</v>
      </c>
      <c r="D56" t="s">
        <v>151</v>
      </c>
      <c r="E56" s="22">
        <v>3.7999999999999999E-2</v>
      </c>
      <c r="F56" s="22">
        <v>3.7999999999999999E-2</v>
      </c>
      <c r="G56" s="22">
        <v>3.5999999999999997E-2</v>
      </c>
      <c r="H56" s="22">
        <v>3.2000000000000001E-2</v>
      </c>
      <c r="I56" s="22">
        <v>2.9000000000000001E-2</v>
      </c>
      <c r="J56" s="22">
        <v>2.9000000000000001E-2</v>
      </c>
      <c r="K56" s="21">
        <v>0.05</v>
      </c>
      <c r="L56" s="21">
        <v>3.1E-2</v>
      </c>
      <c r="M56" s="21">
        <v>3.1E-2</v>
      </c>
      <c r="N56" s="21">
        <v>3.1E-2</v>
      </c>
      <c r="O56" s="21">
        <v>3.1E-2</v>
      </c>
      <c r="P56" s="21">
        <v>3.1E-2</v>
      </c>
      <c r="Q56" s="21">
        <v>3.1E-2</v>
      </c>
      <c r="R56" s="21">
        <v>3.1E-2</v>
      </c>
      <c r="S56" s="21">
        <v>3.1E-2</v>
      </c>
      <c r="T56" s="21">
        <v>3.1E-2</v>
      </c>
      <c r="U56" s="21">
        <v>3.1E-2</v>
      </c>
      <c r="V56" s="21">
        <v>3.1E-2</v>
      </c>
      <c r="W56" s="21">
        <v>3.1E-2</v>
      </c>
      <c r="X56" s="21">
        <v>3.1E-2</v>
      </c>
      <c r="Y56" t="s">
        <v>471</v>
      </c>
      <c r="Z56" t="s">
        <v>383</v>
      </c>
    </row>
    <row r="57" spans="2:26" ht="16.5">
      <c r="B57" s="19">
        <v>40</v>
      </c>
      <c r="C57" s="19" t="str">
        <f>Refsz_Verbräuche[[#This Row],[Datenpunkt]]</f>
        <v>DR - Eisenbahn (Nahverkehr)</v>
      </c>
      <c r="D57" t="s">
        <v>151</v>
      </c>
      <c r="E57" s="22">
        <v>6.3E-2</v>
      </c>
      <c r="F57" s="22">
        <v>6.3E-2</v>
      </c>
      <c r="G57" s="22">
        <v>0.06</v>
      </c>
      <c r="H57" s="22">
        <v>5.7000000000000002E-2</v>
      </c>
      <c r="I57" s="22">
        <v>5.3999999999999999E-2</v>
      </c>
      <c r="J57" s="22">
        <v>8.4000000000000005E-2</v>
      </c>
      <c r="K57" s="22">
        <v>8.4000000000000005E-2</v>
      </c>
      <c r="L57" s="21">
        <v>5.8000000000000003E-2</v>
      </c>
      <c r="M57" s="21">
        <v>5.8000000000000003E-2</v>
      </c>
      <c r="N57" s="21">
        <v>5.8000000000000003E-2</v>
      </c>
      <c r="O57" s="21">
        <v>5.8000000000000003E-2</v>
      </c>
      <c r="P57" s="21">
        <v>5.8000000000000003E-2</v>
      </c>
      <c r="Q57" s="21">
        <v>5.8000000000000003E-2</v>
      </c>
      <c r="R57" s="21">
        <v>5.8000000000000003E-2</v>
      </c>
      <c r="S57" s="21">
        <v>5.8000000000000003E-2</v>
      </c>
      <c r="T57" s="21">
        <v>5.8000000000000003E-2</v>
      </c>
      <c r="U57" s="21">
        <v>5.8000000000000003E-2</v>
      </c>
      <c r="V57" s="21">
        <v>5.8000000000000003E-2</v>
      </c>
      <c r="W57" s="21">
        <v>5.8000000000000003E-2</v>
      </c>
      <c r="X57" s="21">
        <v>5.8000000000000003E-2</v>
      </c>
      <c r="Y57" t="s">
        <v>471</v>
      </c>
      <c r="Z57" t="s">
        <v>382</v>
      </c>
    </row>
    <row r="58" spans="2:26" ht="16.5">
      <c r="B58" s="19">
        <v>41</v>
      </c>
      <c r="C58" s="19" t="str">
        <f>Refsz_Verbräuche[[#This Row],[Datenpunkt]]</f>
        <v>DR - Reisebus, Linienbus (Fernverkehr)</v>
      </c>
      <c r="D58" t="s">
        <v>151</v>
      </c>
      <c r="E58" s="22">
        <v>3.2000000000000001E-2</v>
      </c>
      <c r="F58" s="22">
        <v>3.2000000000000001E-2</v>
      </c>
      <c r="G58" s="22">
        <v>3.2000000000000001E-2</v>
      </c>
      <c r="H58" s="22">
        <v>3.1E-2</v>
      </c>
      <c r="I58" s="22">
        <v>3.5999999999999997E-2</v>
      </c>
      <c r="J58" s="22">
        <v>3.5999999999999997E-2</v>
      </c>
      <c r="K58" s="21">
        <v>3.5999999999999997E-2</v>
      </c>
      <c r="L58" s="21">
        <v>3.1E-2</v>
      </c>
      <c r="M58" s="21">
        <v>3.1E-2</v>
      </c>
      <c r="N58" s="21">
        <v>3.1E-2</v>
      </c>
      <c r="O58" s="21">
        <v>3.1E-2</v>
      </c>
      <c r="P58" s="21">
        <v>3.1E-2</v>
      </c>
      <c r="Q58" s="21">
        <v>3.1E-2</v>
      </c>
      <c r="R58" s="21">
        <v>3.1E-2</v>
      </c>
      <c r="S58" s="21">
        <v>3.1E-2</v>
      </c>
      <c r="T58" s="21">
        <v>3.1E-2</v>
      </c>
      <c r="U58" s="21">
        <v>3.1E-2</v>
      </c>
      <c r="V58" s="21">
        <v>3.1E-2</v>
      </c>
      <c r="W58" s="21">
        <v>3.1E-2</v>
      </c>
      <c r="X58" s="21">
        <v>3.1E-2</v>
      </c>
      <c r="Y58" t="s">
        <v>471</v>
      </c>
      <c r="Z58" t="s">
        <v>380</v>
      </c>
    </row>
    <row r="59" spans="2:26" ht="16.5">
      <c r="B59" s="19">
        <v>42</v>
      </c>
      <c r="C59" s="19" t="str">
        <f>Refsz_Verbräuche[[#This Row],[Datenpunkt]]</f>
        <v>DR - Linienbus (Nahverkehr)</v>
      </c>
      <c r="D59" t="s">
        <v>151</v>
      </c>
      <c r="E59" s="22">
        <v>7.4999999999999997E-2</v>
      </c>
      <c r="F59" s="22">
        <v>7.4999999999999997E-2</v>
      </c>
      <c r="G59" s="22">
        <v>7.4999999999999997E-2</v>
      </c>
      <c r="H59" s="22">
        <v>0.08</v>
      </c>
      <c r="I59" s="22">
        <v>8.3000000000000004E-2</v>
      </c>
      <c r="J59" s="22">
        <v>0.111</v>
      </c>
      <c r="K59" s="21">
        <v>0.111</v>
      </c>
      <c r="L59" s="21">
        <v>9.2999999999999999E-2</v>
      </c>
      <c r="M59" s="21">
        <v>9.2999999999999999E-2</v>
      </c>
      <c r="N59" s="21">
        <v>9.2999999999999999E-2</v>
      </c>
      <c r="O59" s="21">
        <v>9.2999999999999999E-2</v>
      </c>
      <c r="P59" s="21">
        <v>9.2999999999999999E-2</v>
      </c>
      <c r="Q59" s="21">
        <v>9.2999999999999999E-2</v>
      </c>
      <c r="R59" s="21">
        <v>9.2999999999999999E-2</v>
      </c>
      <c r="S59" s="21">
        <v>9.2999999999999999E-2</v>
      </c>
      <c r="T59" s="21">
        <v>9.2999999999999999E-2</v>
      </c>
      <c r="U59" s="21">
        <v>9.2999999999999999E-2</v>
      </c>
      <c r="V59" s="21">
        <v>9.2999999999999999E-2</v>
      </c>
      <c r="W59" s="21">
        <v>9.2999999999999999E-2</v>
      </c>
      <c r="X59" s="21">
        <v>9.2999999999999999E-2</v>
      </c>
      <c r="Y59" t="s">
        <v>471</v>
      </c>
      <c r="Z59" t="s">
        <v>381</v>
      </c>
    </row>
    <row r="60" spans="2:26" ht="16.5">
      <c r="B60" s="19">
        <v>43</v>
      </c>
      <c r="C60" s="19" t="str">
        <f>Refsz_Verbräuche[[#This Row],[Datenpunkt]]</f>
        <v>DR - Privater PKW (alle Antriebsarten)</v>
      </c>
      <c r="D60" t="s">
        <v>418</v>
      </c>
      <c r="E60" s="22">
        <v>0.23623978654181144</v>
      </c>
      <c r="F60" s="22">
        <v>0.23623978654181144</v>
      </c>
      <c r="G60" s="22">
        <v>0.23623978654181144</v>
      </c>
      <c r="H60" s="22">
        <v>0.23623978654181144</v>
      </c>
      <c r="I60" s="22">
        <v>0.23422321695168971</v>
      </c>
      <c r="J60" s="22">
        <v>0.22469340606791299</v>
      </c>
      <c r="K60" s="21">
        <v>0.21428223341996916</v>
      </c>
      <c r="L60" s="21">
        <v>0.21264844634438446</v>
      </c>
      <c r="M60" s="21">
        <v>0.21264844634438446</v>
      </c>
      <c r="N60" s="21">
        <v>0.21264844634438446</v>
      </c>
      <c r="O60" s="21">
        <v>0.21264844634438446</v>
      </c>
      <c r="P60" s="21">
        <v>0.21264844634438446</v>
      </c>
      <c r="Q60" s="21">
        <v>0.21264844634438446</v>
      </c>
      <c r="R60" s="21">
        <v>0.21264844634438446</v>
      </c>
      <c r="S60" s="21">
        <v>0.21264844634438446</v>
      </c>
      <c r="T60" s="21">
        <v>0.1862936273223203</v>
      </c>
      <c r="U60" s="21">
        <v>0.1862936273223203</v>
      </c>
      <c r="V60" s="21">
        <v>0.1862936273223203</v>
      </c>
      <c r="W60" s="21">
        <v>0.1862936273223203</v>
      </c>
      <c r="X60" s="21">
        <v>9.2224143716755514E-3</v>
      </c>
      <c r="Y60" s="11" t="s">
        <v>472</v>
      </c>
    </row>
    <row r="61" spans="2:26" ht="16.5">
      <c r="B61" s="19">
        <v>44</v>
      </c>
      <c r="C61" s="19" t="str">
        <f>Refsz_Verbräuche[[#This Row],[Datenpunkt]]</f>
        <v>DR - Privater PKW (Diesel)</v>
      </c>
      <c r="D61" t="s">
        <v>418</v>
      </c>
      <c r="E61" s="22">
        <v>0.24147024456164837</v>
      </c>
      <c r="F61" s="22">
        <v>0.24147024456164837</v>
      </c>
      <c r="G61" s="22">
        <v>0.24147024456164837</v>
      </c>
      <c r="H61" s="22">
        <v>0.24147024456164837</v>
      </c>
      <c r="I61" s="22">
        <v>0.24147024456164837</v>
      </c>
      <c r="J61" s="22">
        <v>0.24147024456164837</v>
      </c>
      <c r="K61" s="22">
        <v>0.24147024456164837</v>
      </c>
      <c r="L61" s="22">
        <v>0.24147024456164837</v>
      </c>
      <c r="M61" s="22">
        <v>0.24147024456164837</v>
      </c>
      <c r="N61" s="22">
        <v>0.24147024456164837</v>
      </c>
      <c r="O61" s="22">
        <v>0.24147024456164837</v>
      </c>
      <c r="P61" s="22">
        <v>0.24147024456164837</v>
      </c>
      <c r="Q61" s="22">
        <v>0.24147024456164837</v>
      </c>
      <c r="R61" s="22">
        <v>0.24147024456164837</v>
      </c>
      <c r="S61" s="22">
        <v>0.24147024456164837</v>
      </c>
      <c r="T61" s="22">
        <v>0.2167995587252195</v>
      </c>
      <c r="U61" s="22">
        <v>0.2167995587252195</v>
      </c>
      <c r="V61" s="22">
        <v>0.2167995587252195</v>
      </c>
      <c r="W61" s="22">
        <v>0.2167995587252195</v>
      </c>
      <c r="X61" s="22">
        <v>1.3021317440630929E-2</v>
      </c>
      <c r="Y61" s="11" t="s">
        <v>472</v>
      </c>
      <c r="Z61" t="s">
        <v>420</v>
      </c>
    </row>
    <row r="62" spans="2:26" ht="16.5">
      <c r="B62" s="19">
        <v>45</v>
      </c>
      <c r="C62" s="19" t="str">
        <f>Refsz_Verbräuche[[#This Row],[Datenpunkt]]</f>
        <v>DR - Privater PKW (Benzin)</v>
      </c>
      <c r="D62" t="s">
        <v>418</v>
      </c>
      <c r="E62" s="22">
        <v>0.23823316764042801</v>
      </c>
      <c r="F62" s="22">
        <v>0.23823316764042801</v>
      </c>
      <c r="G62" s="22">
        <v>0.23823316764042801</v>
      </c>
      <c r="H62" s="22">
        <v>0.23823316764042801</v>
      </c>
      <c r="I62" s="22">
        <v>0.23823316764042801</v>
      </c>
      <c r="J62" s="22">
        <v>0.23823316764042801</v>
      </c>
      <c r="K62" s="22">
        <v>0.23823316764042801</v>
      </c>
      <c r="L62" s="22">
        <v>0.23823316764042801</v>
      </c>
      <c r="M62" s="22">
        <v>0.23823316764042801</v>
      </c>
      <c r="N62" s="22">
        <v>0.23823316764042801</v>
      </c>
      <c r="O62" s="22">
        <v>0.23823316764042801</v>
      </c>
      <c r="P62" s="22">
        <v>0.23823316764042801</v>
      </c>
      <c r="Q62" s="22">
        <v>0.23823316764042801</v>
      </c>
      <c r="R62" s="22">
        <v>0.23823316764042801</v>
      </c>
      <c r="S62" s="22">
        <v>0.23823316764042801</v>
      </c>
      <c r="T62" s="22">
        <v>0.21114519195821158</v>
      </c>
      <c r="U62" s="22">
        <v>0.21114519195821158</v>
      </c>
      <c r="V62" s="22">
        <v>0.21114519195821158</v>
      </c>
      <c r="W62" s="22">
        <v>0.21114519195821158</v>
      </c>
      <c r="X62" s="22">
        <v>1.0557175497570959E-2</v>
      </c>
      <c r="Y62" s="11" t="s">
        <v>472</v>
      </c>
      <c r="Z62" t="s">
        <v>500</v>
      </c>
    </row>
    <row r="63" spans="2:26" ht="16.5">
      <c r="B63" s="19">
        <v>46</v>
      </c>
      <c r="C63" s="19" t="str">
        <f>Refsz_Verbräuche[[#This Row],[Datenpunkt]]</f>
        <v>DR - Mietwägen (Diesel)</v>
      </c>
      <c r="D63" t="s">
        <v>418</v>
      </c>
      <c r="E63" s="22">
        <v>0.24147024456164837</v>
      </c>
      <c r="F63" s="22">
        <v>0.24147024456164837</v>
      </c>
      <c r="G63" s="22">
        <v>0.24147024456164837</v>
      </c>
      <c r="H63" s="22">
        <v>0.24147024456164837</v>
      </c>
      <c r="I63" s="22">
        <v>0.24147024456164837</v>
      </c>
      <c r="J63" s="22">
        <v>0.24147024456164837</v>
      </c>
      <c r="K63" s="22">
        <v>0.24147024456164837</v>
      </c>
      <c r="L63" s="22">
        <v>0.24147024456164837</v>
      </c>
      <c r="M63" s="22">
        <v>0.24147024456164837</v>
      </c>
      <c r="N63" s="22">
        <v>0.24147024456164837</v>
      </c>
      <c r="O63" s="22">
        <v>0.24147024456164837</v>
      </c>
      <c r="P63" s="22">
        <v>0.24147024456164837</v>
      </c>
      <c r="Q63" s="22">
        <v>0.24147024456164837</v>
      </c>
      <c r="R63" s="22">
        <v>0.24147024456164837</v>
      </c>
      <c r="S63" s="22">
        <v>0.24147024456164837</v>
      </c>
      <c r="T63" s="22">
        <v>0.2167995587252195</v>
      </c>
      <c r="U63" s="22">
        <v>0.2167995587252195</v>
      </c>
      <c r="V63" s="22">
        <v>0.2167995587252195</v>
      </c>
      <c r="W63" s="22">
        <v>0.2167995587252195</v>
      </c>
      <c r="X63" s="22">
        <v>1.3021317440630929E-2</v>
      </c>
      <c r="Y63" s="11" t="s">
        <v>472</v>
      </c>
      <c r="Z63" t="s">
        <v>420</v>
      </c>
    </row>
    <row r="64" spans="2:26" ht="16.5">
      <c r="B64" s="19">
        <v>47</v>
      </c>
      <c r="C64" s="19" t="str">
        <f>Refsz_Verbräuche[[#This Row],[Datenpunkt]]</f>
        <v>DR - Mietwägen (Benzin)</v>
      </c>
      <c r="D64" t="s">
        <v>418</v>
      </c>
      <c r="E64" s="22">
        <v>0.23823316764042801</v>
      </c>
      <c r="F64" s="22">
        <v>0.23823316764042801</v>
      </c>
      <c r="G64" s="22">
        <v>0.23823316764042801</v>
      </c>
      <c r="H64" s="22">
        <v>0.23823316764042801</v>
      </c>
      <c r="I64" s="22">
        <v>0.23823316764042801</v>
      </c>
      <c r="J64" s="22">
        <v>0.23823316764042801</v>
      </c>
      <c r="K64" s="22">
        <v>0.23823316764042801</v>
      </c>
      <c r="L64" s="22">
        <v>0.23823316764042801</v>
      </c>
      <c r="M64" s="22">
        <v>0.23823316764042801</v>
      </c>
      <c r="N64" s="22">
        <v>0.23823316764042801</v>
      </c>
      <c r="O64" s="22">
        <v>0.23823316764042801</v>
      </c>
      <c r="P64" s="22">
        <v>0.23823316764042801</v>
      </c>
      <c r="Q64" s="22">
        <v>0.23823316764042801</v>
      </c>
      <c r="R64" s="22">
        <v>0.23823316764042801</v>
      </c>
      <c r="S64" s="22">
        <v>0.23823316764042801</v>
      </c>
      <c r="T64" s="22">
        <v>0.21114519195821158</v>
      </c>
      <c r="U64" s="22">
        <v>0.21114519195821158</v>
      </c>
      <c r="V64" s="22">
        <v>0.21114519195821158</v>
      </c>
      <c r="W64" s="22">
        <v>0.21114519195821158</v>
      </c>
      <c r="X64" s="22">
        <v>1.0557175497570959E-2</v>
      </c>
      <c r="Y64" s="11" t="s">
        <v>472</v>
      </c>
      <c r="Z64" t="s">
        <v>500</v>
      </c>
    </row>
    <row r="65" spans="2:26" ht="16.5">
      <c r="B65" s="19">
        <v>48</v>
      </c>
      <c r="C65" s="19" t="str">
        <f>Refsz_Verbräuche[[#This Row],[Datenpunkt]]</f>
        <v>DR - Mietwägen (E-Auto/ BEV)</v>
      </c>
      <c r="D65" t="s">
        <v>418</v>
      </c>
      <c r="E65" s="22">
        <v>0.13988990608409799</v>
      </c>
      <c r="F65" s="22">
        <v>0.13988990608409799</v>
      </c>
      <c r="G65" s="22">
        <v>0.13988990608409799</v>
      </c>
      <c r="H65" s="22">
        <v>0.13988990608409799</v>
      </c>
      <c r="I65" s="22">
        <v>0.13988990608409799</v>
      </c>
      <c r="J65" s="22">
        <v>0.13988990608409799</v>
      </c>
      <c r="K65" s="22">
        <v>0.13988990608409799</v>
      </c>
      <c r="L65" s="22">
        <v>0.13988990608409799</v>
      </c>
      <c r="M65" s="22">
        <v>0.13988990608409799</v>
      </c>
      <c r="N65" s="22">
        <v>0.13988990608409799</v>
      </c>
      <c r="O65" s="22">
        <v>0.13988990608409799</v>
      </c>
      <c r="P65" s="22">
        <v>0.13988990608409799</v>
      </c>
      <c r="Q65" s="22">
        <v>0.13988990608409799</v>
      </c>
      <c r="R65" s="22">
        <v>0.13988990608409799</v>
      </c>
      <c r="S65" s="22">
        <v>0.13988990608409799</v>
      </c>
      <c r="T65" s="22">
        <v>0.1106590587034632</v>
      </c>
      <c r="U65" s="22">
        <v>0.1106590587034632</v>
      </c>
      <c r="V65" s="22">
        <v>0.1106590587034632</v>
      </c>
      <c r="W65" s="22">
        <v>0.1106590587034632</v>
      </c>
      <c r="X65" s="22">
        <v>3.4756006759183145E-3</v>
      </c>
      <c r="Y65" s="11" t="s">
        <v>472</v>
      </c>
      <c r="Z65" t="s">
        <v>501</v>
      </c>
    </row>
    <row r="66" spans="2:26" ht="16.5">
      <c r="B66" s="19">
        <v>49</v>
      </c>
      <c r="C66" s="19" t="str">
        <f>Refsz_Verbräuche[[#This Row],[Datenpunkt]]</f>
        <v>DR - Mietwägen (Wasserstoff/ FCEV)</v>
      </c>
      <c r="D66" t="s">
        <v>418</v>
      </c>
      <c r="E66" s="21">
        <v>0.19898582947594404</v>
      </c>
      <c r="F66" s="21">
        <v>0.19898582947594404</v>
      </c>
      <c r="G66" s="21">
        <v>0.19898582947594404</v>
      </c>
      <c r="H66" s="21">
        <v>0.19898582947594404</v>
      </c>
      <c r="I66" s="21">
        <v>0.19898582947594404</v>
      </c>
      <c r="J66" s="21">
        <v>0.19898582947594404</v>
      </c>
      <c r="K66" s="21">
        <v>0.19898582947594404</v>
      </c>
      <c r="L66" s="21">
        <v>0.19898582947594404</v>
      </c>
      <c r="M66" s="21">
        <v>0.19898582947594404</v>
      </c>
      <c r="N66" s="21">
        <v>0.19898582947594404</v>
      </c>
      <c r="O66" s="21">
        <v>0.19898582947594404</v>
      </c>
      <c r="P66" s="21">
        <v>0.19898582947594404</v>
      </c>
      <c r="Q66" s="21">
        <v>0.19898582947594404</v>
      </c>
      <c r="R66" s="21">
        <v>0.19898582947594404</v>
      </c>
      <c r="S66" s="21">
        <v>0.19898582947594404</v>
      </c>
      <c r="T66" s="21">
        <v>0.18582529423090632</v>
      </c>
      <c r="U66" s="21">
        <v>0.18582529423090632</v>
      </c>
      <c r="V66" s="21">
        <v>0.18582529423090632</v>
      </c>
      <c r="W66" s="21">
        <v>0.18582529423090632</v>
      </c>
      <c r="X66" s="21">
        <v>6.9165711407782439E-3</v>
      </c>
      <c r="Y66" s="11" t="s">
        <v>472</v>
      </c>
      <c r="Z66" t="s">
        <v>502</v>
      </c>
    </row>
    <row r="67" spans="2:26" ht="16.5">
      <c r="B67" s="19">
        <v>50</v>
      </c>
      <c r="C67" s="19" t="str">
        <f>Refsz_Verbräuche[[#This Row],[Datenpunkt]]</f>
        <v>DR - Mietwägen (CNG)</v>
      </c>
      <c r="D67" t="s">
        <v>418</v>
      </c>
      <c r="E67" s="22">
        <v>0.19430236726041999</v>
      </c>
      <c r="F67" s="22">
        <v>0.19430236726041999</v>
      </c>
      <c r="G67" s="22">
        <v>0.19430236726041999</v>
      </c>
      <c r="H67" s="22">
        <v>0.19430236726041999</v>
      </c>
      <c r="I67" s="22">
        <v>0.19430236726041999</v>
      </c>
      <c r="J67" s="22">
        <v>0.19430236726041999</v>
      </c>
      <c r="K67" s="22">
        <v>0.19430236726041999</v>
      </c>
      <c r="L67" s="22">
        <v>0.19430236726041999</v>
      </c>
      <c r="M67" s="22">
        <v>0.19430236726041999</v>
      </c>
      <c r="N67" s="22">
        <v>0.19430236726041999</v>
      </c>
      <c r="O67" s="22">
        <v>0.19430236726041999</v>
      </c>
      <c r="P67" s="22">
        <v>0.19430236726041999</v>
      </c>
      <c r="Q67" s="22">
        <v>0.19430236726041999</v>
      </c>
      <c r="R67" s="22">
        <v>0.19430236726041999</v>
      </c>
      <c r="S67" s="22">
        <v>0.19430236726041999</v>
      </c>
      <c r="T67" s="22">
        <v>0.17257425041292387</v>
      </c>
      <c r="U67" s="22">
        <v>0.17257425041292387</v>
      </c>
      <c r="V67" s="22">
        <v>0.17257425041292387</v>
      </c>
      <c r="W67" s="22">
        <v>0.17257425041292387</v>
      </c>
      <c r="X67" s="22">
        <v>9.4253410530137013E-3</v>
      </c>
      <c r="Y67" s="11" t="s">
        <v>472</v>
      </c>
      <c r="Z67" t="s">
        <v>503</v>
      </c>
    </row>
    <row r="68" spans="2:26" ht="16.5">
      <c r="B68" s="19">
        <v>51</v>
      </c>
      <c r="C68" s="19" t="str">
        <f>Refsz_Verbräuche[[#This Row],[Datenpunkt]]</f>
        <v>DR - Mietwägen (Plug-In-Hybrid/ PHEV)</v>
      </c>
      <c r="D68" t="s">
        <v>418</v>
      </c>
      <c r="E68" s="22">
        <v>0.19039932667175896</v>
      </c>
      <c r="F68" s="22">
        <v>0.19039932667175896</v>
      </c>
      <c r="G68" s="22">
        <v>0.19039932667175896</v>
      </c>
      <c r="H68" s="22">
        <v>0.19039932667175896</v>
      </c>
      <c r="I68" s="22">
        <v>0.19039932667175896</v>
      </c>
      <c r="J68" s="22">
        <v>0.19039932667175896</v>
      </c>
      <c r="K68" s="22">
        <v>0.19039932667175896</v>
      </c>
      <c r="L68" s="22">
        <v>0.19039932667175896</v>
      </c>
      <c r="M68" s="22">
        <v>0.19039932667175896</v>
      </c>
      <c r="N68" s="22">
        <v>0.19039932667175896</v>
      </c>
      <c r="O68" s="22">
        <v>0.19039932667175896</v>
      </c>
      <c r="P68" s="22">
        <v>0.19039932667175896</v>
      </c>
      <c r="Q68" s="22">
        <v>0.19039932667175896</v>
      </c>
      <c r="R68" s="22">
        <v>0.19039932667175896</v>
      </c>
      <c r="S68" s="22">
        <v>0.19039932667175896</v>
      </c>
      <c r="T68" s="22">
        <v>0.14826064928261593</v>
      </c>
      <c r="U68" s="22">
        <v>0.14826064928261593</v>
      </c>
      <c r="V68" s="22">
        <v>0.14826064928261593</v>
      </c>
      <c r="W68" s="22">
        <v>0.14826064928261593</v>
      </c>
      <c r="X68" s="22">
        <v>6.4973040225473544E-3</v>
      </c>
      <c r="Y68" s="11" t="s">
        <v>472</v>
      </c>
      <c r="Z68" t="s">
        <v>504</v>
      </c>
    </row>
    <row r="69" spans="2:26" ht="16.5">
      <c r="B69" s="19">
        <v>52</v>
      </c>
      <c r="C69" s="19" t="str">
        <f>Refsz_Verbräuche[[#This Row],[Datenpunkt]]</f>
        <v>DR - E-Bike</v>
      </c>
      <c r="D69" t="s">
        <v>418</v>
      </c>
      <c r="E69" s="21">
        <f>0.0087+0.003</f>
        <v>1.1699999999999999E-2</v>
      </c>
      <c r="F69" s="21">
        <f>0.0087+0.003</f>
        <v>1.1699999999999999E-2</v>
      </c>
      <c r="G69" s="21">
        <f t="shared" ref="G69:X69" si="8">0.0087+0.003</f>
        <v>1.1699999999999999E-2</v>
      </c>
      <c r="H69" s="21">
        <f t="shared" si="8"/>
        <v>1.1699999999999999E-2</v>
      </c>
      <c r="I69" s="21">
        <f t="shared" si="8"/>
        <v>1.1699999999999999E-2</v>
      </c>
      <c r="J69" s="21">
        <f t="shared" si="8"/>
        <v>1.1699999999999999E-2</v>
      </c>
      <c r="K69" s="21">
        <f t="shared" si="8"/>
        <v>1.1699999999999999E-2</v>
      </c>
      <c r="L69" s="21">
        <f t="shared" si="8"/>
        <v>1.1699999999999999E-2</v>
      </c>
      <c r="M69" s="21">
        <f t="shared" si="8"/>
        <v>1.1699999999999999E-2</v>
      </c>
      <c r="N69" s="21">
        <f t="shared" si="8"/>
        <v>1.1699999999999999E-2</v>
      </c>
      <c r="O69" s="21">
        <f t="shared" si="8"/>
        <v>1.1699999999999999E-2</v>
      </c>
      <c r="P69" s="21">
        <f t="shared" si="8"/>
        <v>1.1699999999999999E-2</v>
      </c>
      <c r="Q69" s="21">
        <f t="shared" si="8"/>
        <v>1.1699999999999999E-2</v>
      </c>
      <c r="R69" s="21">
        <f t="shared" si="8"/>
        <v>1.1699999999999999E-2</v>
      </c>
      <c r="S69" s="21">
        <f t="shared" si="8"/>
        <v>1.1699999999999999E-2</v>
      </c>
      <c r="T69" s="21">
        <f t="shared" si="8"/>
        <v>1.1699999999999999E-2</v>
      </c>
      <c r="U69" s="21">
        <f t="shared" si="8"/>
        <v>1.1699999999999999E-2</v>
      </c>
      <c r="V69" s="21">
        <f t="shared" si="8"/>
        <v>1.1699999999999999E-2</v>
      </c>
      <c r="W69" s="21">
        <f t="shared" si="8"/>
        <v>1.1699999999999999E-2</v>
      </c>
      <c r="X69" s="21">
        <f t="shared" si="8"/>
        <v>1.1699999999999999E-2</v>
      </c>
      <c r="Y69" s="11" t="s">
        <v>388</v>
      </c>
      <c r="Z69" s="11" t="s">
        <v>464</v>
      </c>
    </row>
    <row r="70" spans="2:26" ht="16.5">
      <c r="B70" s="19">
        <v>53</v>
      </c>
      <c r="C70" s="19" t="str">
        <f>Refsz_Verbräuche[[#This Row],[Datenpunkt]]</f>
        <v>DR - Fahrrad</v>
      </c>
      <c r="D70" t="s">
        <v>418</v>
      </c>
      <c r="E70" s="21">
        <v>8.6999999999999994E-3</v>
      </c>
      <c r="F70" s="21">
        <v>8.6999999999999994E-3</v>
      </c>
      <c r="G70" s="21">
        <v>8.6999999999999994E-3</v>
      </c>
      <c r="H70" s="21">
        <v>8.6999999999999994E-3</v>
      </c>
      <c r="I70" s="21">
        <v>8.6999999999999994E-3</v>
      </c>
      <c r="J70" s="21">
        <v>8.6999999999999994E-3</v>
      </c>
      <c r="K70" s="21">
        <v>8.6999999999999994E-3</v>
      </c>
      <c r="L70" s="21">
        <v>8.6999999999999994E-3</v>
      </c>
      <c r="M70" s="21">
        <v>8.6999999999999994E-3</v>
      </c>
      <c r="N70" s="21">
        <v>8.6999999999999994E-3</v>
      </c>
      <c r="O70" s="21">
        <v>8.6999999999999994E-3</v>
      </c>
      <c r="P70" s="21">
        <v>8.6999999999999994E-3</v>
      </c>
      <c r="Q70" s="21">
        <v>8.6999999999999994E-3</v>
      </c>
      <c r="R70" s="21">
        <v>8.6999999999999994E-3</v>
      </c>
      <c r="S70" s="21">
        <v>8.6999999999999994E-3</v>
      </c>
      <c r="T70" s="21">
        <v>8.6999999999999994E-3</v>
      </c>
      <c r="U70" s="21">
        <v>8.6999999999999994E-3</v>
      </c>
      <c r="V70" s="21">
        <v>8.6999999999999994E-3</v>
      </c>
      <c r="W70" s="21">
        <v>8.6999999999999994E-3</v>
      </c>
      <c r="X70" s="21">
        <v>8.6999999999999994E-3</v>
      </c>
      <c r="Y70" s="11" t="s">
        <v>159</v>
      </c>
      <c r="Z70" s="11" t="s">
        <v>160</v>
      </c>
    </row>
    <row r="71" spans="2:26">
      <c r="B71" s="19">
        <v>54</v>
      </c>
      <c r="C71" s="19">
        <f>Refsz_Verbräuche[[#This Row],[Datenpunkt]]</f>
        <v>0</v>
      </c>
      <c r="D71" s="9"/>
      <c r="E71" s="21"/>
      <c r="F71" s="21"/>
      <c r="G71" s="21"/>
      <c r="H71" s="21"/>
      <c r="I71" s="21"/>
      <c r="J71" s="21"/>
      <c r="K71" s="21"/>
      <c r="L71" s="21"/>
      <c r="M71" s="21"/>
      <c r="N71" s="21"/>
      <c r="O71" s="21"/>
      <c r="P71" s="21"/>
      <c r="Q71" s="21"/>
      <c r="R71" s="21"/>
      <c r="S71" s="21"/>
      <c r="T71" s="21"/>
      <c r="U71" s="21"/>
      <c r="V71" s="21"/>
      <c r="W71" s="21"/>
      <c r="X71" s="21"/>
      <c r="Y71" s="11"/>
      <c r="Z71" s="11"/>
    </row>
    <row r="72" spans="2:26" ht="16.5">
      <c r="B72" s="19">
        <v>55</v>
      </c>
      <c r="C72" s="19" t="str">
        <f>Refsz_Verbräuche[[#This Row],[Datenpunkt]]</f>
        <v>Studierendenreisen (Outgoing) - Flugreisen</v>
      </c>
      <c r="D72" t="s">
        <v>151</v>
      </c>
      <c r="E72" s="21">
        <v>0.214</v>
      </c>
      <c r="F72" s="21">
        <v>0.214</v>
      </c>
      <c r="G72" s="21">
        <v>0.20100000000000001</v>
      </c>
      <c r="H72" s="21">
        <v>0.23</v>
      </c>
      <c r="I72" s="21">
        <v>0.214</v>
      </c>
      <c r="J72" s="21">
        <v>0.28399999999999997</v>
      </c>
      <c r="K72" s="21">
        <v>0.28399999999999997</v>
      </c>
      <c r="L72" s="21">
        <v>0.23799999999999999</v>
      </c>
      <c r="M72" s="21">
        <v>0.23799999999999999</v>
      </c>
      <c r="N72" s="21">
        <v>0.23799999999999999</v>
      </c>
      <c r="O72" s="21">
        <v>0.23799999999999999</v>
      </c>
      <c r="P72" s="21">
        <v>0.23799999999999999</v>
      </c>
      <c r="Q72" s="21">
        <v>0.23799999999999999</v>
      </c>
      <c r="R72" s="21">
        <v>0.23799999999999999</v>
      </c>
      <c r="S72" s="21">
        <v>0.23799999999999999</v>
      </c>
      <c r="T72" s="21">
        <v>0.23799999999999999</v>
      </c>
      <c r="U72" s="21">
        <v>0.23799999999999999</v>
      </c>
      <c r="V72" s="21">
        <v>0.23799999999999999</v>
      </c>
      <c r="W72" s="21">
        <v>0.23799999999999999</v>
      </c>
      <c r="X72" s="21">
        <v>0.23799999999999999</v>
      </c>
      <c r="Y72" t="s">
        <v>471</v>
      </c>
      <c r="Z72" t="s">
        <v>453</v>
      </c>
    </row>
    <row r="73" spans="2:26" ht="16.5">
      <c r="B73" s="19">
        <v>56</v>
      </c>
      <c r="C73" s="19" t="str">
        <f>Refsz_Verbräuche[[#This Row],[Datenpunkt]]</f>
        <v>Studierendenreisen (Outgoing) - Eisenbahn (Nahverkehr)</v>
      </c>
      <c r="D73" t="s">
        <v>151</v>
      </c>
      <c r="E73" s="22">
        <v>6.3E-2</v>
      </c>
      <c r="F73" s="22">
        <v>6.3E-2</v>
      </c>
      <c r="G73" s="22">
        <v>0.06</v>
      </c>
      <c r="H73" s="22">
        <v>5.7000000000000002E-2</v>
      </c>
      <c r="I73" s="22">
        <v>5.3999999999999999E-2</v>
      </c>
      <c r="J73" s="22">
        <v>8.4000000000000005E-2</v>
      </c>
      <c r="K73" s="22">
        <v>8.4000000000000005E-2</v>
      </c>
      <c r="L73" s="21">
        <v>5.8000000000000003E-2</v>
      </c>
      <c r="M73" s="21">
        <v>5.8000000000000003E-2</v>
      </c>
      <c r="N73" s="21">
        <v>5.8000000000000003E-2</v>
      </c>
      <c r="O73" s="21">
        <v>5.8000000000000003E-2</v>
      </c>
      <c r="P73" s="21">
        <v>5.8000000000000003E-2</v>
      </c>
      <c r="Q73" s="21">
        <v>5.8000000000000003E-2</v>
      </c>
      <c r="R73" s="21">
        <v>5.8000000000000003E-2</v>
      </c>
      <c r="S73" s="21">
        <v>5.8000000000000003E-2</v>
      </c>
      <c r="T73" s="21">
        <v>5.8000000000000003E-2</v>
      </c>
      <c r="U73" s="21">
        <v>5.8000000000000003E-2</v>
      </c>
      <c r="V73" s="21">
        <v>5.8000000000000003E-2</v>
      </c>
      <c r="W73" s="21">
        <v>5.8000000000000003E-2</v>
      </c>
      <c r="X73" s="21">
        <v>5.8000000000000003E-2</v>
      </c>
      <c r="Y73" t="s">
        <v>471</v>
      </c>
      <c r="Z73" t="s">
        <v>382</v>
      </c>
    </row>
    <row r="74" spans="2:26" ht="16.5">
      <c r="B74" s="19">
        <v>57</v>
      </c>
      <c r="C74" s="19" t="str">
        <f>Refsz_Verbräuche[[#This Row],[Datenpunkt]]</f>
        <v>Studierendenreisen (Outgoing) - Privater PKW (alle Antriebsarten)</v>
      </c>
      <c r="D74" t="s">
        <v>418</v>
      </c>
      <c r="E74" s="22">
        <v>0.23623978654181144</v>
      </c>
      <c r="F74" s="22">
        <v>0.23623978654181144</v>
      </c>
      <c r="G74" s="22">
        <v>0.23623978654181144</v>
      </c>
      <c r="H74" s="22">
        <v>0.23623978654181144</v>
      </c>
      <c r="I74" s="22">
        <v>0.23422321695168971</v>
      </c>
      <c r="J74" s="22">
        <v>0.22469340606791299</v>
      </c>
      <c r="K74" s="21">
        <v>0.21428223341996916</v>
      </c>
      <c r="L74" s="21">
        <v>0.21264844634438446</v>
      </c>
      <c r="M74" s="21">
        <v>0.21264844634438446</v>
      </c>
      <c r="N74" s="21">
        <v>0.21264844634438446</v>
      </c>
      <c r="O74" s="21">
        <v>0.21264844634438446</v>
      </c>
      <c r="P74" s="21">
        <v>0.21264844634438446</v>
      </c>
      <c r="Q74" s="21">
        <v>0.21264844634438446</v>
      </c>
      <c r="R74" s="21">
        <v>0.21264844634438446</v>
      </c>
      <c r="S74" s="21">
        <v>0.21264844634438446</v>
      </c>
      <c r="T74" s="21">
        <v>0.1862936273223203</v>
      </c>
      <c r="U74" s="21">
        <v>0.1862936273223203</v>
      </c>
      <c r="V74" s="21">
        <v>0.1862936273223203</v>
      </c>
      <c r="W74" s="21">
        <v>0.1862936273223203</v>
      </c>
      <c r="X74" s="21">
        <v>9.2224143716755514E-3</v>
      </c>
      <c r="Y74" s="11" t="s">
        <v>472</v>
      </c>
    </row>
    <row r="75" spans="2:26">
      <c r="B75" s="19">
        <v>58</v>
      </c>
      <c r="C75" s="19">
        <f>Refsz_Verbräuche[[#This Row],[Datenpunkt]]</f>
        <v>0</v>
      </c>
      <c r="E75" s="21"/>
      <c r="F75" s="21"/>
      <c r="G75" s="21"/>
      <c r="H75" s="21"/>
      <c r="I75" s="21"/>
      <c r="J75" s="21"/>
      <c r="K75" s="21"/>
      <c r="L75" s="21"/>
      <c r="M75" s="21"/>
      <c r="N75" s="21"/>
      <c r="O75" s="21"/>
      <c r="P75" s="21"/>
      <c r="Q75" s="21"/>
      <c r="R75" s="21"/>
      <c r="S75" s="21"/>
      <c r="T75" s="21"/>
      <c r="U75" s="21"/>
      <c r="V75" s="21"/>
      <c r="W75" s="21"/>
      <c r="X75" s="21"/>
      <c r="Y75" s="11"/>
      <c r="Z75" s="11"/>
    </row>
    <row r="76" spans="2:26" ht="16.5">
      <c r="B76" s="19">
        <v>59</v>
      </c>
      <c r="C76" s="19" t="str">
        <f>Refsz_Verbräuche[[#This Row],[Datenpunkt]]</f>
        <v>Exkursionen - Flugreisen</v>
      </c>
      <c r="D76" t="s">
        <v>151</v>
      </c>
      <c r="E76" s="21">
        <v>0.214</v>
      </c>
      <c r="F76" s="21">
        <v>0.214</v>
      </c>
      <c r="G76" s="21">
        <v>0.20100000000000001</v>
      </c>
      <c r="H76" s="21">
        <v>0.23</v>
      </c>
      <c r="I76" s="21">
        <v>0.214</v>
      </c>
      <c r="J76" s="21">
        <v>0.28399999999999997</v>
      </c>
      <c r="K76" s="21">
        <v>0.28399999999999997</v>
      </c>
      <c r="L76" s="21">
        <v>0.23799999999999999</v>
      </c>
      <c r="M76" s="21">
        <v>0.23799999999999999</v>
      </c>
      <c r="N76" s="21">
        <v>0.23799999999999999</v>
      </c>
      <c r="O76" s="21">
        <v>0.23799999999999999</v>
      </c>
      <c r="P76" s="21">
        <v>0.23799999999999999</v>
      </c>
      <c r="Q76" s="21">
        <v>0.23799999999999999</v>
      </c>
      <c r="R76" s="21">
        <v>0.23799999999999999</v>
      </c>
      <c r="S76" s="21">
        <v>0.23799999999999999</v>
      </c>
      <c r="T76" s="21">
        <v>0.23799999999999999</v>
      </c>
      <c r="U76" s="21">
        <v>0.23799999999999999</v>
      </c>
      <c r="V76" s="21">
        <v>0.23799999999999999</v>
      </c>
      <c r="W76" s="21">
        <v>0.23799999999999999</v>
      </c>
      <c r="X76" s="21">
        <v>0.23799999999999999</v>
      </c>
      <c r="Y76" t="s">
        <v>471</v>
      </c>
      <c r="Z76" t="s">
        <v>453</v>
      </c>
    </row>
    <row r="77" spans="2:26" ht="16.5">
      <c r="B77" s="19">
        <v>60</v>
      </c>
      <c r="C77" s="19" t="str">
        <f>Refsz_Verbräuche[[#This Row],[Datenpunkt]]</f>
        <v>Exkursionen - Eisenbahn (Nahverkehr)</v>
      </c>
      <c r="D77" t="s">
        <v>151</v>
      </c>
      <c r="E77" s="22">
        <v>6.3E-2</v>
      </c>
      <c r="F77" s="22">
        <v>6.3E-2</v>
      </c>
      <c r="G77" s="22">
        <v>0.06</v>
      </c>
      <c r="H77" s="22">
        <v>5.7000000000000002E-2</v>
      </c>
      <c r="I77" s="22">
        <v>5.3999999999999999E-2</v>
      </c>
      <c r="J77" s="22">
        <v>8.4000000000000005E-2</v>
      </c>
      <c r="K77" s="22">
        <v>8.4000000000000005E-2</v>
      </c>
      <c r="L77" s="21">
        <v>5.8000000000000003E-2</v>
      </c>
      <c r="M77" s="21">
        <v>5.8000000000000003E-2</v>
      </c>
      <c r="N77" s="21">
        <v>5.8000000000000003E-2</v>
      </c>
      <c r="O77" s="21">
        <v>5.8000000000000003E-2</v>
      </c>
      <c r="P77" s="21">
        <v>5.8000000000000003E-2</v>
      </c>
      <c r="Q77" s="21">
        <v>5.8000000000000003E-2</v>
      </c>
      <c r="R77" s="21">
        <v>5.8000000000000003E-2</v>
      </c>
      <c r="S77" s="21">
        <v>5.8000000000000003E-2</v>
      </c>
      <c r="T77" s="21">
        <v>5.8000000000000003E-2</v>
      </c>
      <c r="U77" s="21">
        <v>5.8000000000000003E-2</v>
      </c>
      <c r="V77" s="21">
        <v>5.8000000000000003E-2</v>
      </c>
      <c r="W77" s="21">
        <v>5.8000000000000003E-2</v>
      </c>
      <c r="X77" s="21">
        <v>5.8000000000000003E-2</v>
      </c>
      <c r="Y77" t="s">
        <v>471</v>
      </c>
      <c r="Z77" t="s">
        <v>382</v>
      </c>
    </row>
    <row r="78" spans="2:26" ht="16.5">
      <c r="B78" s="19">
        <v>61</v>
      </c>
      <c r="C78" s="19" t="str">
        <f>Refsz_Verbräuche[[#This Row],[Datenpunkt]]</f>
        <v>Exkursionen - Privater PKW (alle Antriebsarten)</v>
      </c>
      <c r="D78" t="s">
        <v>418</v>
      </c>
      <c r="E78" s="22">
        <v>0.23623978654181144</v>
      </c>
      <c r="F78" s="22">
        <v>0.23623978654181144</v>
      </c>
      <c r="G78" s="22">
        <v>0.23623978654181144</v>
      </c>
      <c r="H78" s="22">
        <v>0.23623978654181144</v>
      </c>
      <c r="I78" s="22">
        <v>0.23422321695168971</v>
      </c>
      <c r="J78" s="22">
        <v>0.22469340606791299</v>
      </c>
      <c r="K78" s="21">
        <v>0.21428223341996916</v>
      </c>
      <c r="L78" s="21">
        <v>0.21264844634438446</v>
      </c>
      <c r="M78" s="21">
        <v>0.21264844634438446</v>
      </c>
      <c r="N78" s="21">
        <v>0.21264844634438446</v>
      </c>
      <c r="O78" s="21">
        <v>0.21264844634438446</v>
      </c>
      <c r="P78" s="21">
        <v>0.21264844634438446</v>
      </c>
      <c r="Q78" s="21">
        <v>0.21264844634438446</v>
      </c>
      <c r="R78" s="21">
        <v>0.21264844634438446</v>
      </c>
      <c r="S78" s="21">
        <v>0.21264844634438446</v>
      </c>
      <c r="T78" s="21">
        <v>0.1862936273223203</v>
      </c>
      <c r="U78" s="21">
        <v>0.1862936273223203</v>
      </c>
      <c r="V78" s="21">
        <v>0.1862936273223203</v>
      </c>
      <c r="W78" s="21">
        <v>0.1862936273223203</v>
      </c>
      <c r="X78" s="21">
        <v>9.2224143716755514E-3</v>
      </c>
      <c r="Y78" s="11" t="s">
        <v>472</v>
      </c>
    </row>
    <row r="79" spans="2:26">
      <c r="B79" s="19">
        <v>62</v>
      </c>
      <c r="C79" s="19">
        <f>Refsz_Verbräuche[[#This Row],[Datenpunkt]]</f>
        <v>0</v>
      </c>
      <c r="E79" s="22"/>
      <c r="F79" s="22"/>
      <c r="G79" s="22"/>
      <c r="H79" s="22"/>
      <c r="I79" s="22"/>
      <c r="J79" s="22"/>
      <c r="K79" s="21"/>
      <c r="L79" s="21"/>
      <c r="M79" s="21"/>
      <c r="N79" s="21"/>
      <c r="O79" s="21"/>
      <c r="P79" s="21"/>
      <c r="Q79" s="21"/>
      <c r="R79" s="21"/>
      <c r="S79" s="21"/>
      <c r="T79" s="21"/>
      <c r="U79" s="21"/>
      <c r="V79" s="21"/>
      <c r="W79" s="21"/>
      <c r="X79" s="21"/>
      <c r="Y79" s="11"/>
      <c r="Z79" s="11"/>
    </row>
    <row r="80" spans="2:26" ht="16.5">
      <c r="B80" s="19">
        <v>63</v>
      </c>
      <c r="C80" s="19" t="str">
        <f>Refsz_Verbräuche[[#This Row],[Datenpunkt]]</f>
        <v>Pendeln - Eisenbahn (Fernverkehr)</v>
      </c>
      <c r="D80" t="s">
        <v>151</v>
      </c>
      <c r="E80" s="22">
        <v>3.7999999999999999E-2</v>
      </c>
      <c r="F80" s="22">
        <v>3.7999999999999999E-2</v>
      </c>
      <c r="G80" s="22">
        <v>3.5999999999999997E-2</v>
      </c>
      <c r="H80" s="22">
        <v>3.2000000000000001E-2</v>
      </c>
      <c r="I80" s="22">
        <v>2.9000000000000001E-2</v>
      </c>
      <c r="J80" s="22">
        <v>2.9000000000000001E-2</v>
      </c>
      <c r="K80" s="21">
        <v>0.05</v>
      </c>
      <c r="L80" s="21">
        <v>3.1E-2</v>
      </c>
      <c r="M80" s="21">
        <v>3.1E-2</v>
      </c>
      <c r="N80" s="21">
        <v>3.1E-2</v>
      </c>
      <c r="O80" s="21">
        <v>3.1E-2</v>
      </c>
      <c r="P80" s="21">
        <v>3.1E-2</v>
      </c>
      <c r="Q80" s="21">
        <v>3.1E-2</v>
      </c>
      <c r="R80" s="21">
        <v>3.1E-2</v>
      </c>
      <c r="S80" s="21">
        <v>3.1E-2</v>
      </c>
      <c r="T80" s="21">
        <v>3.1E-2</v>
      </c>
      <c r="U80" s="21">
        <v>3.1E-2</v>
      </c>
      <c r="V80" s="21">
        <v>3.1E-2</v>
      </c>
      <c r="W80" s="21">
        <v>3.1E-2</v>
      </c>
      <c r="X80" s="21">
        <v>3.1E-2</v>
      </c>
      <c r="Y80" t="s">
        <v>471</v>
      </c>
      <c r="Z80" t="s">
        <v>383</v>
      </c>
    </row>
    <row r="81" spans="2:26" ht="16.5">
      <c r="B81" s="19">
        <v>64</v>
      </c>
      <c r="C81" s="19" t="str">
        <f>Refsz_Verbräuche[[#This Row],[Datenpunkt]]</f>
        <v>Pendeln - Eisenbahn (Nahverkehr)</v>
      </c>
      <c r="D81" t="s">
        <v>151</v>
      </c>
      <c r="E81" s="22">
        <v>6.3E-2</v>
      </c>
      <c r="F81" s="22">
        <v>6.3E-2</v>
      </c>
      <c r="G81" s="22">
        <v>0.06</v>
      </c>
      <c r="H81" s="22">
        <v>5.7000000000000002E-2</v>
      </c>
      <c r="I81" s="22">
        <v>5.3999999999999999E-2</v>
      </c>
      <c r="J81" s="22">
        <v>8.4000000000000005E-2</v>
      </c>
      <c r="K81" s="22">
        <v>8.4000000000000005E-2</v>
      </c>
      <c r="L81" s="21">
        <v>5.8000000000000003E-2</v>
      </c>
      <c r="M81" s="21">
        <v>5.8000000000000003E-2</v>
      </c>
      <c r="N81" s="21">
        <v>5.8000000000000003E-2</v>
      </c>
      <c r="O81" s="21">
        <v>5.8000000000000003E-2</v>
      </c>
      <c r="P81" s="21">
        <v>5.8000000000000003E-2</v>
      </c>
      <c r="Q81" s="21">
        <v>5.8000000000000003E-2</v>
      </c>
      <c r="R81" s="21">
        <v>5.8000000000000003E-2</v>
      </c>
      <c r="S81" s="21">
        <v>5.8000000000000003E-2</v>
      </c>
      <c r="T81" s="21">
        <v>5.8000000000000003E-2</v>
      </c>
      <c r="U81" s="21">
        <v>5.8000000000000003E-2</v>
      </c>
      <c r="V81" s="21">
        <v>5.8000000000000003E-2</v>
      </c>
      <c r="W81" s="21">
        <v>5.8000000000000003E-2</v>
      </c>
      <c r="X81" s="21">
        <v>5.8000000000000003E-2</v>
      </c>
      <c r="Y81" t="s">
        <v>471</v>
      </c>
      <c r="Z81" t="s">
        <v>382</v>
      </c>
    </row>
    <row r="82" spans="2:26" ht="16.5">
      <c r="B82" s="19">
        <v>65</v>
      </c>
      <c r="C82" s="19" t="str">
        <f>Refsz_Verbräuche[[#This Row],[Datenpunkt]]</f>
        <v>Pendeln - Linienbus (Nahverkehr)</v>
      </c>
      <c r="D82" t="s">
        <v>151</v>
      </c>
      <c r="E82" s="22">
        <v>7.4999999999999997E-2</v>
      </c>
      <c r="F82" s="22">
        <v>7.4999999999999997E-2</v>
      </c>
      <c r="G82" s="22">
        <v>7.4999999999999997E-2</v>
      </c>
      <c r="H82" s="22">
        <v>0.08</v>
      </c>
      <c r="I82" s="22">
        <v>8.3000000000000004E-2</v>
      </c>
      <c r="J82" s="22">
        <v>0.111</v>
      </c>
      <c r="K82" s="21">
        <v>0.111</v>
      </c>
      <c r="L82" s="21">
        <v>9.2999999999999999E-2</v>
      </c>
      <c r="M82" s="21">
        <v>9.2999999999999999E-2</v>
      </c>
      <c r="N82" s="21">
        <v>9.2999999999999999E-2</v>
      </c>
      <c r="O82" s="21">
        <v>9.2999999999999999E-2</v>
      </c>
      <c r="P82" s="21">
        <v>9.2999999999999999E-2</v>
      </c>
      <c r="Q82" s="21">
        <v>9.2999999999999999E-2</v>
      </c>
      <c r="R82" s="21">
        <v>9.2999999999999999E-2</v>
      </c>
      <c r="S82" s="21">
        <v>9.2999999999999999E-2</v>
      </c>
      <c r="T82" s="21">
        <v>9.2999999999999999E-2</v>
      </c>
      <c r="U82" s="21">
        <v>9.2999999999999999E-2</v>
      </c>
      <c r="V82" s="21">
        <v>9.2999999999999999E-2</v>
      </c>
      <c r="W82" s="21">
        <v>9.2999999999999999E-2</v>
      </c>
      <c r="X82" s="21">
        <v>9.2999999999999999E-2</v>
      </c>
      <c r="Y82" t="s">
        <v>471</v>
      </c>
      <c r="Z82" t="s">
        <v>381</v>
      </c>
    </row>
    <row r="83" spans="2:26" ht="16.5">
      <c r="B83" s="19">
        <v>66</v>
      </c>
      <c r="C83" s="19" t="str">
        <f>Refsz_Verbräuche[[#This Row],[Datenpunkt]]</f>
        <v>Pendeln - PKW (alle Antriebsarten)</v>
      </c>
      <c r="D83" t="s">
        <v>418</v>
      </c>
      <c r="E83" s="22">
        <v>0.23623978654181144</v>
      </c>
      <c r="F83" s="22">
        <v>0.23623978654181144</v>
      </c>
      <c r="G83" s="22">
        <v>0.23623978654181144</v>
      </c>
      <c r="H83" s="22">
        <v>0.23623978654181144</v>
      </c>
      <c r="I83" s="22">
        <v>0.23422321695168971</v>
      </c>
      <c r="J83" s="22">
        <v>0.22469340606791299</v>
      </c>
      <c r="K83" s="21">
        <v>0.21428223341996916</v>
      </c>
      <c r="L83" s="21">
        <v>0.21264844634438446</v>
      </c>
      <c r="M83" s="21">
        <v>0.21264844634438446</v>
      </c>
      <c r="N83" s="21">
        <v>0.21264844634438446</v>
      </c>
      <c r="O83" s="21">
        <v>0.21264844634438446</v>
      </c>
      <c r="P83" s="21">
        <v>0.21264844634438446</v>
      </c>
      <c r="Q83" s="21">
        <v>0.21264844634438446</v>
      </c>
      <c r="R83" s="21">
        <v>0.21264844634438446</v>
      </c>
      <c r="S83" s="21">
        <v>0.21264844634438446</v>
      </c>
      <c r="T83" s="21">
        <v>0.1862936273223203</v>
      </c>
      <c r="U83" s="21">
        <v>0.1862936273223203</v>
      </c>
      <c r="V83" s="21">
        <v>0.1862936273223203</v>
      </c>
      <c r="W83" s="21">
        <v>0.1862936273223203</v>
      </c>
      <c r="X83" s="21">
        <v>9.2224143716755514E-3</v>
      </c>
      <c r="Y83" s="11" t="s">
        <v>472</v>
      </c>
    </row>
    <row r="84" spans="2:26" ht="16.5">
      <c r="B84" s="19">
        <v>67</v>
      </c>
      <c r="C84" s="19" t="str">
        <f>Refsz_Verbräuche[[#This Row],[Datenpunkt]]</f>
        <v>Pendeln - PKW (Diesel)</v>
      </c>
      <c r="D84" t="s">
        <v>418</v>
      </c>
      <c r="E84" s="22">
        <v>0.24147024456164837</v>
      </c>
      <c r="F84" s="22">
        <v>0.24147024456164837</v>
      </c>
      <c r="G84" s="22">
        <v>0.24147024456164837</v>
      </c>
      <c r="H84" s="22">
        <v>0.24147024456164837</v>
      </c>
      <c r="I84" s="22">
        <v>0.24147024456164837</v>
      </c>
      <c r="J84" s="22">
        <v>0.24147024456164837</v>
      </c>
      <c r="K84" s="22">
        <v>0.24147024456164837</v>
      </c>
      <c r="L84" s="22">
        <v>0.24147024456164837</v>
      </c>
      <c r="M84" s="22">
        <v>0.24147024456164837</v>
      </c>
      <c r="N84" s="22">
        <v>0.24147024456164837</v>
      </c>
      <c r="O84" s="22">
        <v>0.24147024456164837</v>
      </c>
      <c r="P84" s="22">
        <v>0.24147024456164837</v>
      </c>
      <c r="Q84" s="22">
        <v>0.24147024456164837</v>
      </c>
      <c r="R84" s="22">
        <v>0.24147024456164837</v>
      </c>
      <c r="S84" s="22">
        <v>0.24147024456164837</v>
      </c>
      <c r="T84" s="22">
        <v>0.2167995587252195</v>
      </c>
      <c r="U84" s="22">
        <v>0.2167995587252195</v>
      </c>
      <c r="V84" s="22">
        <v>0.2167995587252195</v>
      </c>
      <c r="W84" s="22">
        <v>0.2167995587252195</v>
      </c>
      <c r="X84" s="22">
        <v>1.3021317440630929E-2</v>
      </c>
      <c r="Y84" s="11" t="s">
        <v>472</v>
      </c>
      <c r="Z84" t="s">
        <v>420</v>
      </c>
    </row>
    <row r="85" spans="2:26" ht="16.5">
      <c r="B85" s="19">
        <v>68</v>
      </c>
      <c r="C85" s="19" t="str">
        <f>Refsz_Verbräuche[[#This Row],[Datenpunkt]]</f>
        <v>Pendeln - PKW (Benzin)</v>
      </c>
      <c r="D85" t="s">
        <v>418</v>
      </c>
      <c r="E85" s="22">
        <v>0.23823316764042801</v>
      </c>
      <c r="F85" s="22">
        <v>0.23823316764042801</v>
      </c>
      <c r="G85" s="22">
        <v>0.23823316764042801</v>
      </c>
      <c r="H85" s="22">
        <v>0.23823316764042801</v>
      </c>
      <c r="I85" s="22">
        <v>0.23823316764042801</v>
      </c>
      <c r="J85" s="22">
        <v>0.23823316764042801</v>
      </c>
      <c r="K85" s="22">
        <v>0.23823316764042801</v>
      </c>
      <c r="L85" s="22">
        <v>0.23823316764042801</v>
      </c>
      <c r="M85" s="22">
        <v>0.23823316764042801</v>
      </c>
      <c r="N85" s="22">
        <v>0.23823316764042801</v>
      </c>
      <c r="O85" s="22">
        <v>0.23823316764042801</v>
      </c>
      <c r="P85" s="22">
        <v>0.23823316764042801</v>
      </c>
      <c r="Q85" s="22">
        <v>0.23823316764042801</v>
      </c>
      <c r="R85" s="22">
        <v>0.23823316764042801</v>
      </c>
      <c r="S85" s="22">
        <v>0.23823316764042801</v>
      </c>
      <c r="T85" s="22">
        <v>0.21114519195821158</v>
      </c>
      <c r="U85" s="22">
        <v>0.21114519195821158</v>
      </c>
      <c r="V85" s="22">
        <v>0.21114519195821158</v>
      </c>
      <c r="W85" s="22">
        <v>0.21114519195821158</v>
      </c>
      <c r="X85" s="22">
        <v>1.0557175497570959E-2</v>
      </c>
      <c r="Y85" s="11" t="s">
        <v>472</v>
      </c>
      <c r="Z85" t="s">
        <v>500</v>
      </c>
    </row>
    <row r="86" spans="2:26" ht="16.5">
      <c r="B86" s="19">
        <v>69</v>
      </c>
      <c r="C86" s="19" t="str">
        <f>Refsz_Verbräuche[[#This Row],[Datenpunkt]]</f>
        <v>Pendeln - PKW (E-Auto/ BEV)</v>
      </c>
      <c r="D86" t="s">
        <v>418</v>
      </c>
      <c r="E86" s="22">
        <v>0.13988990608409799</v>
      </c>
      <c r="F86" s="22">
        <v>0.13988990608409799</v>
      </c>
      <c r="G86" s="22">
        <v>0.13988990608409799</v>
      </c>
      <c r="H86" s="22">
        <v>0.13988990608409799</v>
      </c>
      <c r="I86" s="22">
        <v>0.13988990608409799</v>
      </c>
      <c r="J86" s="22">
        <v>0.13988990608409799</v>
      </c>
      <c r="K86" s="22">
        <v>0.13988990608409799</v>
      </c>
      <c r="L86" s="22">
        <v>0.13988990608409799</v>
      </c>
      <c r="M86" s="22">
        <v>0.13988990608409799</v>
      </c>
      <c r="N86" s="22">
        <v>0.13988990608409799</v>
      </c>
      <c r="O86" s="22">
        <v>0.13988990608409799</v>
      </c>
      <c r="P86" s="22">
        <v>0.13988990608409799</v>
      </c>
      <c r="Q86" s="22">
        <v>0.13988990608409799</v>
      </c>
      <c r="R86" s="22">
        <v>0.13988990608409799</v>
      </c>
      <c r="S86" s="22">
        <v>0.13988990608409799</v>
      </c>
      <c r="T86" s="22">
        <v>0.1106590587034632</v>
      </c>
      <c r="U86" s="22">
        <v>0.1106590587034632</v>
      </c>
      <c r="V86" s="22">
        <v>0.1106590587034632</v>
      </c>
      <c r="W86" s="22">
        <v>0.1106590587034632</v>
      </c>
      <c r="X86" s="22">
        <v>3.4756006759183145E-3</v>
      </c>
      <c r="Y86" s="11" t="s">
        <v>472</v>
      </c>
      <c r="Z86" t="s">
        <v>501</v>
      </c>
    </row>
    <row r="87" spans="2:26" ht="16.5">
      <c r="B87" s="19">
        <v>70</v>
      </c>
      <c r="C87" s="19" t="str">
        <f>Refsz_Verbräuche[[#This Row],[Datenpunkt]]</f>
        <v>Pendeln - PKW (Wasserstoff/ FCEV)</v>
      </c>
      <c r="D87" t="s">
        <v>418</v>
      </c>
      <c r="E87" s="21">
        <v>0.19898582947594404</v>
      </c>
      <c r="F87" s="21">
        <v>0.19898582947594404</v>
      </c>
      <c r="G87" s="21">
        <v>0.19898582947594404</v>
      </c>
      <c r="H87" s="21">
        <v>0.19898582947594404</v>
      </c>
      <c r="I87" s="21">
        <v>0.19898582947594404</v>
      </c>
      <c r="J87" s="21">
        <v>0.19898582947594404</v>
      </c>
      <c r="K87" s="21">
        <v>0.19898582947594404</v>
      </c>
      <c r="L87" s="21">
        <v>0.19898582947594404</v>
      </c>
      <c r="M87" s="21">
        <v>0.19898582947594404</v>
      </c>
      <c r="N87" s="21">
        <v>0.19898582947594404</v>
      </c>
      <c r="O87" s="21">
        <v>0.19898582947594404</v>
      </c>
      <c r="P87" s="21">
        <v>0.19898582947594404</v>
      </c>
      <c r="Q87" s="21">
        <v>0.19898582947594404</v>
      </c>
      <c r="R87" s="21">
        <v>0.19898582947594404</v>
      </c>
      <c r="S87" s="21">
        <v>0.19898582947594404</v>
      </c>
      <c r="T87" s="21">
        <v>0.18582529423090632</v>
      </c>
      <c r="U87" s="21">
        <v>0.18582529423090632</v>
      </c>
      <c r="V87" s="21">
        <v>0.18582529423090632</v>
      </c>
      <c r="W87" s="21">
        <v>0.18582529423090632</v>
      </c>
      <c r="X87" s="21">
        <v>6.9165711407782439E-3</v>
      </c>
      <c r="Y87" s="11" t="s">
        <v>472</v>
      </c>
      <c r="Z87" t="s">
        <v>502</v>
      </c>
    </row>
    <row r="88" spans="2:26" ht="16.5">
      <c r="B88" s="19">
        <v>71</v>
      </c>
      <c r="C88" s="19" t="str">
        <f>Refsz_Verbräuche[[#This Row],[Datenpunkt]]</f>
        <v>Pendeln - PKW (CNG)</v>
      </c>
      <c r="D88" t="s">
        <v>418</v>
      </c>
      <c r="E88" s="22">
        <v>0.19430236726041999</v>
      </c>
      <c r="F88" s="22">
        <v>0.19430236726041999</v>
      </c>
      <c r="G88" s="22">
        <v>0.19430236726041999</v>
      </c>
      <c r="H88" s="22">
        <v>0.19430236726041999</v>
      </c>
      <c r="I88" s="22">
        <v>0.19430236726041999</v>
      </c>
      <c r="J88" s="22">
        <v>0.19430236726041999</v>
      </c>
      <c r="K88" s="22">
        <v>0.19430236726041999</v>
      </c>
      <c r="L88" s="22">
        <v>0.19430236726041999</v>
      </c>
      <c r="M88" s="22">
        <v>0.19430236726041999</v>
      </c>
      <c r="N88" s="22">
        <v>0.19430236726041999</v>
      </c>
      <c r="O88" s="22">
        <v>0.19430236726041999</v>
      </c>
      <c r="P88" s="22">
        <v>0.19430236726041999</v>
      </c>
      <c r="Q88" s="22">
        <v>0.19430236726041999</v>
      </c>
      <c r="R88" s="22">
        <v>0.19430236726041999</v>
      </c>
      <c r="S88" s="22">
        <v>0.19430236726041999</v>
      </c>
      <c r="T88" s="22">
        <v>0.17257425041292387</v>
      </c>
      <c r="U88" s="22">
        <v>0.17257425041292387</v>
      </c>
      <c r="V88" s="22">
        <v>0.17257425041292387</v>
      </c>
      <c r="W88" s="22">
        <v>0.17257425041292387</v>
      </c>
      <c r="X88" s="22">
        <v>9.4253410530137013E-3</v>
      </c>
      <c r="Y88" s="11" t="s">
        <v>472</v>
      </c>
      <c r="Z88" t="s">
        <v>503</v>
      </c>
    </row>
    <row r="89" spans="2:26" ht="16.5">
      <c r="B89" s="19">
        <v>72</v>
      </c>
      <c r="C89" s="19" t="str">
        <f>Refsz_Verbräuche[[#This Row],[Datenpunkt]]</f>
        <v>Pendeln - PKW (Plug-In-Hybrid/PHEV)</v>
      </c>
      <c r="D89" t="s">
        <v>418</v>
      </c>
      <c r="E89" s="22">
        <v>0.19039932667175896</v>
      </c>
      <c r="F89" s="22">
        <v>0.19039932667175896</v>
      </c>
      <c r="G89" s="22">
        <v>0.19039932667175896</v>
      </c>
      <c r="H89" s="22">
        <v>0.19039932667175896</v>
      </c>
      <c r="I89" s="22">
        <v>0.19039932667175896</v>
      </c>
      <c r="J89" s="22">
        <v>0.19039932667175896</v>
      </c>
      <c r="K89" s="22">
        <v>0.19039932667175896</v>
      </c>
      <c r="L89" s="22">
        <v>0.19039932667175896</v>
      </c>
      <c r="M89" s="22">
        <v>0.19039932667175896</v>
      </c>
      <c r="N89" s="22">
        <v>0.19039932667175896</v>
      </c>
      <c r="O89" s="22">
        <v>0.19039932667175896</v>
      </c>
      <c r="P89" s="22">
        <v>0.19039932667175896</v>
      </c>
      <c r="Q89" s="22">
        <v>0.19039932667175896</v>
      </c>
      <c r="R89" s="22">
        <v>0.19039932667175896</v>
      </c>
      <c r="S89" s="22">
        <v>0.19039932667175896</v>
      </c>
      <c r="T89" s="22">
        <v>0.14826064928261593</v>
      </c>
      <c r="U89" s="22">
        <v>0.14826064928261593</v>
      </c>
      <c r="V89" s="22">
        <v>0.14826064928261593</v>
      </c>
      <c r="W89" s="22">
        <v>0.14826064928261593</v>
      </c>
      <c r="X89" s="22">
        <v>6.4973040225473544E-3</v>
      </c>
      <c r="Y89" s="11" t="s">
        <v>472</v>
      </c>
      <c r="Z89" t="s">
        <v>504</v>
      </c>
    </row>
    <row r="90" spans="2:26" ht="16.5">
      <c r="B90" s="19">
        <v>73</v>
      </c>
      <c r="C90" s="19" t="str">
        <f>Refsz_Verbräuche[[#This Row],[Datenpunkt]]</f>
        <v>Pendeln - Motorisierte Zweiräder</v>
      </c>
      <c r="D90" t="s">
        <v>418</v>
      </c>
      <c r="E90" s="21">
        <f t="shared" ref="E90:J90" si="9">(0.129+0.129+0.173)/3</f>
        <v>0.14366666666666666</v>
      </c>
      <c r="F90" s="21">
        <f t="shared" si="9"/>
        <v>0.14366666666666666</v>
      </c>
      <c r="G90" s="21">
        <f t="shared" si="9"/>
        <v>0.14366666666666666</v>
      </c>
      <c r="H90" s="21">
        <f t="shared" si="9"/>
        <v>0.14366666666666666</v>
      </c>
      <c r="I90" s="21">
        <f t="shared" si="9"/>
        <v>0.14366666666666666</v>
      </c>
      <c r="J90" s="21">
        <f t="shared" si="9"/>
        <v>0.14366666666666666</v>
      </c>
      <c r="K90" s="21">
        <f>(0.133+0.132+0.186)/3</f>
        <v>0.15033333333333335</v>
      </c>
      <c r="L90" s="21">
        <f t="shared" ref="L90:X90" si="10">(0.133+0.132+0.186)/3</f>
        <v>0.15033333333333335</v>
      </c>
      <c r="M90" s="21">
        <f t="shared" si="10"/>
        <v>0.15033333333333335</v>
      </c>
      <c r="N90" s="21">
        <f t="shared" si="10"/>
        <v>0.15033333333333335</v>
      </c>
      <c r="O90" s="21">
        <f t="shared" si="10"/>
        <v>0.15033333333333335</v>
      </c>
      <c r="P90" s="21">
        <f t="shared" si="10"/>
        <v>0.15033333333333335</v>
      </c>
      <c r="Q90" s="21">
        <f t="shared" si="10"/>
        <v>0.15033333333333335</v>
      </c>
      <c r="R90" s="21">
        <f t="shared" si="10"/>
        <v>0.15033333333333335</v>
      </c>
      <c r="S90" s="21">
        <f t="shared" si="10"/>
        <v>0.15033333333333335</v>
      </c>
      <c r="T90" s="21">
        <f t="shared" si="10"/>
        <v>0.15033333333333335</v>
      </c>
      <c r="U90" s="21">
        <f t="shared" si="10"/>
        <v>0.15033333333333335</v>
      </c>
      <c r="V90" s="21">
        <f t="shared" si="10"/>
        <v>0.15033333333333335</v>
      </c>
      <c r="W90" s="21">
        <f t="shared" si="10"/>
        <v>0.15033333333333335</v>
      </c>
      <c r="X90" s="21">
        <f t="shared" si="10"/>
        <v>0.15033333333333335</v>
      </c>
      <c r="Y90" s="11" t="s">
        <v>477</v>
      </c>
      <c r="Z90" s="11" t="s">
        <v>390</v>
      </c>
    </row>
    <row r="91" spans="2:26" ht="16.5">
      <c r="B91" s="19">
        <v>74</v>
      </c>
      <c r="C91" s="19" t="str">
        <f>Refsz_Verbräuche[[#This Row],[Datenpunkt]]</f>
        <v>Pendeln - Fahrrad</v>
      </c>
      <c r="D91" t="s">
        <v>418</v>
      </c>
      <c r="E91" s="21">
        <v>8.6999999999999994E-3</v>
      </c>
      <c r="F91" s="21">
        <v>8.6999999999999994E-3</v>
      </c>
      <c r="G91" s="21">
        <v>8.6999999999999994E-3</v>
      </c>
      <c r="H91" s="21">
        <v>8.6999999999999994E-3</v>
      </c>
      <c r="I91" s="21">
        <v>8.6999999999999994E-3</v>
      </c>
      <c r="J91" s="21">
        <v>8.6999999999999994E-3</v>
      </c>
      <c r="K91" s="21">
        <v>8.6999999999999994E-3</v>
      </c>
      <c r="L91" s="21">
        <v>8.6999999999999994E-3</v>
      </c>
      <c r="M91" s="21">
        <v>8.6999999999999994E-3</v>
      </c>
      <c r="N91" s="21">
        <v>8.6999999999999994E-3</v>
      </c>
      <c r="O91" s="21">
        <v>8.6999999999999994E-3</v>
      </c>
      <c r="P91" s="21">
        <v>8.6999999999999994E-3</v>
      </c>
      <c r="Q91" s="21">
        <v>8.6999999999999994E-3</v>
      </c>
      <c r="R91" s="21">
        <v>8.6999999999999994E-3</v>
      </c>
      <c r="S91" s="21">
        <v>8.6999999999999994E-3</v>
      </c>
      <c r="T91" s="21">
        <v>8.6999999999999994E-3</v>
      </c>
      <c r="U91" s="21">
        <v>8.6999999999999994E-3</v>
      </c>
      <c r="V91" s="21">
        <v>8.6999999999999994E-3</v>
      </c>
      <c r="W91" s="21">
        <v>8.6999999999999994E-3</v>
      </c>
      <c r="X91" s="21">
        <v>8.6999999999999994E-3</v>
      </c>
      <c r="Y91" s="11" t="s">
        <v>159</v>
      </c>
      <c r="Z91" s="11" t="s">
        <v>160</v>
      </c>
    </row>
    <row r="92" spans="2:26" ht="16.5">
      <c r="B92" s="19">
        <v>75</v>
      </c>
      <c r="C92" s="19" t="str">
        <f>Refsz_Verbräuche[[#This Row],[Datenpunkt]]</f>
        <v>Pendeln - E-Bike</v>
      </c>
      <c r="D92" t="s">
        <v>418</v>
      </c>
      <c r="E92" s="21">
        <f>0.0087+0.003</f>
        <v>1.1699999999999999E-2</v>
      </c>
      <c r="F92" s="21">
        <f>0.0087+0.003</f>
        <v>1.1699999999999999E-2</v>
      </c>
      <c r="G92" s="21">
        <f t="shared" ref="G92:X92" si="11">0.0087+0.003</f>
        <v>1.1699999999999999E-2</v>
      </c>
      <c r="H92" s="21">
        <f t="shared" si="11"/>
        <v>1.1699999999999999E-2</v>
      </c>
      <c r="I92" s="21">
        <f t="shared" si="11"/>
        <v>1.1699999999999999E-2</v>
      </c>
      <c r="J92" s="21">
        <f t="shared" si="11"/>
        <v>1.1699999999999999E-2</v>
      </c>
      <c r="K92" s="21">
        <f t="shared" si="11"/>
        <v>1.1699999999999999E-2</v>
      </c>
      <c r="L92" s="21">
        <f t="shared" si="11"/>
        <v>1.1699999999999999E-2</v>
      </c>
      <c r="M92" s="21">
        <f t="shared" si="11"/>
        <v>1.1699999999999999E-2</v>
      </c>
      <c r="N92" s="21">
        <f t="shared" si="11"/>
        <v>1.1699999999999999E-2</v>
      </c>
      <c r="O92" s="21">
        <f t="shared" si="11"/>
        <v>1.1699999999999999E-2</v>
      </c>
      <c r="P92" s="21">
        <f t="shared" si="11"/>
        <v>1.1699999999999999E-2</v>
      </c>
      <c r="Q92" s="21">
        <f t="shared" si="11"/>
        <v>1.1699999999999999E-2</v>
      </c>
      <c r="R92" s="21">
        <f t="shared" si="11"/>
        <v>1.1699999999999999E-2</v>
      </c>
      <c r="S92" s="21">
        <f t="shared" si="11"/>
        <v>1.1699999999999999E-2</v>
      </c>
      <c r="T92" s="21">
        <f t="shared" si="11"/>
        <v>1.1699999999999999E-2</v>
      </c>
      <c r="U92" s="21">
        <f t="shared" si="11"/>
        <v>1.1699999999999999E-2</v>
      </c>
      <c r="V92" s="21">
        <f t="shared" si="11"/>
        <v>1.1699999999999999E-2</v>
      </c>
      <c r="W92" s="21">
        <f t="shared" si="11"/>
        <v>1.1699999999999999E-2</v>
      </c>
      <c r="X92" s="21">
        <f t="shared" si="11"/>
        <v>1.1699999999999999E-2</v>
      </c>
      <c r="Y92" s="11" t="s">
        <v>388</v>
      </c>
      <c r="Z92" s="11" t="s">
        <v>389</v>
      </c>
    </row>
    <row r="93" spans="2:26" ht="16.5">
      <c r="B93" s="19">
        <v>76</v>
      </c>
      <c r="C93" s="19" t="str">
        <f>Refsz_Verbräuche[[#This Row],[Datenpunkt]]</f>
        <v>Pendeln - zu Fuß</v>
      </c>
      <c r="D93" t="s">
        <v>151</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11"/>
      <c r="Z93" s="11"/>
    </row>
    <row r="94" spans="2:26">
      <c r="B94" s="19">
        <v>77</v>
      </c>
      <c r="C94" s="19">
        <f>Refsz_Verbräuche[[#This Row],[Datenpunkt]]</f>
        <v>0</v>
      </c>
      <c r="D94" s="9"/>
      <c r="E94" s="21"/>
      <c r="F94" s="21"/>
      <c r="G94" s="21"/>
      <c r="H94" s="21"/>
      <c r="I94" s="21"/>
      <c r="J94" s="21"/>
      <c r="K94" s="21"/>
      <c r="L94" s="21"/>
      <c r="M94" s="21"/>
      <c r="N94" s="21"/>
      <c r="O94" s="21"/>
      <c r="P94" s="21"/>
      <c r="Q94" s="21"/>
      <c r="R94" s="21"/>
      <c r="S94" s="21"/>
      <c r="T94" s="21"/>
      <c r="U94" s="21"/>
      <c r="V94" s="21"/>
      <c r="W94" s="21"/>
      <c r="X94" s="21"/>
      <c r="Y94" s="11"/>
      <c r="Z94" s="11"/>
    </row>
    <row r="95" spans="2:26" ht="16.5">
      <c r="B95" s="19">
        <v>78</v>
      </c>
      <c r="C95" s="19" t="str">
        <f>Refsz_Verbräuche[[#This Row],[Datenpunkt]]</f>
        <v>Studierendenreisen (Incoming) - Flugreisen</v>
      </c>
      <c r="D95" t="s">
        <v>151</v>
      </c>
      <c r="E95" s="21">
        <v>0.214</v>
      </c>
      <c r="F95" s="21">
        <v>0.214</v>
      </c>
      <c r="G95" s="21">
        <v>0.20100000000000001</v>
      </c>
      <c r="H95" s="21">
        <v>0.23</v>
      </c>
      <c r="I95" s="21">
        <v>0.214</v>
      </c>
      <c r="J95" s="21">
        <v>0.28399999999999997</v>
      </c>
      <c r="K95" s="21">
        <v>0.28399999999999997</v>
      </c>
      <c r="L95" s="21">
        <v>0.23799999999999999</v>
      </c>
      <c r="M95" s="21">
        <v>0.23799999999999999</v>
      </c>
      <c r="N95" s="21">
        <v>0.23799999999999999</v>
      </c>
      <c r="O95" s="21">
        <v>0.23799999999999999</v>
      </c>
      <c r="P95" s="21">
        <v>0.23799999999999999</v>
      </c>
      <c r="Q95" s="21">
        <v>0.23799999999999999</v>
      </c>
      <c r="R95" s="21">
        <v>0.23799999999999999</v>
      </c>
      <c r="S95" s="21">
        <v>0.23799999999999999</v>
      </c>
      <c r="T95" s="21">
        <v>0.23799999999999999</v>
      </c>
      <c r="U95" s="21">
        <v>0.23799999999999999</v>
      </c>
      <c r="V95" s="21">
        <v>0.23799999999999999</v>
      </c>
      <c r="W95" s="21">
        <v>0.23799999999999999</v>
      </c>
      <c r="X95" s="21">
        <v>0.23799999999999999</v>
      </c>
      <c r="Y95" t="s">
        <v>471</v>
      </c>
      <c r="Z95" t="s">
        <v>453</v>
      </c>
    </row>
    <row r="96" spans="2:26" ht="16.5">
      <c r="B96" s="19">
        <v>79</v>
      </c>
      <c r="C96" s="19" t="str">
        <f>Refsz_Verbräuche[[#This Row],[Datenpunkt]]</f>
        <v>Studierendenreisen (Incoming) - Eisenbahn (Nahverkehr)</v>
      </c>
      <c r="D96" t="s">
        <v>151</v>
      </c>
      <c r="E96" s="22">
        <v>6.3E-2</v>
      </c>
      <c r="F96" s="22">
        <v>6.3E-2</v>
      </c>
      <c r="G96" s="22">
        <v>0.06</v>
      </c>
      <c r="H96" s="22">
        <v>5.7000000000000002E-2</v>
      </c>
      <c r="I96" s="22">
        <v>5.3999999999999999E-2</v>
      </c>
      <c r="J96" s="22">
        <v>8.4000000000000005E-2</v>
      </c>
      <c r="K96" s="22">
        <v>8.4000000000000005E-2</v>
      </c>
      <c r="L96" s="21">
        <v>5.8000000000000003E-2</v>
      </c>
      <c r="M96" s="21">
        <v>5.8000000000000003E-2</v>
      </c>
      <c r="N96" s="21">
        <v>5.8000000000000003E-2</v>
      </c>
      <c r="O96" s="21">
        <v>5.8000000000000003E-2</v>
      </c>
      <c r="P96" s="21">
        <v>5.8000000000000003E-2</v>
      </c>
      <c r="Q96" s="21">
        <v>5.8000000000000003E-2</v>
      </c>
      <c r="R96" s="21">
        <v>5.8000000000000003E-2</v>
      </c>
      <c r="S96" s="21">
        <v>5.8000000000000003E-2</v>
      </c>
      <c r="T96" s="21">
        <v>5.8000000000000003E-2</v>
      </c>
      <c r="U96" s="21">
        <v>5.8000000000000003E-2</v>
      </c>
      <c r="V96" s="21">
        <v>5.8000000000000003E-2</v>
      </c>
      <c r="W96" s="21">
        <v>5.8000000000000003E-2</v>
      </c>
      <c r="X96" s="21">
        <v>5.8000000000000003E-2</v>
      </c>
      <c r="Y96" t="s">
        <v>471</v>
      </c>
      <c r="Z96" t="s">
        <v>382</v>
      </c>
    </row>
    <row r="97" spans="2:26" ht="16.5">
      <c r="B97" s="19">
        <v>80</v>
      </c>
      <c r="C97" s="19" t="str">
        <f>Refsz_Verbräuche[[#This Row],[Datenpunkt]]</f>
        <v>Studierendenreisen (Incoming) - Privater PKW (alle Antriebsarten)</v>
      </c>
      <c r="D97" t="s">
        <v>418</v>
      </c>
      <c r="E97" s="22">
        <v>0.23623978654181144</v>
      </c>
      <c r="F97" s="22">
        <v>0.23623978654181144</v>
      </c>
      <c r="G97" s="22">
        <v>0.23623978654181144</v>
      </c>
      <c r="H97" s="22">
        <v>0.23623978654181144</v>
      </c>
      <c r="I97" s="22">
        <v>0.23422321695168971</v>
      </c>
      <c r="J97" s="22">
        <v>0.22469340606791299</v>
      </c>
      <c r="K97" s="21">
        <v>0.21428223341996916</v>
      </c>
      <c r="L97" s="21">
        <v>0.21264844634438446</v>
      </c>
      <c r="M97" s="21">
        <v>0.21264844634438446</v>
      </c>
      <c r="N97" s="21">
        <v>0.21264844634438446</v>
      </c>
      <c r="O97" s="21">
        <v>0.21264844634438446</v>
      </c>
      <c r="P97" s="21">
        <v>0.21264844634438446</v>
      </c>
      <c r="Q97" s="21">
        <v>0.21264844634438446</v>
      </c>
      <c r="R97" s="21">
        <v>0.21264844634438446</v>
      </c>
      <c r="S97" s="21">
        <v>0.21264844634438446</v>
      </c>
      <c r="T97" s="21">
        <v>0.1862936273223203</v>
      </c>
      <c r="U97" s="21">
        <v>0.1862936273223203</v>
      </c>
      <c r="V97" s="21">
        <v>0.1862936273223203</v>
      </c>
      <c r="W97" s="21">
        <v>0.1862936273223203</v>
      </c>
      <c r="X97" s="21">
        <v>9.2224143716755514E-3</v>
      </c>
      <c r="Y97" s="11" t="s">
        <v>472</v>
      </c>
    </row>
    <row r="98" spans="2:26">
      <c r="B98" s="19">
        <v>81</v>
      </c>
      <c r="C98" s="19">
        <f>Refsz_Verbräuche[[#This Row],[Datenpunkt]]</f>
        <v>0</v>
      </c>
      <c r="D98" s="9"/>
      <c r="E98" s="21"/>
      <c r="F98" s="21"/>
      <c r="G98" s="21"/>
      <c r="H98" s="21"/>
      <c r="I98" s="21"/>
      <c r="J98" s="21"/>
      <c r="K98" s="21"/>
      <c r="L98" s="21"/>
      <c r="M98" s="21"/>
      <c r="N98" s="21"/>
      <c r="O98" s="21"/>
      <c r="P98" s="21"/>
      <c r="Q98" s="21"/>
      <c r="R98" s="21"/>
      <c r="S98" s="21"/>
      <c r="T98" s="21"/>
      <c r="U98" s="21"/>
      <c r="V98" s="21"/>
      <c r="W98" s="21"/>
      <c r="X98" s="21"/>
      <c r="Y98" s="11"/>
      <c r="Z98" s="11"/>
    </row>
    <row r="99" spans="2:26" ht="16.5">
      <c r="B99" s="19">
        <v>82</v>
      </c>
      <c r="C99" s="19" t="str">
        <f>Refsz_Verbräuche[[#This Row],[Datenpunkt]]</f>
        <v>An- und Abreise von Gästen - Flugreisen</v>
      </c>
      <c r="D99" t="s">
        <v>151</v>
      </c>
      <c r="E99" s="21">
        <v>0.214</v>
      </c>
      <c r="F99" s="21">
        <v>0.214</v>
      </c>
      <c r="G99" s="21">
        <v>0.20100000000000001</v>
      </c>
      <c r="H99" s="21">
        <v>0.23</v>
      </c>
      <c r="I99" s="21">
        <v>0.214</v>
      </c>
      <c r="J99" s="21">
        <v>0.28399999999999997</v>
      </c>
      <c r="K99" s="21">
        <v>0.28399999999999997</v>
      </c>
      <c r="L99" s="21">
        <v>0.23799999999999999</v>
      </c>
      <c r="M99" s="21">
        <v>0.23799999999999999</v>
      </c>
      <c r="N99" s="21">
        <v>0.23799999999999999</v>
      </c>
      <c r="O99" s="21">
        <v>0.23799999999999999</v>
      </c>
      <c r="P99" s="21">
        <v>0.23799999999999999</v>
      </c>
      <c r="Q99" s="21">
        <v>0.23799999999999999</v>
      </c>
      <c r="R99" s="21">
        <v>0.23799999999999999</v>
      </c>
      <c r="S99" s="21">
        <v>0.23799999999999999</v>
      </c>
      <c r="T99" s="21">
        <v>0.23799999999999999</v>
      </c>
      <c r="U99" s="21">
        <v>0.23799999999999999</v>
      </c>
      <c r="V99" s="21">
        <v>0.23799999999999999</v>
      </c>
      <c r="W99" s="21">
        <v>0.23799999999999999</v>
      </c>
      <c r="X99" s="21">
        <v>0.23799999999999999</v>
      </c>
      <c r="Y99" t="s">
        <v>471</v>
      </c>
      <c r="Z99" t="s">
        <v>453</v>
      </c>
    </row>
    <row r="100" spans="2:26" ht="16.5">
      <c r="B100" s="19">
        <v>83</v>
      </c>
      <c r="C100" s="19" t="str">
        <f>Refsz_Verbräuche[[#This Row],[Datenpunkt]]</f>
        <v>An- und Abreise von Gästen - Eisenbahn (Nahverkehr)</v>
      </c>
      <c r="D100" t="s">
        <v>151</v>
      </c>
      <c r="E100" s="22">
        <v>6.3E-2</v>
      </c>
      <c r="F100" s="22">
        <v>6.3E-2</v>
      </c>
      <c r="G100" s="22">
        <v>0.06</v>
      </c>
      <c r="H100" s="22">
        <v>5.7000000000000002E-2</v>
      </c>
      <c r="I100" s="22">
        <v>5.3999999999999999E-2</v>
      </c>
      <c r="J100" s="22">
        <v>8.4000000000000005E-2</v>
      </c>
      <c r="K100" s="22">
        <v>8.4000000000000005E-2</v>
      </c>
      <c r="L100" s="21">
        <v>5.8000000000000003E-2</v>
      </c>
      <c r="M100" s="21">
        <v>5.8000000000000003E-2</v>
      </c>
      <c r="N100" s="21">
        <v>5.8000000000000003E-2</v>
      </c>
      <c r="O100" s="21">
        <v>5.8000000000000003E-2</v>
      </c>
      <c r="P100" s="21">
        <v>5.8000000000000003E-2</v>
      </c>
      <c r="Q100" s="21">
        <v>5.8000000000000003E-2</v>
      </c>
      <c r="R100" s="21">
        <v>5.8000000000000003E-2</v>
      </c>
      <c r="S100" s="21">
        <v>5.8000000000000003E-2</v>
      </c>
      <c r="T100" s="21">
        <v>5.8000000000000003E-2</v>
      </c>
      <c r="U100" s="21">
        <v>5.8000000000000003E-2</v>
      </c>
      <c r="V100" s="21">
        <v>5.8000000000000003E-2</v>
      </c>
      <c r="W100" s="21">
        <v>5.8000000000000003E-2</v>
      </c>
      <c r="X100" s="21">
        <v>5.8000000000000003E-2</v>
      </c>
      <c r="Y100" t="s">
        <v>471</v>
      </c>
      <c r="Z100" t="s">
        <v>382</v>
      </c>
    </row>
    <row r="101" spans="2:26" ht="16.5">
      <c r="B101" s="19">
        <v>84</v>
      </c>
      <c r="C101" s="19" t="str">
        <f>Refsz_Verbräuche[[#This Row],[Datenpunkt]]</f>
        <v>An- und Abreise von Gästen - Privater PKW (alle Antriebsarten)</v>
      </c>
      <c r="D101" t="s">
        <v>418</v>
      </c>
      <c r="E101" s="22">
        <v>0.23623978654181144</v>
      </c>
      <c r="F101" s="22">
        <v>0.23623978654181144</v>
      </c>
      <c r="G101" s="22">
        <v>0.23623978654181144</v>
      </c>
      <c r="H101" s="22">
        <v>0.23623978654181144</v>
      </c>
      <c r="I101" s="22">
        <v>0.23422321695168971</v>
      </c>
      <c r="J101" s="22">
        <v>0.22469340606791299</v>
      </c>
      <c r="K101" s="21">
        <v>0.21428223341996916</v>
      </c>
      <c r="L101" s="21">
        <v>0.21264844634438446</v>
      </c>
      <c r="M101" s="21">
        <v>0.21264844634438446</v>
      </c>
      <c r="N101" s="21">
        <v>0.21264844634438446</v>
      </c>
      <c r="O101" s="21">
        <v>0.21264844634438446</v>
      </c>
      <c r="P101" s="21">
        <v>0.21264844634438446</v>
      </c>
      <c r="Q101" s="21">
        <v>0.21264844634438446</v>
      </c>
      <c r="R101" s="21">
        <v>0.21264844634438446</v>
      </c>
      <c r="S101" s="21">
        <v>0.21264844634438446</v>
      </c>
      <c r="T101" s="21">
        <v>0.1862936273223203</v>
      </c>
      <c r="U101" s="21">
        <v>0.1862936273223203</v>
      </c>
      <c r="V101" s="21">
        <v>0.1862936273223203</v>
      </c>
      <c r="W101" s="21">
        <v>0.1862936273223203</v>
      </c>
      <c r="X101" s="21">
        <v>9.2224143716755514E-3</v>
      </c>
      <c r="Y101" s="11" t="s">
        <v>472</v>
      </c>
    </row>
    <row r="102" spans="2:26">
      <c r="B102" s="19">
        <v>85</v>
      </c>
      <c r="C102" s="19">
        <f>Refsz_Verbräuche[[#This Row],[Datenpunkt]]</f>
        <v>0</v>
      </c>
      <c r="D102" s="9"/>
      <c r="E102" s="21"/>
      <c r="F102" s="21"/>
      <c r="G102" s="21"/>
      <c r="H102" s="21"/>
      <c r="I102" s="21"/>
      <c r="J102" s="21"/>
      <c r="K102" s="21"/>
      <c r="L102" s="21"/>
      <c r="M102" s="21"/>
      <c r="N102" s="21"/>
      <c r="O102" s="21"/>
      <c r="P102" s="21"/>
      <c r="Q102" s="21"/>
      <c r="R102" s="21"/>
      <c r="S102" s="21"/>
      <c r="T102" s="21"/>
      <c r="U102" s="21"/>
      <c r="V102" s="21"/>
      <c r="W102" s="21"/>
      <c r="X102" s="21"/>
      <c r="Y102" s="11"/>
      <c r="Z102" s="11"/>
    </row>
    <row r="103" spans="2:26" ht="16.5">
      <c r="B103" s="19">
        <v>86</v>
      </c>
      <c r="C103" s="19" t="str">
        <f>Refsz_Verbräuche[[#This Row],[Datenpunkt]]</f>
        <v>Abwasser</v>
      </c>
      <c r="D103" t="s">
        <v>152</v>
      </c>
      <c r="E103" s="21">
        <v>2.7399999999999999E-4</v>
      </c>
      <c r="F103" s="21">
        <v>2.7399999999999999E-4</v>
      </c>
      <c r="G103" s="21">
        <v>2.7399999999999999E-4</v>
      </c>
      <c r="H103" s="21">
        <v>2.7399999999999999E-4</v>
      </c>
      <c r="I103" s="21">
        <v>2.7399999999999999E-4</v>
      </c>
      <c r="J103" s="21">
        <v>2.7399999999999999E-4</v>
      </c>
      <c r="K103" s="21">
        <v>2.7399999999999999E-4</v>
      </c>
      <c r="L103" s="21">
        <v>2.7399999999999999E-4</v>
      </c>
      <c r="M103" s="21">
        <v>2.7399999999999999E-4</v>
      </c>
      <c r="N103" s="21">
        <v>2.7399999999999999E-4</v>
      </c>
      <c r="O103" s="21">
        <v>2.7399999999999999E-4</v>
      </c>
      <c r="P103" s="21">
        <v>2.7399999999999999E-4</v>
      </c>
      <c r="Q103" s="21">
        <v>2.7399999999999999E-4</v>
      </c>
      <c r="R103" s="21">
        <v>2.7399999999999999E-4</v>
      </c>
      <c r="S103" s="21">
        <v>2.7399999999999999E-4</v>
      </c>
      <c r="T103" s="21">
        <v>2.7399999999999999E-4</v>
      </c>
      <c r="U103" s="21">
        <v>2.7399999999999999E-4</v>
      </c>
      <c r="V103" s="21">
        <v>2.7399999999999999E-4</v>
      </c>
      <c r="W103" s="21">
        <v>2.7399999999999999E-4</v>
      </c>
      <c r="X103" s="21">
        <v>2.7399999999999999E-4</v>
      </c>
      <c r="Y103" s="11" t="s">
        <v>465</v>
      </c>
      <c r="Z103" s="11" t="s">
        <v>33</v>
      </c>
    </row>
    <row r="104" spans="2:26" ht="16.5">
      <c r="B104" s="19">
        <v>87</v>
      </c>
      <c r="C104" s="19" t="str">
        <f>Refsz_Verbräuche[[#This Row],[Datenpunkt]]</f>
        <v>Trinkwasser</v>
      </c>
      <c r="D104" t="s">
        <v>152</v>
      </c>
      <c r="E104" s="21">
        <v>4.0200000000000001E-4</v>
      </c>
      <c r="F104" s="21">
        <v>4.0200000000000001E-4</v>
      </c>
      <c r="G104" s="21">
        <v>4.0200000000000001E-4</v>
      </c>
      <c r="H104" s="21">
        <v>4.0200000000000001E-4</v>
      </c>
      <c r="I104" s="21">
        <v>4.0200000000000001E-4</v>
      </c>
      <c r="J104" s="21">
        <v>4.0200000000000001E-4</v>
      </c>
      <c r="K104" s="21">
        <v>4.0200000000000001E-4</v>
      </c>
      <c r="L104" s="21">
        <v>4.0200000000000001E-4</v>
      </c>
      <c r="M104" s="21">
        <v>4.0200000000000001E-4</v>
      </c>
      <c r="N104" s="21">
        <v>4.0200000000000001E-4</v>
      </c>
      <c r="O104" s="21">
        <v>4.0200000000000001E-4</v>
      </c>
      <c r="P104" s="21">
        <v>4.0200000000000001E-4</v>
      </c>
      <c r="Q104" s="21">
        <v>4.0200000000000001E-4</v>
      </c>
      <c r="R104" s="21">
        <v>4.0200000000000001E-4</v>
      </c>
      <c r="S104" s="21">
        <v>4.0200000000000001E-4</v>
      </c>
      <c r="T104" s="21">
        <v>4.0200000000000001E-4</v>
      </c>
      <c r="U104" s="21">
        <v>4.0200000000000001E-4</v>
      </c>
      <c r="V104" s="21">
        <v>4.0200000000000001E-4</v>
      </c>
      <c r="W104" s="21">
        <v>4.0200000000000001E-4</v>
      </c>
      <c r="X104" s="21">
        <v>4.0200000000000001E-4</v>
      </c>
      <c r="Y104" s="11" t="s">
        <v>466</v>
      </c>
      <c r="Z104" s="11" t="s">
        <v>33</v>
      </c>
    </row>
    <row r="105" spans="2:26">
      <c r="B105" s="19">
        <v>88</v>
      </c>
      <c r="C105" s="19">
        <f>Refsz_Verbräuche[[#This Row],[Datenpunkt]]</f>
        <v>0</v>
      </c>
      <c r="D105" s="9"/>
      <c r="E105" s="21"/>
      <c r="F105" s="21"/>
      <c r="G105" s="21"/>
      <c r="H105" s="21"/>
      <c r="I105" s="21"/>
      <c r="J105" s="21"/>
      <c r="K105" s="21"/>
      <c r="L105" s="21"/>
      <c r="M105" s="21"/>
      <c r="N105" s="21"/>
      <c r="O105" s="21"/>
      <c r="P105" s="21"/>
      <c r="Q105" s="21"/>
      <c r="R105" s="21"/>
      <c r="S105" s="21"/>
      <c r="T105" s="21"/>
      <c r="U105" s="21"/>
      <c r="V105" s="21"/>
      <c r="W105" s="21"/>
      <c r="X105" s="21"/>
      <c r="Y105" s="11"/>
      <c r="Z105" s="11"/>
    </row>
    <row r="106" spans="2:26" ht="16.5">
      <c r="B106" s="19">
        <v>89</v>
      </c>
      <c r="C106" s="19" t="str">
        <f>Refsz_Verbräuche[[#This Row],[Datenpunkt]]</f>
        <v>Recyclingpapier</v>
      </c>
      <c r="D106" t="s">
        <v>150</v>
      </c>
      <c r="E106" s="21">
        <v>0.82199999999999995</v>
      </c>
      <c r="F106" s="21">
        <v>0.82199999999999995</v>
      </c>
      <c r="G106" s="21">
        <v>0.82199999999999995</v>
      </c>
      <c r="H106" s="21">
        <v>0.82199999999999995</v>
      </c>
      <c r="I106" s="21">
        <v>0.82199999999999995</v>
      </c>
      <c r="J106" s="21">
        <v>0.82199999999999995</v>
      </c>
      <c r="K106" s="21">
        <v>0.82199999999999995</v>
      </c>
      <c r="L106" s="21">
        <v>0.82199999999999995</v>
      </c>
      <c r="M106" s="21">
        <v>0.82199999999999995</v>
      </c>
      <c r="N106" s="21">
        <v>0.82199999999999995</v>
      </c>
      <c r="O106" s="21">
        <v>0.82199999999999995</v>
      </c>
      <c r="P106" s="21">
        <v>0.82199999999999995</v>
      </c>
      <c r="Q106" s="21">
        <v>0.82199999999999995</v>
      </c>
      <c r="R106" s="21">
        <v>0.82199999999999995</v>
      </c>
      <c r="S106" s="21">
        <v>0.82199999999999995</v>
      </c>
      <c r="T106" s="21">
        <v>0.82199999999999995</v>
      </c>
      <c r="U106" s="21">
        <v>0.82199999999999995</v>
      </c>
      <c r="V106" s="21">
        <v>0.82199999999999995</v>
      </c>
      <c r="W106" s="21">
        <v>0.82199999999999995</v>
      </c>
      <c r="X106" s="21">
        <v>0.82199999999999995</v>
      </c>
      <c r="Y106" s="11" t="s">
        <v>468</v>
      </c>
      <c r="Z106" s="11" t="s">
        <v>467</v>
      </c>
    </row>
    <row r="107" spans="2:26" ht="16.5">
      <c r="B107" s="19">
        <v>90</v>
      </c>
      <c r="C107" s="19" t="str">
        <f>Refsz_Verbräuche[[#This Row],[Datenpunkt]]</f>
        <v>Frischfaserpapier</v>
      </c>
      <c r="D107" t="s">
        <v>150</v>
      </c>
      <c r="E107" s="21">
        <f>(1193+751)/2/1000</f>
        <v>0.97199999999999998</v>
      </c>
      <c r="F107" s="21">
        <f t="shared" ref="F107:X107" si="12">(1193+751)/2/1000</f>
        <v>0.97199999999999998</v>
      </c>
      <c r="G107" s="21">
        <f t="shared" si="12"/>
        <v>0.97199999999999998</v>
      </c>
      <c r="H107" s="21">
        <f t="shared" si="12"/>
        <v>0.97199999999999998</v>
      </c>
      <c r="I107" s="21">
        <f t="shared" si="12"/>
        <v>0.97199999999999998</v>
      </c>
      <c r="J107" s="21">
        <f t="shared" si="12"/>
        <v>0.97199999999999998</v>
      </c>
      <c r="K107" s="21">
        <f t="shared" si="12"/>
        <v>0.97199999999999998</v>
      </c>
      <c r="L107" s="21">
        <f t="shared" si="12"/>
        <v>0.97199999999999998</v>
      </c>
      <c r="M107" s="21">
        <f t="shared" si="12"/>
        <v>0.97199999999999998</v>
      </c>
      <c r="N107" s="21">
        <f t="shared" si="12"/>
        <v>0.97199999999999998</v>
      </c>
      <c r="O107" s="21">
        <f t="shared" si="12"/>
        <v>0.97199999999999998</v>
      </c>
      <c r="P107" s="21">
        <f t="shared" si="12"/>
        <v>0.97199999999999998</v>
      </c>
      <c r="Q107" s="21">
        <f t="shared" si="12"/>
        <v>0.97199999999999998</v>
      </c>
      <c r="R107" s="21">
        <f t="shared" si="12"/>
        <v>0.97199999999999998</v>
      </c>
      <c r="S107" s="21">
        <f t="shared" si="12"/>
        <v>0.97199999999999998</v>
      </c>
      <c r="T107" s="21">
        <f t="shared" si="12"/>
        <v>0.97199999999999998</v>
      </c>
      <c r="U107" s="21">
        <f t="shared" si="12"/>
        <v>0.97199999999999998</v>
      </c>
      <c r="V107" s="21">
        <f t="shared" si="12"/>
        <v>0.97199999999999998</v>
      </c>
      <c r="W107" s="21">
        <f t="shared" si="12"/>
        <v>0.97199999999999998</v>
      </c>
      <c r="X107" s="21">
        <f t="shared" si="12"/>
        <v>0.97199999999999998</v>
      </c>
      <c r="Y107" s="11" t="s">
        <v>468</v>
      </c>
      <c r="Z107" s="11" t="s">
        <v>469</v>
      </c>
    </row>
    <row r="108" spans="2:26" ht="16.5">
      <c r="B108" s="19">
        <v>91</v>
      </c>
      <c r="C108" s="19" t="str">
        <f>Refsz_Verbräuche[[#This Row],[Datenpunkt]]</f>
        <v>Toilettenpapier (Recycling)</v>
      </c>
      <c r="D108" t="s">
        <v>153</v>
      </c>
      <c r="E108" s="21">
        <v>1193</v>
      </c>
      <c r="F108" s="21">
        <v>1193</v>
      </c>
      <c r="G108" s="21">
        <v>1193</v>
      </c>
      <c r="H108" s="21">
        <v>1193</v>
      </c>
      <c r="I108" s="21">
        <v>1193</v>
      </c>
      <c r="J108" s="21">
        <v>1193</v>
      </c>
      <c r="K108" s="21">
        <v>1193</v>
      </c>
      <c r="L108" s="21">
        <v>1193</v>
      </c>
      <c r="M108" s="21">
        <v>1193</v>
      </c>
      <c r="N108" s="21">
        <v>1193</v>
      </c>
      <c r="O108" s="21">
        <v>1193</v>
      </c>
      <c r="P108" s="21">
        <v>1193</v>
      </c>
      <c r="Q108" s="21">
        <v>1193</v>
      </c>
      <c r="R108" s="21">
        <v>1193</v>
      </c>
      <c r="S108" s="21">
        <v>1193</v>
      </c>
      <c r="T108" s="21">
        <v>1193</v>
      </c>
      <c r="U108" s="21">
        <v>1193</v>
      </c>
      <c r="V108" s="21">
        <v>1193</v>
      </c>
      <c r="W108" s="21">
        <v>1193</v>
      </c>
      <c r="X108" s="21">
        <v>1193</v>
      </c>
      <c r="Y108" s="11" t="s">
        <v>470</v>
      </c>
      <c r="Z108" s="11" t="s">
        <v>467</v>
      </c>
    </row>
    <row r="109" spans="2:26" ht="16.5">
      <c r="B109" s="19">
        <v>92</v>
      </c>
      <c r="C109" s="19" t="str">
        <f>Refsz_Verbräuche[[#This Row],[Datenpunkt]]</f>
        <v>Papierhandtücher (Recycling)</v>
      </c>
      <c r="D109" t="s">
        <v>153</v>
      </c>
      <c r="E109" s="21">
        <v>1193</v>
      </c>
      <c r="F109" s="21">
        <v>1193</v>
      </c>
      <c r="G109" s="21">
        <v>1193</v>
      </c>
      <c r="H109" s="21">
        <v>1193</v>
      </c>
      <c r="I109" s="21">
        <v>1193</v>
      </c>
      <c r="J109" s="21">
        <v>1193</v>
      </c>
      <c r="K109" s="21">
        <v>1193</v>
      </c>
      <c r="L109" s="21">
        <v>1193</v>
      </c>
      <c r="M109" s="21">
        <v>1193</v>
      </c>
      <c r="N109" s="21">
        <v>1193</v>
      </c>
      <c r="O109" s="21">
        <v>1193</v>
      </c>
      <c r="P109" s="21">
        <v>1193</v>
      </c>
      <c r="Q109" s="21">
        <v>1193</v>
      </c>
      <c r="R109" s="21">
        <v>1193</v>
      </c>
      <c r="S109" s="21">
        <v>1193</v>
      </c>
      <c r="T109" s="21">
        <v>1193</v>
      </c>
      <c r="U109" s="21">
        <v>1193</v>
      </c>
      <c r="V109" s="21">
        <v>1193</v>
      </c>
      <c r="W109" s="21">
        <v>1193</v>
      </c>
      <c r="X109" s="21">
        <v>1193</v>
      </c>
      <c r="Y109" s="11" t="s">
        <v>470</v>
      </c>
      <c r="Z109" s="11" t="s">
        <v>467</v>
      </c>
    </row>
    <row r="110" spans="2:26">
      <c r="B110" s="19">
        <v>93</v>
      </c>
      <c r="C110" s="19">
        <f>Refsz_Verbräuche[[#This Row],[Datenpunkt]]</f>
        <v>0</v>
      </c>
      <c r="D110" s="9"/>
      <c r="E110" s="21"/>
      <c r="F110" s="21"/>
      <c r="G110" s="21"/>
      <c r="H110" s="21"/>
      <c r="I110" s="21"/>
      <c r="J110" s="21"/>
      <c r="K110" s="21"/>
      <c r="L110" s="21"/>
      <c r="M110" s="21"/>
      <c r="N110" s="21"/>
      <c r="O110" s="21"/>
      <c r="P110" s="21"/>
      <c r="Q110" s="21"/>
      <c r="R110" s="21"/>
      <c r="S110" s="21"/>
      <c r="T110" s="21"/>
      <c r="U110" s="21"/>
      <c r="V110" s="21"/>
      <c r="W110" s="21"/>
      <c r="X110" s="21"/>
      <c r="Y110" s="11"/>
    </row>
    <row r="111" spans="2:26" ht="16.5">
      <c r="B111" s="19">
        <v>94</v>
      </c>
      <c r="C111" s="19" t="str">
        <f>Refsz_Verbräuche[[#This Row],[Datenpunkt]]</f>
        <v>Outgesourcte Leistungen des Rechenzentrums</v>
      </c>
      <c r="D111" t="s">
        <v>158</v>
      </c>
      <c r="E111" s="21">
        <f t="shared" ref="E111:X111" si="13">E18*30/1000</f>
        <v>16.26201</v>
      </c>
      <c r="F111" s="21">
        <f t="shared" si="13"/>
        <v>16.461239999999997</v>
      </c>
      <c r="G111" s="21">
        <f t="shared" si="13"/>
        <v>15.123239999999999</v>
      </c>
      <c r="H111" s="21">
        <f t="shared" si="13"/>
        <v>14.64339</v>
      </c>
      <c r="I111" s="21">
        <f t="shared" si="13"/>
        <v>12.324299999999999</v>
      </c>
      <c r="J111" s="21">
        <f t="shared" si="13"/>
        <v>15.14649</v>
      </c>
      <c r="K111" s="21">
        <f t="shared" si="13"/>
        <v>11.876910000000001</v>
      </c>
      <c r="L111" s="21">
        <f t="shared" si="13"/>
        <v>11.876910000000001</v>
      </c>
      <c r="M111" s="21">
        <f t="shared" si="13"/>
        <v>11.876910000000001</v>
      </c>
      <c r="N111" s="21">
        <f t="shared" si="13"/>
        <v>11.876910000000001</v>
      </c>
      <c r="O111" s="21">
        <f t="shared" si="13"/>
        <v>11.876910000000001</v>
      </c>
      <c r="P111" s="21">
        <f t="shared" si="13"/>
        <v>11.876910000000001</v>
      </c>
      <c r="Q111" s="21">
        <f>Q18*30/1000</f>
        <v>11.876910000000001</v>
      </c>
      <c r="R111" s="21">
        <f>R18*30/1000</f>
        <v>11.876910000000001</v>
      </c>
      <c r="S111" s="21">
        <f>S18*30/1000</f>
        <v>11.876910000000001</v>
      </c>
      <c r="T111" s="21">
        <f t="shared" si="13"/>
        <v>11.11842</v>
      </c>
      <c r="U111" s="21">
        <f t="shared" si="13"/>
        <v>11.11842</v>
      </c>
      <c r="V111" s="21">
        <f t="shared" si="13"/>
        <v>11.11842</v>
      </c>
      <c r="W111" s="21">
        <f t="shared" si="13"/>
        <v>11.11842</v>
      </c>
      <c r="X111" s="21">
        <f t="shared" si="13"/>
        <v>11.11842</v>
      </c>
      <c r="Y111" s="11" t="s">
        <v>488</v>
      </c>
      <c r="Z111" s="11" t="s">
        <v>157</v>
      </c>
    </row>
    <row r="112" spans="2:26" ht="16.5">
      <c r="B112" s="19">
        <v>95</v>
      </c>
      <c r="C112" s="19" t="str">
        <f>Refsz_Verbräuche[[#This Row],[Datenpunkt]]</f>
        <v>Beamer</v>
      </c>
      <c r="D112" t="s">
        <v>154</v>
      </c>
      <c r="E112" s="21">
        <v>88</v>
      </c>
      <c r="F112" s="21">
        <f>Emissionsfaktoren[[#This Row],[2015]]</f>
        <v>88</v>
      </c>
      <c r="G112" s="21">
        <f>Emissionsfaktoren[[#This Row],[2016]]</f>
        <v>88</v>
      </c>
      <c r="H112" s="21">
        <f>Emissionsfaktoren[[#This Row],[2017]]</f>
        <v>88</v>
      </c>
      <c r="I112" s="21">
        <f>Emissionsfaktoren[[#This Row],[2018]]</f>
        <v>88</v>
      </c>
      <c r="J112" s="21">
        <f>Emissionsfaktoren[[#This Row],[2019]]</f>
        <v>88</v>
      </c>
      <c r="K112" s="21">
        <f>Emissionsfaktoren[[#This Row],[2020]]</f>
        <v>88</v>
      </c>
      <c r="L112" s="21">
        <f>Emissionsfaktoren[[#This Row],[2021]]</f>
        <v>88</v>
      </c>
      <c r="M112" s="21">
        <f>Emissionsfaktoren[[#This Row],[2022]]</f>
        <v>88</v>
      </c>
      <c r="N112" s="21">
        <f>Emissionsfaktoren[[#This Row],[2023]]</f>
        <v>88</v>
      </c>
      <c r="O112" s="21">
        <f>Emissionsfaktoren[[#This Row],[2024]]</f>
        <v>88</v>
      </c>
      <c r="P112" s="21">
        <f>Emissionsfaktoren[[#This Row],[2025]]</f>
        <v>88</v>
      </c>
      <c r="Q112" s="21">
        <f>Emissionsfaktoren[[#This Row],[2025]]</f>
        <v>88</v>
      </c>
      <c r="R112" s="21">
        <f>Emissionsfaktoren[[#This Row],[2025]]</f>
        <v>88</v>
      </c>
      <c r="S112" s="21">
        <f>Emissionsfaktoren[[#This Row],[2025]]</f>
        <v>88</v>
      </c>
      <c r="T112" s="21">
        <f>Emissionsfaktoren[[#This Row],[2026]]</f>
        <v>88</v>
      </c>
      <c r="U112" s="21">
        <f>Emissionsfaktoren[[#This Row],[2030]]</f>
        <v>88</v>
      </c>
      <c r="V112" s="21">
        <f>Emissionsfaktoren[[#This Row],[2035]]</f>
        <v>88</v>
      </c>
      <c r="W112" s="21">
        <f>Emissionsfaktoren[[#This Row],[2040]]</f>
        <v>88</v>
      </c>
      <c r="X112" s="21">
        <f>Emissionsfaktoren[[#This Row],[2045]]</f>
        <v>88</v>
      </c>
      <c r="Y112" s="11" t="s">
        <v>488</v>
      </c>
      <c r="Z112" s="11" t="s">
        <v>483</v>
      </c>
    </row>
    <row r="113" spans="2:26" ht="16.5">
      <c r="B113" s="19">
        <v>96</v>
      </c>
      <c r="C113" s="19" t="str">
        <f>Refsz_Verbräuche[[#This Row],[Datenpunkt]]</f>
        <v>Notebook/Laptop</v>
      </c>
      <c r="D113" t="s">
        <v>154</v>
      </c>
      <c r="E113" s="21">
        <v>311</v>
      </c>
      <c r="F113" s="21">
        <f>Emissionsfaktoren[[#This Row],[2015]]</f>
        <v>311</v>
      </c>
      <c r="G113" s="21">
        <f>Emissionsfaktoren[[#This Row],[2016]]</f>
        <v>311</v>
      </c>
      <c r="H113" s="21">
        <f>Emissionsfaktoren[[#This Row],[2017]]</f>
        <v>311</v>
      </c>
      <c r="I113" s="21">
        <f>Emissionsfaktoren[[#This Row],[2018]]</f>
        <v>311</v>
      </c>
      <c r="J113" s="21">
        <f>Emissionsfaktoren[[#This Row],[2019]]</f>
        <v>311</v>
      </c>
      <c r="K113" s="21">
        <f>Emissionsfaktoren[[#This Row],[2020]]</f>
        <v>311</v>
      </c>
      <c r="L113" s="21">
        <f>Emissionsfaktoren[[#This Row],[2021]]</f>
        <v>311</v>
      </c>
      <c r="M113" s="21">
        <f>Emissionsfaktoren[[#This Row],[2022]]</f>
        <v>311</v>
      </c>
      <c r="N113" s="21">
        <f>Emissionsfaktoren[[#This Row],[2023]]</f>
        <v>311</v>
      </c>
      <c r="O113" s="21">
        <f>Emissionsfaktoren[[#This Row],[2024]]</f>
        <v>311</v>
      </c>
      <c r="P113" s="21">
        <f>Emissionsfaktoren[[#This Row],[2025]]</f>
        <v>311</v>
      </c>
      <c r="Q113" s="21">
        <f>Emissionsfaktoren[[#This Row],[2025]]</f>
        <v>311</v>
      </c>
      <c r="R113" s="21">
        <f>Emissionsfaktoren[[#This Row],[2025]]</f>
        <v>311</v>
      </c>
      <c r="S113" s="21">
        <f>Emissionsfaktoren[[#This Row],[2025]]</f>
        <v>311</v>
      </c>
      <c r="T113" s="21">
        <f>Emissionsfaktoren[[#This Row],[2026]]</f>
        <v>311</v>
      </c>
      <c r="U113" s="21">
        <f>Emissionsfaktoren[[#This Row],[2030]]</f>
        <v>311</v>
      </c>
      <c r="V113" s="21">
        <f>Emissionsfaktoren[[#This Row],[2035]]</f>
        <v>311</v>
      </c>
      <c r="W113" s="21">
        <f>Emissionsfaktoren[[#This Row],[2040]]</f>
        <v>311</v>
      </c>
      <c r="X113" s="21">
        <f>Emissionsfaktoren[[#This Row],[2045]]</f>
        <v>311</v>
      </c>
      <c r="Y113" s="11" t="s">
        <v>488</v>
      </c>
      <c r="Z113" s="11" t="s">
        <v>484</v>
      </c>
    </row>
    <row r="114" spans="2:26" ht="16.5">
      <c r="B114" s="19">
        <v>97</v>
      </c>
      <c r="C114" s="19" t="str">
        <f>Refsz_Verbräuche[[#This Row],[Datenpunkt]]</f>
        <v>Desktop-PC mit Monitor</v>
      </c>
      <c r="D114" t="s">
        <v>154</v>
      </c>
      <c r="E114" s="21">
        <v>435</v>
      </c>
      <c r="F114" s="21">
        <f>Emissionsfaktoren[[#This Row],[2015]]</f>
        <v>435</v>
      </c>
      <c r="G114" s="21">
        <f>Emissionsfaktoren[[#This Row],[2016]]</f>
        <v>435</v>
      </c>
      <c r="H114" s="21">
        <f>Emissionsfaktoren[[#This Row],[2017]]</f>
        <v>435</v>
      </c>
      <c r="I114" s="21">
        <f>Emissionsfaktoren[[#This Row],[2018]]</f>
        <v>435</v>
      </c>
      <c r="J114" s="21">
        <f>Emissionsfaktoren[[#This Row],[2019]]</f>
        <v>435</v>
      </c>
      <c r="K114" s="21">
        <f>Emissionsfaktoren[[#This Row],[2020]]</f>
        <v>435</v>
      </c>
      <c r="L114" s="21">
        <f>Emissionsfaktoren[[#This Row],[2021]]</f>
        <v>435</v>
      </c>
      <c r="M114" s="21">
        <f>Emissionsfaktoren[[#This Row],[2022]]</f>
        <v>435</v>
      </c>
      <c r="N114" s="21">
        <f>Emissionsfaktoren[[#This Row],[2023]]</f>
        <v>435</v>
      </c>
      <c r="O114" s="21">
        <f>Emissionsfaktoren[[#This Row],[2024]]</f>
        <v>435</v>
      </c>
      <c r="P114" s="21">
        <f>Emissionsfaktoren[[#This Row],[2025]]</f>
        <v>435</v>
      </c>
      <c r="Q114" s="21">
        <f>Emissionsfaktoren[[#This Row],[2025]]</f>
        <v>435</v>
      </c>
      <c r="R114" s="21">
        <f>Emissionsfaktoren[[#This Row],[2025]]</f>
        <v>435</v>
      </c>
      <c r="S114" s="21">
        <f>Emissionsfaktoren[[#This Row],[2025]]</f>
        <v>435</v>
      </c>
      <c r="T114" s="21">
        <f>Emissionsfaktoren[[#This Row],[2026]]</f>
        <v>435</v>
      </c>
      <c r="U114" s="21">
        <f>Emissionsfaktoren[[#This Row],[2030]]</f>
        <v>435</v>
      </c>
      <c r="V114" s="21">
        <f>Emissionsfaktoren[[#This Row],[2035]]</f>
        <v>435</v>
      </c>
      <c r="W114" s="21">
        <f>Emissionsfaktoren[[#This Row],[2040]]</f>
        <v>435</v>
      </c>
      <c r="X114" s="21">
        <f>Emissionsfaktoren[[#This Row],[2045]]</f>
        <v>435</v>
      </c>
      <c r="Y114" s="11" t="s">
        <v>488</v>
      </c>
      <c r="Z114" s="11" t="s">
        <v>485</v>
      </c>
    </row>
    <row r="115" spans="2:26" ht="16.5">
      <c r="B115" s="19">
        <v>98</v>
      </c>
      <c r="C115" s="19" t="str">
        <f>Refsz_Verbräuche[[#This Row],[Datenpunkt]]</f>
        <v>Docking-Station</v>
      </c>
      <c r="D115" t="s">
        <v>154</v>
      </c>
      <c r="E115" s="21">
        <f>(38.03+35.74+40.95)/3</f>
        <v>38.24</v>
      </c>
      <c r="F115" s="21">
        <f>Emissionsfaktoren[[#This Row],[2015]]</f>
        <v>38.24</v>
      </c>
      <c r="G115" s="21">
        <f>Emissionsfaktoren[[#This Row],[2016]]</f>
        <v>38.24</v>
      </c>
      <c r="H115" s="21">
        <f>Emissionsfaktoren[[#This Row],[2017]]</f>
        <v>38.24</v>
      </c>
      <c r="I115" s="21">
        <f>Emissionsfaktoren[[#This Row],[2018]]</f>
        <v>38.24</v>
      </c>
      <c r="J115" s="21">
        <f>Emissionsfaktoren[[#This Row],[2019]]</f>
        <v>38.24</v>
      </c>
      <c r="K115" s="21">
        <f>Emissionsfaktoren[[#This Row],[2020]]</f>
        <v>38.24</v>
      </c>
      <c r="L115" s="21">
        <f>Emissionsfaktoren[[#This Row],[2021]]</f>
        <v>38.24</v>
      </c>
      <c r="M115" s="21">
        <f>Emissionsfaktoren[[#This Row],[2022]]</f>
        <v>38.24</v>
      </c>
      <c r="N115" s="21">
        <f>Emissionsfaktoren[[#This Row],[2023]]</f>
        <v>38.24</v>
      </c>
      <c r="O115" s="21">
        <f>Emissionsfaktoren[[#This Row],[2024]]</f>
        <v>38.24</v>
      </c>
      <c r="P115" s="21">
        <f>Emissionsfaktoren[[#This Row],[2025]]</f>
        <v>38.24</v>
      </c>
      <c r="Q115" s="21">
        <f>Emissionsfaktoren[[#This Row],[2025]]</f>
        <v>38.24</v>
      </c>
      <c r="R115" s="21">
        <f>Emissionsfaktoren[[#This Row],[2025]]</f>
        <v>38.24</v>
      </c>
      <c r="S115" s="21">
        <f>Emissionsfaktoren[[#This Row],[2025]]</f>
        <v>38.24</v>
      </c>
      <c r="T115" s="21">
        <f>Emissionsfaktoren[[#This Row],[2026]]</f>
        <v>38.24</v>
      </c>
      <c r="U115" s="21">
        <f>Emissionsfaktoren[[#This Row],[2030]]</f>
        <v>38.24</v>
      </c>
      <c r="V115" s="21">
        <f>Emissionsfaktoren[[#This Row],[2035]]</f>
        <v>38.24</v>
      </c>
      <c r="W115" s="21">
        <f>Emissionsfaktoren[[#This Row],[2040]]</f>
        <v>38.24</v>
      </c>
      <c r="X115" s="21">
        <f>Emissionsfaktoren[[#This Row],[2045]]</f>
        <v>38.24</v>
      </c>
      <c r="Y115" s="11" t="s">
        <v>176</v>
      </c>
      <c r="Z115" s="11" t="s">
        <v>177</v>
      </c>
    </row>
    <row r="116" spans="2:26" ht="16.5">
      <c r="B116" s="19">
        <v>99</v>
      </c>
      <c r="C116" s="19" t="str">
        <f>Refsz_Verbräuche[[#This Row],[Datenpunkt]]</f>
        <v>Laserdrucker</v>
      </c>
      <c r="D116" t="s">
        <v>154</v>
      </c>
      <c r="E116" s="21">
        <v>59.803955149706148</v>
      </c>
      <c r="F116" s="21">
        <f>Emissionsfaktoren[[#This Row],[2015]]</f>
        <v>59.803955149706148</v>
      </c>
      <c r="G116" s="21">
        <f>Emissionsfaktoren[[#This Row],[2016]]</f>
        <v>59.803955149706148</v>
      </c>
      <c r="H116" s="21">
        <f>Emissionsfaktoren[[#This Row],[2017]]</f>
        <v>59.803955149706148</v>
      </c>
      <c r="I116" s="21">
        <f>Emissionsfaktoren[[#This Row],[2018]]</f>
        <v>59.803955149706148</v>
      </c>
      <c r="J116" s="21">
        <f>Emissionsfaktoren[[#This Row],[2019]]</f>
        <v>59.803955149706148</v>
      </c>
      <c r="K116" s="21">
        <f>Emissionsfaktoren[[#This Row],[2020]]</f>
        <v>59.803955149706148</v>
      </c>
      <c r="L116" s="21">
        <f>Emissionsfaktoren[[#This Row],[2021]]</f>
        <v>59.803955149706148</v>
      </c>
      <c r="M116" s="21">
        <f>Emissionsfaktoren[[#This Row],[2022]]</f>
        <v>59.803955149706148</v>
      </c>
      <c r="N116" s="21">
        <f>Emissionsfaktoren[[#This Row],[2023]]</f>
        <v>59.803955149706148</v>
      </c>
      <c r="O116" s="21">
        <f>Emissionsfaktoren[[#This Row],[2024]]</f>
        <v>59.803955149706148</v>
      </c>
      <c r="P116" s="21">
        <f>Emissionsfaktoren[[#This Row],[2025]]</f>
        <v>59.803955149706148</v>
      </c>
      <c r="Q116" s="21">
        <f>Emissionsfaktoren[[#This Row],[2025]]</f>
        <v>59.803955149706148</v>
      </c>
      <c r="R116" s="21">
        <f>Emissionsfaktoren[[#This Row],[2025]]</f>
        <v>59.803955149706148</v>
      </c>
      <c r="S116" s="21">
        <f>Emissionsfaktoren[[#This Row],[2025]]</f>
        <v>59.803955149706148</v>
      </c>
      <c r="T116" s="21">
        <f>Emissionsfaktoren[[#This Row],[2026]]</f>
        <v>59.803955149706148</v>
      </c>
      <c r="U116" s="21">
        <f>Emissionsfaktoren[[#This Row],[2030]]</f>
        <v>59.803955149706148</v>
      </c>
      <c r="V116" s="21">
        <f>Emissionsfaktoren[[#This Row],[2035]]</f>
        <v>59.803955149706148</v>
      </c>
      <c r="W116" s="21">
        <f>Emissionsfaktoren[[#This Row],[2040]]</f>
        <v>59.803955149706148</v>
      </c>
      <c r="X116" s="21">
        <f>Emissionsfaktoren[[#This Row],[2045]]</f>
        <v>59.803955149706148</v>
      </c>
      <c r="Y116" s="11" t="s">
        <v>185</v>
      </c>
      <c r="Z116" s="11" t="s">
        <v>184</v>
      </c>
    </row>
    <row r="117" spans="2:26" ht="16.5">
      <c r="B117" s="19">
        <v>100</v>
      </c>
      <c r="C117" s="19" t="str">
        <f>Refsz_Verbräuche[[#This Row],[Datenpunkt]]</f>
        <v>Multifunktionsdrucker klein (31 x 44 x 42 cm)</v>
      </c>
      <c r="D117" t="s">
        <v>154</v>
      </c>
      <c r="E117" s="21">
        <f>143</f>
        <v>143</v>
      </c>
      <c r="F117" s="21">
        <f>Emissionsfaktoren[[#This Row],[2015]]</f>
        <v>143</v>
      </c>
      <c r="G117" s="21">
        <f>Emissionsfaktoren[[#This Row],[2016]]</f>
        <v>143</v>
      </c>
      <c r="H117" s="21">
        <f>Emissionsfaktoren[[#This Row],[2017]]</f>
        <v>143</v>
      </c>
      <c r="I117" s="21">
        <f>Emissionsfaktoren[[#This Row],[2018]]</f>
        <v>143</v>
      </c>
      <c r="J117" s="21">
        <f>Emissionsfaktoren[[#This Row],[2019]]</f>
        <v>143</v>
      </c>
      <c r="K117" s="21">
        <f>Emissionsfaktoren[[#This Row],[2020]]</f>
        <v>143</v>
      </c>
      <c r="L117" s="21">
        <f>Emissionsfaktoren[[#This Row],[2021]]</f>
        <v>143</v>
      </c>
      <c r="M117" s="21">
        <f>Emissionsfaktoren[[#This Row],[2022]]</f>
        <v>143</v>
      </c>
      <c r="N117" s="21">
        <f>Emissionsfaktoren[[#This Row],[2023]]</f>
        <v>143</v>
      </c>
      <c r="O117" s="21">
        <f>Emissionsfaktoren[[#This Row],[2024]]</f>
        <v>143</v>
      </c>
      <c r="P117" s="21">
        <f>Emissionsfaktoren[[#This Row],[2025]]</f>
        <v>143</v>
      </c>
      <c r="Q117" s="21">
        <f>Emissionsfaktoren[[#This Row],[2025]]</f>
        <v>143</v>
      </c>
      <c r="R117" s="21">
        <f>Emissionsfaktoren[[#This Row],[2025]]</f>
        <v>143</v>
      </c>
      <c r="S117" s="21">
        <f>Emissionsfaktoren[[#This Row],[2025]]</f>
        <v>143</v>
      </c>
      <c r="T117" s="21">
        <f>Emissionsfaktoren[[#This Row],[2026]]</f>
        <v>143</v>
      </c>
      <c r="U117" s="21">
        <f>Emissionsfaktoren[[#This Row],[2030]]</f>
        <v>143</v>
      </c>
      <c r="V117" s="21">
        <f>Emissionsfaktoren[[#This Row],[2035]]</f>
        <v>143</v>
      </c>
      <c r="W117" s="21">
        <f>Emissionsfaktoren[[#This Row],[2040]]</f>
        <v>143</v>
      </c>
      <c r="X117" s="21">
        <f>Emissionsfaktoren[[#This Row],[2045]]</f>
        <v>143</v>
      </c>
      <c r="Y117" s="11" t="s">
        <v>188</v>
      </c>
      <c r="Z117" s="11" t="s">
        <v>190</v>
      </c>
    </row>
    <row r="118" spans="2:26" ht="16.5">
      <c r="B118" s="19">
        <v>101</v>
      </c>
      <c r="C118" s="19" t="str">
        <f>Refsz_Verbräuche[[#This Row],[Datenpunkt]]</f>
        <v>Multifunktionsdrucker mittel (54 x 56 x 52 cm)</v>
      </c>
      <c r="D118" t="s">
        <v>154</v>
      </c>
      <c r="E118" s="22">
        <f>638</f>
        <v>638</v>
      </c>
      <c r="F118" s="22">
        <f>638</f>
        <v>638</v>
      </c>
      <c r="G118" s="22">
        <f>638</f>
        <v>638</v>
      </c>
      <c r="H118" s="22">
        <f>638</f>
        <v>638</v>
      </c>
      <c r="I118" s="22">
        <f>638</f>
        <v>638</v>
      </c>
      <c r="J118" s="22">
        <f>638</f>
        <v>638</v>
      </c>
      <c r="K118" s="22">
        <f>638</f>
        <v>638</v>
      </c>
      <c r="L118" s="22">
        <f>638</f>
        <v>638</v>
      </c>
      <c r="M118" s="22">
        <f>638</f>
        <v>638</v>
      </c>
      <c r="N118" s="22">
        <f>638</f>
        <v>638</v>
      </c>
      <c r="O118" s="22">
        <f>638</f>
        <v>638</v>
      </c>
      <c r="P118" s="22">
        <f>638</f>
        <v>638</v>
      </c>
      <c r="Q118" s="22">
        <f>638</f>
        <v>638</v>
      </c>
      <c r="R118" s="22">
        <f>638</f>
        <v>638</v>
      </c>
      <c r="S118" s="22">
        <f>638</f>
        <v>638</v>
      </c>
      <c r="T118" s="22">
        <f>638</f>
        <v>638</v>
      </c>
      <c r="U118" s="22">
        <f>638</f>
        <v>638</v>
      </c>
      <c r="V118" s="22">
        <f>638</f>
        <v>638</v>
      </c>
      <c r="W118" s="22">
        <f>638</f>
        <v>638</v>
      </c>
      <c r="X118" s="22">
        <f>638</f>
        <v>638</v>
      </c>
      <c r="Y118" t="s">
        <v>187</v>
      </c>
      <c r="Z118" s="11" t="s">
        <v>189</v>
      </c>
    </row>
    <row r="119" spans="2:26" ht="16.5">
      <c r="B119" s="19">
        <v>102</v>
      </c>
      <c r="C119" s="19" t="str">
        <f>Refsz_Verbräuche[[#This Row],[Datenpunkt]]</f>
        <v>Multifunktionsdrucker groß (114 x 65 x 59 cm)</v>
      </c>
      <c r="D119" t="s">
        <v>154</v>
      </c>
      <c r="E119" s="21">
        <v>760</v>
      </c>
      <c r="F119" s="21">
        <v>760</v>
      </c>
      <c r="G119" s="21">
        <v>760</v>
      </c>
      <c r="H119" s="21">
        <v>760</v>
      </c>
      <c r="I119" s="21">
        <v>760</v>
      </c>
      <c r="J119" s="21">
        <v>760</v>
      </c>
      <c r="K119" s="21">
        <v>760</v>
      </c>
      <c r="L119" s="21">
        <v>760</v>
      </c>
      <c r="M119" s="21">
        <v>760</v>
      </c>
      <c r="N119" s="21">
        <v>760</v>
      </c>
      <c r="O119" s="21">
        <v>760</v>
      </c>
      <c r="P119" s="21">
        <v>760</v>
      </c>
      <c r="Q119" s="21">
        <v>760</v>
      </c>
      <c r="R119" s="21">
        <v>760</v>
      </c>
      <c r="S119" s="21">
        <v>760</v>
      </c>
      <c r="T119" s="21">
        <v>760</v>
      </c>
      <c r="U119" s="21">
        <v>760</v>
      </c>
      <c r="V119" s="21">
        <v>760</v>
      </c>
      <c r="W119" s="21">
        <v>760</v>
      </c>
      <c r="X119" s="21">
        <v>760</v>
      </c>
      <c r="Y119" t="s">
        <v>187</v>
      </c>
      <c r="Z119" s="11" t="s">
        <v>191</v>
      </c>
    </row>
    <row r="120" spans="2:26" ht="16.5">
      <c r="B120" s="19">
        <v>103</v>
      </c>
      <c r="C120" s="19" t="str">
        <f>Refsz_Verbräuche[[#This Row],[Datenpunkt]]</f>
        <v>Toner</v>
      </c>
      <c r="D120" t="s">
        <v>154</v>
      </c>
      <c r="E120" s="21">
        <v>13.60604</v>
      </c>
      <c r="F120" s="21">
        <f>Emissionsfaktoren[[#This Row],[2015]]</f>
        <v>13.60604</v>
      </c>
      <c r="G120" s="21">
        <f>Emissionsfaktoren[[#This Row],[2016]]</f>
        <v>13.60604</v>
      </c>
      <c r="H120" s="21">
        <f>Emissionsfaktoren[[#This Row],[2017]]</f>
        <v>13.60604</v>
      </c>
      <c r="I120" s="21">
        <f>Emissionsfaktoren[[#This Row],[2018]]</f>
        <v>13.60604</v>
      </c>
      <c r="J120" s="21">
        <f>Emissionsfaktoren[[#This Row],[2019]]</f>
        <v>13.60604</v>
      </c>
      <c r="K120" s="21">
        <f>Emissionsfaktoren[[#This Row],[2020]]</f>
        <v>13.60604</v>
      </c>
      <c r="L120" s="21">
        <f>Emissionsfaktoren[[#This Row],[2021]]</f>
        <v>13.60604</v>
      </c>
      <c r="M120" s="21">
        <f>Emissionsfaktoren[[#This Row],[2022]]</f>
        <v>13.60604</v>
      </c>
      <c r="N120" s="21">
        <f>Emissionsfaktoren[[#This Row],[2023]]</f>
        <v>13.60604</v>
      </c>
      <c r="O120" s="21">
        <f>Emissionsfaktoren[[#This Row],[2024]]</f>
        <v>13.60604</v>
      </c>
      <c r="P120" s="21">
        <f>Emissionsfaktoren[[#This Row],[2025]]</f>
        <v>13.60604</v>
      </c>
      <c r="Q120" s="21">
        <f>Emissionsfaktoren[[#This Row],[2025]]</f>
        <v>13.60604</v>
      </c>
      <c r="R120" s="21">
        <f>Emissionsfaktoren[[#This Row],[2025]]</f>
        <v>13.60604</v>
      </c>
      <c r="S120" s="21">
        <f>Emissionsfaktoren[[#This Row],[2025]]</f>
        <v>13.60604</v>
      </c>
      <c r="T120" s="21">
        <f>Emissionsfaktoren[[#This Row],[2026]]</f>
        <v>13.60604</v>
      </c>
      <c r="U120" s="21">
        <f>Emissionsfaktoren[[#This Row],[2030]]</f>
        <v>13.60604</v>
      </c>
      <c r="V120" s="21">
        <f>Emissionsfaktoren[[#This Row],[2035]]</f>
        <v>13.60604</v>
      </c>
      <c r="W120" s="21">
        <f>Emissionsfaktoren[[#This Row],[2040]]</f>
        <v>13.60604</v>
      </c>
      <c r="X120" s="21">
        <f>Emissionsfaktoren[[#This Row],[2045]]</f>
        <v>13.60604</v>
      </c>
      <c r="Y120" s="11" t="s">
        <v>185</v>
      </c>
      <c r="Z120" s="11" t="s">
        <v>186</v>
      </c>
    </row>
    <row r="121" spans="2:26">
      <c r="B121" s="19">
        <v>104</v>
      </c>
      <c r="C121" s="19">
        <f>Refsz_Verbräuche[[#This Row],[Datenpunkt]]</f>
        <v>0</v>
      </c>
      <c r="D121" s="9"/>
      <c r="E121" s="21"/>
      <c r="F121" s="21"/>
      <c r="G121" s="21"/>
      <c r="H121" s="21"/>
      <c r="I121" s="21"/>
      <c r="J121" s="21"/>
      <c r="K121" s="21"/>
      <c r="L121" s="21"/>
      <c r="M121" s="21"/>
      <c r="N121" s="21"/>
      <c r="O121" s="21"/>
      <c r="P121" s="21"/>
      <c r="Q121" s="21"/>
      <c r="R121" s="21"/>
      <c r="S121" s="21"/>
      <c r="T121" s="21"/>
      <c r="U121" s="21"/>
      <c r="V121" s="21"/>
      <c r="W121" s="21"/>
      <c r="X121" s="21"/>
      <c r="Y121" s="11"/>
      <c r="Z121" s="11"/>
    </row>
    <row r="122" spans="2:26" ht="16.5">
      <c r="B122" s="19">
        <v>105</v>
      </c>
      <c r="C122" s="19" t="str">
        <f>Refsz_Verbräuche[[#This Row],[Datenpunkt]]</f>
        <v>Bioabfall, Grünschnitt (Kompostierung)</v>
      </c>
      <c r="D122" t="s">
        <v>153</v>
      </c>
      <c r="E122" s="21">
        <v>6</v>
      </c>
      <c r="F122" s="21">
        <v>6</v>
      </c>
      <c r="G122" s="21">
        <v>6</v>
      </c>
      <c r="H122" s="21">
        <v>10.258599999999999</v>
      </c>
      <c r="I122" s="21">
        <v>10.204000000000001</v>
      </c>
      <c r="J122" s="21">
        <v>10.204000000000001</v>
      </c>
      <c r="K122" s="21">
        <v>8.9510000000000005</v>
      </c>
      <c r="L122" s="21">
        <f t="shared" ref="L122:X122" si="14">0.00891058139534884*1000</f>
        <v>8.9105813953488386</v>
      </c>
      <c r="M122" s="21">
        <f t="shared" si="14"/>
        <v>8.9105813953488386</v>
      </c>
      <c r="N122" s="21">
        <f t="shared" si="14"/>
        <v>8.9105813953488386</v>
      </c>
      <c r="O122" s="21">
        <f t="shared" si="14"/>
        <v>8.9105813953488386</v>
      </c>
      <c r="P122" s="21">
        <f t="shared" si="14"/>
        <v>8.9105813953488386</v>
      </c>
      <c r="Q122" s="21">
        <f t="shared" si="14"/>
        <v>8.9105813953488386</v>
      </c>
      <c r="R122" s="21">
        <f t="shared" si="14"/>
        <v>8.9105813953488386</v>
      </c>
      <c r="S122" s="21">
        <f t="shared" si="14"/>
        <v>8.9105813953488386</v>
      </c>
      <c r="T122" s="21">
        <f t="shared" si="14"/>
        <v>8.9105813953488386</v>
      </c>
      <c r="U122" s="21">
        <f t="shared" si="14"/>
        <v>8.9105813953488386</v>
      </c>
      <c r="V122" s="21">
        <f t="shared" si="14"/>
        <v>8.9105813953488386</v>
      </c>
      <c r="W122" s="21">
        <f t="shared" si="14"/>
        <v>8.9105813953488386</v>
      </c>
      <c r="X122" s="21">
        <f t="shared" si="14"/>
        <v>8.9105813953488386</v>
      </c>
      <c r="Y122" t="s">
        <v>53</v>
      </c>
      <c r="Z122" s="11" t="s">
        <v>137</v>
      </c>
    </row>
    <row r="123" spans="2:26" ht="16.5">
      <c r="B123" s="19">
        <v>106</v>
      </c>
      <c r="C123" s="19" t="str">
        <f>Refsz_Verbräuche[[#This Row],[Datenpunkt]]</f>
        <v>Bioabfall (Verbrennung)</v>
      </c>
      <c r="D123" t="s">
        <v>153</v>
      </c>
      <c r="E123" s="21">
        <v>21</v>
      </c>
      <c r="F123" s="21">
        <v>21</v>
      </c>
      <c r="G123" s="21">
        <v>21.8</v>
      </c>
      <c r="H123" s="21">
        <v>21.3842</v>
      </c>
      <c r="I123" s="21">
        <v>21.353999999999999</v>
      </c>
      <c r="J123" s="21">
        <v>21.317</v>
      </c>
      <c r="K123" s="21">
        <v>21.294</v>
      </c>
      <c r="L123" s="21">
        <v>21.280193798449599</v>
      </c>
      <c r="M123" s="21">
        <v>21.280193798449599</v>
      </c>
      <c r="N123" s="21">
        <v>21.280193798449599</v>
      </c>
      <c r="O123" s="21">
        <v>21.280193798449599</v>
      </c>
      <c r="P123" s="21">
        <v>21.280193798449599</v>
      </c>
      <c r="Q123" s="21">
        <v>21.280193798449599</v>
      </c>
      <c r="R123" s="21">
        <v>21.280193798449599</v>
      </c>
      <c r="S123" s="21">
        <v>21.280193798449599</v>
      </c>
      <c r="T123" s="21">
        <v>21.280193798449599</v>
      </c>
      <c r="U123" s="21">
        <v>21.280193798449599</v>
      </c>
      <c r="V123" s="21">
        <v>21.280193798449599</v>
      </c>
      <c r="W123" s="21">
        <v>21.280193798449599</v>
      </c>
      <c r="X123" s="21">
        <v>21.280193798449599</v>
      </c>
      <c r="Y123" t="s">
        <v>53</v>
      </c>
      <c r="Z123" s="11" t="s">
        <v>138</v>
      </c>
    </row>
    <row r="124" spans="2:26" ht="16.5">
      <c r="B124" s="19">
        <v>107</v>
      </c>
      <c r="C124" s="19" t="str">
        <f>Refsz_Verbräuche[[#This Row],[Datenpunkt]]</f>
        <v>Papierabfall</v>
      </c>
      <c r="D124" t="s">
        <v>153</v>
      </c>
      <c r="E124" s="21">
        <v>21</v>
      </c>
      <c r="F124" s="21">
        <v>21</v>
      </c>
      <c r="G124" s="21">
        <v>21.8</v>
      </c>
      <c r="H124" s="21">
        <v>21.3842</v>
      </c>
      <c r="I124" s="21">
        <v>21.353999999999999</v>
      </c>
      <c r="J124" s="21">
        <v>21.317</v>
      </c>
      <c r="K124" s="21">
        <v>21.294</v>
      </c>
      <c r="L124" s="21">
        <v>21.280193798449599</v>
      </c>
      <c r="M124" s="21">
        <v>21.280193798449599</v>
      </c>
      <c r="N124" s="21">
        <v>21.280193798449599</v>
      </c>
      <c r="O124" s="21">
        <v>21.280193798449599</v>
      </c>
      <c r="P124" s="21">
        <v>21.280193798449599</v>
      </c>
      <c r="Q124" s="21">
        <v>21.280193798449599</v>
      </c>
      <c r="R124" s="21">
        <v>21.280193798449599</v>
      </c>
      <c r="S124" s="21">
        <v>21.280193798449599</v>
      </c>
      <c r="T124" s="21">
        <v>21.280193798449599</v>
      </c>
      <c r="U124" s="21">
        <v>21.280193798449599</v>
      </c>
      <c r="V124" s="21">
        <v>21.280193798449599</v>
      </c>
      <c r="W124" s="21">
        <v>21.280193798449599</v>
      </c>
      <c r="X124" s="21">
        <v>21.280193798449599</v>
      </c>
      <c r="Y124" t="s">
        <v>53</v>
      </c>
      <c r="Z124" t="s">
        <v>139</v>
      </c>
    </row>
    <row r="125" spans="2:26" ht="16.5">
      <c r="B125" s="19">
        <v>108</v>
      </c>
      <c r="C125" s="19" t="str">
        <f>Refsz_Verbräuche[[#This Row],[Datenpunkt]]</f>
        <v>Plastik- und Verpackungsabfall</v>
      </c>
      <c r="D125" t="s">
        <v>153</v>
      </c>
      <c r="E125" s="21">
        <v>21</v>
      </c>
      <c r="F125" s="21">
        <v>21</v>
      </c>
      <c r="G125" s="21">
        <v>21.8</v>
      </c>
      <c r="H125" s="21">
        <v>21.3842</v>
      </c>
      <c r="I125" s="21">
        <v>21.353999999999999</v>
      </c>
      <c r="J125" s="21">
        <v>21.317</v>
      </c>
      <c r="K125" s="21">
        <v>21.294</v>
      </c>
      <c r="L125" s="21">
        <v>21.280193798449599</v>
      </c>
      <c r="M125" s="21">
        <v>21.280193798449599</v>
      </c>
      <c r="N125" s="21">
        <v>21.280193798449599</v>
      </c>
      <c r="O125" s="21">
        <v>21.280193798449599</v>
      </c>
      <c r="P125" s="21">
        <v>21.280193798449599</v>
      </c>
      <c r="Q125" s="21">
        <v>21.280193798449599</v>
      </c>
      <c r="R125" s="21">
        <v>21.280193798449599</v>
      </c>
      <c r="S125" s="21">
        <v>21.280193798449599</v>
      </c>
      <c r="T125" s="21">
        <v>21.280193798449599</v>
      </c>
      <c r="U125" s="21">
        <v>21.280193798449599</v>
      </c>
      <c r="V125" s="21">
        <v>21.280193798449599</v>
      </c>
      <c r="W125" s="21">
        <v>21.280193798449599</v>
      </c>
      <c r="X125" s="21">
        <v>21.280193798449599</v>
      </c>
      <c r="Y125" t="s">
        <v>53</v>
      </c>
      <c r="Z125" t="s">
        <v>145</v>
      </c>
    </row>
    <row r="126" spans="2:26" ht="16.5">
      <c r="B126" s="19">
        <v>109</v>
      </c>
      <c r="C126" s="19" t="str">
        <f>Refsz_Verbräuche[[#This Row],[Datenpunkt]]</f>
        <v>Restmüll</v>
      </c>
      <c r="D126" t="s">
        <v>153</v>
      </c>
      <c r="E126" s="21">
        <v>21</v>
      </c>
      <c r="F126" s="21">
        <v>21</v>
      </c>
      <c r="G126" s="21">
        <v>21.8</v>
      </c>
      <c r="H126" s="21">
        <v>21.3842</v>
      </c>
      <c r="I126" s="21">
        <v>21.353999999999999</v>
      </c>
      <c r="J126" s="21">
        <v>21.317</v>
      </c>
      <c r="K126" s="21">
        <v>21.294</v>
      </c>
      <c r="L126" s="21">
        <v>21.280193798449599</v>
      </c>
      <c r="M126" s="21">
        <v>21.280193798449599</v>
      </c>
      <c r="N126" s="21">
        <v>21.280193798449599</v>
      </c>
      <c r="O126" s="21">
        <v>21.280193798449599</v>
      </c>
      <c r="P126" s="21">
        <v>21.280193798449599</v>
      </c>
      <c r="Q126" s="21">
        <v>21.280193798449599</v>
      </c>
      <c r="R126" s="21">
        <v>21.280193798449599</v>
      </c>
      <c r="S126" s="21">
        <v>21.280193798449599</v>
      </c>
      <c r="T126" s="21">
        <v>21.280193798449599</v>
      </c>
      <c r="U126" s="21">
        <v>21.280193798449599</v>
      </c>
      <c r="V126" s="21">
        <v>21.280193798449599</v>
      </c>
      <c r="W126" s="21">
        <v>21.280193798449599</v>
      </c>
      <c r="X126" s="21">
        <v>21.280193798449599</v>
      </c>
      <c r="Y126" t="s">
        <v>53</v>
      </c>
      <c r="Z126" t="s">
        <v>140</v>
      </c>
    </row>
    <row r="127" spans="2:26" ht="16.5">
      <c r="B127" s="19">
        <v>110</v>
      </c>
      <c r="C127" s="19" t="str">
        <f>Refsz_Verbräuche[[#This Row],[Datenpunkt]]</f>
        <v>Sperrmüll</v>
      </c>
      <c r="D127" t="s">
        <v>153</v>
      </c>
      <c r="E127" s="22">
        <v>21</v>
      </c>
      <c r="F127" s="22">
        <v>21</v>
      </c>
      <c r="G127" s="22">
        <v>21.8</v>
      </c>
      <c r="H127" s="22">
        <v>21.3842</v>
      </c>
      <c r="I127" s="22">
        <v>21.353999999999999</v>
      </c>
      <c r="J127" s="22">
        <v>21.317</v>
      </c>
      <c r="K127" s="22">
        <v>21.294</v>
      </c>
      <c r="L127" s="22">
        <v>21.280193798449599</v>
      </c>
      <c r="M127" s="22">
        <v>21.280193798449599</v>
      </c>
      <c r="N127" s="22">
        <v>21.280193798449599</v>
      </c>
      <c r="O127" s="22">
        <v>21.280193798449599</v>
      </c>
      <c r="P127" s="22">
        <v>21.280193798449599</v>
      </c>
      <c r="Q127" s="22">
        <v>21.280193798449599</v>
      </c>
      <c r="R127" s="22">
        <v>21.280193798449599</v>
      </c>
      <c r="S127" s="22">
        <v>21.280193798449599</v>
      </c>
      <c r="T127" s="22">
        <v>21.280193798449599</v>
      </c>
      <c r="U127" s="22">
        <v>21.280193798449599</v>
      </c>
      <c r="V127" s="22">
        <v>21.280193798449599</v>
      </c>
      <c r="W127" s="22">
        <v>21.280193798449599</v>
      </c>
      <c r="X127" s="22">
        <v>21.280193798449599</v>
      </c>
      <c r="Y127" t="s">
        <v>53</v>
      </c>
      <c r="Z127" s="11" t="s">
        <v>147</v>
      </c>
    </row>
    <row r="128" spans="2:26" ht="16.5">
      <c r="B128" s="19">
        <v>111</v>
      </c>
      <c r="C128" s="19" t="str">
        <f>Refsz_Verbräuche[[#This Row],[Datenpunkt]]</f>
        <v>Altholz</v>
      </c>
      <c r="D128" s="9" t="s">
        <v>153</v>
      </c>
      <c r="E128" s="21">
        <v>21</v>
      </c>
      <c r="F128" s="21">
        <v>21</v>
      </c>
      <c r="G128" s="21">
        <v>21.8</v>
      </c>
      <c r="H128" s="21">
        <v>21.3842</v>
      </c>
      <c r="I128" s="21">
        <v>21.353999999999999</v>
      </c>
      <c r="J128" s="21">
        <v>21.317</v>
      </c>
      <c r="K128" s="21">
        <v>21.294</v>
      </c>
      <c r="L128" s="21">
        <v>21.280193798449599</v>
      </c>
      <c r="M128" s="21">
        <v>21.280193798449599</v>
      </c>
      <c r="N128" s="21">
        <v>21.280193798449599</v>
      </c>
      <c r="O128" s="21">
        <v>21.280193798449599</v>
      </c>
      <c r="P128" s="21">
        <v>21.280193798449599</v>
      </c>
      <c r="Q128" s="21">
        <v>21.280193798449599</v>
      </c>
      <c r="R128" s="21">
        <v>21.280193798449599</v>
      </c>
      <c r="S128" s="21">
        <v>21.280193798449599</v>
      </c>
      <c r="T128" s="21">
        <v>21.280193798449599</v>
      </c>
      <c r="U128" s="21">
        <v>21.280193798449599</v>
      </c>
      <c r="V128" s="21">
        <v>21.280193798449599</v>
      </c>
      <c r="W128" s="21">
        <v>21.280193798449599</v>
      </c>
      <c r="X128" s="21">
        <v>21.280193798449599</v>
      </c>
      <c r="Y128" s="11" t="s">
        <v>53</v>
      </c>
      <c r="Z128" s="11" t="s">
        <v>141</v>
      </c>
    </row>
    <row r="129" spans="2:26" ht="16.5">
      <c r="B129" s="19">
        <v>112</v>
      </c>
      <c r="C129" s="19" t="str">
        <f>Refsz_Verbräuche[[#This Row],[Datenpunkt]]</f>
        <v>Altglas</v>
      </c>
      <c r="D129" s="9" t="s">
        <v>153</v>
      </c>
      <c r="E129" s="21">
        <v>21</v>
      </c>
      <c r="F129" s="21">
        <v>21</v>
      </c>
      <c r="G129" s="21">
        <v>21.8</v>
      </c>
      <c r="H129" s="21">
        <v>21.3842</v>
      </c>
      <c r="I129" s="21">
        <v>21.353999999999999</v>
      </c>
      <c r="J129" s="21">
        <v>21.317</v>
      </c>
      <c r="K129" s="21">
        <v>21.294</v>
      </c>
      <c r="L129" s="21">
        <v>21.280193798449599</v>
      </c>
      <c r="M129" s="21">
        <v>21.280193798449599</v>
      </c>
      <c r="N129" s="21">
        <v>21.280193798449599</v>
      </c>
      <c r="O129" s="21">
        <v>21.280193798449599</v>
      </c>
      <c r="P129" s="21">
        <v>21.280193798449599</v>
      </c>
      <c r="Q129" s="21">
        <v>21.280193798449599</v>
      </c>
      <c r="R129" s="21">
        <v>21.280193798449599</v>
      </c>
      <c r="S129" s="21">
        <v>21.280193798449599</v>
      </c>
      <c r="T129" s="21">
        <v>21.280193798449599</v>
      </c>
      <c r="U129" s="21">
        <v>21.280193798449599</v>
      </c>
      <c r="V129" s="21">
        <v>21.280193798449599</v>
      </c>
      <c r="W129" s="21">
        <v>21.280193798449599</v>
      </c>
      <c r="X129" s="21">
        <v>21.280193798449599</v>
      </c>
      <c r="Y129" s="11" t="s">
        <v>53</v>
      </c>
      <c r="Z129" s="11" t="s">
        <v>142</v>
      </c>
    </row>
    <row r="130" spans="2:26" ht="16.5">
      <c r="B130" s="19">
        <v>113</v>
      </c>
      <c r="C130" s="19" t="str">
        <f>Refsz_Verbräuche[[#This Row],[Datenpunkt]]</f>
        <v>E-Großgeräte (Abfall)</v>
      </c>
      <c r="D130" s="9" t="s">
        <v>153</v>
      </c>
      <c r="E130" s="21">
        <v>21</v>
      </c>
      <c r="F130" s="21">
        <v>21</v>
      </c>
      <c r="G130" s="21">
        <v>21.8</v>
      </c>
      <c r="H130" s="21">
        <v>21.3842</v>
      </c>
      <c r="I130" s="21">
        <v>21.353999999999999</v>
      </c>
      <c r="J130" s="21">
        <v>21.317</v>
      </c>
      <c r="K130" s="21">
        <v>21.294</v>
      </c>
      <c r="L130" s="21">
        <v>21.280193798449599</v>
      </c>
      <c r="M130" s="21">
        <v>21.280193798449599</v>
      </c>
      <c r="N130" s="21">
        <v>21.280193798449599</v>
      </c>
      <c r="O130" s="21">
        <v>21.280193798449599</v>
      </c>
      <c r="P130" s="21">
        <v>21.280193798449599</v>
      </c>
      <c r="Q130" s="21">
        <v>21.280193798449599</v>
      </c>
      <c r="R130" s="21">
        <v>21.280193798449599</v>
      </c>
      <c r="S130" s="21">
        <v>21.280193798449599</v>
      </c>
      <c r="T130" s="21">
        <v>21.280193798449599</v>
      </c>
      <c r="U130" s="21">
        <v>21.280193798449599</v>
      </c>
      <c r="V130" s="21">
        <v>21.280193798449599</v>
      </c>
      <c r="W130" s="21">
        <v>21.280193798449599</v>
      </c>
      <c r="X130" s="21">
        <v>21.280193798449599</v>
      </c>
      <c r="Y130" s="11" t="s">
        <v>53</v>
      </c>
      <c r="Z130" s="11" t="s">
        <v>144</v>
      </c>
    </row>
    <row r="131" spans="2:26" ht="16.5">
      <c r="B131" s="19">
        <v>114</v>
      </c>
      <c r="C131" s="19" t="str">
        <f>Refsz_Verbräuche[[#This Row],[Datenpunkt]]</f>
        <v>Metalle (Abfall)</v>
      </c>
      <c r="D131" s="9" t="s">
        <v>153</v>
      </c>
      <c r="E131" s="21">
        <v>21</v>
      </c>
      <c r="F131" s="21">
        <v>21</v>
      </c>
      <c r="G131" s="21">
        <v>21.8</v>
      </c>
      <c r="H131" s="21">
        <v>21.3842</v>
      </c>
      <c r="I131" s="21">
        <v>21.353999999999999</v>
      </c>
      <c r="J131" s="21">
        <v>21.317</v>
      </c>
      <c r="K131" s="21">
        <v>21.294</v>
      </c>
      <c r="L131" s="21">
        <v>21.280193798449599</v>
      </c>
      <c r="M131" s="21">
        <v>21.280193798449599</v>
      </c>
      <c r="N131" s="21">
        <v>21.280193798449599</v>
      </c>
      <c r="O131" s="21">
        <v>21.280193798449599</v>
      </c>
      <c r="P131" s="21">
        <v>21.280193798449599</v>
      </c>
      <c r="Q131" s="21">
        <v>21.280193798449599</v>
      </c>
      <c r="R131" s="21">
        <v>21.280193798449599</v>
      </c>
      <c r="S131" s="21">
        <v>21.280193798449599</v>
      </c>
      <c r="T131" s="21">
        <v>21.280193798449599</v>
      </c>
      <c r="U131" s="21">
        <v>21.280193798449599</v>
      </c>
      <c r="V131" s="21">
        <v>21.280193798449599</v>
      </c>
      <c r="W131" s="21">
        <v>21.280193798449599</v>
      </c>
      <c r="X131" s="21">
        <v>21.280193798449599</v>
      </c>
      <c r="Y131" s="11" t="s">
        <v>53</v>
      </c>
      <c r="Z131" s="11" t="s">
        <v>143</v>
      </c>
    </row>
    <row r="132" spans="2:26" ht="16.5">
      <c r="B132" s="19">
        <v>115</v>
      </c>
      <c r="C132" s="19" t="str">
        <f>Refsz_Verbräuche[[#This Row],[Datenpunkt]]</f>
        <v>Bauschutt</v>
      </c>
      <c r="D132" s="9" t="s">
        <v>153</v>
      </c>
      <c r="E132" s="21">
        <v>21</v>
      </c>
      <c r="F132" s="21">
        <v>1</v>
      </c>
      <c r="G132" s="21">
        <v>1.1000000000000001</v>
      </c>
      <c r="H132" s="21">
        <v>1.0192000000000001</v>
      </c>
      <c r="I132" s="21">
        <v>1.0089999999999999</v>
      </c>
      <c r="J132" s="21">
        <v>1.0089999999999999</v>
      </c>
      <c r="K132" s="21">
        <v>0.98899999999999999</v>
      </c>
      <c r="L132" s="21">
        <v>0.98499999999999999</v>
      </c>
      <c r="M132" s="21">
        <v>0.98499999999999999</v>
      </c>
      <c r="N132" s="21">
        <v>0.98499999999999999</v>
      </c>
      <c r="O132" s="21">
        <v>0.98499999999999999</v>
      </c>
      <c r="P132" s="21">
        <v>0.98499999999999999</v>
      </c>
      <c r="Q132" s="21">
        <v>0.98499999999999999</v>
      </c>
      <c r="R132" s="21">
        <v>0.98499999999999999</v>
      </c>
      <c r="S132" s="21">
        <v>0.98499999999999999</v>
      </c>
      <c r="T132" s="21">
        <v>0.98499999999999999</v>
      </c>
      <c r="U132" s="21">
        <v>0.98499999999999999</v>
      </c>
      <c r="V132" s="21">
        <v>0.98499999999999999</v>
      </c>
      <c r="W132" s="21">
        <v>0.98499999999999999</v>
      </c>
      <c r="X132" s="21">
        <v>0.98499999999999999</v>
      </c>
      <c r="Y132" s="11" t="s">
        <v>53</v>
      </c>
      <c r="Z132" s="11" t="s">
        <v>148</v>
      </c>
    </row>
    <row r="133" spans="2:26">
      <c r="B133" s="19">
        <v>116</v>
      </c>
      <c r="C133" s="19">
        <f>Refsz_Verbräuche[[#This Row],[Datenpunkt]]</f>
        <v>0</v>
      </c>
      <c r="D133" s="9"/>
      <c r="E133" s="21"/>
      <c r="F133" s="21"/>
      <c r="G133" s="21"/>
      <c r="H133" s="21"/>
      <c r="I133" s="21"/>
      <c r="J133" s="21"/>
      <c r="K133" s="21"/>
      <c r="L133" s="21"/>
      <c r="M133" s="21"/>
      <c r="N133" s="21"/>
      <c r="O133" s="21"/>
      <c r="P133" s="21"/>
      <c r="Q133" s="21"/>
      <c r="R133" s="21"/>
      <c r="S133" s="21"/>
      <c r="T133" s="21"/>
      <c r="U133" s="21"/>
      <c r="V133" s="21"/>
      <c r="W133" s="21"/>
      <c r="X133" s="21"/>
      <c r="Y133" s="11"/>
      <c r="Z133" s="11"/>
    </row>
    <row r="134" spans="2:26" ht="16.5">
      <c r="B134" s="19">
        <v>117</v>
      </c>
      <c r="C134" s="19" t="str">
        <f>Refsz_Verbräuche[[#This Row],[Datenpunkt]]</f>
        <v>Branntkalk</v>
      </c>
      <c r="D134" s="9" t="s">
        <v>150</v>
      </c>
      <c r="E134" s="21">
        <v>1.0974222</v>
      </c>
      <c r="F134" s="21">
        <v>1.0974222</v>
      </c>
      <c r="G134" s="21">
        <v>1.0974222</v>
      </c>
      <c r="H134" s="21">
        <v>1.0974222</v>
      </c>
      <c r="I134" s="21">
        <v>1.0974222</v>
      </c>
      <c r="J134" s="21">
        <v>1.1025559</v>
      </c>
      <c r="K134" s="21">
        <v>1.1025559</v>
      </c>
      <c r="L134" s="21">
        <v>1.1025559</v>
      </c>
      <c r="M134" s="21">
        <v>1.1025559</v>
      </c>
      <c r="N134" s="21">
        <v>1.1025559</v>
      </c>
      <c r="O134" s="21">
        <v>1.1025559</v>
      </c>
      <c r="P134" s="21">
        <v>1.1025559</v>
      </c>
      <c r="Q134" s="21">
        <v>1.1025559</v>
      </c>
      <c r="R134" s="21">
        <v>1.1025559</v>
      </c>
      <c r="S134" s="21">
        <v>1.1025559</v>
      </c>
      <c r="T134" s="21">
        <v>1.1068046</v>
      </c>
      <c r="U134" s="21">
        <v>1.1068046</v>
      </c>
      <c r="V134" s="21">
        <v>1.1068046</v>
      </c>
      <c r="W134" s="21">
        <v>1.1068046</v>
      </c>
      <c r="X134" s="21">
        <v>1.0342062000000001</v>
      </c>
      <c r="Y134" s="11" t="s">
        <v>31</v>
      </c>
      <c r="Z134" s="11" t="s">
        <v>76</v>
      </c>
    </row>
    <row r="135" spans="2:26" ht="16.5">
      <c r="B135" s="19">
        <v>118</v>
      </c>
      <c r="C135" s="19" t="str">
        <f>Refsz_Verbräuche[[#This Row],[Datenpunkt]]</f>
        <v>Gips</v>
      </c>
      <c r="D135" s="9" t="s">
        <v>150</v>
      </c>
      <c r="E135" s="21">
        <v>4.1050999999999997E-2</v>
      </c>
      <c r="F135" s="21">
        <v>4.1050999999999997E-2</v>
      </c>
      <c r="G135" s="21">
        <v>4.1050999999999997E-2</v>
      </c>
      <c r="H135" s="21">
        <v>4.1050999999999997E-2</v>
      </c>
      <c r="I135" s="21">
        <v>4.1050999999999997E-2</v>
      </c>
      <c r="J135" s="21">
        <v>4.1050999999999997E-2</v>
      </c>
      <c r="K135" s="21">
        <v>4.1050999999999997E-2</v>
      </c>
      <c r="L135" s="21">
        <v>4.1050999999999997E-2</v>
      </c>
      <c r="M135" s="21">
        <v>4.1050999999999997E-2</v>
      </c>
      <c r="N135" s="21">
        <v>4.1050999999999997E-2</v>
      </c>
      <c r="O135" s="21">
        <v>4.1050999999999997E-2</v>
      </c>
      <c r="P135" s="21">
        <v>4.1050999999999997E-2</v>
      </c>
      <c r="Q135" s="21">
        <v>4.1050999999999997E-2</v>
      </c>
      <c r="R135" s="21">
        <v>4.1050999999999997E-2</v>
      </c>
      <c r="S135" s="21">
        <v>4.1050999999999997E-2</v>
      </c>
      <c r="T135" s="21">
        <v>4.1050999999999997E-2</v>
      </c>
      <c r="U135" s="21">
        <v>4.1050999999999997E-2</v>
      </c>
      <c r="V135" s="21">
        <v>4.1050999999999997E-2</v>
      </c>
      <c r="W135" s="21">
        <v>4.1050999999999997E-2</v>
      </c>
      <c r="X135" s="21">
        <v>4.1050999999999997E-2</v>
      </c>
      <c r="Y135" s="11" t="s">
        <v>31</v>
      </c>
      <c r="Z135" s="11" t="s">
        <v>79</v>
      </c>
    </row>
    <row r="136" spans="2:26" ht="16.5">
      <c r="B136" s="19">
        <v>119</v>
      </c>
      <c r="C136" s="19" t="str">
        <f>Refsz_Verbräuche[[#This Row],[Datenpunkt]]</f>
        <v>Gipsplatte</v>
      </c>
      <c r="D136" s="9" t="s">
        <v>150</v>
      </c>
      <c r="E136" s="21">
        <v>0.22531000000000001</v>
      </c>
      <c r="F136" s="21">
        <v>0.22531000000000001</v>
      </c>
      <c r="G136" s="21">
        <v>0.22531000000000001</v>
      </c>
      <c r="H136" s="21">
        <v>0.22531000000000001</v>
      </c>
      <c r="I136" s="21">
        <v>0.22531000000000001</v>
      </c>
      <c r="J136" s="21">
        <v>0.22531000000000001</v>
      </c>
      <c r="K136" s="21">
        <v>0.22531000000000001</v>
      </c>
      <c r="L136" s="21">
        <v>0.22531000000000001</v>
      </c>
      <c r="M136" s="21">
        <v>0.22531000000000001</v>
      </c>
      <c r="N136" s="21">
        <v>0.22531000000000001</v>
      </c>
      <c r="O136" s="21">
        <v>0.22531000000000001</v>
      </c>
      <c r="P136" s="21">
        <v>0.22531000000000001</v>
      </c>
      <c r="Q136" s="21">
        <v>0.22531000000000001</v>
      </c>
      <c r="R136" s="21">
        <v>0.22531000000000001</v>
      </c>
      <c r="S136" s="21">
        <v>0.22531000000000001</v>
      </c>
      <c r="T136" s="21">
        <v>0.22531000000000001</v>
      </c>
      <c r="U136" s="21">
        <v>0.22531000000000001</v>
      </c>
      <c r="V136" s="21">
        <v>0.22531000000000001</v>
      </c>
      <c r="W136" s="21">
        <v>0.22531000000000001</v>
      </c>
      <c r="X136" s="21">
        <v>0.22531000000000001</v>
      </c>
      <c r="Y136" s="11" t="s">
        <v>31</v>
      </c>
      <c r="Z136" s="11" t="s">
        <v>77</v>
      </c>
    </row>
    <row r="137" spans="2:26" ht="16.5">
      <c r="B137" s="19">
        <v>120</v>
      </c>
      <c r="C137" s="19" t="str">
        <f>Refsz_Verbräuche[[#This Row],[Datenpunkt]]</f>
        <v>Glas (flach)</v>
      </c>
      <c r="D137" s="9" t="s">
        <v>150</v>
      </c>
      <c r="E137" s="21">
        <v>1.1172065</v>
      </c>
      <c r="F137" s="21">
        <v>1.1172065</v>
      </c>
      <c r="G137" s="21">
        <v>1.1172065</v>
      </c>
      <c r="H137" s="21">
        <v>1.1172065</v>
      </c>
      <c r="I137" s="21">
        <v>1.1172065</v>
      </c>
      <c r="J137" s="21">
        <v>1.0860445999999999</v>
      </c>
      <c r="K137" s="21">
        <v>1.0860445999999999</v>
      </c>
      <c r="L137" s="21">
        <v>1.0860445999999999</v>
      </c>
      <c r="M137" s="21">
        <v>1.0860445999999999</v>
      </c>
      <c r="N137" s="21">
        <v>1.0860445999999999</v>
      </c>
      <c r="O137" s="21">
        <v>1.0860445999999999</v>
      </c>
      <c r="P137" s="21">
        <v>1.0860445999999999</v>
      </c>
      <c r="Q137" s="21">
        <v>1.0860445999999999</v>
      </c>
      <c r="R137" s="21">
        <v>1.0860445999999999</v>
      </c>
      <c r="S137" s="21">
        <v>1.0860445999999999</v>
      </c>
      <c r="T137" s="21">
        <v>1.0731375000000001</v>
      </c>
      <c r="U137" s="21">
        <v>1.0731375000000001</v>
      </c>
      <c r="V137" s="21">
        <v>1.0731375000000001</v>
      </c>
      <c r="W137" s="21">
        <v>1.0731375000000001</v>
      </c>
      <c r="X137" s="21">
        <v>0.88875000000000004</v>
      </c>
      <c r="Y137" s="11" t="s">
        <v>31</v>
      </c>
      <c r="Z137" s="11" t="s">
        <v>80</v>
      </c>
    </row>
    <row r="138" spans="2:26" ht="16.5">
      <c r="B138" s="19">
        <v>121</v>
      </c>
      <c r="C138" s="19" t="str">
        <f>Refsz_Verbräuche[[#This Row],[Datenpunkt]]</f>
        <v>Gussasphalt</v>
      </c>
      <c r="D138" s="9" t="s">
        <v>150</v>
      </c>
      <c r="E138" s="21">
        <v>9.8223000000000005E-2</v>
      </c>
      <c r="F138" s="21">
        <v>9.8223000000000005E-2</v>
      </c>
      <c r="G138" s="21">
        <v>9.8223000000000005E-2</v>
      </c>
      <c r="H138" s="21">
        <v>9.8223000000000005E-2</v>
      </c>
      <c r="I138" s="21">
        <v>9.8223000000000005E-2</v>
      </c>
      <c r="J138" s="21">
        <v>9.8223000000000005E-2</v>
      </c>
      <c r="K138" s="21">
        <v>9.8223000000000005E-2</v>
      </c>
      <c r="L138" s="21">
        <v>9.8223000000000005E-2</v>
      </c>
      <c r="M138" s="21">
        <v>9.8223000000000005E-2</v>
      </c>
      <c r="N138" s="21">
        <v>9.8223000000000005E-2</v>
      </c>
      <c r="O138" s="21">
        <v>9.8223000000000005E-2</v>
      </c>
      <c r="P138" s="21">
        <v>9.8223000000000005E-2</v>
      </c>
      <c r="Q138" s="21">
        <v>9.8223000000000005E-2</v>
      </c>
      <c r="R138" s="21">
        <v>9.8223000000000005E-2</v>
      </c>
      <c r="S138" s="21">
        <v>9.8223000000000005E-2</v>
      </c>
      <c r="T138" s="21">
        <v>9.8223000000000005E-2</v>
      </c>
      <c r="U138" s="21">
        <v>9.8223000000000005E-2</v>
      </c>
      <c r="V138" s="21">
        <v>9.8223000000000005E-2</v>
      </c>
      <c r="W138" s="21">
        <v>9.8223000000000005E-2</v>
      </c>
      <c r="X138" s="21">
        <v>9.8223000000000005E-2</v>
      </c>
      <c r="Y138" s="11" t="s">
        <v>31</v>
      </c>
      <c r="Z138" s="11" t="s">
        <v>82</v>
      </c>
    </row>
    <row r="139" spans="2:26" ht="16.5">
      <c r="B139" s="19">
        <v>122</v>
      </c>
      <c r="C139" s="19" t="str">
        <f>Refsz_Verbräuche[[#This Row],[Datenpunkt]]</f>
        <v>Kalksandstein</v>
      </c>
      <c r="D139" s="9" t="s">
        <v>150</v>
      </c>
      <c r="E139" s="21">
        <v>0.14632000000000001</v>
      </c>
      <c r="F139" s="21">
        <v>0.14632000000000001</v>
      </c>
      <c r="G139" s="21">
        <v>0.14632000000000001</v>
      </c>
      <c r="H139" s="21">
        <v>0.14632000000000001</v>
      </c>
      <c r="I139" s="21">
        <v>0.14632000000000001</v>
      </c>
      <c r="J139" s="21">
        <v>0.14632000000000001</v>
      </c>
      <c r="K139" s="21">
        <v>0.14632000000000001</v>
      </c>
      <c r="L139" s="21">
        <v>0.14632000000000001</v>
      </c>
      <c r="M139" s="21">
        <v>0.14632000000000001</v>
      </c>
      <c r="N139" s="21">
        <v>0.14632000000000001</v>
      </c>
      <c r="O139" s="21">
        <v>0.14632000000000001</v>
      </c>
      <c r="P139" s="21">
        <v>0.14632000000000001</v>
      </c>
      <c r="Q139" s="21">
        <v>0.14632000000000001</v>
      </c>
      <c r="R139" s="21">
        <v>0.14632000000000001</v>
      </c>
      <c r="S139" s="21">
        <v>0.14632000000000001</v>
      </c>
      <c r="T139" s="21">
        <v>0.14632000000000001</v>
      </c>
      <c r="U139" s="21">
        <v>0.14632000000000001</v>
      </c>
      <c r="V139" s="21">
        <v>0.14632000000000001</v>
      </c>
      <c r="W139" s="21">
        <v>0.14632000000000001</v>
      </c>
      <c r="X139" s="21">
        <v>0.14632000000000001</v>
      </c>
      <c r="Y139" s="11" t="s">
        <v>31</v>
      </c>
      <c r="Z139" s="11" t="s">
        <v>89</v>
      </c>
    </row>
    <row r="140" spans="2:26" ht="16.5">
      <c r="B140" s="19">
        <v>123</v>
      </c>
      <c r="C140" s="19" t="str">
        <f>Refsz_Verbräuche[[#This Row],[Datenpunkt]]</f>
        <v>Porenbetonstein</v>
      </c>
      <c r="D140" s="9" t="s">
        <v>150</v>
      </c>
      <c r="E140" s="21">
        <v>0.43173</v>
      </c>
      <c r="F140" s="21">
        <v>0.43173</v>
      </c>
      <c r="G140" s="21">
        <v>0.43173</v>
      </c>
      <c r="H140" s="21">
        <v>0.43173</v>
      </c>
      <c r="I140" s="21">
        <v>0.43173</v>
      </c>
      <c r="J140" s="21">
        <v>0.43173</v>
      </c>
      <c r="K140" s="21">
        <v>0.43173</v>
      </c>
      <c r="L140" s="21">
        <v>0.43173</v>
      </c>
      <c r="M140" s="21">
        <v>0.43173</v>
      </c>
      <c r="N140" s="21">
        <v>0.43173</v>
      </c>
      <c r="O140" s="21">
        <v>0.43173</v>
      </c>
      <c r="P140" s="21">
        <v>0.43173</v>
      </c>
      <c r="Q140" s="21">
        <v>0.43173</v>
      </c>
      <c r="R140" s="21">
        <v>0.43173</v>
      </c>
      <c r="S140" s="21">
        <v>0.43173</v>
      </c>
      <c r="T140" s="21">
        <v>0.43173</v>
      </c>
      <c r="U140" s="21">
        <v>0.43173</v>
      </c>
      <c r="V140" s="21">
        <v>0.43173</v>
      </c>
      <c r="W140" s="21">
        <v>0.43173</v>
      </c>
      <c r="X140" s="21">
        <v>0.43173</v>
      </c>
      <c r="Y140" s="11" t="s">
        <v>31</v>
      </c>
      <c r="Z140" s="11" t="s">
        <v>83</v>
      </c>
    </row>
    <row r="141" spans="2:26" ht="16.5">
      <c r="B141" s="19">
        <v>124</v>
      </c>
      <c r="C141" s="19" t="str">
        <f>Refsz_Verbräuche[[#This Row],[Datenpunkt]]</f>
        <v>Steinwolle</v>
      </c>
      <c r="D141" s="9" t="s">
        <v>150</v>
      </c>
      <c r="E141" s="21">
        <v>1.0455904</v>
      </c>
      <c r="F141" s="21">
        <v>1.0455904</v>
      </c>
      <c r="G141" s="21">
        <v>1.0455904</v>
      </c>
      <c r="H141" s="21">
        <v>1.0455904</v>
      </c>
      <c r="I141" s="21">
        <v>1.0455904</v>
      </c>
      <c r="J141" s="21">
        <v>0.94989999999999997</v>
      </c>
      <c r="K141" s="21">
        <v>0.94989999999999997</v>
      </c>
      <c r="L141" s="21">
        <v>0.94989999999999997</v>
      </c>
      <c r="M141" s="21">
        <v>0.94989999999999997</v>
      </c>
      <c r="N141" s="21">
        <v>0.94989999999999997</v>
      </c>
      <c r="O141" s="21">
        <v>0.94989999999999997</v>
      </c>
      <c r="P141" s="21">
        <v>0.94989999999999997</v>
      </c>
      <c r="Q141" s="21">
        <v>0.94989999999999997</v>
      </c>
      <c r="R141" s="21">
        <v>0.94989999999999997</v>
      </c>
      <c r="S141" s="21">
        <v>0.94989999999999997</v>
      </c>
      <c r="T141" s="21">
        <v>0.84950999999999999</v>
      </c>
      <c r="U141" s="21">
        <v>0.84950999999999999</v>
      </c>
      <c r="V141" s="21">
        <v>0.84950999999999999</v>
      </c>
      <c r="W141" s="21">
        <v>0.84950999999999999</v>
      </c>
      <c r="X141" s="21">
        <v>0.77410999999999996</v>
      </c>
      <c r="Y141" s="11" t="s">
        <v>31</v>
      </c>
      <c r="Z141" s="11" t="s">
        <v>84</v>
      </c>
    </row>
    <row r="142" spans="2:26" ht="16.5">
      <c r="B142" s="19">
        <v>125</v>
      </c>
      <c r="C142" s="19" t="str">
        <f>Refsz_Verbräuche[[#This Row],[Datenpunkt]]</f>
        <v>Tonziegel (fürs Dach)</v>
      </c>
      <c r="D142" s="9" t="s">
        <v>150</v>
      </c>
      <c r="E142" s="21">
        <v>0.50661999999999996</v>
      </c>
      <c r="F142" s="21">
        <v>0.50661999999999996</v>
      </c>
      <c r="G142" s="21">
        <v>0.50661999999999996</v>
      </c>
      <c r="H142" s="21">
        <v>0.50661999999999996</v>
      </c>
      <c r="I142" s="21">
        <v>0.50661999999999996</v>
      </c>
      <c r="J142" s="21">
        <v>0.50661999999999996</v>
      </c>
      <c r="K142" s="21">
        <v>0.50661999999999996</v>
      </c>
      <c r="L142" s="21">
        <v>0.50661999999999996</v>
      </c>
      <c r="M142" s="21">
        <v>0.50661999999999996</v>
      </c>
      <c r="N142" s="21">
        <v>0.50661999999999996</v>
      </c>
      <c r="O142" s="21">
        <v>0.50661999999999996</v>
      </c>
      <c r="P142" s="21">
        <v>0.50661999999999996</v>
      </c>
      <c r="Q142" s="21">
        <v>0.50661999999999996</v>
      </c>
      <c r="R142" s="21">
        <v>0.50661999999999996</v>
      </c>
      <c r="S142" s="21">
        <v>0.50661999999999996</v>
      </c>
      <c r="T142" s="21">
        <v>0.50661999999999996</v>
      </c>
      <c r="U142" s="21">
        <v>0.50661999999999996</v>
      </c>
      <c r="V142" s="21">
        <v>0.50661999999999996</v>
      </c>
      <c r="W142" s="21">
        <v>0.50661999999999996</v>
      </c>
      <c r="X142" s="21">
        <v>0.50661999999999996</v>
      </c>
      <c r="Y142" s="11" t="s">
        <v>31</v>
      </c>
      <c r="Z142" s="11" t="s">
        <v>88</v>
      </c>
    </row>
    <row r="143" spans="2:26" ht="16.5">
      <c r="B143" s="19">
        <v>126</v>
      </c>
      <c r="C143" s="19" t="str">
        <f>Refsz_Verbräuche[[#This Row],[Datenpunkt]]</f>
        <v>Zement (Portland)</v>
      </c>
      <c r="D143" s="9" t="s">
        <v>150</v>
      </c>
      <c r="E143" s="21">
        <v>0.95237000000000005</v>
      </c>
      <c r="F143" s="21">
        <v>0.95237000000000005</v>
      </c>
      <c r="G143" s="21">
        <v>0.95237000000000005</v>
      </c>
      <c r="H143" s="21">
        <v>0.95237000000000005</v>
      </c>
      <c r="I143" s="21">
        <v>0.95237000000000005</v>
      </c>
      <c r="J143" s="21">
        <v>0.93013999999999997</v>
      </c>
      <c r="K143" s="21">
        <v>0.93013999999999997</v>
      </c>
      <c r="L143" s="21">
        <v>0.93013999999999997</v>
      </c>
      <c r="M143" s="21">
        <v>0.93013999999999997</v>
      </c>
      <c r="N143" s="21">
        <v>0.93013999999999997</v>
      </c>
      <c r="O143" s="21">
        <v>0.93013999999999997</v>
      </c>
      <c r="P143" s="21">
        <v>0.93013999999999997</v>
      </c>
      <c r="Q143" s="21">
        <v>0.93013999999999997</v>
      </c>
      <c r="R143" s="21">
        <v>0.93013999999999997</v>
      </c>
      <c r="S143" s="21">
        <v>0.93013999999999997</v>
      </c>
      <c r="T143" s="21">
        <v>0.90737999999999996</v>
      </c>
      <c r="U143" s="21">
        <v>0.90737999999999996</v>
      </c>
      <c r="V143" s="21">
        <v>0.90737999999999996</v>
      </c>
      <c r="W143" s="21">
        <v>0.90737999999999996</v>
      </c>
      <c r="X143" s="21">
        <v>0.87788999999999995</v>
      </c>
      <c r="Y143" s="11" t="s">
        <v>31</v>
      </c>
      <c r="Z143" s="11" t="s">
        <v>87</v>
      </c>
    </row>
    <row r="144" spans="2:26" ht="16.5">
      <c r="B144" s="19">
        <v>127</v>
      </c>
      <c r="C144" s="19" t="str">
        <f>Refsz_Verbräuche[[#This Row],[Datenpunkt]]</f>
        <v>Kies</v>
      </c>
      <c r="D144" s="9" t="s">
        <v>150</v>
      </c>
      <c r="E144" s="21">
        <v>9.4655999999999994E-3</v>
      </c>
      <c r="F144" s="21">
        <v>9.4655999999999994E-3</v>
      </c>
      <c r="G144" s="21">
        <v>9.4655999999999994E-3</v>
      </c>
      <c r="H144" s="21">
        <v>9.4655999999999994E-3</v>
      </c>
      <c r="I144" s="21">
        <v>9.4655999999999994E-3</v>
      </c>
      <c r="J144" s="21">
        <v>7.5335999999999997E-3</v>
      </c>
      <c r="K144" s="21">
        <v>7.5335999999999997E-3</v>
      </c>
      <c r="L144" s="21">
        <v>7.5335999999999997E-3</v>
      </c>
      <c r="M144" s="21">
        <v>7.5335999999999997E-3</v>
      </c>
      <c r="N144" s="21">
        <v>7.5335999999999997E-3</v>
      </c>
      <c r="O144" s="21">
        <v>7.5335999999999997E-3</v>
      </c>
      <c r="P144" s="21">
        <v>7.5335999999999997E-3</v>
      </c>
      <c r="Q144" s="21">
        <v>7.5335999999999997E-3</v>
      </c>
      <c r="R144" s="21">
        <v>7.5335999999999997E-3</v>
      </c>
      <c r="S144" s="21">
        <v>7.5335999999999997E-3</v>
      </c>
      <c r="T144" s="21">
        <v>6.0067000000000002E-3</v>
      </c>
      <c r="U144" s="21">
        <v>6.0067000000000002E-3</v>
      </c>
      <c r="V144" s="21">
        <v>6.0067000000000002E-3</v>
      </c>
      <c r="W144" s="21">
        <v>6.0067000000000002E-3</v>
      </c>
      <c r="X144" s="21">
        <v>3.7212E-3</v>
      </c>
      <c r="Y144" s="11" t="s">
        <v>31</v>
      </c>
      <c r="Z144" s="11" t="s">
        <v>90</v>
      </c>
    </row>
    <row r="145" spans="2:26" ht="16.5">
      <c r="B145" s="19">
        <v>128</v>
      </c>
      <c r="C145" s="19" t="str">
        <f>Refsz_Verbräuche[[#This Row],[Datenpunkt]]</f>
        <v>Sand</v>
      </c>
      <c r="D145" s="9" t="s">
        <v>150</v>
      </c>
      <c r="E145" s="21">
        <v>5.7390999999999996E-3</v>
      </c>
      <c r="F145" s="21">
        <v>5.7390999999999996E-3</v>
      </c>
      <c r="G145" s="21">
        <v>5.7390999999999996E-3</v>
      </c>
      <c r="H145" s="21">
        <v>5.7390999999999996E-3</v>
      </c>
      <c r="I145" s="21">
        <v>5.7390999999999996E-3</v>
      </c>
      <c r="J145" s="21">
        <v>4.9841E-3</v>
      </c>
      <c r="K145" s="21">
        <v>4.9841E-3</v>
      </c>
      <c r="L145" s="21">
        <v>4.9841E-3</v>
      </c>
      <c r="M145" s="21">
        <v>4.9841E-3</v>
      </c>
      <c r="N145" s="21">
        <v>4.9841E-3</v>
      </c>
      <c r="O145" s="21">
        <v>4.9841E-3</v>
      </c>
      <c r="P145" s="21">
        <v>4.9841E-3</v>
      </c>
      <c r="Q145" s="21">
        <v>4.9841E-3</v>
      </c>
      <c r="R145" s="21">
        <v>4.9841E-3</v>
      </c>
      <c r="S145" s="21">
        <v>4.9841E-3</v>
      </c>
      <c r="T145" s="21">
        <v>4.2180999999999998E-3</v>
      </c>
      <c r="U145" s="21">
        <v>4.2180999999999998E-3</v>
      </c>
      <c r="V145" s="21">
        <v>4.2180999999999998E-3</v>
      </c>
      <c r="W145" s="21">
        <v>4.2180999999999998E-3</v>
      </c>
      <c r="X145" s="21">
        <v>3.4824999999999999E-3</v>
      </c>
      <c r="Y145" s="11" t="s">
        <v>31</v>
      </c>
      <c r="Z145" s="11" t="s">
        <v>91</v>
      </c>
    </row>
    <row r="146" spans="2:26" ht="16.5">
      <c r="B146" s="19">
        <v>129</v>
      </c>
      <c r="C146" s="19" t="str">
        <f>Refsz_Verbräuche[[#This Row],[Datenpunkt]]</f>
        <v>Kupferdraht</v>
      </c>
      <c r="D146" s="9" t="s">
        <v>150</v>
      </c>
      <c r="E146" s="21">
        <v>4.2422829999999996</v>
      </c>
      <c r="F146" s="21">
        <v>4.2422829999999996</v>
      </c>
      <c r="G146" s="21">
        <v>4.2422829999999996</v>
      </c>
      <c r="H146" s="21">
        <v>4.2422829999999996</v>
      </c>
      <c r="I146" s="21">
        <v>4.2422829999999996</v>
      </c>
      <c r="J146" s="21">
        <v>4.2422829999999996</v>
      </c>
      <c r="K146" s="21">
        <v>4.2422829999999996</v>
      </c>
      <c r="L146" s="21">
        <v>4.2422829999999996</v>
      </c>
      <c r="M146" s="21">
        <v>4.2422829999999996</v>
      </c>
      <c r="N146" s="21">
        <v>4.2422829999999996</v>
      </c>
      <c r="O146" s="21">
        <v>4.2422829999999996</v>
      </c>
      <c r="P146" s="21">
        <v>4.2422829999999996</v>
      </c>
      <c r="Q146" s="21">
        <v>4.2422829999999996</v>
      </c>
      <c r="R146" s="21">
        <v>4.2422829999999996</v>
      </c>
      <c r="S146" s="21">
        <v>4.2422829999999996</v>
      </c>
      <c r="T146" s="21">
        <v>4.2422829999999996</v>
      </c>
      <c r="U146" s="21">
        <v>4.2422829999999996</v>
      </c>
      <c r="V146" s="21">
        <v>4.2422829999999996</v>
      </c>
      <c r="W146" s="21">
        <v>4.2422829999999996</v>
      </c>
      <c r="X146" s="21">
        <v>4.2422829999999996</v>
      </c>
      <c r="Y146" s="11" t="s">
        <v>31</v>
      </c>
      <c r="Z146" s="11" t="s">
        <v>94</v>
      </c>
    </row>
    <row r="147" spans="2:26" ht="16.5">
      <c r="B147" s="19">
        <v>130</v>
      </c>
      <c r="C147" s="19" t="str">
        <f>Refsz_Verbräuche[[#This Row],[Datenpunkt]]</f>
        <v>Kupferrohr</v>
      </c>
      <c r="D147" s="9" t="s">
        <v>150</v>
      </c>
      <c r="E147" s="21">
        <v>2.4067535000000002</v>
      </c>
      <c r="F147" s="21">
        <v>2.4067535000000002</v>
      </c>
      <c r="G147" s="21">
        <v>2.4067535000000002</v>
      </c>
      <c r="H147" s="21">
        <v>2.4067535000000002</v>
      </c>
      <c r="I147" s="21">
        <v>2.4067535000000002</v>
      </c>
      <c r="J147" s="21">
        <v>2.4067535000000002</v>
      </c>
      <c r="K147" s="21">
        <v>2.4067535000000002</v>
      </c>
      <c r="L147" s="21">
        <v>2.4067535000000002</v>
      </c>
      <c r="M147" s="21">
        <v>2.4067535000000002</v>
      </c>
      <c r="N147" s="21">
        <v>2.4067535000000002</v>
      </c>
      <c r="O147" s="21">
        <v>2.4067535000000002</v>
      </c>
      <c r="P147" s="21">
        <v>2.4067535000000002</v>
      </c>
      <c r="Q147" s="21">
        <v>2.4067535000000002</v>
      </c>
      <c r="R147" s="21">
        <v>2.4067535000000002</v>
      </c>
      <c r="S147" s="21">
        <v>2.4067535000000002</v>
      </c>
      <c r="T147" s="21">
        <v>2.4067535000000002</v>
      </c>
      <c r="U147" s="21">
        <v>2.4067535000000002</v>
      </c>
      <c r="V147" s="21">
        <v>2.4067535000000002</v>
      </c>
      <c r="W147" s="21">
        <v>2.4067535000000002</v>
      </c>
      <c r="X147" s="21">
        <v>2.4067535000000002</v>
      </c>
      <c r="Y147" s="11" t="s">
        <v>31</v>
      </c>
      <c r="Z147" s="11" t="s">
        <v>95</v>
      </c>
    </row>
    <row r="148" spans="2:26" ht="16.5">
      <c r="B148" s="19">
        <v>131</v>
      </c>
      <c r="C148" s="19" t="str">
        <f>Refsz_Verbräuche[[#This Row],[Datenpunkt]]</f>
        <v>Stahl-Blech</v>
      </c>
      <c r="D148" s="9" t="s">
        <v>150</v>
      </c>
      <c r="E148" s="21">
        <v>1.8307004</v>
      </c>
      <c r="F148" s="21">
        <v>1.8307004</v>
      </c>
      <c r="G148" s="21">
        <v>1.8307004</v>
      </c>
      <c r="H148" s="21">
        <v>1.8307004</v>
      </c>
      <c r="I148" s="21">
        <v>1.8307004</v>
      </c>
      <c r="J148" s="21">
        <v>1.7526278</v>
      </c>
      <c r="K148" s="21">
        <v>1.7526278</v>
      </c>
      <c r="L148" s="21">
        <v>1.7526278</v>
      </c>
      <c r="M148" s="21">
        <v>1.7526278</v>
      </c>
      <c r="N148" s="21">
        <v>1.7526278</v>
      </c>
      <c r="O148" s="21">
        <v>1.7526278</v>
      </c>
      <c r="P148" s="21">
        <v>1.7526278</v>
      </c>
      <c r="Q148" s="21">
        <v>1.7526278</v>
      </c>
      <c r="R148" s="21">
        <v>1.7526278</v>
      </c>
      <c r="S148" s="21">
        <v>1.7526278</v>
      </c>
      <c r="T148" s="21">
        <v>1.4832083</v>
      </c>
      <c r="U148" s="21">
        <v>1.4832083</v>
      </c>
      <c r="V148" s="21">
        <v>1.4832083</v>
      </c>
      <c r="W148" s="21">
        <v>1.4832083</v>
      </c>
      <c r="X148" s="21">
        <v>1.4832083</v>
      </c>
      <c r="Y148" s="11" t="s">
        <v>31</v>
      </c>
      <c r="Z148" s="11" t="s">
        <v>98</v>
      </c>
    </row>
    <row r="149" spans="2:26" ht="16.5">
      <c r="B149" s="19">
        <v>132</v>
      </c>
      <c r="C149" s="19" t="str">
        <f>Refsz_Verbräuche[[#This Row],[Datenpunkt]]</f>
        <v>Stahl-Blech verzinkt</v>
      </c>
      <c r="D149" s="9" t="s">
        <v>150</v>
      </c>
      <c r="E149" s="21">
        <v>2.4594748000000002</v>
      </c>
      <c r="F149" s="21">
        <v>2.4594748000000002</v>
      </c>
      <c r="G149" s="21">
        <v>2.4594748000000002</v>
      </c>
      <c r="H149" s="21">
        <v>2.4594748000000002</v>
      </c>
      <c r="I149" s="21">
        <v>2.4594748000000002</v>
      </c>
      <c r="J149" s="21">
        <v>2.2349291</v>
      </c>
      <c r="K149" s="21">
        <v>2.2349291</v>
      </c>
      <c r="L149" s="21">
        <v>2.2349291</v>
      </c>
      <c r="M149" s="21">
        <v>2.2349291</v>
      </c>
      <c r="N149" s="21">
        <v>2.2349291</v>
      </c>
      <c r="O149" s="21">
        <v>2.2349291</v>
      </c>
      <c r="P149" s="21">
        <v>2.2349291</v>
      </c>
      <c r="Q149" s="21">
        <v>2.2349291</v>
      </c>
      <c r="R149" s="21">
        <v>2.2349291</v>
      </c>
      <c r="S149" s="21">
        <v>2.2349291</v>
      </c>
      <c r="T149" s="21">
        <v>1.9009343000000001</v>
      </c>
      <c r="U149" s="21">
        <v>1.9009343000000001</v>
      </c>
      <c r="V149" s="21">
        <v>1.9009343000000001</v>
      </c>
      <c r="W149" s="21">
        <v>1.9009343000000001</v>
      </c>
      <c r="X149" s="21">
        <v>1.0982144</v>
      </c>
      <c r="Y149" s="11" t="s">
        <v>31</v>
      </c>
      <c r="Z149" s="11" t="s">
        <v>99</v>
      </c>
    </row>
    <row r="150" spans="2:26" ht="16.5">
      <c r="B150" s="19">
        <v>133</v>
      </c>
      <c r="C150" s="19" t="str">
        <f>Refsz_Verbräuche[[#This Row],[Datenpunkt]]</f>
        <v>Stahl-Elektro</v>
      </c>
      <c r="D150" s="9" t="s">
        <v>150</v>
      </c>
      <c r="E150" s="21">
        <v>0.53459999999999996</v>
      </c>
      <c r="F150" s="21">
        <v>0.53459999999999996</v>
      </c>
      <c r="G150" s="21">
        <v>0.53459999999999996</v>
      </c>
      <c r="H150" s="21">
        <v>0.53459999999999996</v>
      </c>
      <c r="I150" s="21">
        <v>0.53459999999999996</v>
      </c>
      <c r="J150" s="21">
        <v>0.46728999999999998</v>
      </c>
      <c r="K150" s="21">
        <v>0.46728999999999998</v>
      </c>
      <c r="L150" s="21">
        <v>0.46728999999999998</v>
      </c>
      <c r="M150" s="21">
        <v>0.46728999999999998</v>
      </c>
      <c r="N150" s="21">
        <v>0.46728999999999998</v>
      </c>
      <c r="O150" s="21">
        <v>0.46728999999999998</v>
      </c>
      <c r="P150" s="21">
        <v>0.46728999999999998</v>
      </c>
      <c r="Q150" s="21">
        <v>0.46728999999999998</v>
      </c>
      <c r="R150" s="21">
        <v>0.46728999999999998</v>
      </c>
      <c r="S150" s="21">
        <v>0.46728999999999998</v>
      </c>
      <c r="T150" s="21">
        <v>0.39960000000000001</v>
      </c>
      <c r="U150" s="21">
        <v>0.39960000000000001</v>
      </c>
      <c r="V150" s="21">
        <v>0.39960000000000001</v>
      </c>
      <c r="W150" s="21">
        <v>0.39960000000000001</v>
      </c>
      <c r="X150" s="21">
        <v>0.30909999999999999</v>
      </c>
      <c r="Y150" s="11" t="s">
        <v>31</v>
      </c>
      <c r="Z150" s="11" t="s">
        <v>100</v>
      </c>
    </row>
    <row r="151" spans="2:26" ht="16.5">
      <c r="B151" s="19">
        <v>134</v>
      </c>
      <c r="C151" s="19" t="str">
        <f>Refsz_Verbräuche[[#This Row],[Datenpunkt]]</f>
        <v>Stahl-mix</v>
      </c>
      <c r="D151" s="9" t="s">
        <v>150</v>
      </c>
      <c r="E151" s="21">
        <v>1.4582119</v>
      </c>
      <c r="F151" s="21">
        <v>1.4582119</v>
      </c>
      <c r="G151" s="21">
        <v>1.4582119</v>
      </c>
      <c r="H151" s="21">
        <v>1.4582119</v>
      </c>
      <c r="I151" s="21">
        <v>1.4582119</v>
      </c>
      <c r="J151" s="21">
        <v>1.3666703</v>
      </c>
      <c r="K151" s="21">
        <v>1.3666703</v>
      </c>
      <c r="L151" s="21">
        <v>1.3666703</v>
      </c>
      <c r="M151" s="21">
        <v>1.3666703</v>
      </c>
      <c r="N151" s="21">
        <v>1.3666703</v>
      </c>
      <c r="O151" s="21">
        <v>1.3666703</v>
      </c>
      <c r="P151" s="21">
        <v>1.3666703</v>
      </c>
      <c r="Q151" s="21">
        <v>1.3666703</v>
      </c>
      <c r="R151" s="21">
        <v>1.3666703</v>
      </c>
      <c r="S151" s="21">
        <v>1.3666703</v>
      </c>
      <c r="T151" s="21">
        <v>1.1482642000000001</v>
      </c>
      <c r="U151" s="21">
        <v>1.1482642000000001</v>
      </c>
      <c r="V151" s="21">
        <v>1.1482642000000001</v>
      </c>
      <c r="W151" s="21">
        <v>1.1482642000000001</v>
      </c>
      <c r="X151" s="21">
        <v>0.76171</v>
      </c>
      <c r="Y151" s="11" t="s">
        <v>31</v>
      </c>
      <c r="Z151" s="11" t="s">
        <v>101</v>
      </c>
    </row>
    <row r="152" spans="2:26" ht="16.5">
      <c r="B152" s="19">
        <v>135</v>
      </c>
      <c r="C152" s="19" t="str">
        <f>Refsz_Verbräuche[[#This Row],[Datenpunkt]]</f>
        <v>Beton</v>
      </c>
      <c r="D152" s="9" t="s">
        <v>150</v>
      </c>
      <c r="E152" s="21">
        <v>0.16954</v>
      </c>
      <c r="F152" s="21">
        <v>0.16954</v>
      </c>
      <c r="G152" s="21">
        <v>0.16954</v>
      </c>
      <c r="H152" s="21">
        <v>0.16954</v>
      </c>
      <c r="I152" s="21">
        <v>0.16954</v>
      </c>
      <c r="J152" s="21">
        <v>0.16413</v>
      </c>
      <c r="K152" s="21">
        <v>0.16413</v>
      </c>
      <c r="L152" s="21">
        <v>0.16413</v>
      </c>
      <c r="M152" s="21">
        <v>0.16413</v>
      </c>
      <c r="N152" s="21">
        <v>0.16413</v>
      </c>
      <c r="O152" s="21">
        <v>0.16413</v>
      </c>
      <c r="P152" s="21">
        <v>0.16413</v>
      </c>
      <c r="Q152" s="21">
        <v>0.16413</v>
      </c>
      <c r="R152" s="21">
        <v>0.16413</v>
      </c>
      <c r="S152" s="21">
        <v>0.16413</v>
      </c>
      <c r="T152" s="21">
        <v>0.1585</v>
      </c>
      <c r="U152" s="21">
        <v>0.1585</v>
      </c>
      <c r="V152" s="21">
        <v>0.1585</v>
      </c>
      <c r="W152" s="21">
        <v>0.1585</v>
      </c>
      <c r="X152" s="21">
        <v>0.15104000000000001</v>
      </c>
      <c r="Y152" s="11" t="s">
        <v>31</v>
      </c>
      <c r="Z152" s="11" t="s">
        <v>102</v>
      </c>
    </row>
    <row r="153" spans="2:26" ht="16.5">
      <c r="B153" s="19">
        <v>136</v>
      </c>
      <c r="C153" s="19" t="str">
        <f>Refsz_Verbräuche[[#This Row],[Datenpunkt]]</f>
        <v>Glaswolle</v>
      </c>
      <c r="D153" s="9" t="s">
        <v>150</v>
      </c>
      <c r="E153" s="21">
        <v>1.141</v>
      </c>
      <c r="F153" s="21">
        <v>1.141</v>
      </c>
      <c r="G153" s="21">
        <v>1.141</v>
      </c>
      <c r="H153" s="21">
        <v>1.141</v>
      </c>
      <c r="I153" s="21">
        <v>1.141</v>
      </c>
      <c r="J153" s="21">
        <v>1.141</v>
      </c>
      <c r="K153" s="21">
        <v>1.141</v>
      </c>
      <c r="L153" s="21">
        <v>1.141</v>
      </c>
      <c r="M153" s="21">
        <v>1.141</v>
      </c>
      <c r="N153" s="21">
        <v>1.141</v>
      </c>
      <c r="O153" s="21">
        <v>1.141</v>
      </c>
      <c r="P153" s="21">
        <v>1.141</v>
      </c>
      <c r="Q153" s="21">
        <v>1.141</v>
      </c>
      <c r="R153" s="21">
        <v>1.141</v>
      </c>
      <c r="S153" s="21">
        <v>1.141</v>
      </c>
      <c r="T153" s="21">
        <v>1.141</v>
      </c>
      <c r="U153" s="21">
        <v>1.141</v>
      </c>
      <c r="V153" s="21">
        <v>1.141</v>
      </c>
      <c r="W153" s="21">
        <v>1.141</v>
      </c>
      <c r="X153" s="21">
        <v>1.141</v>
      </c>
      <c r="Y153" s="11" t="s">
        <v>479</v>
      </c>
      <c r="Z153" s="11" t="s">
        <v>103</v>
      </c>
    </row>
    <row r="154" spans="2:26" ht="16.5">
      <c r="B154" s="19">
        <v>137</v>
      </c>
      <c r="C154" s="19" t="str">
        <f>Refsz_Verbräuche[[#This Row],[Datenpunkt]]</f>
        <v>Konstruktionsvollholz</v>
      </c>
      <c r="D154" s="9" t="s">
        <v>155</v>
      </c>
      <c r="E154" s="21">
        <f>-727+5577</f>
        <v>4850</v>
      </c>
      <c r="F154" s="21">
        <f t="shared" ref="F154:X154" si="15">-727+5577</f>
        <v>4850</v>
      </c>
      <c r="G154" s="21">
        <f t="shared" si="15"/>
        <v>4850</v>
      </c>
      <c r="H154" s="21">
        <f t="shared" si="15"/>
        <v>4850</v>
      </c>
      <c r="I154" s="21">
        <f t="shared" si="15"/>
        <v>4850</v>
      </c>
      <c r="J154" s="21">
        <f t="shared" si="15"/>
        <v>4850</v>
      </c>
      <c r="K154" s="21">
        <f t="shared" si="15"/>
        <v>4850</v>
      </c>
      <c r="L154" s="21">
        <f t="shared" si="15"/>
        <v>4850</v>
      </c>
      <c r="M154" s="21">
        <f t="shared" si="15"/>
        <v>4850</v>
      </c>
      <c r="N154" s="21">
        <f t="shared" si="15"/>
        <v>4850</v>
      </c>
      <c r="O154" s="21">
        <f t="shared" si="15"/>
        <v>4850</v>
      </c>
      <c r="P154" s="21">
        <f t="shared" si="15"/>
        <v>4850</v>
      </c>
      <c r="Q154" s="21">
        <f t="shared" si="15"/>
        <v>4850</v>
      </c>
      <c r="R154" s="21">
        <f t="shared" si="15"/>
        <v>4850</v>
      </c>
      <c r="S154" s="21">
        <f t="shared" si="15"/>
        <v>4850</v>
      </c>
      <c r="T154" s="21">
        <f t="shared" si="15"/>
        <v>4850</v>
      </c>
      <c r="U154" s="21">
        <f t="shared" si="15"/>
        <v>4850</v>
      </c>
      <c r="V154" s="21">
        <f t="shared" si="15"/>
        <v>4850</v>
      </c>
      <c r="W154" s="21">
        <f t="shared" si="15"/>
        <v>4850</v>
      </c>
      <c r="X154" s="21">
        <f t="shared" si="15"/>
        <v>4850</v>
      </c>
      <c r="Y154" s="11" t="s">
        <v>105</v>
      </c>
      <c r="Z154" s="11" t="s">
        <v>114</v>
      </c>
    </row>
    <row r="155" spans="2:26" ht="16.5">
      <c r="B155" s="19">
        <v>138</v>
      </c>
      <c r="C155" s="19" t="str">
        <f>Refsz_Verbräuche[[#This Row],[Datenpunkt]]</f>
        <v>Spanplatte</v>
      </c>
      <c r="D155" s="9" t="s">
        <v>150</v>
      </c>
      <c r="E155" s="21">
        <v>0.46100000000000002</v>
      </c>
      <c r="F155" s="21">
        <v>0.46100000000000002</v>
      </c>
      <c r="G155" s="21">
        <v>0.46100000000000002</v>
      </c>
      <c r="H155" s="21">
        <v>0.46100000000000002</v>
      </c>
      <c r="I155" s="21">
        <v>0.46100000000000002</v>
      </c>
      <c r="J155" s="21">
        <v>0.46100000000000002</v>
      </c>
      <c r="K155" s="21">
        <v>0.46100000000000002</v>
      </c>
      <c r="L155" s="21">
        <v>0.46100000000000002</v>
      </c>
      <c r="M155" s="21">
        <v>0.46100000000000002</v>
      </c>
      <c r="N155" s="21">
        <v>0.46100000000000002</v>
      </c>
      <c r="O155" s="21">
        <v>0.46100000000000002</v>
      </c>
      <c r="P155" s="21">
        <v>0.46100000000000002</v>
      </c>
      <c r="Q155" s="21">
        <v>0.46100000000000002</v>
      </c>
      <c r="R155" s="21">
        <v>0.46100000000000002</v>
      </c>
      <c r="S155" s="21">
        <v>0.46100000000000002</v>
      </c>
      <c r="T155" s="21">
        <v>0.46100000000000002</v>
      </c>
      <c r="U155" s="21">
        <v>0.46100000000000002</v>
      </c>
      <c r="V155" s="21">
        <v>0.46100000000000002</v>
      </c>
      <c r="W155" s="21">
        <v>0.46100000000000002</v>
      </c>
      <c r="X155" s="21">
        <v>0.46100000000000002</v>
      </c>
      <c r="Y155" s="11" t="s">
        <v>480</v>
      </c>
      <c r="Z155" s="11" t="s">
        <v>109</v>
      </c>
    </row>
    <row r="156" spans="2:26" ht="16.5">
      <c r="B156" s="19">
        <v>139</v>
      </c>
      <c r="C156" s="19" t="str">
        <f>Refsz_Verbräuche[[#This Row],[Datenpunkt]]</f>
        <v>Perlit</v>
      </c>
      <c r="D156" s="9" t="s">
        <v>150</v>
      </c>
      <c r="E156" s="21">
        <v>0.56510000000000005</v>
      </c>
      <c r="F156" s="21">
        <v>0.56510000000000005</v>
      </c>
      <c r="G156" s="21">
        <v>0.56510000000000005</v>
      </c>
      <c r="H156" s="21">
        <v>0.56510000000000005</v>
      </c>
      <c r="I156" s="21">
        <v>0.56510000000000005</v>
      </c>
      <c r="J156" s="21">
        <v>0.56510000000000005</v>
      </c>
      <c r="K156" s="21">
        <v>0.56510000000000005</v>
      </c>
      <c r="L156" s="21">
        <v>0.56510000000000005</v>
      </c>
      <c r="M156" s="21">
        <v>0.56510000000000005</v>
      </c>
      <c r="N156" s="21">
        <v>0.56510000000000005</v>
      </c>
      <c r="O156" s="21">
        <v>0.56510000000000005</v>
      </c>
      <c r="P156" s="21">
        <v>0.56510000000000005</v>
      </c>
      <c r="Q156" s="21">
        <v>0.56510000000000005</v>
      </c>
      <c r="R156" s="21">
        <v>0.56510000000000005</v>
      </c>
      <c r="S156" s="21">
        <v>0.56510000000000005</v>
      </c>
      <c r="T156" s="21">
        <v>0.56510000000000005</v>
      </c>
      <c r="U156" s="21">
        <v>0.56510000000000005</v>
      </c>
      <c r="V156" s="21">
        <v>0.56510000000000005</v>
      </c>
      <c r="W156" s="21">
        <v>0.56510000000000005</v>
      </c>
      <c r="X156" s="21">
        <v>0.56510000000000005</v>
      </c>
      <c r="Y156" s="11" t="s">
        <v>105</v>
      </c>
      <c r="Z156" s="11" t="s">
        <v>117</v>
      </c>
    </row>
    <row r="157" spans="2:26" ht="16.5">
      <c r="B157" s="19">
        <v>140</v>
      </c>
      <c r="C157" s="19" t="str">
        <f>Refsz_Verbräuche[[#This Row],[Datenpunkt]]</f>
        <v>Stahlbeton Fertigteil Decke (20cm Dicke)</v>
      </c>
      <c r="D157" s="9" t="s">
        <v>156</v>
      </c>
      <c r="E157" s="21">
        <v>85.83</v>
      </c>
      <c r="F157" s="21">
        <v>85.83</v>
      </c>
      <c r="G157" s="21">
        <v>85.83</v>
      </c>
      <c r="H157" s="21">
        <v>85.83</v>
      </c>
      <c r="I157" s="21">
        <v>85.83</v>
      </c>
      <c r="J157" s="21">
        <v>85.83</v>
      </c>
      <c r="K157" s="21">
        <v>85.83</v>
      </c>
      <c r="L157" s="21">
        <v>85.83</v>
      </c>
      <c r="M157" s="21">
        <v>85.83</v>
      </c>
      <c r="N157" s="21">
        <v>85.83</v>
      </c>
      <c r="O157" s="21">
        <v>85.83</v>
      </c>
      <c r="P157" s="21">
        <v>85.83</v>
      </c>
      <c r="Q157" s="21">
        <v>85.83</v>
      </c>
      <c r="R157" s="21">
        <v>85.83</v>
      </c>
      <c r="S157" s="21">
        <v>85.83</v>
      </c>
      <c r="T157" s="21">
        <v>85.83</v>
      </c>
      <c r="U157" s="21">
        <v>85.83</v>
      </c>
      <c r="V157" s="21">
        <v>85.83</v>
      </c>
      <c r="W157" s="21">
        <v>85.83</v>
      </c>
      <c r="X157" s="21">
        <v>85.83</v>
      </c>
      <c r="Y157" s="11" t="s">
        <v>105</v>
      </c>
      <c r="Z157" s="11" t="s">
        <v>119</v>
      </c>
    </row>
    <row r="158" spans="2:26" ht="16.5">
      <c r="B158" s="19">
        <v>141</v>
      </c>
      <c r="C158" s="19" t="str">
        <f>Refsz_Verbräuche[[#This Row],[Datenpunkt]]</f>
        <v>Stahlbeton Fertigteil Wand (12cm Dicke)</v>
      </c>
      <c r="D158" s="9" t="s">
        <v>156</v>
      </c>
      <c r="E158" s="21">
        <v>36.700000000000003</v>
      </c>
      <c r="F158" s="21">
        <v>36.700000000000003</v>
      </c>
      <c r="G158" s="21">
        <v>36.700000000000003</v>
      </c>
      <c r="H158" s="21">
        <v>36.700000000000003</v>
      </c>
      <c r="I158" s="21">
        <v>36.700000000000003</v>
      </c>
      <c r="J158" s="21">
        <v>36.700000000000003</v>
      </c>
      <c r="K158" s="21">
        <v>36.700000000000003</v>
      </c>
      <c r="L158" s="21">
        <v>36.700000000000003</v>
      </c>
      <c r="M158" s="21">
        <v>36.700000000000003</v>
      </c>
      <c r="N158" s="21">
        <v>36.700000000000003</v>
      </c>
      <c r="O158" s="21">
        <v>36.700000000000003</v>
      </c>
      <c r="P158" s="21">
        <v>36.700000000000003</v>
      </c>
      <c r="Q158" s="21">
        <v>36.700000000000003</v>
      </c>
      <c r="R158" s="21">
        <v>36.700000000000003</v>
      </c>
      <c r="S158" s="21">
        <v>36.700000000000003</v>
      </c>
      <c r="T158" s="21">
        <v>36.700000000000003</v>
      </c>
      <c r="U158" s="21">
        <v>36.700000000000003</v>
      </c>
      <c r="V158" s="21">
        <v>36.700000000000003</v>
      </c>
      <c r="W158" s="21">
        <v>36.700000000000003</v>
      </c>
      <c r="X158" s="21">
        <v>36.700000000000003</v>
      </c>
      <c r="Y158" s="11" t="s">
        <v>105</v>
      </c>
      <c r="Z158" s="11" t="s">
        <v>121</v>
      </c>
    </row>
    <row r="159" spans="2:26" ht="16.5">
      <c r="B159" s="19">
        <v>142</v>
      </c>
      <c r="C159" s="19" t="str">
        <f>Refsz_Verbräuche[[#This Row],[Datenpunkt]]</f>
        <v xml:space="preserve">Stahlbeton Fertigteil Treppe (1,1 m Breite, 9 Stufen a 16 cm) </v>
      </c>
      <c r="D159" s="9" t="s">
        <v>154</v>
      </c>
      <c r="E159" s="21">
        <v>265</v>
      </c>
      <c r="F159" s="21">
        <v>265</v>
      </c>
      <c r="G159" s="21">
        <v>265</v>
      </c>
      <c r="H159" s="21">
        <v>265</v>
      </c>
      <c r="I159" s="21">
        <v>265</v>
      </c>
      <c r="J159" s="21">
        <v>265</v>
      </c>
      <c r="K159" s="21">
        <v>265</v>
      </c>
      <c r="L159" s="21">
        <v>265</v>
      </c>
      <c r="M159" s="21">
        <v>265</v>
      </c>
      <c r="N159" s="21">
        <v>265</v>
      </c>
      <c r="O159" s="21">
        <v>265</v>
      </c>
      <c r="P159" s="21">
        <v>265</v>
      </c>
      <c r="Q159" s="21">
        <v>265</v>
      </c>
      <c r="R159" s="21">
        <v>265</v>
      </c>
      <c r="S159" s="21">
        <v>265</v>
      </c>
      <c r="T159" s="21">
        <v>265</v>
      </c>
      <c r="U159" s="21">
        <v>265</v>
      </c>
      <c r="V159" s="21">
        <v>265</v>
      </c>
      <c r="W159" s="21">
        <v>265</v>
      </c>
      <c r="X159" s="21">
        <v>265</v>
      </c>
      <c r="Y159" s="11" t="s">
        <v>105</v>
      </c>
      <c r="Z159" s="11" t="s">
        <v>123</v>
      </c>
    </row>
    <row r="160" spans="2:26" ht="16.5">
      <c r="B160" s="19">
        <v>143</v>
      </c>
      <c r="C160" s="19" t="str">
        <f>Refsz_Verbräuche[[#This Row],[Datenpunkt]]</f>
        <v>Mineralwolle</v>
      </c>
      <c r="D160" s="9" t="s">
        <v>155</v>
      </c>
      <c r="E160" s="21">
        <v>39.82</v>
      </c>
      <c r="F160" s="21">
        <v>39.82</v>
      </c>
      <c r="G160" s="21">
        <v>39.82</v>
      </c>
      <c r="H160" s="21">
        <v>39.82</v>
      </c>
      <c r="I160" s="21">
        <v>39.82</v>
      </c>
      <c r="J160" s="21">
        <v>39.82</v>
      </c>
      <c r="K160" s="21">
        <v>39.82</v>
      </c>
      <c r="L160" s="21">
        <v>39.82</v>
      </c>
      <c r="M160" s="21">
        <v>39.82</v>
      </c>
      <c r="N160" s="21">
        <v>39.82</v>
      </c>
      <c r="O160" s="21">
        <v>39.82</v>
      </c>
      <c r="P160" s="21">
        <v>39.82</v>
      </c>
      <c r="Q160" s="21">
        <v>39.82</v>
      </c>
      <c r="R160" s="21">
        <v>39.82</v>
      </c>
      <c r="S160" s="21">
        <v>39.82</v>
      </c>
      <c r="T160" s="21">
        <v>39.82</v>
      </c>
      <c r="U160" s="21">
        <v>39.82</v>
      </c>
      <c r="V160" s="21">
        <v>39.82</v>
      </c>
      <c r="W160" s="21">
        <v>39.82</v>
      </c>
      <c r="X160" s="21">
        <v>39.82</v>
      </c>
      <c r="Y160" s="11" t="s">
        <v>105</v>
      </c>
      <c r="Z160" s="11" t="s">
        <v>124</v>
      </c>
    </row>
    <row r="161" spans="2:26" ht="16.5">
      <c r="B161" s="19">
        <v>144</v>
      </c>
      <c r="C161" s="19" t="str">
        <f>Refsz_Verbräuche[[#This Row],[Datenpunkt]]</f>
        <v>Mauerziegel (ungefüllt)</v>
      </c>
      <c r="D161" s="9" t="s">
        <v>155</v>
      </c>
      <c r="E161" s="21">
        <f>113+4.15+0.824</f>
        <v>117.974</v>
      </c>
      <c r="F161" s="21">
        <f>113+4.15+0.824</f>
        <v>117.974</v>
      </c>
      <c r="G161" s="21">
        <f>113+4.15+0.824</f>
        <v>117.974</v>
      </c>
      <c r="H161" s="21">
        <f>113+4.15+0.824</f>
        <v>117.974</v>
      </c>
      <c r="I161" s="21">
        <f>113+4.15+0.824</f>
        <v>117.974</v>
      </c>
      <c r="J161" s="21">
        <f t="shared" ref="J161:X161" si="16">113+4.15+0.824</f>
        <v>117.974</v>
      </c>
      <c r="K161" s="21">
        <f t="shared" si="16"/>
        <v>117.974</v>
      </c>
      <c r="L161" s="21">
        <f t="shared" si="16"/>
        <v>117.974</v>
      </c>
      <c r="M161" s="21">
        <f t="shared" si="16"/>
        <v>117.974</v>
      </c>
      <c r="N161" s="21">
        <f t="shared" si="16"/>
        <v>117.974</v>
      </c>
      <c r="O161" s="21">
        <f t="shared" si="16"/>
        <v>117.974</v>
      </c>
      <c r="P161" s="21">
        <f t="shared" si="16"/>
        <v>117.974</v>
      </c>
      <c r="Q161" s="21">
        <f t="shared" si="16"/>
        <v>117.974</v>
      </c>
      <c r="R161" s="21">
        <f t="shared" si="16"/>
        <v>117.974</v>
      </c>
      <c r="S161" s="21">
        <f t="shared" si="16"/>
        <v>117.974</v>
      </c>
      <c r="T161" s="21">
        <f t="shared" si="16"/>
        <v>117.974</v>
      </c>
      <c r="U161" s="21">
        <f t="shared" si="16"/>
        <v>117.974</v>
      </c>
      <c r="V161" s="21">
        <f t="shared" si="16"/>
        <v>117.974</v>
      </c>
      <c r="W161" s="21">
        <f t="shared" si="16"/>
        <v>117.974</v>
      </c>
      <c r="X161" s="21">
        <f t="shared" si="16"/>
        <v>117.974</v>
      </c>
      <c r="Y161" s="11" t="s">
        <v>105</v>
      </c>
      <c r="Z161" s="11" t="s">
        <v>126</v>
      </c>
    </row>
    <row r="162" spans="2:26">
      <c r="B162" s="19">
        <v>145</v>
      </c>
      <c r="C162" s="19">
        <f>Refsz_Verbräuche[[#This Row],[Datenpunkt]]</f>
        <v>0</v>
      </c>
      <c r="D162" s="9"/>
      <c r="E162" s="21"/>
      <c r="F162" s="21"/>
      <c r="G162" s="21"/>
      <c r="H162" s="21"/>
      <c r="I162" s="21"/>
      <c r="J162" s="21"/>
      <c r="K162" s="21"/>
      <c r="L162" s="21"/>
      <c r="M162" s="21"/>
      <c r="N162" s="21"/>
      <c r="O162" s="21"/>
      <c r="P162" s="21"/>
      <c r="Q162" s="21"/>
      <c r="R162" s="21"/>
      <c r="S162" s="21"/>
      <c r="T162" s="21"/>
      <c r="U162" s="21"/>
      <c r="V162" s="21"/>
      <c r="W162" s="21"/>
      <c r="X162" s="21"/>
      <c r="Y162" s="11"/>
      <c r="Z162" s="11"/>
    </row>
    <row r="163" spans="2:26" ht="16.5">
      <c r="B163" s="19">
        <v>146</v>
      </c>
      <c r="C163" s="19" t="str">
        <f>Refsz_Verbräuche[[#This Row],[Datenpunkt]]</f>
        <v>Holzfaserdämmpatte (flexibe Matte)</v>
      </c>
      <c r="D163" s="9" t="s">
        <v>155</v>
      </c>
      <c r="E163" s="21">
        <f>-42+8.07</f>
        <v>-33.93</v>
      </c>
      <c r="F163" s="21">
        <f t="shared" ref="F163:X163" si="17">-42+8.07</f>
        <v>-33.93</v>
      </c>
      <c r="G163" s="21">
        <f t="shared" si="17"/>
        <v>-33.93</v>
      </c>
      <c r="H163" s="21">
        <f t="shared" si="17"/>
        <v>-33.93</v>
      </c>
      <c r="I163" s="21">
        <f t="shared" si="17"/>
        <v>-33.93</v>
      </c>
      <c r="J163" s="21">
        <f t="shared" si="17"/>
        <v>-33.93</v>
      </c>
      <c r="K163" s="21">
        <f t="shared" si="17"/>
        <v>-33.93</v>
      </c>
      <c r="L163" s="21">
        <f t="shared" si="17"/>
        <v>-33.93</v>
      </c>
      <c r="M163" s="21">
        <f t="shared" si="17"/>
        <v>-33.93</v>
      </c>
      <c r="N163" s="21">
        <f t="shared" si="17"/>
        <v>-33.93</v>
      </c>
      <c r="O163" s="21">
        <f t="shared" si="17"/>
        <v>-33.93</v>
      </c>
      <c r="P163" s="21">
        <f t="shared" si="17"/>
        <v>-33.93</v>
      </c>
      <c r="Q163" s="21">
        <f t="shared" si="17"/>
        <v>-33.93</v>
      </c>
      <c r="R163" s="21">
        <f t="shared" si="17"/>
        <v>-33.93</v>
      </c>
      <c r="S163" s="21">
        <f t="shared" si="17"/>
        <v>-33.93</v>
      </c>
      <c r="T163" s="21">
        <f t="shared" si="17"/>
        <v>-33.93</v>
      </c>
      <c r="U163" s="21">
        <f t="shared" si="17"/>
        <v>-33.93</v>
      </c>
      <c r="V163" s="21">
        <f t="shared" si="17"/>
        <v>-33.93</v>
      </c>
      <c r="W163" s="21">
        <f t="shared" si="17"/>
        <v>-33.93</v>
      </c>
      <c r="X163" s="21">
        <f t="shared" si="17"/>
        <v>-33.93</v>
      </c>
      <c r="Y163" s="11" t="s">
        <v>105</v>
      </c>
      <c r="Z163" s="11" t="s">
        <v>115</v>
      </c>
    </row>
    <row r="164" spans="2:26">
      <c r="B164" s="19">
        <v>147</v>
      </c>
      <c r="C164" s="19">
        <f>Refsz_Verbräuche[[#This Row],[Datenpunkt]]</f>
        <v>0</v>
      </c>
      <c r="D164" s="9"/>
      <c r="E164" s="21"/>
      <c r="F164" s="21"/>
      <c r="G164" s="21"/>
      <c r="H164" s="21"/>
      <c r="I164" s="21"/>
      <c r="J164" s="21"/>
      <c r="K164" s="21"/>
      <c r="L164" s="21"/>
      <c r="M164" s="21"/>
      <c r="N164" s="21"/>
      <c r="O164" s="21"/>
      <c r="P164" s="21"/>
      <c r="Q164" s="21"/>
      <c r="R164" s="21"/>
      <c r="S164" s="21"/>
      <c r="T164" s="21"/>
      <c r="U164" s="21"/>
      <c r="V164" s="21"/>
      <c r="W164" s="21"/>
      <c r="X164" s="21"/>
      <c r="Y164" s="11"/>
      <c r="Z164" s="11"/>
    </row>
    <row r="165" spans="2:26" ht="16.5">
      <c r="B165" s="19">
        <v>148</v>
      </c>
      <c r="C165" s="19" t="str">
        <f>Refsz_Verbräuche[[#This Row],[Datenpunkt]]</f>
        <v>Kompensation</v>
      </c>
      <c r="D165" s="9" t="s">
        <v>153</v>
      </c>
      <c r="E165" s="21">
        <v>-1000</v>
      </c>
      <c r="F165" s="21">
        <v>-1000</v>
      </c>
      <c r="G165" s="21">
        <v>-1000</v>
      </c>
      <c r="H165" s="21">
        <v>-1000</v>
      </c>
      <c r="I165" s="21">
        <v>-1000</v>
      </c>
      <c r="J165" s="21">
        <v>-1000</v>
      </c>
      <c r="K165" s="21">
        <v>-1000</v>
      </c>
      <c r="L165" s="21">
        <v>-1000</v>
      </c>
      <c r="M165" s="21">
        <v>-1000</v>
      </c>
      <c r="N165" s="21">
        <v>-1000</v>
      </c>
      <c r="O165" s="21">
        <v>-1000</v>
      </c>
      <c r="P165" s="21">
        <v>-1000</v>
      </c>
      <c r="Q165" s="21">
        <v>-1000</v>
      </c>
      <c r="R165" s="21">
        <v>-1000</v>
      </c>
      <c r="S165" s="21">
        <v>-1000</v>
      </c>
      <c r="T165" s="21">
        <v>-1000</v>
      </c>
      <c r="U165" s="21">
        <v>-1000</v>
      </c>
      <c r="V165" s="21">
        <v>-1000</v>
      </c>
      <c r="W165" s="21">
        <v>-1000</v>
      </c>
      <c r="X165" s="21">
        <v>-1000</v>
      </c>
      <c r="Y165" s="11"/>
      <c r="Z165" s="11"/>
    </row>
    <row r="166" spans="2:26">
      <c r="B166" s="19">
        <v>149</v>
      </c>
      <c r="C166" s="113">
        <f>Refsz_Verbräuche[[#This Row],[Datenpunkt]]</f>
        <v>0</v>
      </c>
      <c r="D166" s="125"/>
      <c r="E166" s="127"/>
      <c r="F166" s="127"/>
      <c r="G166" s="127"/>
      <c r="H166" s="127"/>
      <c r="I166" s="127"/>
      <c r="J166" s="127"/>
      <c r="K166" s="127"/>
      <c r="L166" s="127"/>
      <c r="M166" s="127"/>
      <c r="N166" s="127"/>
      <c r="O166" s="127"/>
      <c r="P166" s="127"/>
      <c r="Q166" s="127"/>
      <c r="R166" s="127"/>
      <c r="S166" s="127"/>
      <c r="T166" s="127"/>
      <c r="U166" s="127"/>
      <c r="V166" s="127"/>
      <c r="W166" s="127"/>
      <c r="X166" s="127"/>
      <c r="Y166" s="128"/>
      <c r="Z166" s="128"/>
    </row>
    <row r="167" spans="2:26">
      <c r="B167" s="19">
        <v>150</v>
      </c>
      <c r="C167" s="113">
        <f>Refsz_Verbräuche[[#This Row],[Datenpunkt]]</f>
        <v>0</v>
      </c>
      <c r="D167" s="125"/>
      <c r="E167" s="127"/>
      <c r="F167" s="127"/>
      <c r="G167" s="127"/>
      <c r="H167" s="127"/>
      <c r="I167" s="127"/>
      <c r="J167" s="127"/>
      <c r="K167" s="127"/>
      <c r="L167" s="127"/>
      <c r="M167" s="127"/>
      <c r="N167" s="127"/>
      <c r="O167" s="127"/>
      <c r="P167" s="127"/>
      <c r="Q167" s="127"/>
      <c r="R167" s="127"/>
      <c r="S167" s="127"/>
      <c r="T167" s="127"/>
      <c r="U167" s="127"/>
      <c r="V167" s="127"/>
      <c r="W167" s="127"/>
      <c r="X167" s="127"/>
      <c r="Y167" s="128"/>
      <c r="Z167" s="128"/>
    </row>
    <row r="168" spans="2:26">
      <c r="B168" s="19">
        <v>151</v>
      </c>
      <c r="C168" s="113">
        <f>Refsz_Verbräuche[[#This Row],[Datenpunkt]]</f>
        <v>0</v>
      </c>
      <c r="D168" s="125"/>
      <c r="E168" s="127"/>
      <c r="F168" s="127"/>
      <c r="G168" s="127"/>
      <c r="H168" s="127"/>
      <c r="I168" s="127"/>
      <c r="J168" s="127"/>
      <c r="K168" s="127"/>
      <c r="L168" s="127"/>
      <c r="M168" s="127"/>
      <c r="N168" s="127"/>
      <c r="O168" s="127"/>
      <c r="P168" s="127"/>
      <c r="Q168" s="127"/>
      <c r="R168" s="127"/>
      <c r="S168" s="127"/>
      <c r="T168" s="127"/>
      <c r="U168" s="127"/>
      <c r="V168" s="127"/>
      <c r="W168" s="127"/>
      <c r="X168" s="127"/>
      <c r="Y168" s="128"/>
      <c r="Z168" s="128"/>
    </row>
    <row r="169" spans="2:26">
      <c r="B169" s="19">
        <v>152</v>
      </c>
      <c r="C169" s="113">
        <f>Refsz_Verbräuche[[#This Row],[Datenpunkt]]</f>
        <v>0</v>
      </c>
      <c r="D169" s="125"/>
      <c r="E169" s="127"/>
      <c r="F169" s="127"/>
      <c r="G169" s="127"/>
      <c r="H169" s="127"/>
      <c r="I169" s="127"/>
      <c r="J169" s="127"/>
      <c r="K169" s="127"/>
      <c r="L169" s="127"/>
      <c r="M169" s="127"/>
      <c r="N169" s="127"/>
      <c r="O169" s="127"/>
      <c r="P169" s="127"/>
      <c r="Q169" s="127"/>
      <c r="R169" s="127"/>
      <c r="S169" s="127"/>
      <c r="T169" s="127"/>
      <c r="U169" s="127"/>
      <c r="V169" s="127"/>
      <c r="W169" s="127"/>
      <c r="X169" s="127"/>
      <c r="Y169" s="128"/>
      <c r="Z169" s="128"/>
    </row>
    <row r="170" spans="2:26">
      <c r="B170" s="19">
        <v>153</v>
      </c>
      <c r="C170" s="113">
        <f>Refsz_Verbräuche[[#This Row],[Datenpunkt]]</f>
        <v>0</v>
      </c>
      <c r="D170" s="125"/>
      <c r="E170" s="127"/>
      <c r="F170" s="127"/>
      <c r="G170" s="127"/>
      <c r="H170" s="127"/>
      <c r="I170" s="127"/>
      <c r="J170" s="127"/>
      <c r="K170" s="127"/>
      <c r="L170" s="127"/>
      <c r="M170" s="127"/>
      <c r="N170" s="127"/>
      <c r="O170" s="127"/>
      <c r="P170" s="127"/>
      <c r="Q170" s="127"/>
      <c r="R170" s="127"/>
      <c r="S170" s="127"/>
      <c r="T170" s="127"/>
      <c r="U170" s="127"/>
      <c r="V170" s="127"/>
      <c r="W170" s="127"/>
      <c r="X170" s="127"/>
      <c r="Y170" s="128"/>
      <c r="Z170" s="128"/>
    </row>
    <row r="171" spans="2:26">
      <c r="B171" s="19">
        <v>154</v>
      </c>
      <c r="C171" s="113">
        <f>Refsz_Verbräuche[[#This Row],[Datenpunkt]]</f>
        <v>0</v>
      </c>
      <c r="D171" s="125"/>
      <c r="E171" s="127"/>
      <c r="F171" s="127"/>
      <c r="G171" s="127"/>
      <c r="H171" s="127"/>
      <c r="I171" s="127"/>
      <c r="J171" s="127"/>
      <c r="K171" s="127"/>
      <c r="L171" s="127"/>
      <c r="M171" s="127"/>
      <c r="N171" s="127"/>
      <c r="O171" s="127"/>
      <c r="P171" s="127"/>
      <c r="Q171" s="127"/>
      <c r="R171" s="127"/>
      <c r="S171" s="127"/>
      <c r="T171" s="127"/>
      <c r="U171" s="127"/>
      <c r="V171" s="127"/>
      <c r="W171" s="127"/>
      <c r="X171" s="127"/>
      <c r="Y171" s="128"/>
      <c r="Z171" s="128"/>
    </row>
    <row r="172" spans="2:26">
      <c r="B172" s="19">
        <v>155</v>
      </c>
      <c r="C172" s="113">
        <f>Refsz_Verbräuche[[#This Row],[Datenpunkt]]</f>
        <v>0</v>
      </c>
      <c r="D172" s="125"/>
      <c r="E172" s="127"/>
      <c r="F172" s="127"/>
      <c r="G172" s="127"/>
      <c r="H172" s="127"/>
      <c r="I172" s="127"/>
      <c r="J172" s="127"/>
      <c r="K172" s="127"/>
      <c r="L172" s="127"/>
      <c r="M172" s="127"/>
      <c r="N172" s="127"/>
      <c r="O172" s="127"/>
      <c r="P172" s="127"/>
      <c r="Q172" s="127"/>
      <c r="R172" s="127"/>
      <c r="S172" s="127"/>
      <c r="T172" s="127"/>
      <c r="U172" s="127"/>
      <c r="V172" s="127"/>
      <c r="W172" s="127"/>
      <c r="X172" s="127"/>
      <c r="Y172" s="128"/>
      <c r="Z172" s="128"/>
    </row>
    <row r="173" spans="2:26">
      <c r="B173" s="19">
        <v>156</v>
      </c>
      <c r="C173" s="113">
        <f>Refsz_Verbräuche[[#This Row],[Datenpunkt]]</f>
        <v>0</v>
      </c>
      <c r="D173" s="125"/>
      <c r="E173" s="127"/>
      <c r="F173" s="127"/>
      <c r="G173" s="127"/>
      <c r="H173" s="127"/>
      <c r="I173" s="127"/>
      <c r="J173" s="127"/>
      <c r="K173" s="127"/>
      <c r="L173" s="127"/>
      <c r="M173" s="127"/>
      <c r="N173" s="127"/>
      <c r="O173" s="127"/>
      <c r="P173" s="127"/>
      <c r="Q173" s="127"/>
      <c r="R173" s="127"/>
      <c r="S173" s="127"/>
      <c r="T173" s="127"/>
      <c r="U173" s="127"/>
      <c r="V173" s="127"/>
      <c r="W173" s="127"/>
      <c r="X173" s="127"/>
      <c r="Y173" s="128"/>
      <c r="Z173" s="128"/>
    </row>
    <row r="174" spans="2:26">
      <c r="B174" s="19">
        <v>157</v>
      </c>
      <c r="C174" s="113">
        <f>Refsz_Verbräuche[[#This Row],[Datenpunkt]]</f>
        <v>0</v>
      </c>
      <c r="D174" s="125"/>
      <c r="E174" s="127"/>
      <c r="F174" s="127"/>
      <c r="G174" s="127"/>
      <c r="H174" s="127"/>
      <c r="I174" s="127"/>
      <c r="J174" s="127"/>
      <c r="K174" s="127"/>
      <c r="L174" s="127"/>
      <c r="M174" s="127"/>
      <c r="N174" s="127"/>
      <c r="O174" s="127"/>
      <c r="P174" s="127"/>
      <c r="Q174" s="127"/>
      <c r="R174" s="127"/>
      <c r="S174" s="127"/>
      <c r="T174" s="127"/>
      <c r="U174" s="127"/>
      <c r="V174" s="127"/>
      <c r="W174" s="127"/>
      <c r="X174" s="127"/>
      <c r="Y174" s="128"/>
      <c r="Z174" s="128"/>
    </row>
    <row r="175" spans="2:26">
      <c r="B175" s="19">
        <v>158</v>
      </c>
      <c r="C175" s="113">
        <f>Refsz_Verbräuche[[#This Row],[Datenpunkt]]</f>
        <v>0</v>
      </c>
      <c r="D175" s="125"/>
      <c r="E175" s="127"/>
      <c r="F175" s="127"/>
      <c r="G175" s="127"/>
      <c r="H175" s="127"/>
      <c r="I175" s="127"/>
      <c r="J175" s="127"/>
      <c r="K175" s="127"/>
      <c r="L175" s="127"/>
      <c r="M175" s="127"/>
      <c r="N175" s="127"/>
      <c r="O175" s="127"/>
      <c r="P175" s="127"/>
      <c r="Q175" s="127"/>
      <c r="R175" s="127"/>
      <c r="S175" s="127"/>
      <c r="T175" s="127"/>
      <c r="U175" s="127"/>
      <c r="V175" s="127"/>
      <c r="W175" s="127"/>
      <c r="X175" s="127"/>
      <c r="Y175" s="128"/>
      <c r="Z175" s="128"/>
    </row>
    <row r="176" spans="2:26">
      <c r="B176" s="19">
        <v>159</v>
      </c>
      <c r="C176" s="113">
        <f>Refsz_Verbräuche[[#This Row],[Datenpunkt]]</f>
        <v>0</v>
      </c>
      <c r="D176" s="125"/>
      <c r="E176" s="127"/>
      <c r="F176" s="127"/>
      <c r="G176" s="127"/>
      <c r="H176" s="127"/>
      <c r="I176" s="127"/>
      <c r="J176" s="127"/>
      <c r="K176" s="127"/>
      <c r="L176" s="127"/>
      <c r="M176" s="127"/>
      <c r="N176" s="127"/>
      <c r="O176" s="127"/>
      <c r="P176" s="127"/>
      <c r="Q176" s="127"/>
      <c r="R176" s="127"/>
      <c r="S176" s="127"/>
      <c r="T176" s="127"/>
      <c r="U176" s="127"/>
      <c r="V176" s="127"/>
      <c r="W176" s="127"/>
      <c r="X176" s="127"/>
      <c r="Y176" s="128"/>
      <c r="Z176" s="128"/>
    </row>
    <row r="177" spans="2:26">
      <c r="B177" s="19">
        <v>160</v>
      </c>
      <c r="C177" s="113">
        <f>Refsz_Verbräuche[[#This Row],[Datenpunkt]]</f>
        <v>0</v>
      </c>
      <c r="D177" s="125"/>
      <c r="E177" s="127"/>
      <c r="F177" s="127"/>
      <c r="G177" s="127"/>
      <c r="H177" s="127"/>
      <c r="I177" s="127"/>
      <c r="J177" s="127"/>
      <c r="K177" s="127"/>
      <c r="L177" s="127"/>
      <c r="M177" s="127"/>
      <c r="N177" s="127"/>
      <c r="O177" s="127"/>
      <c r="P177" s="127"/>
      <c r="Q177" s="127"/>
      <c r="R177" s="127"/>
      <c r="S177" s="127"/>
      <c r="T177" s="127"/>
      <c r="U177" s="127"/>
      <c r="V177" s="127"/>
      <c r="W177" s="127"/>
      <c r="X177" s="127"/>
      <c r="Y177" s="128"/>
      <c r="Z177" s="128"/>
    </row>
    <row r="178" spans="2:26">
      <c r="B178" s="19">
        <v>161</v>
      </c>
      <c r="C178" s="113">
        <f>Refsz_Verbräuche[[#This Row],[Datenpunkt]]</f>
        <v>0</v>
      </c>
      <c r="D178" s="125"/>
      <c r="E178" s="127"/>
      <c r="F178" s="127"/>
      <c r="G178" s="127"/>
      <c r="H178" s="127"/>
      <c r="I178" s="127"/>
      <c r="J178" s="127"/>
      <c r="K178" s="127"/>
      <c r="L178" s="127"/>
      <c r="M178" s="127"/>
      <c r="N178" s="127"/>
      <c r="O178" s="127"/>
      <c r="P178" s="127"/>
      <c r="Q178" s="127"/>
      <c r="R178" s="127"/>
      <c r="S178" s="127"/>
      <c r="T178" s="127"/>
      <c r="U178" s="127"/>
      <c r="V178" s="127"/>
      <c r="W178" s="127"/>
      <c r="X178" s="127"/>
      <c r="Y178" s="128"/>
      <c r="Z178" s="128"/>
    </row>
    <row r="180" spans="2:26">
      <c r="B180" s="1" t="s">
        <v>454</v>
      </c>
    </row>
    <row r="181" spans="2:26">
      <c r="B181" t="s">
        <v>38</v>
      </c>
      <c r="C181" t="s">
        <v>251</v>
      </c>
      <c r="D181" t="s">
        <v>2</v>
      </c>
      <c r="E181" t="s">
        <v>3</v>
      </c>
      <c r="F181" t="s">
        <v>4</v>
      </c>
      <c r="G181" t="s">
        <v>5</v>
      </c>
      <c r="H181" t="s">
        <v>6</v>
      </c>
      <c r="I181" t="s">
        <v>7</v>
      </c>
      <c r="J181" t="s">
        <v>8</v>
      </c>
      <c r="K181" t="s">
        <v>9</v>
      </c>
      <c r="L181" t="s">
        <v>10</v>
      </c>
      <c r="M181" t="s">
        <v>11</v>
      </c>
      <c r="N181" t="s">
        <v>12</v>
      </c>
      <c r="O181" t="s">
        <v>13</v>
      </c>
      <c r="P181" t="s">
        <v>14</v>
      </c>
      <c r="Q181" t="s">
        <v>216</v>
      </c>
      <c r="R181" t="s">
        <v>217</v>
      </c>
      <c r="S181" t="s">
        <v>218</v>
      </c>
      <c r="T181" t="s">
        <v>15</v>
      </c>
      <c r="U181" t="s">
        <v>16</v>
      </c>
      <c r="V181" t="s">
        <v>17</v>
      </c>
      <c r="W181" t="s">
        <v>18</v>
      </c>
      <c r="X181" t="s">
        <v>19</v>
      </c>
      <c r="Y181" t="s">
        <v>36</v>
      </c>
      <c r="Z181" t="s">
        <v>136</v>
      </c>
    </row>
    <row r="182" spans="2:26" ht="16.5">
      <c r="B182" s="19">
        <v>12</v>
      </c>
      <c r="C182" s="19" t="s">
        <v>130</v>
      </c>
      <c r="D182" t="s">
        <v>252</v>
      </c>
      <c r="E182" s="22">
        <v>279.24299999999999</v>
      </c>
      <c r="F182" s="22">
        <v>279.24299999999999</v>
      </c>
      <c r="G182" s="22">
        <v>279.24299999999999</v>
      </c>
      <c r="H182" s="21">
        <v>279.24299999999999</v>
      </c>
      <c r="I182" s="22">
        <v>279.24299999999999</v>
      </c>
      <c r="J182" s="22">
        <v>261.16199999999998</v>
      </c>
      <c r="K182" s="22">
        <v>261.16199999999998</v>
      </c>
      <c r="L182" s="22">
        <v>261.16199999999998</v>
      </c>
      <c r="M182" s="22">
        <v>261.16199999999998</v>
      </c>
      <c r="N182" s="22">
        <v>261.16199999999998</v>
      </c>
      <c r="O182" s="22">
        <v>261.16199999999998</v>
      </c>
      <c r="P182" s="22">
        <v>261.16199999999998</v>
      </c>
      <c r="Q182" s="22">
        <v>261.16199999999998</v>
      </c>
      <c r="R182" s="22">
        <v>261.16199999999998</v>
      </c>
      <c r="S182" s="22">
        <v>261.16199999999998</v>
      </c>
      <c r="T182" s="22">
        <v>129.32900000000001</v>
      </c>
      <c r="U182" s="22">
        <v>129.32900000000001</v>
      </c>
      <c r="V182" s="22">
        <v>129.32900000000001</v>
      </c>
      <c r="W182" s="22">
        <v>129.32900000000001</v>
      </c>
      <c r="X182" s="22">
        <v>129.32900000000001</v>
      </c>
      <c r="Y182" s="11" t="s">
        <v>31</v>
      </c>
      <c r="Z182" s="11" t="s">
        <v>134</v>
      </c>
    </row>
    <row r="183" spans="2:26" ht="16.5">
      <c r="B183" s="19">
        <v>162</v>
      </c>
      <c r="C183" s="19" t="s">
        <v>253</v>
      </c>
      <c r="D183" t="s">
        <v>252</v>
      </c>
      <c r="E183" s="22">
        <f>121.726*10^3/277.77777</f>
        <v>438.21361226998118</v>
      </c>
      <c r="F183" s="22">
        <f>121.726*10^3/277.77777</f>
        <v>438.21361226998118</v>
      </c>
      <c r="G183" s="22">
        <f>121.726*10^3/277.77777</f>
        <v>438.21361226998118</v>
      </c>
      <c r="H183" s="22">
        <f>121.726*10^3/277.77777</f>
        <v>438.21361226998118</v>
      </c>
      <c r="I183" s="22">
        <f>121.726*10^3/277.77777</f>
        <v>438.21361226998118</v>
      </c>
      <c r="J183" s="22">
        <f>120.964*10^3/277.77777</f>
        <v>435.47041219317157</v>
      </c>
      <c r="K183" s="22">
        <f t="shared" ref="K183:X183" si="18">120.964*10^3/277.77777</f>
        <v>435.47041219317157</v>
      </c>
      <c r="L183" s="22">
        <f t="shared" si="18"/>
        <v>435.47041219317157</v>
      </c>
      <c r="M183" s="22">
        <f t="shared" si="18"/>
        <v>435.47041219317157</v>
      </c>
      <c r="N183" s="22">
        <f t="shared" si="18"/>
        <v>435.47041219317157</v>
      </c>
      <c r="O183" s="22">
        <f t="shared" si="18"/>
        <v>435.47041219317157</v>
      </c>
      <c r="P183" s="22">
        <f t="shared" si="18"/>
        <v>435.47041219317157</v>
      </c>
      <c r="Q183" s="22">
        <f t="shared" si="18"/>
        <v>435.47041219317157</v>
      </c>
      <c r="R183" s="22">
        <f t="shared" si="18"/>
        <v>435.47041219317157</v>
      </c>
      <c r="S183" s="22">
        <f t="shared" si="18"/>
        <v>435.47041219317157</v>
      </c>
      <c r="T183" s="22">
        <f t="shared" si="18"/>
        <v>435.47041219317157</v>
      </c>
      <c r="U183" s="22">
        <f t="shared" si="18"/>
        <v>435.47041219317157</v>
      </c>
      <c r="V183" s="22">
        <f t="shared" si="18"/>
        <v>435.47041219317157</v>
      </c>
      <c r="W183" s="22">
        <f t="shared" si="18"/>
        <v>435.47041219317157</v>
      </c>
      <c r="X183" s="22">
        <f t="shared" si="18"/>
        <v>435.47041219317157</v>
      </c>
      <c r="Y183" s="11" t="s">
        <v>31</v>
      </c>
      <c r="Z183" s="11" t="s">
        <v>254</v>
      </c>
    </row>
    <row r="184" spans="2:26" ht="16.5">
      <c r="B184" s="19">
        <v>163</v>
      </c>
      <c r="C184" s="19" t="s">
        <v>255</v>
      </c>
      <c r="D184" t="s">
        <v>252</v>
      </c>
      <c r="E184" s="22">
        <f>((126.211*10^3/277.77777)+(114.338*10^3/277.77777))/2</f>
        <v>432.98821212367</v>
      </c>
      <c r="F184" s="22">
        <f>((126.211*10^3/277.77777)+(114.338*10^3/277.77777))/2</f>
        <v>432.98821212367</v>
      </c>
      <c r="G184" s="22">
        <f>((126.211*10^3/277.77777)+(114.338*10^3/277.77777))/2</f>
        <v>432.98821212367</v>
      </c>
      <c r="H184" s="22">
        <f>((126.211*10^3/277.77777)+(114.338*10^3/277.77777))/2</f>
        <v>432.98821212367</v>
      </c>
      <c r="I184" s="22">
        <f>((126.211*10^3/277.77777)+(114.338*10^3/277.77777))/2</f>
        <v>432.98821212367</v>
      </c>
      <c r="J184" s="22">
        <f>((124.93*10^3/277.77777)+(113.63*10^3/277.77777))/2</f>
        <v>429.40801202342436</v>
      </c>
      <c r="K184" s="22">
        <f t="shared" ref="K184:X184" si="19">((124.93*10^3/277.77777)+(113.63*10^3/277.77777))/2</f>
        <v>429.40801202342436</v>
      </c>
      <c r="L184" s="22">
        <f t="shared" si="19"/>
        <v>429.40801202342436</v>
      </c>
      <c r="M184" s="22">
        <f t="shared" si="19"/>
        <v>429.40801202342436</v>
      </c>
      <c r="N184" s="22">
        <f t="shared" si="19"/>
        <v>429.40801202342436</v>
      </c>
      <c r="O184" s="22">
        <f t="shared" si="19"/>
        <v>429.40801202342436</v>
      </c>
      <c r="P184" s="22">
        <f t="shared" si="19"/>
        <v>429.40801202342436</v>
      </c>
      <c r="Q184" s="22">
        <f t="shared" si="19"/>
        <v>429.40801202342436</v>
      </c>
      <c r="R184" s="22">
        <f t="shared" si="19"/>
        <v>429.40801202342436</v>
      </c>
      <c r="S184" s="22">
        <f t="shared" si="19"/>
        <v>429.40801202342436</v>
      </c>
      <c r="T184" s="22">
        <f t="shared" si="19"/>
        <v>429.40801202342436</v>
      </c>
      <c r="U184" s="22">
        <f t="shared" si="19"/>
        <v>429.40801202342436</v>
      </c>
      <c r="V184" s="22">
        <f t="shared" si="19"/>
        <v>429.40801202342436</v>
      </c>
      <c r="W184" s="22">
        <f t="shared" si="19"/>
        <v>429.40801202342436</v>
      </c>
      <c r="X184" s="22">
        <f t="shared" si="19"/>
        <v>429.40801202342436</v>
      </c>
      <c r="Y184" s="11" t="s">
        <v>31</v>
      </c>
      <c r="Z184" s="11" t="s">
        <v>256</v>
      </c>
    </row>
    <row r="185" spans="2:26" ht="16.5">
      <c r="B185" s="19">
        <v>164</v>
      </c>
      <c r="C185" s="19" t="s">
        <v>257</v>
      </c>
      <c r="D185" t="s">
        <v>252</v>
      </c>
      <c r="E185" s="22">
        <f>88.4204*10^3/277.77777</f>
        <v>318.31344891277655</v>
      </c>
      <c r="F185" s="22">
        <f>88.4204*10^3/277.77777</f>
        <v>318.31344891277655</v>
      </c>
      <c r="G185" s="22">
        <f>88.4204*10^3/277.77777</f>
        <v>318.31344891277655</v>
      </c>
      <c r="H185" s="22">
        <f>88.4204*10^3/277.77777</f>
        <v>318.31344891277655</v>
      </c>
      <c r="I185" s="22">
        <f>88.4204*10^3/277.77777</f>
        <v>318.31344891277655</v>
      </c>
      <c r="J185" s="22">
        <f>87.2378*10^3/277.77777</f>
        <v>314.0560887935705</v>
      </c>
      <c r="K185" s="22">
        <f t="shared" ref="K185:S185" si="20">87.2378*10^3/277.77777</f>
        <v>314.0560887935705</v>
      </c>
      <c r="L185" s="22">
        <f t="shared" si="20"/>
        <v>314.0560887935705</v>
      </c>
      <c r="M185" s="22">
        <f t="shared" si="20"/>
        <v>314.0560887935705</v>
      </c>
      <c r="N185" s="22">
        <f t="shared" si="20"/>
        <v>314.0560887935705</v>
      </c>
      <c r="O185" s="22">
        <f t="shared" si="20"/>
        <v>314.0560887935705</v>
      </c>
      <c r="P185" s="22">
        <f t="shared" si="20"/>
        <v>314.0560887935705</v>
      </c>
      <c r="Q185" s="22">
        <f t="shared" si="20"/>
        <v>314.0560887935705</v>
      </c>
      <c r="R185" s="22">
        <f t="shared" si="20"/>
        <v>314.0560887935705</v>
      </c>
      <c r="S185" s="22">
        <f t="shared" si="20"/>
        <v>314.0560887935705</v>
      </c>
      <c r="T185" s="22">
        <f>86.3221*10^3/277.77777</f>
        <v>310.75956870126799</v>
      </c>
      <c r="U185" s="22">
        <f>86.3221*10^3/277.77777</f>
        <v>310.75956870126799</v>
      </c>
      <c r="V185" s="22">
        <f>86.3221*10^3/277.77777</f>
        <v>310.75956870126799</v>
      </c>
      <c r="W185" s="22">
        <f>86.3221*10^3/277.77777</f>
        <v>310.75956870126799</v>
      </c>
      <c r="X185" s="22">
        <f>82.6313*10^3/277.77777</f>
        <v>297.47268832923532</v>
      </c>
      <c r="Y185" s="11" t="s">
        <v>31</v>
      </c>
      <c r="Z185" s="11" t="s">
        <v>258</v>
      </c>
    </row>
    <row r="186" spans="2:26" ht="16.5">
      <c r="B186" s="19">
        <v>165</v>
      </c>
      <c r="C186" s="19" t="s">
        <v>201</v>
      </c>
      <c r="D186" t="s">
        <v>252</v>
      </c>
      <c r="E186" s="47">
        <f>66.0905*10^3/277.77777</f>
        <v>237.92580666192262</v>
      </c>
      <c r="F186" s="47">
        <f>66.0905*10^3/277.77777</f>
        <v>237.92580666192262</v>
      </c>
      <c r="G186" s="47">
        <f>66.0905*10^3/277.77777</f>
        <v>237.92580666192262</v>
      </c>
      <c r="H186" s="47">
        <f>66.0905*10^3/277.77777</f>
        <v>237.92580666192262</v>
      </c>
      <c r="I186" s="47">
        <f>66.0905*10^3/277.77777</f>
        <v>237.92580666192262</v>
      </c>
      <c r="J186" s="47">
        <f t="shared" ref="J186:X186" si="21">50.8564*10^3/277.77777</f>
        <v>183.08304512632529</v>
      </c>
      <c r="K186" s="22">
        <f t="shared" si="21"/>
        <v>183.08304512632529</v>
      </c>
      <c r="L186" s="22">
        <f t="shared" si="21"/>
        <v>183.08304512632529</v>
      </c>
      <c r="M186" s="22">
        <f t="shared" si="21"/>
        <v>183.08304512632529</v>
      </c>
      <c r="N186" s="22">
        <f t="shared" si="21"/>
        <v>183.08304512632529</v>
      </c>
      <c r="O186" s="22">
        <f t="shared" si="21"/>
        <v>183.08304512632529</v>
      </c>
      <c r="P186" s="22">
        <f t="shared" si="21"/>
        <v>183.08304512632529</v>
      </c>
      <c r="Q186" s="22">
        <f t="shared" si="21"/>
        <v>183.08304512632529</v>
      </c>
      <c r="R186" s="22">
        <f t="shared" si="21"/>
        <v>183.08304512632529</v>
      </c>
      <c r="S186" s="22">
        <f t="shared" si="21"/>
        <v>183.08304512632529</v>
      </c>
      <c r="T186" s="22">
        <f t="shared" si="21"/>
        <v>183.08304512632529</v>
      </c>
      <c r="U186" s="22">
        <f t="shared" si="21"/>
        <v>183.08304512632529</v>
      </c>
      <c r="V186" s="22">
        <f t="shared" si="21"/>
        <v>183.08304512632529</v>
      </c>
      <c r="W186" s="22">
        <f t="shared" si="21"/>
        <v>183.08304512632529</v>
      </c>
      <c r="X186" s="22">
        <f t="shared" si="21"/>
        <v>183.08304512632529</v>
      </c>
      <c r="Y186" s="11" t="s">
        <v>31</v>
      </c>
      <c r="Z186" s="11" t="s">
        <v>259</v>
      </c>
    </row>
    <row r="187" spans="2:26" ht="16.5">
      <c r="B187" s="19">
        <v>14</v>
      </c>
      <c r="C187" s="19" t="s">
        <v>260</v>
      </c>
      <c r="D187" t="s">
        <v>252</v>
      </c>
      <c r="E187" s="22">
        <f>27.3154*10^3/277.77777</f>
        <v>98.335442753392414</v>
      </c>
      <c r="F187" s="22">
        <f>27.3154*10^3/277.77777</f>
        <v>98.335442753392414</v>
      </c>
      <c r="G187" s="22">
        <f>27.3154*10^3/277.77777</f>
        <v>98.335442753392414</v>
      </c>
      <c r="H187" s="22">
        <f>27.3154*10^3/277.77777</f>
        <v>98.335442753392414</v>
      </c>
      <c r="I187" s="22">
        <f>27.3154*10^3/277.77777</f>
        <v>98.335442753392414</v>
      </c>
      <c r="J187" s="22">
        <f>28.0053*10^3/277.77777</f>
        <v>100.81908282293432</v>
      </c>
      <c r="K187" s="22">
        <f t="shared" ref="K187:S187" si="22">28.0053*10^3/277.77777</f>
        <v>100.81908282293432</v>
      </c>
      <c r="L187" s="22">
        <f t="shared" si="22"/>
        <v>100.81908282293432</v>
      </c>
      <c r="M187" s="22">
        <f t="shared" si="22"/>
        <v>100.81908282293432</v>
      </c>
      <c r="N187" s="22">
        <f t="shared" si="22"/>
        <v>100.81908282293432</v>
      </c>
      <c r="O187" s="22">
        <f t="shared" si="22"/>
        <v>100.81908282293432</v>
      </c>
      <c r="P187" s="22">
        <f t="shared" si="22"/>
        <v>100.81908282293432</v>
      </c>
      <c r="Q187" s="22">
        <f t="shared" si="22"/>
        <v>100.81908282293432</v>
      </c>
      <c r="R187" s="22">
        <f t="shared" si="22"/>
        <v>100.81908282293432</v>
      </c>
      <c r="S187" s="22">
        <f t="shared" si="22"/>
        <v>100.81908282293432</v>
      </c>
      <c r="T187" s="22">
        <f>25.6843*10^3/277.77777</f>
        <v>92.463482588977513</v>
      </c>
      <c r="U187" s="22">
        <f>25.6843*10^3/277.77777</f>
        <v>92.463482588977513</v>
      </c>
      <c r="V187" s="22">
        <f>25.6843*10^3/277.77777</f>
        <v>92.463482588977513</v>
      </c>
      <c r="W187" s="22">
        <f>25.6843*10^3/277.77777</f>
        <v>92.463482588977513</v>
      </c>
      <c r="X187" s="22">
        <f>25.6843*10^3/277.77777</f>
        <v>92.463482588977513</v>
      </c>
      <c r="Y187" s="11" t="s">
        <v>31</v>
      </c>
      <c r="Z187" s="11" t="s">
        <v>261</v>
      </c>
    </row>
    <row r="188" spans="2:26" ht="16.5">
      <c r="B188" s="19">
        <v>166</v>
      </c>
      <c r="C188" s="19" t="s">
        <v>262</v>
      </c>
      <c r="D188" t="s">
        <v>252</v>
      </c>
      <c r="E188" s="22">
        <f>6.95274*10^3/277.77777</f>
        <v>25.029864700836217</v>
      </c>
      <c r="F188" s="22">
        <f>6.95274*10^3/277.77777</f>
        <v>25.029864700836217</v>
      </c>
      <c r="G188" s="22">
        <f>6.95274*10^3/277.77777</f>
        <v>25.029864700836217</v>
      </c>
      <c r="H188" s="22">
        <f>6.95274*10^3/277.77777</f>
        <v>25.029864700836217</v>
      </c>
      <c r="I188" s="22">
        <f>6.95274*10^3/277.77777</f>
        <v>25.029864700836217</v>
      </c>
      <c r="J188" s="22">
        <f>5.0578*10^3/277.77777</f>
        <v>18.208080509826257</v>
      </c>
      <c r="K188" s="22">
        <f t="shared" ref="K188:S188" si="23">5.0578*10^3/277.77777</f>
        <v>18.208080509826257</v>
      </c>
      <c r="L188" s="22">
        <f t="shared" si="23"/>
        <v>18.208080509826257</v>
      </c>
      <c r="M188" s="22">
        <f t="shared" si="23"/>
        <v>18.208080509826257</v>
      </c>
      <c r="N188" s="22">
        <f t="shared" si="23"/>
        <v>18.208080509826257</v>
      </c>
      <c r="O188" s="22">
        <f t="shared" si="23"/>
        <v>18.208080509826257</v>
      </c>
      <c r="P188" s="22">
        <f t="shared" si="23"/>
        <v>18.208080509826257</v>
      </c>
      <c r="Q188" s="22">
        <f t="shared" si="23"/>
        <v>18.208080509826257</v>
      </c>
      <c r="R188" s="22">
        <f t="shared" si="23"/>
        <v>18.208080509826257</v>
      </c>
      <c r="S188" s="22">
        <f t="shared" si="23"/>
        <v>18.208080509826257</v>
      </c>
      <c r="T188" s="22">
        <f>3.63091*10^3/277.77777</f>
        <v>13.07127636599574</v>
      </c>
      <c r="U188" s="22">
        <f>3.63091*10^3/277.77777</f>
        <v>13.07127636599574</v>
      </c>
      <c r="V188" s="22">
        <f>3.63091*10^3/277.77777</f>
        <v>13.07127636599574</v>
      </c>
      <c r="W188" s="22">
        <f>3.63091*10^3/277.77777</f>
        <v>13.07127636599574</v>
      </c>
      <c r="X188" s="22">
        <f>1.23142*10^3/277.77777</f>
        <v>4.4331121241271401</v>
      </c>
      <c r="Y188" s="11" t="s">
        <v>31</v>
      </c>
      <c r="Z188" s="11" t="s">
        <v>263</v>
      </c>
    </row>
    <row r="189" spans="2:26" ht="16.5">
      <c r="B189" s="19">
        <v>167</v>
      </c>
      <c r="C189" s="19" t="s">
        <v>264</v>
      </c>
      <c r="D189" t="s">
        <v>252</v>
      </c>
      <c r="E189" s="22">
        <f>76.5342*10^3/277.77777</f>
        <v>275.52312771464761</v>
      </c>
      <c r="F189" s="22">
        <f>76.5342*10^3/277.77777</f>
        <v>275.52312771464761</v>
      </c>
      <c r="G189" s="22">
        <f>76.5342*10^3/277.77777</f>
        <v>275.52312771464761</v>
      </c>
      <c r="H189" s="22">
        <f>76.5342*10^3/277.77777</f>
        <v>275.52312771464761</v>
      </c>
      <c r="I189" s="22">
        <f>76.5342*10^3/277.77777</f>
        <v>275.52312771464761</v>
      </c>
      <c r="J189" s="22">
        <f>152.322*10^3/277.77777</f>
        <v>548.35921535405805</v>
      </c>
      <c r="K189" s="22">
        <f t="shared" ref="K189:S189" si="24">152.322*10^3/277.77777</f>
        <v>548.35921535405805</v>
      </c>
      <c r="L189" s="22">
        <f t="shared" si="24"/>
        <v>548.35921535405805</v>
      </c>
      <c r="M189" s="22">
        <f t="shared" si="24"/>
        <v>548.35921535405805</v>
      </c>
      <c r="N189" s="22">
        <f t="shared" si="24"/>
        <v>548.35921535405805</v>
      </c>
      <c r="O189" s="22">
        <f t="shared" si="24"/>
        <v>548.35921535405805</v>
      </c>
      <c r="P189" s="22">
        <f t="shared" si="24"/>
        <v>548.35921535405805</v>
      </c>
      <c r="Q189" s="22">
        <f t="shared" si="24"/>
        <v>548.35921535405805</v>
      </c>
      <c r="R189" s="22">
        <f t="shared" si="24"/>
        <v>548.35921535405805</v>
      </c>
      <c r="S189" s="22">
        <f t="shared" si="24"/>
        <v>548.35921535405805</v>
      </c>
      <c r="T189" s="22">
        <f>144.025*10^3/277.77777</f>
        <v>518.4900145177204</v>
      </c>
      <c r="U189" s="22">
        <f>144.025*10^3/277.77777</f>
        <v>518.4900145177204</v>
      </c>
      <c r="V189" s="22">
        <f>144.025*10^3/277.77777</f>
        <v>518.4900145177204</v>
      </c>
      <c r="W189" s="22">
        <f>144.025*10^3/277.77777</f>
        <v>518.4900145177204</v>
      </c>
      <c r="X189" s="22">
        <f>143.865*10^3/277.77777</f>
        <v>517.91401450159242</v>
      </c>
      <c r="Y189" s="11" t="s">
        <v>31</v>
      </c>
      <c r="Z189" s="11" t="s">
        <v>265</v>
      </c>
    </row>
    <row r="190" spans="2:26" ht="16.5">
      <c r="B190" s="19">
        <v>168</v>
      </c>
      <c r="C190" s="19" t="s">
        <v>266</v>
      </c>
      <c r="D190" t="s">
        <v>252</v>
      </c>
      <c r="E190" s="22">
        <v>330</v>
      </c>
      <c r="F190" s="22">
        <v>330</v>
      </c>
      <c r="G190" s="22">
        <v>330</v>
      </c>
      <c r="H190" s="22">
        <v>330</v>
      </c>
      <c r="I190" s="22">
        <v>330</v>
      </c>
      <c r="J190" s="22">
        <v>330</v>
      </c>
      <c r="K190" s="22">
        <v>330</v>
      </c>
      <c r="L190" s="22">
        <v>330</v>
      </c>
      <c r="M190" s="22">
        <v>330</v>
      </c>
      <c r="N190" s="22">
        <v>330</v>
      </c>
      <c r="O190" s="22">
        <v>330</v>
      </c>
      <c r="P190" s="22">
        <v>330</v>
      </c>
      <c r="Q190" s="22">
        <v>330</v>
      </c>
      <c r="R190" s="22">
        <v>330</v>
      </c>
      <c r="S190" s="22">
        <v>330</v>
      </c>
      <c r="T190" s="22">
        <v>330</v>
      </c>
      <c r="U190" s="22">
        <v>330</v>
      </c>
      <c r="V190" s="22">
        <v>330</v>
      </c>
      <c r="W190" s="22">
        <v>330</v>
      </c>
      <c r="X190" s="22">
        <v>330</v>
      </c>
      <c r="Y190" s="11" t="s">
        <v>478</v>
      </c>
      <c r="Z190" s="11" t="s">
        <v>482</v>
      </c>
    </row>
    <row r="191" spans="2:26" ht="16.5">
      <c r="B191" s="19">
        <v>169</v>
      </c>
      <c r="C191" s="19" t="s">
        <v>267</v>
      </c>
      <c r="D191" t="s">
        <v>252</v>
      </c>
      <c r="E191" s="22">
        <v>25</v>
      </c>
      <c r="F191" s="22">
        <v>25</v>
      </c>
      <c r="G191" s="22">
        <v>25</v>
      </c>
      <c r="H191" s="22">
        <v>25</v>
      </c>
      <c r="I191" s="22">
        <v>25</v>
      </c>
      <c r="J191" s="22">
        <v>25</v>
      </c>
      <c r="K191" s="22">
        <v>25</v>
      </c>
      <c r="L191" s="22">
        <v>25</v>
      </c>
      <c r="M191" s="22">
        <v>25</v>
      </c>
      <c r="N191" s="22">
        <v>25</v>
      </c>
      <c r="O191" s="22">
        <v>25</v>
      </c>
      <c r="P191" s="22">
        <v>25</v>
      </c>
      <c r="Q191" s="22">
        <v>25</v>
      </c>
      <c r="R191" s="22">
        <v>25</v>
      </c>
      <c r="S191" s="22">
        <v>25</v>
      </c>
      <c r="T191" s="22">
        <v>25</v>
      </c>
      <c r="U191" s="22">
        <v>25</v>
      </c>
      <c r="V191" s="22">
        <v>25</v>
      </c>
      <c r="W191" s="22">
        <v>25</v>
      </c>
      <c r="X191" s="22">
        <v>25</v>
      </c>
      <c r="Y191" s="11" t="s">
        <v>478</v>
      </c>
      <c r="Z191" s="11" t="s">
        <v>481</v>
      </c>
    </row>
    <row r="192" spans="2:26">
      <c r="B192" s="19"/>
      <c r="C192" s="19"/>
      <c r="E192" s="22"/>
      <c r="F192" s="22"/>
      <c r="G192" s="22"/>
      <c r="H192" s="22"/>
      <c r="I192" s="22"/>
      <c r="J192" s="22"/>
      <c r="K192" s="22"/>
      <c r="L192" s="22"/>
      <c r="M192" s="22"/>
      <c r="N192" s="22"/>
      <c r="O192" s="22"/>
      <c r="P192" s="22"/>
      <c r="Q192" s="22"/>
      <c r="R192" s="22"/>
      <c r="S192" s="22"/>
      <c r="T192" s="22"/>
      <c r="U192" s="22"/>
      <c r="V192" s="22"/>
      <c r="W192" s="22"/>
      <c r="X192" s="22"/>
      <c r="Y192" s="11"/>
      <c r="Z192" s="11"/>
    </row>
    <row r="193" spans="2:18">
      <c r="B193" s="153" t="s">
        <v>629</v>
      </c>
      <c r="C193" s="154"/>
      <c r="D193" s="154"/>
      <c r="E193" s="154"/>
      <c r="F193" s="154"/>
      <c r="G193" s="154"/>
      <c r="H193" s="258" t="s">
        <v>632</v>
      </c>
      <c r="I193" s="258"/>
      <c r="J193" s="258"/>
      <c r="K193" s="259"/>
      <c r="L193" s="259"/>
      <c r="M193" s="259"/>
      <c r="N193" s="259"/>
      <c r="O193" s="259"/>
    </row>
    <row r="194" spans="2:18">
      <c r="B194" s="155" t="s">
        <v>38</v>
      </c>
      <c r="C194" s="155" t="s">
        <v>28</v>
      </c>
      <c r="D194" s="155" t="s">
        <v>2</v>
      </c>
      <c r="E194" s="155" t="s">
        <v>533</v>
      </c>
      <c r="F194" s="155" t="s">
        <v>534</v>
      </c>
      <c r="G194" s="155" t="s">
        <v>535</v>
      </c>
      <c r="H194" s="155" t="s">
        <v>536</v>
      </c>
      <c r="I194" s="155" t="s">
        <v>36</v>
      </c>
      <c r="J194" s="155" t="s">
        <v>136</v>
      </c>
      <c r="K194" s="155"/>
      <c r="L194" s="155"/>
      <c r="M194" s="155"/>
      <c r="N194" s="155"/>
      <c r="O194" s="155"/>
      <c r="P194" s="155"/>
      <c r="Q194" s="155"/>
      <c r="R194" s="155"/>
    </row>
    <row r="195" spans="2:18" ht="16.5">
      <c r="B195" s="156">
        <v>1</v>
      </c>
      <c r="C195" s="156" t="str">
        <f>C18</f>
        <v>Bundesmix</v>
      </c>
      <c r="D195" s="152" t="s">
        <v>29</v>
      </c>
      <c r="E195" s="157">
        <f>Emissionsfaktoren_Scopeberechnung[[#This Row],[Scope 1]]+Emissionsfaktoren_Scopeberechnung[[#This Row],[Scope 2]]+Emissionsfaktoren_Scopeberechnung[[#This Row],[Scope 3]]</f>
        <v>395.89699999999999</v>
      </c>
      <c r="F195" s="158"/>
      <c r="G195" s="157">
        <v>395.89699999999999</v>
      </c>
      <c r="H195" s="254"/>
      <c r="I195" s="159" t="s">
        <v>624</v>
      </c>
      <c r="J195" s="159" t="s">
        <v>625</v>
      </c>
      <c r="K195" s="159"/>
      <c r="L195" s="159"/>
      <c r="M195" s="159"/>
      <c r="N195" s="159"/>
      <c r="O195" s="159"/>
      <c r="P195" s="159"/>
      <c r="Q195" s="159"/>
      <c r="R195" s="159"/>
    </row>
    <row r="196" spans="2:18" ht="16.5">
      <c r="B196" s="156">
        <v>2</v>
      </c>
      <c r="C196" s="156" t="str">
        <f t="shared" ref="C196:C230" si="25">C19</f>
        <v>Bundesmix KS80</v>
      </c>
      <c r="D196" s="152" t="s">
        <v>29</v>
      </c>
      <c r="E196" s="157">
        <f>Emissionsfaktoren_Scopeberechnung[[#This Row],[Scope 1]]+Emissionsfaktoren_Scopeberechnung[[#This Row],[Scope 2]]+Emissionsfaktoren_Scopeberechnung[[#This Row],[Scope 3]]</f>
        <v>395.89699999999999</v>
      </c>
      <c r="F196" s="160"/>
      <c r="G196" s="157">
        <v>395.89699999999999</v>
      </c>
      <c r="H196" s="253"/>
      <c r="I196" s="159" t="s">
        <v>31</v>
      </c>
      <c r="J196" s="159" t="s">
        <v>625</v>
      </c>
      <c r="K196" s="159"/>
      <c r="L196" s="159"/>
      <c r="M196" s="159"/>
      <c r="N196" s="159"/>
      <c r="O196" s="159"/>
      <c r="P196" s="159"/>
      <c r="Q196" s="159"/>
      <c r="R196" s="159"/>
    </row>
    <row r="197" spans="2:18" ht="16.5" hidden="1">
      <c r="B197" s="156">
        <v>3</v>
      </c>
      <c r="C197" s="156" t="str">
        <f t="shared" si="25"/>
        <v>Individueller Strommix Einrichtung 1</v>
      </c>
      <c r="D197" s="152" t="s">
        <v>29</v>
      </c>
      <c r="E197" s="157">
        <f>Emissionsfaktoren_Scopeberechnung[[#This Row],[Scope 1]]+Emissionsfaktoren_Scopeberechnung[[#This Row],[Scope 2]]+Emissionsfaktoren_Scopeberechnung[[#This Row],[Scope 3]]</f>
        <v>0</v>
      </c>
      <c r="F197" s="255"/>
      <c r="G197" s="256">
        <f>EF_Tarif1[[#Totals],[2021]]</f>
        <v>0</v>
      </c>
      <c r="H197" s="255"/>
      <c r="I197" s="159" t="s">
        <v>133</v>
      </c>
      <c r="J197" s="159"/>
      <c r="K197" s="159"/>
      <c r="L197" s="159"/>
      <c r="M197" s="159"/>
      <c r="N197" s="159"/>
      <c r="O197" s="159"/>
      <c r="P197" s="159"/>
      <c r="Q197" s="159"/>
      <c r="R197" s="159"/>
    </row>
    <row r="198" spans="2:18" ht="16.5" hidden="1">
      <c r="B198" s="156">
        <v>4</v>
      </c>
      <c r="C198" s="156" t="str">
        <f t="shared" si="25"/>
        <v>Individueller Strommix Einrichtung 2</v>
      </c>
      <c r="D198" s="152" t="s">
        <v>29</v>
      </c>
      <c r="E198" s="157">
        <f>Emissionsfaktoren_Scopeberechnung[[#This Row],[Scope 1]]+Emissionsfaktoren_Scopeberechnung[[#This Row],[Scope 2]]+Emissionsfaktoren_Scopeberechnung[[#This Row],[Scope 3]]</f>
        <v>0</v>
      </c>
      <c r="F198" s="255"/>
      <c r="G198" s="256">
        <f>EF_Tarif1[[#Totals],[2021]]</f>
        <v>0</v>
      </c>
      <c r="H198" s="255"/>
      <c r="I198" s="159" t="s">
        <v>133</v>
      </c>
      <c r="J198" s="159"/>
      <c r="K198" s="159"/>
      <c r="L198" s="159"/>
      <c r="M198" s="159"/>
      <c r="N198" s="159"/>
      <c r="O198" s="159"/>
      <c r="P198" s="159"/>
      <c r="Q198" s="159"/>
      <c r="R198" s="159"/>
    </row>
    <row r="199" spans="2:18" ht="16.5" hidden="1">
      <c r="B199" s="156">
        <v>5</v>
      </c>
      <c r="C199" s="156" t="str">
        <f t="shared" si="25"/>
        <v>Individueller Strommix Einrichtung 3</v>
      </c>
      <c r="D199" s="152" t="s">
        <v>29</v>
      </c>
      <c r="E199" s="157">
        <f>Emissionsfaktoren_Scopeberechnung[[#This Row],[Scope 1]]+Emissionsfaktoren_Scopeberechnung[[#This Row],[Scope 2]]+Emissionsfaktoren_Scopeberechnung[[#This Row],[Scope 3]]</f>
        <v>0</v>
      </c>
      <c r="F199" s="255"/>
      <c r="G199" s="256">
        <f>EF_Tarif1[[#Totals],[2021]]</f>
        <v>0</v>
      </c>
      <c r="H199" s="255"/>
      <c r="I199" s="159" t="s">
        <v>133</v>
      </c>
      <c r="J199" s="159"/>
      <c r="K199" s="159"/>
      <c r="L199" s="159"/>
      <c r="M199" s="159"/>
      <c r="N199" s="159"/>
      <c r="O199" s="159"/>
      <c r="P199" s="159"/>
      <c r="Q199" s="159"/>
      <c r="R199" s="159"/>
    </row>
    <row r="200" spans="2:18" ht="16.5" hidden="1">
      <c r="B200" s="156">
        <v>6</v>
      </c>
      <c r="C200" s="156" t="str">
        <f t="shared" si="25"/>
        <v>Individueller Strommix Einrichtung 4</v>
      </c>
      <c r="D200" s="152" t="s">
        <v>29</v>
      </c>
      <c r="E200" s="157">
        <f>Emissionsfaktoren_Scopeberechnung[[#This Row],[Scope 1]]+Emissionsfaktoren_Scopeberechnung[[#This Row],[Scope 2]]+Emissionsfaktoren_Scopeberechnung[[#This Row],[Scope 3]]</f>
        <v>0</v>
      </c>
      <c r="F200" s="255"/>
      <c r="G200" s="256">
        <f>EF_Tarif1[[#Totals],[2021]]</f>
        <v>0</v>
      </c>
      <c r="H200" s="255"/>
      <c r="I200" s="159" t="s">
        <v>133</v>
      </c>
      <c r="J200" s="159"/>
      <c r="K200" s="159"/>
      <c r="L200" s="159"/>
      <c r="M200" s="159"/>
      <c r="N200" s="159"/>
      <c r="O200" s="159"/>
      <c r="P200" s="159"/>
      <c r="Q200" s="159"/>
      <c r="R200" s="159"/>
    </row>
    <row r="201" spans="2:18" ht="16.5" hidden="1">
      <c r="B201" s="156">
        <v>7</v>
      </c>
      <c r="C201" s="156" t="str">
        <f t="shared" si="25"/>
        <v>Individueller Strommix Einrichtung 5</v>
      </c>
      <c r="D201" s="152" t="s">
        <v>29</v>
      </c>
      <c r="E201" s="157">
        <f>Emissionsfaktoren_Scopeberechnung[[#This Row],[Scope 1]]+Emissionsfaktoren_Scopeberechnung[[#This Row],[Scope 2]]+Emissionsfaktoren_Scopeberechnung[[#This Row],[Scope 3]]</f>
        <v>0</v>
      </c>
      <c r="F201" s="255"/>
      <c r="G201" s="256">
        <f>EF_Tarif1[[#Totals],[2021]]</f>
        <v>0</v>
      </c>
      <c r="H201" s="255"/>
      <c r="I201" s="159" t="s">
        <v>133</v>
      </c>
      <c r="J201" s="159"/>
      <c r="K201" s="159"/>
      <c r="L201" s="159"/>
      <c r="M201" s="159"/>
      <c r="N201" s="159"/>
      <c r="O201" s="159"/>
      <c r="P201" s="159"/>
      <c r="Q201" s="159"/>
      <c r="R201" s="159"/>
    </row>
    <row r="202" spans="2:18" ht="16.5" hidden="1">
      <c r="B202" s="156">
        <v>8</v>
      </c>
      <c r="C202" s="156" t="str">
        <f t="shared" si="25"/>
        <v>Individueller Strommix Einrichtung 6</v>
      </c>
      <c r="D202" s="152" t="s">
        <v>29</v>
      </c>
      <c r="E202" s="157">
        <f>Emissionsfaktoren_Scopeberechnung[[#This Row],[Scope 1]]+Emissionsfaktoren_Scopeberechnung[[#This Row],[Scope 2]]+Emissionsfaktoren_Scopeberechnung[[#This Row],[Scope 3]]</f>
        <v>0</v>
      </c>
      <c r="F202" s="255"/>
      <c r="G202" s="256">
        <f>EF_Tarif1[[#Totals],[2021]]</f>
        <v>0</v>
      </c>
      <c r="H202" s="255"/>
      <c r="I202" s="159" t="s">
        <v>133</v>
      </c>
      <c r="J202" s="159"/>
      <c r="K202" s="159"/>
      <c r="L202" s="159"/>
      <c r="M202" s="159"/>
      <c r="N202" s="159"/>
      <c r="O202" s="159"/>
      <c r="P202" s="159"/>
      <c r="Q202" s="159"/>
      <c r="R202" s="159"/>
    </row>
    <row r="203" spans="2:18">
      <c r="B203" s="156">
        <v>9</v>
      </c>
      <c r="C203" s="156" t="str">
        <f t="shared" si="25"/>
        <v>BHKW</v>
      </c>
      <c r="D203" s="157" t="s">
        <v>244</v>
      </c>
      <c r="E203" s="157"/>
      <c r="F203" s="160"/>
      <c r="G203" s="160"/>
      <c r="H203" s="160"/>
      <c r="I203" s="159" t="s">
        <v>225</v>
      </c>
      <c r="J203" s="159"/>
      <c r="K203" s="159"/>
      <c r="L203" s="159"/>
      <c r="M203" s="159"/>
      <c r="N203" s="159"/>
      <c r="O203" s="159"/>
      <c r="P203" s="159"/>
      <c r="Q203" s="159"/>
      <c r="R203" s="159"/>
    </row>
    <row r="204" spans="2:18" ht="16.5">
      <c r="B204" s="156">
        <v>10</v>
      </c>
      <c r="C204" s="156" t="str">
        <f t="shared" si="25"/>
        <v>Ökostrom</v>
      </c>
      <c r="D204" s="152" t="s">
        <v>29</v>
      </c>
      <c r="E204" s="157">
        <f>Emissionsfaktoren_Scopeberechnung[[#This Row],[Scope 1]]+Emissionsfaktoren_Scopeberechnung[[#This Row],[Scope 2]]+Emissionsfaktoren_Scopeberechnung[[#This Row],[Scope 3]]</f>
        <v>50</v>
      </c>
      <c r="F204" s="160"/>
      <c r="G204" s="160"/>
      <c r="H204" s="160">
        <v>50</v>
      </c>
      <c r="I204" s="159" t="s">
        <v>478</v>
      </c>
      <c r="J204" s="159"/>
      <c r="K204" s="159"/>
      <c r="L204" s="159"/>
      <c r="M204" s="159"/>
      <c r="N204" s="159"/>
      <c r="O204" s="159"/>
      <c r="P204" s="159"/>
      <c r="Q204" s="159"/>
      <c r="R204" s="159"/>
    </row>
    <row r="205" spans="2:18" ht="16.5">
      <c r="B205" s="156">
        <v>11</v>
      </c>
      <c r="C205" s="156" t="str">
        <f t="shared" si="25"/>
        <v>PV-Eigennutzung</v>
      </c>
      <c r="D205" s="152" t="s">
        <v>29</v>
      </c>
      <c r="E205" s="157">
        <f>Emissionsfaktoren_Scopeberechnung[[#This Row],[Scope 1]]+Emissionsfaktoren_Scopeberechnung[[#This Row],[Scope 2]]+Emissionsfaktoren_Scopeberechnung[[#This Row],[Scope 3]]</f>
        <v>26.196999999999999</v>
      </c>
      <c r="F205" s="160"/>
      <c r="G205" s="161"/>
      <c r="H205" s="161">
        <v>26.196999999999999</v>
      </c>
      <c r="I205" s="159" t="s">
        <v>31</v>
      </c>
      <c r="J205" s="159" t="s">
        <v>537</v>
      </c>
      <c r="K205" s="159"/>
      <c r="L205" s="159"/>
      <c r="M205" s="159"/>
      <c r="N205" s="159"/>
      <c r="O205" s="159"/>
      <c r="P205" s="159"/>
      <c r="Q205" s="159"/>
      <c r="R205" s="159"/>
    </row>
    <row r="206" spans="2:18" ht="16.5">
      <c r="B206" s="156">
        <v>12</v>
      </c>
      <c r="C206" s="156" t="str">
        <f t="shared" si="25"/>
        <v>Erdgas</v>
      </c>
      <c r="D206" s="152" t="s">
        <v>29</v>
      </c>
      <c r="E206" s="157">
        <f>Emissionsfaktoren_Scopeberechnung[[#This Row],[Scope 1]]+Emissionsfaktoren_Scopeberechnung[[#This Row],[Scope 2]]+Emissionsfaktoren_Scopeberechnung[[#This Row],[Scope 3]]</f>
        <v>261.16168999999996</v>
      </c>
      <c r="F206" s="158">
        <v>229.17312999999999</v>
      </c>
      <c r="G206" s="158"/>
      <c r="H206" s="158">
        <v>31.98856</v>
      </c>
      <c r="I206" s="159" t="s">
        <v>31</v>
      </c>
      <c r="J206" s="159" t="s">
        <v>538</v>
      </c>
      <c r="K206" s="159"/>
      <c r="L206" s="159"/>
      <c r="M206" s="159"/>
      <c r="N206" s="159"/>
      <c r="O206" s="159"/>
      <c r="P206" s="159"/>
      <c r="Q206" s="159"/>
      <c r="R206" s="159"/>
    </row>
    <row r="207" spans="2:18">
      <c r="B207" s="156">
        <v>13</v>
      </c>
      <c r="C207" s="156" t="str">
        <f t="shared" si="25"/>
        <v>BHKW</v>
      </c>
      <c r="D207" s="157" t="s">
        <v>244</v>
      </c>
      <c r="E207" s="157"/>
      <c r="F207" s="160"/>
      <c r="G207" s="160"/>
      <c r="H207" s="160"/>
      <c r="I207" s="159" t="s">
        <v>225</v>
      </c>
      <c r="J207" s="159"/>
      <c r="K207" s="159"/>
      <c r="L207" s="159"/>
      <c r="M207" s="159"/>
      <c r="N207" s="159"/>
      <c r="O207" s="159"/>
      <c r="P207" s="159"/>
      <c r="Q207" s="159"/>
      <c r="R207" s="159"/>
    </row>
    <row r="208" spans="2:18" ht="16.5">
      <c r="B208" s="156">
        <v>14</v>
      </c>
      <c r="C208" s="156" t="str">
        <f t="shared" si="25"/>
        <v>Biogas</v>
      </c>
      <c r="D208" s="152" t="s">
        <v>29</v>
      </c>
      <c r="E208" s="157">
        <f>Emissionsfaktoren_Scopeberechnung[[#This Row],[Scope 1]]+Emissionsfaktoren_Scopeberechnung[[#This Row],[Scope 2]]+Emissionsfaktoren_Scopeberechnung[[#This Row],[Scope 3]]</f>
        <v>100.81910384693492</v>
      </c>
      <c r="F208" s="158">
        <v>1.9584210788357905</v>
      </c>
      <c r="G208" s="158"/>
      <c r="H208" s="158">
        <v>98.860682768099139</v>
      </c>
      <c r="I208" s="159" t="s">
        <v>31</v>
      </c>
      <c r="J208" s="159" t="s">
        <v>539</v>
      </c>
      <c r="K208" s="159"/>
      <c r="L208" s="159"/>
      <c r="M208" s="159"/>
      <c r="N208" s="159"/>
      <c r="O208" s="159"/>
      <c r="P208" s="159"/>
      <c r="Q208" s="159"/>
      <c r="R208" s="159"/>
    </row>
    <row r="209" spans="2:18" ht="16.5">
      <c r="B209" s="156">
        <v>15</v>
      </c>
      <c r="C209" s="156" t="str">
        <f t="shared" si="25"/>
        <v>Individueller Emissionsfaktor</v>
      </c>
      <c r="D209" s="152" t="s">
        <v>29</v>
      </c>
      <c r="E209" s="157">
        <f>Emissionsfaktoren_Scopeberechnung[[#This Row],[Scope 1]]+Emissionsfaktoren_Scopeberechnung[[#This Row],[Scope 2]]+Emissionsfaktoren_Scopeberechnung[[#This Row],[Scope 3]]</f>
        <v>0</v>
      </c>
      <c r="F209" s="162"/>
      <c r="G209" s="162"/>
      <c r="H209" s="162"/>
      <c r="I209" s="163"/>
      <c r="J209" s="163"/>
      <c r="K209" s="163"/>
      <c r="L209" s="163"/>
      <c r="M209" s="163"/>
      <c r="N209" s="163"/>
      <c r="O209" s="163"/>
      <c r="P209" s="163"/>
      <c r="Q209" s="163"/>
      <c r="R209" s="163"/>
    </row>
    <row r="210" spans="2:18" ht="16.5">
      <c r="B210" s="156">
        <v>16</v>
      </c>
      <c r="C210" s="156" t="str">
        <f t="shared" si="25"/>
        <v>Holzhackschnitzel</v>
      </c>
      <c r="D210" s="152" t="s">
        <v>29</v>
      </c>
      <c r="E210" s="157">
        <f>Emissionsfaktoren_Scopeberechnung[[#This Row],[Scope 1]]+Emissionsfaktoren_Scopeberechnung[[#This Row],[Scope 2]]+Emissionsfaktoren_Scopeberechnung[[#This Row],[Scope 3]]</f>
        <v>16.485336461589423</v>
      </c>
      <c r="F210" s="164">
        <v>11.377476318569339</v>
      </c>
      <c r="G210" s="158"/>
      <c r="H210" s="164">
        <v>5.1078601430200843</v>
      </c>
      <c r="I210" s="159" t="s">
        <v>31</v>
      </c>
      <c r="J210" s="159" t="s">
        <v>540</v>
      </c>
      <c r="K210" s="159"/>
      <c r="L210" s="159"/>
      <c r="M210" s="159"/>
      <c r="N210" s="159"/>
      <c r="O210" s="159"/>
      <c r="P210" s="159"/>
      <c r="Q210" s="159"/>
      <c r="R210" s="159"/>
    </row>
    <row r="211" spans="2:18" ht="16.5">
      <c r="B211" s="156">
        <v>17</v>
      </c>
      <c r="C211" s="156" t="str">
        <f t="shared" si="25"/>
        <v>Holzpellets, 10kW/kleinere Zentralheizung</v>
      </c>
      <c r="D211" s="152" t="s">
        <v>29</v>
      </c>
      <c r="E211" s="157">
        <f>Emissionsfaktoren_Scopeberechnung[[#This Row],[Scope 1]]+Emissionsfaktoren_Scopeberechnung[[#This Row],[Scope 2]]+Emissionsfaktoren_Scopeberechnung[[#This Row],[Scope 3]]</f>
        <v>19.858655392042355</v>
      </c>
      <c r="F211" s="164">
        <v>1.3925628749917607</v>
      </c>
      <c r="G211" s="158"/>
      <c r="H211" s="164">
        <v>18.466092517050594</v>
      </c>
      <c r="I211" s="159" t="s">
        <v>31</v>
      </c>
      <c r="J211" s="159" t="s">
        <v>541</v>
      </c>
      <c r="K211" s="159"/>
      <c r="L211" s="159"/>
      <c r="M211" s="159"/>
      <c r="N211" s="159"/>
      <c r="O211" s="159"/>
      <c r="P211" s="159"/>
      <c r="Q211" s="159"/>
      <c r="R211" s="159"/>
    </row>
    <row r="212" spans="2:18" ht="16.5">
      <c r="B212" s="156">
        <v>18</v>
      </c>
      <c r="C212" s="156" t="str">
        <f t="shared" si="25"/>
        <v>Holzpellets, 50kW/größere Zentralheizung</v>
      </c>
      <c r="D212" s="152" t="s">
        <v>29</v>
      </c>
      <c r="E212" s="157">
        <f>Emissionsfaktoren_Scopeberechnung[[#This Row],[Scope 1]]+Emissionsfaktoren_Scopeberechnung[[#This Row],[Scope 2]]+Emissionsfaktoren_Scopeberechnung[[#This Row],[Scope 3]]</f>
        <v>27.289432160104102</v>
      </c>
      <c r="F212" s="164">
        <v>1.6710754427901127</v>
      </c>
      <c r="G212" s="158"/>
      <c r="H212" s="164">
        <v>25.61835671731399</v>
      </c>
      <c r="I212" s="159" t="s">
        <v>31</v>
      </c>
      <c r="J212" s="159" t="s">
        <v>542</v>
      </c>
      <c r="K212" s="159"/>
      <c r="L212" s="159"/>
      <c r="M212" s="159"/>
      <c r="N212" s="159"/>
      <c r="O212" s="159"/>
      <c r="P212" s="159"/>
      <c r="Q212" s="159"/>
      <c r="R212" s="159"/>
    </row>
    <row r="213" spans="2:18" ht="16.5">
      <c r="B213" s="156">
        <v>19</v>
      </c>
      <c r="C213" s="156" t="str">
        <f t="shared" si="25"/>
        <v>Fernwärme Mix</v>
      </c>
      <c r="D213" s="152" t="s">
        <v>29</v>
      </c>
      <c r="E213" s="157">
        <f>Emissionsfaktoren_Scopeberechnung[[#This Row],[Scope 1]]+Emissionsfaktoren_Scopeberechnung[[#This Row],[Scope 2]]+Emissionsfaktoren_Scopeberechnung[[#This Row],[Scope 3]]</f>
        <v>152.04400000000001</v>
      </c>
      <c r="F213" s="160"/>
      <c r="G213" s="157">
        <v>152.04400000000001</v>
      </c>
      <c r="H213" s="252"/>
      <c r="I213" s="159" t="s">
        <v>31</v>
      </c>
      <c r="J213" s="159" t="s">
        <v>626</v>
      </c>
      <c r="K213" s="159"/>
      <c r="L213" s="159"/>
      <c r="M213" s="159"/>
      <c r="N213" s="159"/>
      <c r="O213" s="159"/>
      <c r="P213" s="159"/>
      <c r="Q213" s="159"/>
      <c r="R213" s="159"/>
    </row>
    <row r="214" spans="2:18" ht="16.5">
      <c r="B214" s="156">
        <v>20</v>
      </c>
      <c r="C214" s="156" t="str">
        <f t="shared" si="25"/>
        <v>Fernwärme Abfall</v>
      </c>
      <c r="D214" s="152" t="s">
        <v>29</v>
      </c>
      <c r="E214" s="157">
        <f>Emissionsfaktoren_Scopeberechnung[[#This Row],[Scope 1]]+Emissionsfaktoren_Scopeberechnung[[#This Row],[Scope 2]]+Emissionsfaktoren_Scopeberechnung[[#This Row],[Scope 3]]</f>
        <v>130</v>
      </c>
      <c r="F214" s="160"/>
      <c r="G214" s="157">
        <v>130</v>
      </c>
      <c r="H214" s="252"/>
      <c r="I214" s="159" t="s">
        <v>478</v>
      </c>
      <c r="J214" s="159" t="s">
        <v>627</v>
      </c>
      <c r="K214" s="159"/>
      <c r="L214" s="159"/>
      <c r="M214" s="159"/>
      <c r="N214" s="159"/>
      <c r="O214" s="159"/>
      <c r="P214" s="159"/>
      <c r="Q214" s="159"/>
      <c r="R214" s="159"/>
    </row>
    <row r="215" spans="2:18" ht="16.5">
      <c r="B215" s="156">
        <v>21</v>
      </c>
      <c r="C215" s="156" t="str">
        <f t="shared" si="25"/>
        <v>Heizöl</v>
      </c>
      <c r="D215" s="152" t="s">
        <v>29</v>
      </c>
      <c r="E215" s="157">
        <f>Emissionsfaktoren_Scopeberechnung[[#This Row],[Scope 1]]+Emissionsfaktoren_Scopeberechnung[[#This Row],[Scope 2]]+Emissionsfaktoren_Scopeberechnung[[#This Row],[Scope 3]]</f>
        <v>364.14721019612188</v>
      </c>
      <c r="F215" s="160">
        <v>312.22116874219273</v>
      </c>
      <c r="G215" s="158"/>
      <c r="H215" s="160">
        <v>51.926041453929166</v>
      </c>
      <c r="I215" s="159" t="s">
        <v>31</v>
      </c>
      <c r="J215" s="159" t="s">
        <v>543</v>
      </c>
      <c r="K215" s="159"/>
      <c r="L215" s="159"/>
      <c r="M215" s="159"/>
      <c r="N215" s="159"/>
      <c r="O215" s="159"/>
      <c r="P215" s="159"/>
      <c r="Q215" s="159"/>
      <c r="R215" s="159"/>
    </row>
    <row r="216" spans="2:18" ht="16.5">
      <c r="B216" s="156">
        <v>22</v>
      </c>
      <c r="C216" s="156" t="str">
        <f t="shared" si="25"/>
        <v>Solarthermie</v>
      </c>
      <c r="D216" s="152" t="s">
        <v>29</v>
      </c>
      <c r="E216" s="157">
        <f>Emissionsfaktoren_Scopeberechnung[[#This Row],[Scope 1]]+Emissionsfaktoren_Scopeberechnung[[#This Row],[Scope 2]]+Emissionsfaktoren_Scopeberechnung[[#This Row],[Scope 3]]</f>
        <v>19.613268549171522</v>
      </c>
      <c r="F216" s="160"/>
      <c r="G216" s="157"/>
      <c r="H216" s="157">
        <v>19.613268549171522</v>
      </c>
      <c r="I216" s="159" t="s">
        <v>31</v>
      </c>
      <c r="J216" s="159" t="s">
        <v>544</v>
      </c>
      <c r="K216" s="159"/>
      <c r="L216" s="159"/>
      <c r="M216" s="159"/>
      <c r="N216" s="159"/>
      <c r="O216" s="159"/>
      <c r="P216" s="159"/>
      <c r="Q216" s="159"/>
      <c r="R216" s="159"/>
    </row>
    <row r="217" spans="2:18" ht="16.5">
      <c r="B217" s="156">
        <v>23</v>
      </c>
      <c r="C217" s="156" t="str">
        <f t="shared" si="25"/>
        <v>Sole-Wasser-Wärmepumpe; Bundesstrommix</v>
      </c>
      <c r="D217" s="152" t="s">
        <v>29</v>
      </c>
      <c r="E217" s="157">
        <f>Emissionsfaktoren_Scopeberechnung[[#This Row],[Scope 1]]+Emissionsfaktoren_Scopeberechnung[[#This Row],[Scope 2]]+Emissionsfaktoren_Scopeberechnung[[#This Row],[Scope 3]]</f>
        <v>98.974249999999998</v>
      </c>
      <c r="F217" s="160"/>
      <c r="G217" s="157"/>
      <c r="H217" s="157">
        <v>98.974249999999998</v>
      </c>
      <c r="I217" s="159" t="s">
        <v>377</v>
      </c>
      <c r="J217" s="159" t="s">
        <v>387</v>
      </c>
      <c r="K217" s="159"/>
      <c r="L217" s="159"/>
      <c r="M217" s="159"/>
      <c r="N217" s="159"/>
      <c r="O217" s="159"/>
      <c r="P217" s="159"/>
      <c r="Q217" s="159"/>
      <c r="R217" s="159"/>
    </row>
    <row r="218" spans="2:18" ht="16.5">
      <c r="B218" s="156">
        <v>24</v>
      </c>
      <c r="C218" s="156" t="str">
        <f t="shared" si="25"/>
        <v>Sole-Wasser-Wärmepumpe; Ökostrom</v>
      </c>
      <c r="D218" s="152" t="s">
        <v>29</v>
      </c>
      <c r="E218" s="157">
        <f>Emissionsfaktoren_Scopeberechnung[[#This Row],[Scope 1]]+Emissionsfaktoren_Scopeberechnung[[#This Row],[Scope 2]]+Emissionsfaktoren_Scopeberechnung[[#This Row],[Scope 3]]</f>
        <v>12.5</v>
      </c>
      <c r="F218" s="160"/>
      <c r="G218" s="157"/>
      <c r="H218" s="157">
        <v>12.5</v>
      </c>
      <c r="I218" s="159" t="s">
        <v>386</v>
      </c>
      <c r="J218" s="159" t="s">
        <v>132</v>
      </c>
      <c r="K218" s="159"/>
      <c r="L218" s="159"/>
      <c r="M218" s="159"/>
      <c r="N218" s="159"/>
      <c r="O218" s="159"/>
      <c r="P218" s="159"/>
      <c r="Q218" s="159"/>
      <c r="R218" s="159"/>
    </row>
    <row r="219" spans="2:18" ht="16.5">
      <c r="B219" s="156">
        <v>25</v>
      </c>
      <c r="C219" s="156" t="str">
        <f t="shared" si="25"/>
        <v>Individuelle Wärmepumpe</v>
      </c>
      <c r="D219" s="152" t="s">
        <v>29</v>
      </c>
      <c r="E219" s="157">
        <f>Emissionsfaktoren_Scopeberechnung[[#This Row],[Scope 1]]+Emissionsfaktoren_Scopeberechnung[[#This Row],[Scope 2]]+Emissionsfaktoren_Scopeberechnung[[#This Row],[Scope 3]]</f>
        <v>98.974249999999998</v>
      </c>
      <c r="F219" s="160"/>
      <c r="G219" s="166"/>
      <c r="H219" s="166">
        <f>G195/J219</f>
        <v>98.974249999999998</v>
      </c>
      <c r="I219" s="157" t="s">
        <v>378</v>
      </c>
      <c r="J219" s="196">
        <f>Z42</f>
        <v>4</v>
      </c>
      <c r="K219" s="157"/>
      <c r="L219" s="157"/>
      <c r="M219" s="157"/>
      <c r="N219" s="157"/>
      <c r="O219" s="157"/>
      <c r="P219" s="157"/>
      <c r="Q219" s="157"/>
      <c r="R219" s="157"/>
    </row>
    <row r="220" spans="2:18" ht="16.5">
      <c r="B220" s="156">
        <v>26</v>
      </c>
      <c r="C220" s="156" t="str">
        <f t="shared" si="25"/>
        <v>Nachfüllmenge Kältemittel (R22)</v>
      </c>
      <c r="D220" s="152" t="s">
        <v>150</v>
      </c>
      <c r="E220" s="157">
        <f>Emissionsfaktoren_Scopeberechnung[[#This Row],[Scope 1]]+Emissionsfaktoren_Scopeberechnung[[#This Row],[Scope 2]]+Emissionsfaktoren_Scopeberechnung[[#This Row],[Scope 3]]</f>
        <v>1886</v>
      </c>
      <c r="F220" s="158">
        <v>1810</v>
      </c>
      <c r="G220" s="158"/>
      <c r="H220" s="158">
        <v>76</v>
      </c>
      <c r="I220" s="157" t="s">
        <v>487</v>
      </c>
      <c r="J220" s="157" t="s">
        <v>473</v>
      </c>
      <c r="K220" s="157"/>
      <c r="L220" s="157"/>
      <c r="M220" s="157"/>
      <c r="N220" s="157"/>
      <c r="O220" s="157"/>
      <c r="P220" s="157"/>
      <c r="Q220" s="157"/>
      <c r="R220" s="157"/>
    </row>
    <row r="221" spans="2:18" ht="16.5">
      <c r="B221" s="156">
        <v>27</v>
      </c>
      <c r="C221" s="156" t="str">
        <f t="shared" si="25"/>
        <v>Nachfüllmenge Kältemittel (R134A)</v>
      </c>
      <c r="D221" s="152" t="s">
        <v>150</v>
      </c>
      <c r="E221" s="157">
        <f>Emissionsfaktoren_Scopeberechnung[[#This Row],[Scope 1]]+Emissionsfaktoren_Scopeberechnung[[#This Row],[Scope 2]]+Emissionsfaktoren_Scopeberechnung[[#This Row],[Scope 3]]</f>
        <v>1533</v>
      </c>
      <c r="F221" s="158">
        <v>1430</v>
      </c>
      <c r="G221" s="158"/>
      <c r="H221" s="158">
        <v>103</v>
      </c>
      <c r="I221" s="157" t="s">
        <v>487</v>
      </c>
      <c r="J221" s="157" t="s">
        <v>474</v>
      </c>
      <c r="K221" s="157"/>
      <c r="L221" s="157"/>
      <c r="M221" s="157"/>
      <c r="N221" s="157"/>
      <c r="O221" s="157"/>
      <c r="P221" s="157"/>
      <c r="Q221" s="157"/>
      <c r="R221" s="157"/>
    </row>
    <row r="222" spans="2:18" ht="16.5">
      <c r="B222" s="156">
        <v>28</v>
      </c>
      <c r="C222" s="156" t="str">
        <f t="shared" si="25"/>
        <v>Nachfüllmenge Kältemittel (R404A)</v>
      </c>
      <c r="D222" s="152" t="s">
        <v>150</v>
      </c>
      <c r="E222" s="157">
        <f>Emissionsfaktoren_Scopeberechnung[[#This Row],[Scope 1]]+Emissionsfaktoren_Scopeberechnung[[#This Row],[Scope 2]]+Emissionsfaktoren_Scopeberechnung[[#This Row],[Scope 3]]</f>
        <v>4025</v>
      </c>
      <c r="F222" s="158">
        <v>3922</v>
      </c>
      <c r="G222" s="158"/>
      <c r="H222" s="158">
        <v>103</v>
      </c>
      <c r="I222" s="157" t="s">
        <v>487</v>
      </c>
      <c r="J222" s="157" t="s">
        <v>475</v>
      </c>
      <c r="K222" s="157"/>
      <c r="L222" s="157"/>
      <c r="M222" s="157"/>
      <c r="N222" s="157"/>
      <c r="O222" s="157"/>
      <c r="P222" s="157"/>
      <c r="Q222" s="157"/>
      <c r="R222" s="157"/>
    </row>
    <row r="223" spans="2:18" ht="16.5">
      <c r="B223" s="156">
        <v>29</v>
      </c>
      <c r="C223" s="156" t="str">
        <f t="shared" si="25"/>
        <v>Nachfüllmenge Kältemittel (R410A)</v>
      </c>
      <c r="D223" s="152" t="s">
        <v>150</v>
      </c>
      <c r="E223" s="157">
        <f>Emissionsfaktoren_Scopeberechnung[[#This Row],[Scope 1]]+Emissionsfaktoren_Scopeberechnung[[#This Row],[Scope 2]]+Emissionsfaktoren_Scopeberechnung[[#This Row],[Scope 3]]</f>
        <v>2177</v>
      </c>
      <c r="F223" s="158">
        <v>2088</v>
      </c>
      <c r="G223" s="158"/>
      <c r="H223" s="158">
        <v>89</v>
      </c>
      <c r="I223" s="157" t="s">
        <v>487</v>
      </c>
      <c r="J223" s="157" t="s">
        <v>476</v>
      </c>
      <c r="K223" s="157"/>
      <c r="L223" s="157"/>
      <c r="M223" s="157"/>
      <c r="N223" s="157"/>
      <c r="O223" s="157"/>
      <c r="P223" s="157"/>
      <c r="Q223" s="157"/>
      <c r="R223" s="157"/>
    </row>
    <row r="224" spans="2:18">
      <c r="B224" s="156">
        <v>30</v>
      </c>
      <c r="C224" s="156">
        <f t="shared" si="25"/>
        <v>0</v>
      </c>
      <c r="D224" s="165"/>
      <c r="E224" s="165"/>
      <c r="F224" s="160"/>
      <c r="G224" s="160"/>
      <c r="H224" s="160"/>
      <c r="I224" s="159"/>
      <c r="J224" s="159"/>
      <c r="K224" s="159"/>
      <c r="L224" s="159"/>
      <c r="M224" s="159"/>
      <c r="N224" s="159"/>
      <c r="O224" s="159"/>
      <c r="P224" s="159"/>
      <c r="Q224" s="159"/>
      <c r="R224" s="159"/>
    </row>
    <row r="225" spans="2:18" ht="16.5">
      <c r="B225" s="156">
        <v>31</v>
      </c>
      <c r="C225" s="156" t="str">
        <f t="shared" si="25"/>
        <v>Fuhrpark (Diesel)</v>
      </c>
      <c r="D225" s="152" t="s">
        <v>418</v>
      </c>
      <c r="E225" s="157">
        <f>Emissionsfaktoren_Scopeberechnung[[#This Row],[Scope 1]]+Emissionsfaktoren_Scopeberechnung[[#This Row],[Scope 2]]+Emissionsfaktoren_Scopeberechnung[[#This Row],[Scope 3]]</f>
        <v>0.24147024456164837</v>
      </c>
      <c r="F225" s="158">
        <v>0.19393546121267541</v>
      </c>
      <c r="G225" s="158"/>
      <c r="H225" s="158">
        <v>4.7534783348972959E-2</v>
      </c>
      <c r="I225" s="159" t="s">
        <v>545</v>
      </c>
      <c r="J225" s="159" t="s">
        <v>546</v>
      </c>
      <c r="K225" s="159"/>
      <c r="L225" s="159"/>
      <c r="M225" s="159"/>
      <c r="N225" s="159"/>
      <c r="O225" s="159"/>
      <c r="P225" s="159"/>
      <c r="Q225" s="159"/>
      <c r="R225" s="159"/>
    </row>
    <row r="226" spans="2:18" ht="16.5">
      <c r="B226" s="156">
        <v>32</v>
      </c>
      <c r="C226" s="156" t="str">
        <f t="shared" si="25"/>
        <v>Fuhrpark (Benzin)</v>
      </c>
      <c r="D226" s="152" t="s">
        <v>418</v>
      </c>
      <c r="E226" s="157">
        <f>Emissionsfaktoren_Scopeberechnung[[#This Row],[Scope 1]]+Emissionsfaktoren_Scopeberechnung[[#This Row],[Scope 2]]+Emissionsfaktoren_Scopeberechnung[[#This Row],[Scope 3]]</f>
        <v>0.23823316764042801</v>
      </c>
      <c r="F226" s="158">
        <v>0.19500651152104317</v>
      </c>
      <c r="G226" s="158"/>
      <c r="H226" s="158">
        <v>4.3226656119384824E-2</v>
      </c>
      <c r="I226" s="159" t="s">
        <v>545</v>
      </c>
      <c r="J226" s="159" t="s">
        <v>500</v>
      </c>
      <c r="K226" s="159"/>
      <c r="L226" s="159"/>
      <c r="M226" s="159"/>
      <c r="N226" s="159"/>
      <c r="O226" s="159"/>
      <c r="P226" s="159"/>
      <c r="Q226" s="159"/>
      <c r="R226" s="159"/>
    </row>
    <row r="227" spans="2:18" ht="16.5">
      <c r="B227" s="156">
        <v>33</v>
      </c>
      <c r="C227" s="156" t="str">
        <f t="shared" si="25"/>
        <v>Fuhrpark (E-Auto/ BEV)</v>
      </c>
      <c r="D227" s="152" t="s">
        <v>418</v>
      </c>
      <c r="E227" s="157">
        <f>Emissionsfaktoren_Scopeberechnung[[#This Row],[Scope 1]]+Emissionsfaktoren_Scopeberechnung[[#This Row],[Scope 2]]+Emissionsfaktoren_Scopeberechnung[[#This Row],[Scope 3]]</f>
        <v>0.13988990608409779</v>
      </c>
      <c r="F227" s="158">
        <v>6.7838088896135157E-2</v>
      </c>
      <c r="G227" s="158"/>
      <c r="H227" s="158">
        <v>7.205181718796265E-2</v>
      </c>
      <c r="I227" s="159" t="s">
        <v>545</v>
      </c>
      <c r="J227" s="159" t="s">
        <v>501</v>
      </c>
      <c r="K227" s="159"/>
      <c r="L227" s="159"/>
      <c r="M227" s="159"/>
      <c r="N227" s="159"/>
      <c r="O227" s="159"/>
      <c r="P227" s="159"/>
      <c r="Q227" s="159"/>
      <c r="R227" s="159"/>
    </row>
    <row r="228" spans="2:18" ht="16.5">
      <c r="B228" s="156">
        <v>34</v>
      </c>
      <c r="C228" s="156" t="str">
        <f t="shared" si="25"/>
        <v>Fuhrpark (Wasserstoff/ FCEV)</v>
      </c>
      <c r="D228" s="152" t="s">
        <v>418</v>
      </c>
      <c r="E228" s="157">
        <f>Emissionsfaktoren_Scopeberechnung[[#This Row],[Scope 1]]+Emissionsfaktoren_Scopeberechnung[[#This Row],[Scope 2]]+Emissionsfaktoren_Scopeberechnung[[#This Row],[Scope 3]]</f>
        <v>0.19898582947594401</v>
      </c>
      <c r="F228" s="160">
        <v>0.12742611853774119</v>
      </c>
      <c r="G228" s="160"/>
      <c r="H228" s="160">
        <v>7.1559710938202833E-2</v>
      </c>
      <c r="I228" s="159" t="s">
        <v>545</v>
      </c>
      <c r="J228" s="159" t="s">
        <v>502</v>
      </c>
      <c r="K228" s="159"/>
      <c r="L228" s="159"/>
      <c r="M228" s="159"/>
      <c r="N228" s="159"/>
      <c r="O228" s="159"/>
      <c r="P228" s="159"/>
      <c r="Q228" s="159"/>
      <c r="R228" s="159"/>
    </row>
    <row r="229" spans="2:18" ht="16.5">
      <c r="B229" s="156">
        <v>35</v>
      </c>
      <c r="C229" s="156" t="str">
        <f t="shared" si="25"/>
        <v>Fuhrpark (CNG)</v>
      </c>
      <c r="D229" s="152" t="s">
        <v>418</v>
      </c>
      <c r="E229" s="157">
        <f>Emissionsfaktoren_Scopeberechnung[[#This Row],[Scope 1]]+Emissionsfaktoren_Scopeberechnung[[#This Row],[Scope 2]]+Emissionsfaktoren_Scopeberechnung[[#This Row],[Scope 3]]</f>
        <v>0.19430236726042019</v>
      </c>
      <c r="F229" s="158">
        <v>0.14927326017631651</v>
      </c>
      <c r="G229" s="158"/>
      <c r="H229" s="158">
        <v>4.5029107084103688E-2</v>
      </c>
      <c r="I229" s="159" t="s">
        <v>545</v>
      </c>
      <c r="J229" s="159" t="s">
        <v>503</v>
      </c>
      <c r="K229" s="159"/>
      <c r="L229" s="159"/>
      <c r="M229" s="159"/>
      <c r="N229" s="159"/>
      <c r="O229" s="159"/>
      <c r="P229" s="159"/>
      <c r="Q229" s="159"/>
      <c r="R229" s="159"/>
    </row>
    <row r="230" spans="2:18" ht="16.5">
      <c r="B230" s="156">
        <v>36</v>
      </c>
      <c r="C230" s="156" t="str">
        <f t="shared" si="25"/>
        <v>Fuhrpark (Plug-In-Hybrid, PHEV)</v>
      </c>
      <c r="D230" s="152" t="s">
        <v>418</v>
      </c>
      <c r="E230" s="157">
        <f>Emissionsfaktoren_Scopeberechnung[[#This Row],[Scope 1]]+Emissionsfaktoren_Scopeberechnung[[#This Row],[Scope 2]]+Emissionsfaktoren_Scopeberechnung[[#This Row],[Scope 3]]</f>
        <v>0.19039932667175896</v>
      </c>
      <c r="F230" s="158">
        <v>0.1337886651576469</v>
      </c>
      <c r="G230" s="158"/>
      <c r="H230" s="158">
        <v>5.6610661514112072E-2</v>
      </c>
      <c r="I230" s="159" t="s">
        <v>545</v>
      </c>
      <c r="J230" s="159" t="s">
        <v>504</v>
      </c>
      <c r="K230" s="159"/>
      <c r="L230" s="159"/>
      <c r="M230" s="159"/>
      <c r="N230" s="159"/>
      <c r="O230" s="159"/>
      <c r="P230" s="159"/>
      <c r="Q230" s="159"/>
      <c r="R230" s="159"/>
    </row>
  </sheetData>
  <phoneticPr fontId="8" type="noConversion"/>
  <conditionalFormatting sqref="Y42">
    <cfRule type="cellIs" dxfId="382" priority="7" operator="equal">
      <formula>"x"</formula>
    </cfRule>
  </conditionalFormatting>
  <conditionalFormatting sqref="J219">
    <cfRule type="cellIs" dxfId="381" priority="5" operator="equal">
      <formula>"x"</formula>
    </cfRule>
  </conditionalFormatting>
  <conditionalFormatting sqref="I219">
    <cfRule type="cellIs" dxfId="380" priority="6" operator="equal">
      <formula>"x"</formula>
    </cfRule>
  </conditionalFormatting>
  <conditionalFormatting sqref="K219:Q219">
    <cfRule type="cellIs" dxfId="379" priority="2" operator="equal">
      <formula>"x"</formula>
    </cfRule>
  </conditionalFormatting>
  <conditionalFormatting sqref="R219">
    <cfRule type="cellIs" dxfId="378" priority="1" operator="equal">
      <formula>"x"</formula>
    </cfRule>
  </conditionalFormatting>
  <hyperlinks>
    <hyperlink ref="K1" r:id="rId1" tooltip="Kontakt zur Autorin" display="Kontakt zur Autorin" xr:uid="{A17E96D0-E802-4530-9869-F8E91B12B438}"/>
    <hyperlink ref="B1" location="Startseite!B44" tooltip="Zurück zur Einleitung" display="      Zur Navigation" xr:uid="{B5028BD6-1F25-4D72-B6FB-DEA0D2117DDC}"/>
    <hyperlink ref="H7" location="Startseite!H51" display="      Zum Handbuch" xr:uid="{051A07C0-683A-41C9-8EA2-338EE9C93FC1}"/>
  </hyperlinks>
  <pageMargins left="0.7" right="0.7" top="0.78740157499999996" bottom="0.78740157499999996" header="0.3" footer="0.3"/>
  <pageSetup paperSize="9" orientation="portrait" r:id="rId2"/>
  <drawing r:id="rId3"/>
  <legacyDrawing r:id="rId4"/>
  <tableParts count="3">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Startseite</vt:lpstr>
      <vt:lpstr>Refsz-Verbräuche</vt:lpstr>
      <vt:lpstr>Klisz-Verbräuche</vt:lpstr>
      <vt:lpstr>Datengüte</vt:lpstr>
      <vt:lpstr>KliMax-Auswertung</vt:lpstr>
      <vt:lpstr>Umrechnen</vt:lpstr>
      <vt:lpstr>Strommix &amp; BHKW</vt:lpstr>
      <vt:lpstr>Verbundene Einheiten</vt:lpstr>
      <vt:lpstr>Emissionsfaktoren</vt:lpstr>
      <vt:lpstr>Refsz-Emissionen</vt:lpstr>
      <vt:lpstr>Klisz-Emissionen</vt:lpstr>
    </vt:vector>
  </TitlesOfParts>
  <Manager>Julia Zigann</Manager>
  <Company>Hochschule Magdeburg-Stendal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Kli Max</dc:title>
  <dc:subject>Treibhausgasbilanzierung</dc:subject>
  <dc:creator>Julia Zigann</dc:creator>
  <cp:keywords>Modellierung</cp:keywords>
  <dc:description>Erfassung der Ist-Bilanz und Szenarienanalyse</dc:description>
  <cp:lastModifiedBy>Julia Zigann</cp:lastModifiedBy>
  <dcterms:created xsi:type="dcterms:W3CDTF">2023-11-19T14:58:57Z</dcterms:created>
  <dcterms:modified xsi:type="dcterms:W3CDTF">2024-09-09T17:45:28Z</dcterms:modified>
  <cp:category>Klimaschutz</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Autor">
    <vt:lpwstr>Tino Fauk (M.Sc. Ing.)</vt:lpwstr>
  </property>
  <property fmtid="{D5CDD505-2E9C-101B-9397-08002B2CF9AE}" pid="3" name="Redaktionelle Beratung">
    <vt:lpwstr>Ingo Elstner</vt:lpwstr>
  </property>
  <property fmtid="{D5CDD505-2E9C-101B-9397-08002B2CF9AE}" pid="4" name="Erstellungsdatum">
    <vt:filetime>2021-11-01T10:00:00Z</vt:filetime>
  </property>
</Properties>
</file>